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Nelson\Documents\GitHub\Excel\"/>
    </mc:Choice>
  </mc:AlternateContent>
  <workbookProtection workbookAlgorithmName="SHA-512" workbookHashValue="GebUwfyOIAudQ3+WEd0eINjyO6wrUgC1mMMe/ZppsNg5LuXR4Rh+qita2M1vWRYL7MODaDRS6FE7ETJ4IvrkZQ==" workbookSaltValue="6GFqd10I76ILDSudYeKMZw==" workbookSpinCount="100000" lockStructure="1"/>
  <bookViews>
    <workbookView xWindow="0" yWindow="0" windowWidth="28800" windowHeight="12435"/>
  </bookViews>
  <sheets>
    <sheet name="Manage Members" sheetId="1" r:id="rId1"/>
    <sheet name="Squads &amp; Rosters" sheetId="3" r:id="rId2"/>
    <sheet name="Summaries" sheetId="2" r:id="rId3"/>
    <sheet name="Transfers &amp; Removals" sheetId="4" r:id="rId4"/>
    <sheet name="Forum Rosters" sheetId="8" r:id="rId5"/>
    <sheet name="Split Suggestions" sheetId="5" r:id="rId6"/>
    <sheet name="Logic" sheetId="7" state="hidden" r:id="rId7"/>
  </sheets>
  <definedNames>
    <definedName name="_xlnm._FilterDatabase" localSheetId="0" hidden="1">'Manage Members'!$A$1:$W$117</definedName>
    <definedName name="_xlnm._FilterDatabase" localSheetId="3" hidden="1">'Transfers &amp; Removals'!$A$1:$N$1</definedName>
    <definedName name="CTS_Completed">Tbl_Members[CTS Completed]</definedName>
    <definedName name="Date_Removed">Tbl_Transfers_Removals[Date Removed or Transferred]</definedName>
    <definedName name="Last_Active">Tbl_Members[Last Active]</definedName>
    <definedName name="Last_Promotion">Tbl_Members[Last Promotion]</definedName>
    <definedName name="LTS_Completed">Tbl_Members[LTS Completed]</definedName>
    <definedName name="MIA">Logic!$D$3:$D$5</definedName>
    <definedName name="OfficersList">Logic!#REF!</definedName>
    <definedName name="Rank_List">Logic!$B$3:$B$11</definedName>
    <definedName name="Rank_Misc">Logic!$B$11</definedName>
    <definedName name="Rank_Secondary">Logic!$B$10</definedName>
    <definedName name="Rank1">Logic!$B$3</definedName>
    <definedName name="Rank2">Logic!$B$4</definedName>
    <definedName name="Rank3">Logic!$B$5</definedName>
    <definedName name="Rank4">Logic!$B$6</definedName>
    <definedName name="Rank5">Logic!$B$7</definedName>
    <definedName name="Rank6">Logic!$B$8</definedName>
    <definedName name="Rank7">Logic!$B$9</definedName>
    <definedName name="Red_Boxed">Tbl_Members[Red Boxed]</definedName>
    <definedName name="Removal_Terms">Logic!$H$3:$H$6</definedName>
    <definedName name="Removal_Transfer">Tbl_Transfers_Removals[Removal or Transfer]</definedName>
    <definedName name="Sgts_Oath">Tbl_Members[Sgt''s Oath]</definedName>
    <definedName name="Squad_1">'Squads &amp; Rosters'!$C$3</definedName>
    <definedName name="Squad_2">'Squads &amp; Rosters'!$C$4</definedName>
    <definedName name="Squad_3">'Squads &amp; Rosters'!$C$5</definedName>
    <definedName name="Squad_4">'Squads &amp; Rosters'!$C$6</definedName>
    <definedName name="Squads">'Squads &amp; Rosters'!$C$3:$C$6</definedName>
    <definedName name="Tag_Removal">Logic!$L$3:$L$6</definedName>
    <definedName name="Type_Of_Transfer">Logic!$J$3:$J$5</definedName>
    <definedName name="Yes_No">Logic!$F$3:$F$4</definedName>
    <definedName name="Z_910B280B_1D41_4475_992A_3EE03647ECB3_.wvu.Cols" localSheetId="0" hidden="1">'Manage Members'!#REF!</definedName>
    <definedName name="Z_910B280B_1D41_4475_992A_3EE03647ECB3_.wvu.Cols" localSheetId="2" hidden="1">Summaries!$D:$AD</definedName>
    <definedName name="Z_910B280B_1D41_4475_992A_3EE03647ECB3_.wvu.FilterData" localSheetId="0" hidden="1">'Manage Members'!$A$1:$W$117</definedName>
    <definedName name="Z_910B280B_1D41_4475_992A_3EE03647ECB3_.wvu.FilterData" localSheetId="3" hidden="1">'Transfers &amp; Removals'!$A$1:$N$1</definedName>
    <definedName name="Z_910B280B_1D41_4475_992A_3EE03647ECB3_.wvu.Rows" localSheetId="4" hidden="1">'Forum Rosters'!#REF!,'Forum Rosters'!#REF!,'Forum Rosters'!#REF!,'Forum Rosters'!#REF!,'Forum Rosters'!#REF!,'Forum Rosters'!#REF!,'Forum Rosters'!#REF!,'Forum Rosters'!#REF!,'Forum Rosters'!#REF!</definedName>
  </definedNames>
  <calcPr calcId="152511"/>
  <customWorkbookViews>
    <customWorkbookView name="Kacey Green - Personal View" guid="{910B280B-1D41-4475-992A-3EE03647ECB3}" mergeInterval="0" personalView="1" yWindow="9" windowWidth="1728" windowHeight="1103" activeSheetId="1"/>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2"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AA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Q2" i="3"/>
  <c r="Q30" i="3"/>
  <c r="R30" i="3"/>
  <c r="S32" i="3" s="1" a="1"/>
  <c r="S32" i="3" s="1"/>
  <c r="Q20" i="3"/>
  <c r="R20" i="3"/>
  <c r="S22" i="3" s="1" a="1"/>
  <c r="S22" i="3" s="1"/>
  <c r="Q16" i="3"/>
  <c r="R16" i="3"/>
  <c r="S17" i="3" s="1" a="1"/>
  <c r="S17" i="3" s="1"/>
  <c r="Q11" i="3"/>
  <c r="R11" i="3"/>
  <c r="S13" i="3" s="1" a="1"/>
  <c r="S13" i="3" s="1"/>
  <c r="Q8" i="3"/>
  <c r="R8" i="3"/>
  <c r="S10" i="3" s="1" a="1"/>
  <c r="S10" i="3" s="1"/>
  <c r="S6" i="3" a="1"/>
  <c r="S6" i="3" s="1"/>
  <c r="S7" i="3" a="1"/>
  <c r="S7" i="3" s="1"/>
  <c r="Q5" i="3"/>
  <c r="R5" i="3"/>
  <c r="S5" i="3" a="1"/>
  <c r="S5" i="3" s="1"/>
  <c r="M2" i="3"/>
  <c r="M30" i="3"/>
  <c r="N30" i="3"/>
  <c r="M20" i="3"/>
  <c r="N20" i="3"/>
  <c r="M16" i="3"/>
  <c r="N16" i="3"/>
  <c r="O17" i="3" s="1" a="1"/>
  <c r="O17" i="3" s="1"/>
  <c r="M11" i="3"/>
  <c r="N11" i="3"/>
  <c r="M8" i="3"/>
  <c r="N8" i="3"/>
  <c r="M5" i="3"/>
  <c r="N5" i="3"/>
  <c r="I2" i="3"/>
  <c r="I30" i="3"/>
  <c r="J30" i="3"/>
  <c r="K31" i="3" s="1" a="1"/>
  <c r="K31" i="3" s="1"/>
  <c r="I20" i="3"/>
  <c r="J20" i="3"/>
  <c r="K21" i="3" s="1" a="1"/>
  <c r="K21" i="3" s="1"/>
  <c r="I16" i="3"/>
  <c r="J16" i="3"/>
  <c r="K18" i="3" s="1" a="1"/>
  <c r="K18" i="3" s="1"/>
  <c r="I11" i="3"/>
  <c r="J11" i="3"/>
  <c r="K12" i="3" s="1" a="1"/>
  <c r="K12" i="3" s="1"/>
  <c r="I8" i="3"/>
  <c r="J8" i="3"/>
  <c r="K9" i="3" s="1" a="1"/>
  <c r="K9" i="3" s="1"/>
  <c r="I5" i="3"/>
  <c r="J5" i="3"/>
  <c r="K6" i="3" s="1" a="1"/>
  <c r="K6" i="3" s="1"/>
  <c r="E2" i="3"/>
  <c r="E30" i="3"/>
  <c r="F30" i="3"/>
  <c r="G31" i="3" a="1"/>
  <c r="G31" i="3" s="1"/>
  <c r="E20" i="3"/>
  <c r="F20" i="3"/>
  <c r="G21" i="3" s="1" a="1"/>
  <c r="G21" i="3" s="1"/>
  <c r="E16" i="3"/>
  <c r="F16" i="3"/>
  <c r="E11" i="3"/>
  <c r="F11" i="3"/>
  <c r="E8" i="3"/>
  <c r="F8" i="3"/>
  <c r="E5" i="3"/>
  <c r="F5" i="3"/>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 i="2" a="1"/>
  <c r="N3" i="2" s="1"/>
  <c r="R4" i="2" a="1"/>
  <c r="R4" i="2" s="1"/>
  <c r="R5" i="2" a="1"/>
  <c r="R5" i="2" s="1"/>
  <c r="R6" i="2" a="1"/>
  <c r="R6" i="2" s="1"/>
  <c r="R7" i="2" a="1"/>
  <c r="R7" i="2" s="1"/>
  <c r="R8" i="2" a="1"/>
  <c r="R8" i="2" s="1"/>
  <c r="R9" i="2" a="1"/>
  <c r="R9" i="2" s="1"/>
  <c r="R10" i="2" a="1"/>
  <c r="R10" i="2" s="1"/>
  <c r="R11" i="2" a="1"/>
  <c r="R11" i="2" s="1"/>
  <c r="R12" i="2" a="1"/>
  <c r="R12" i="2" s="1"/>
  <c r="R13" i="2" a="1"/>
  <c r="R13" i="2" s="1"/>
  <c r="R14" i="2" a="1"/>
  <c r="R14" i="2" s="1"/>
  <c r="R15" i="2" a="1"/>
  <c r="R15" i="2" s="1"/>
  <c r="R16" i="2" a="1"/>
  <c r="R16" i="2" s="1"/>
  <c r="R17" i="2" a="1"/>
  <c r="R17" i="2" s="1"/>
  <c r="R18" i="2" a="1"/>
  <c r="R18" i="2" s="1"/>
  <c r="R19" i="2" a="1"/>
  <c r="R19" i="2" s="1"/>
  <c r="R20" i="2" a="1"/>
  <c r="R20" i="2" s="1"/>
  <c r="R21" i="2" a="1"/>
  <c r="R21" i="2" s="1"/>
  <c r="R22" i="2" a="1"/>
  <c r="R22" i="2" s="1"/>
  <c r="R23" i="2" a="1"/>
  <c r="R23" i="2" s="1"/>
  <c r="R24" i="2" a="1"/>
  <c r="R24" i="2" s="1"/>
  <c r="R25" i="2" a="1"/>
  <c r="R25" i="2" s="1"/>
  <c r="R26" i="2" a="1"/>
  <c r="R26" i="2" s="1"/>
  <c r="R27" i="2" a="1"/>
  <c r="R27" i="2" s="1"/>
  <c r="R28" i="2" a="1"/>
  <c r="R28" i="2" s="1"/>
  <c r="R29" i="2" a="1"/>
  <c r="R29" i="2" s="1"/>
  <c r="R30" i="2" a="1"/>
  <c r="R30" i="2" s="1"/>
  <c r="R31" i="2" a="1"/>
  <c r="R31" i="2" s="1"/>
  <c r="R32" i="2" a="1"/>
  <c r="R32" i="2" s="1"/>
  <c r="R33" i="2" a="1"/>
  <c r="R33" i="2" s="1"/>
  <c r="R34" i="2" a="1"/>
  <c r="R34" i="2" s="1"/>
  <c r="R35" i="2" a="1"/>
  <c r="R35" i="2" s="1"/>
  <c r="R36" i="2" a="1"/>
  <c r="R36" i="2" s="1"/>
  <c r="R3" i="2" a="1"/>
  <c r="R3" i="2" s="1"/>
  <c r="V4" i="2" a="1"/>
  <c r="V4" i="2" s="1"/>
  <c r="V5" i="2" a="1"/>
  <c r="V5" i="2" s="1"/>
  <c r="V6" i="2" a="1"/>
  <c r="V6" i="2" s="1"/>
  <c r="V7" i="2" a="1"/>
  <c r="V7" i="2" s="1"/>
  <c r="V8" i="2" a="1"/>
  <c r="V8" i="2" s="1"/>
  <c r="V9" i="2" a="1"/>
  <c r="V9" i="2" s="1"/>
  <c r="V10" i="2" a="1"/>
  <c r="V10" i="2" s="1"/>
  <c r="V11" i="2" a="1"/>
  <c r="V11" i="2" s="1"/>
  <c r="V12" i="2" a="1"/>
  <c r="V12" i="2" s="1"/>
  <c r="V13" i="2" a="1"/>
  <c r="V13" i="2" s="1"/>
  <c r="V14" i="2" a="1"/>
  <c r="V14" i="2" s="1"/>
  <c r="V15" i="2" a="1"/>
  <c r="V15" i="2" s="1"/>
  <c r="V16" i="2" a="1"/>
  <c r="V16" i="2" s="1"/>
  <c r="V17" i="2" a="1"/>
  <c r="V17" i="2" s="1"/>
  <c r="V18" i="2" a="1"/>
  <c r="V18" i="2" s="1"/>
  <c r="V19" i="2" a="1"/>
  <c r="V19" i="2" s="1"/>
  <c r="V20" i="2" a="1"/>
  <c r="V20" i="2" s="1"/>
  <c r="V21" i="2" a="1"/>
  <c r="V21" i="2" s="1"/>
  <c r="V22" i="2" a="1"/>
  <c r="V22" i="2" s="1"/>
  <c r="V23" i="2" a="1"/>
  <c r="V23" i="2" s="1"/>
  <c r="V24" i="2" a="1"/>
  <c r="V24" i="2" s="1"/>
  <c r="V25" i="2" a="1"/>
  <c r="V25" i="2" s="1"/>
  <c r="V26" i="2" a="1"/>
  <c r="V26" i="2" s="1"/>
  <c r="V27" i="2" a="1"/>
  <c r="V27" i="2" s="1"/>
  <c r="V28" i="2" a="1"/>
  <c r="V28" i="2" s="1"/>
  <c r="V29" i="2" a="1"/>
  <c r="V29" i="2" s="1"/>
  <c r="V30" i="2" a="1"/>
  <c r="V30" i="2" s="1"/>
  <c r="V31" i="2" a="1"/>
  <c r="V31" i="2" s="1"/>
  <c r="V32" i="2" a="1"/>
  <c r="V32" i="2" s="1"/>
  <c r="V33" i="2" a="1"/>
  <c r="V33" i="2" s="1"/>
  <c r="V34" i="2" a="1"/>
  <c r="V34" i="2" s="1"/>
  <c r="V35" i="2" a="1"/>
  <c r="V35" i="2" s="1"/>
  <c r="V36" i="2" a="1"/>
  <c r="V36" i="2" s="1"/>
  <c r="V3" i="2" a="1"/>
  <c r="V3" i="2" s="1"/>
  <c r="W2" i="2"/>
  <c r="S2" i="2"/>
  <c r="O2" i="2"/>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 i="2" a="1"/>
  <c r="J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 i="2" a="1"/>
  <c r="F3" i="2" s="1"/>
  <c r="K2" i="2"/>
  <c r="G2" i="2"/>
  <c r="F25" i="8"/>
  <c r="F164" i="8" a="1"/>
  <c r="F164" i="8"/>
  <c r="F165" i="8" a="1"/>
  <c r="F165" i="8"/>
  <c r="F166" i="8" a="1"/>
  <c r="F166" i="8"/>
  <c r="F167" i="8" a="1"/>
  <c r="F167" i="8"/>
  <c r="F168" i="8" a="1"/>
  <c r="F168" i="8"/>
  <c r="F169" i="8" a="1"/>
  <c r="F169" i="8"/>
  <c r="F170" i="8" a="1"/>
  <c r="F170" i="8"/>
  <c r="F171" i="8" a="1"/>
  <c r="F171" i="8"/>
  <c r="F172" i="8" a="1"/>
  <c r="F172" i="8"/>
  <c r="F173" i="8" a="1"/>
  <c r="F173" i="8"/>
  <c r="F174" i="8" a="1"/>
  <c r="F174" i="8"/>
  <c r="F175" i="8" a="1"/>
  <c r="F175" i="8"/>
  <c r="F176" i="8" a="1"/>
  <c r="F176" i="8"/>
  <c r="F177" i="8" a="1"/>
  <c r="F177" i="8"/>
  <c r="F178" i="8" a="1"/>
  <c r="F178" i="8"/>
  <c r="F163" i="8" a="1"/>
  <c r="F163" i="8"/>
  <c r="F161" i="8"/>
  <c r="F86" i="8" a="1"/>
  <c r="F86" i="8" s="1"/>
  <c r="F87" i="8" a="1"/>
  <c r="F87" i="8"/>
  <c r="F88" i="8" a="1"/>
  <c r="F88" i="8" s="1"/>
  <c r="F89" i="8" a="1"/>
  <c r="F89" i="8" s="1"/>
  <c r="F90" i="8" a="1"/>
  <c r="F90" i="8" s="1"/>
  <c r="F91" i="8" a="1"/>
  <c r="F91" i="8" s="1"/>
  <c r="F92" i="8" a="1"/>
  <c r="F92" i="8" s="1"/>
  <c r="F93" i="8" a="1"/>
  <c r="F93" i="8" s="1"/>
  <c r="F94" i="8" a="1"/>
  <c r="F94" i="8" s="1"/>
  <c r="F95" i="8" a="1"/>
  <c r="F95" i="8" s="1"/>
  <c r="F96" i="8" a="1"/>
  <c r="F96" i="8" s="1"/>
  <c r="F97" i="8" a="1"/>
  <c r="F97" i="8" s="1"/>
  <c r="F98" i="8" a="1"/>
  <c r="F98" i="8" s="1"/>
  <c r="F99" i="8" a="1"/>
  <c r="F99" i="8"/>
  <c r="F100" i="8" a="1"/>
  <c r="F100" i="8" s="1"/>
  <c r="F101" i="8" a="1"/>
  <c r="F101" i="8" s="1"/>
  <c r="F102" i="8" a="1"/>
  <c r="F102" i="8" s="1"/>
  <c r="F103" i="8" a="1"/>
  <c r="F103" i="8" s="1"/>
  <c r="F104" i="8" a="1"/>
  <c r="F104" i="8" s="1"/>
  <c r="F105" i="8" a="1"/>
  <c r="F105" i="8" s="1"/>
  <c r="F106" i="8" a="1"/>
  <c r="F106" i="8" s="1"/>
  <c r="F107" i="8" a="1"/>
  <c r="F107" i="8"/>
  <c r="F108" i="8" a="1"/>
  <c r="F108" i="8" s="1"/>
  <c r="F109" i="8" a="1"/>
  <c r="F109" i="8" s="1"/>
  <c r="F110" i="8" a="1"/>
  <c r="F110" i="8" s="1"/>
  <c r="F111" i="8" a="1"/>
  <c r="F111" i="8" s="1"/>
  <c r="F112" i="8" a="1"/>
  <c r="F112" i="8" s="1"/>
  <c r="F113" i="8" a="1"/>
  <c r="F113" i="8"/>
  <c r="F114" i="8" a="1"/>
  <c r="F114" i="8" s="1"/>
  <c r="F115" i="8" a="1"/>
  <c r="F115" i="8" s="1"/>
  <c r="F116" i="8" a="1"/>
  <c r="F116" i="8" s="1"/>
  <c r="F117" i="8" a="1"/>
  <c r="F117" i="8" s="1"/>
  <c r="F118" i="8" a="1"/>
  <c r="F118" i="8" s="1"/>
  <c r="F119" i="8" a="1"/>
  <c r="F119" i="8"/>
  <c r="F120" i="8" a="1"/>
  <c r="F120" i="8" s="1"/>
  <c r="F121" i="8" a="1"/>
  <c r="F121" i="8" s="1"/>
  <c r="F122" i="8" a="1"/>
  <c r="F122" i="8" s="1"/>
  <c r="F123" i="8" a="1"/>
  <c r="F123" i="8" s="1"/>
  <c r="F124" i="8" a="1"/>
  <c r="F124" i="8" s="1"/>
  <c r="F125" i="8" a="1"/>
  <c r="F125" i="8" s="1"/>
  <c r="F126" i="8" a="1"/>
  <c r="F126" i="8" s="1"/>
  <c r="F127" i="8" a="1"/>
  <c r="F127" i="8" s="1"/>
  <c r="F128" i="8" a="1"/>
  <c r="F128" i="8" s="1"/>
  <c r="F129" i="8" a="1"/>
  <c r="F129" i="8" s="1"/>
  <c r="F130" i="8" a="1"/>
  <c r="F130" i="8" s="1"/>
  <c r="F131" i="8" a="1"/>
  <c r="F131" i="8"/>
  <c r="F132" i="8" a="1"/>
  <c r="F132" i="8" s="1"/>
  <c r="F133" i="8" a="1"/>
  <c r="F133" i="8" s="1"/>
  <c r="F134" i="8" a="1"/>
  <c r="F134" i="8" s="1"/>
  <c r="F135" i="8" a="1"/>
  <c r="F135" i="8" s="1"/>
  <c r="F136" i="8" a="1"/>
  <c r="F136" i="8" s="1"/>
  <c r="F137" i="8" a="1"/>
  <c r="F137" i="8" s="1"/>
  <c r="F138" i="8" a="1"/>
  <c r="F138" i="8" s="1"/>
  <c r="F139" i="8" a="1"/>
  <c r="F139" i="8"/>
  <c r="F140" i="8" a="1"/>
  <c r="F140" i="8" s="1"/>
  <c r="F141" i="8" a="1"/>
  <c r="F141" i="8" s="1"/>
  <c r="F142" i="8" a="1"/>
  <c r="F142" i="8" s="1"/>
  <c r="F143" i="8" a="1"/>
  <c r="F143" i="8" s="1"/>
  <c r="F144" i="8" a="1"/>
  <c r="F144" i="8" s="1"/>
  <c r="F145" i="8" a="1"/>
  <c r="F145" i="8"/>
  <c r="F146" i="8" a="1"/>
  <c r="F146" i="8" s="1"/>
  <c r="F147" i="8" a="1"/>
  <c r="F147" i="8" s="1"/>
  <c r="F148" i="8" a="1"/>
  <c r="F148" i="8" s="1"/>
  <c r="F149" i="8" a="1"/>
  <c r="F149" i="8" s="1"/>
  <c r="F150" i="8" a="1"/>
  <c r="F150" i="8" s="1"/>
  <c r="F151" i="8" a="1"/>
  <c r="F151" i="8"/>
  <c r="F152" i="8" a="1"/>
  <c r="F152" i="8" s="1"/>
  <c r="F153" i="8" a="1"/>
  <c r="F153" i="8" s="1"/>
  <c r="F154" i="8" a="1"/>
  <c r="F154" i="8" s="1"/>
  <c r="F155" i="8" a="1"/>
  <c r="F155" i="8" s="1"/>
  <c r="F156" i="8" a="1"/>
  <c r="F156" i="8" s="1"/>
  <c r="F157" i="8" a="1"/>
  <c r="F157" i="8" s="1"/>
  <c r="F158" i="8" a="1"/>
  <c r="F158" i="8" s="1"/>
  <c r="F159" i="8" a="1"/>
  <c r="F159" i="8" s="1"/>
  <c r="F85" i="8" a="1"/>
  <c r="F85" i="8" s="1"/>
  <c r="F83" i="8"/>
  <c r="F77" i="8" a="1"/>
  <c r="F77" i="8" s="1"/>
  <c r="F78" i="8" a="1"/>
  <c r="F78" i="8"/>
  <c r="F79" i="8" a="1"/>
  <c r="F79" i="8" s="1"/>
  <c r="F80" i="8" a="1"/>
  <c r="F80" i="8" s="1"/>
  <c r="F81" i="8" a="1"/>
  <c r="F81" i="8" s="1"/>
  <c r="F76" i="8" a="1"/>
  <c r="F76" i="8"/>
  <c r="F74" i="8"/>
  <c r="F50" i="8" a="1"/>
  <c r="F50" i="8" s="1"/>
  <c r="F51" i="8" a="1"/>
  <c r="F51" i="8"/>
  <c r="F52" i="8" a="1"/>
  <c r="F52" i="8" s="1"/>
  <c r="F53" i="8" a="1"/>
  <c r="F53" i="8" s="1"/>
  <c r="F54" i="8" a="1"/>
  <c r="F54" i="8" s="1"/>
  <c r="F55" i="8" a="1"/>
  <c r="F55" i="8" s="1"/>
  <c r="F56" i="8" a="1"/>
  <c r="F56" i="8" s="1"/>
  <c r="F57" i="8" a="1"/>
  <c r="F57" i="8" s="1"/>
  <c r="F58" i="8" a="1"/>
  <c r="F58" i="8" s="1"/>
  <c r="F59" i="8" a="1"/>
  <c r="F59" i="8"/>
  <c r="F60" i="8" a="1"/>
  <c r="F60" i="8" s="1"/>
  <c r="F61" i="8" a="1"/>
  <c r="F61" i="8" s="1"/>
  <c r="F62" i="8" a="1"/>
  <c r="F62" i="8" s="1"/>
  <c r="F63" i="8" a="1"/>
  <c r="F63" i="8" s="1"/>
  <c r="F64" i="8" a="1"/>
  <c r="F64" i="8" s="1"/>
  <c r="F65" i="8" a="1"/>
  <c r="F65" i="8"/>
  <c r="F66" i="8" a="1"/>
  <c r="F66" i="8" s="1"/>
  <c r="F67" i="8" a="1"/>
  <c r="F67" i="8" s="1"/>
  <c r="F68" i="8" a="1"/>
  <c r="F68" i="8" s="1"/>
  <c r="F69" i="8" a="1"/>
  <c r="F69" i="8" s="1"/>
  <c r="F70" i="8" a="1"/>
  <c r="F70" i="8" s="1"/>
  <c r="F71" i="8" a="1"/>
  <c r="F71" i="8"/>
  <c r="F72" i="8" a="1"/>
  <c r="F72" i="8" s="1"/>
  <c r="F49" i="8" a="1"/>
  <c r="F49" i="8" s="1"/>
  <c r="F47" i="8"/>
  <c r="F43" i="8" a="1"/>
  <c r="F43" i="8" s="1"/>
  <c r="F44" i="8" a="1"/>
  <c r="F44" i="8" s="1"/>
  <c r="F45" i="8" a="1"/>
  <c r="F45" i="8" s="1"/>
  <c r="F42" i="8" a="1"/>
  <c r="F42" i="8" s="1"/>
  <c r="F40" i="8"/>
  <c r="F28" i="8" a="1"/>
  <c r="F28" i="8" s="1"/>
  <c r="F29" i="8" a="1"/>
  <c r="F29" i="8" s="1"/>
  <c r="F30" i="8" a="1"/>
  <c r="F30" i="8"/>
  <c r="F31" i="8" a="1"/>
  <c r="F31" i="8"/>
  <c r="F32" i="8" a="1"/>
  <c r="F32" i="8"/>
  <c r="F33" i="8" a="1"/>
  <c r="F33" i="8"/>
  <c r="F34" i="8" a="1"/>
  <c r="F34" i="8"/>
  <c r="F35" i="8" a="1"/>
  <c r="F35" i="8"/>
  <c r="F36" i="8" a="1"/>
  <c r="F36" i="8"/>
  <c r="F37" i="8" a="1"/>
  <c r="F37" i="8"/>
  <c r="F38" i="8" a="1"/>
  <c r="F38" i="8"/>
  <c r="F27" i="8" a="1"/>
  <c r="F27" i="8"/>
  <c r="F7" i="8"/>
  <c r="F3" i="8"/>
  <c r="A164" i="8" a="1"/>
  <c r="A164" i="8"/>
  <c r="A165" i="8" a="1"/>
  <c r="A165" i="8"/>
  <c r="A166" i="8" a="1"/>
  <c r="A166" i="8"/>
  <c r="A167" i="8" a="1"/>
  <c r="A167" i="8"/>
  <c r="A168" i="8" a="1"/>
  <c r="A168" i="8"/>
  <c r="A169" i="8" a="1"/>
  <c r="A169" i="8"/>
  <c r="A170" i="8" a="1"/>
  <c r="A170" i="8"/>
  <c r="A171" i="8" a="1"/>
  <c r="A171" i="8"/>
  <c r="A172" i="8" a="1"/>
  <c r="A172" i="8"/>
  <c r="A173" i="8" a="1"/>
  <c r="A173" i="8"/>
  <c r="A174" i="8" a="1"/>
  <c r="A174" i="8"/>
  <c r="A175" i="8" a="1"/>
  <c r="A175" i="8"/>
  <c r="A176" i="8" a="1"/>
  <c r="A176" i="8"/>
  <c r="A177" i="8" a="1"/>
  <c r="A177" i="8"/>
  <c r="A163" i="8" a="1"/>
  <c r="A163" i="8"/>
  <c r="A161" i="8"/>
  <c r="A94" i="8" a="1"/>
  <c r="A94" i="8" s="1"/>
  <c r="A95" i="8" a="1"/>
  <c r="A95" i="8" s="1"/>
  <c r="A96" i="8" a="1"/>
  <c r="A96" i="8" s="1"/>
  <c r="A97" i="8" a="1"/>
  <c r="A97" i="8" s="1"/>
  <c r="A98" i="8" a="1"/>
  <c r="A98" i="8"/>
  <c r="A99" i="8" a="1"/>
  <c r="A99" i="8" s="1"/>
  <c r="A100" i="8" a="1"/>
  <c r="A100" i="8" s="1"/>
  <c r="A101" i="8" a="1"/>
  <c r="A101" i="8" s="1"/>
  <c r="A102" i="8" a="1"/>
  <c r="A102" i="8"/>
  <c r="A103" i="8" a="1"/>
  <c r="A103" i="8" s="1"/>
  <c r="A104" i="8" a="1"/>
  <c r="A104" i="8" s="1"/>
  <c r="A105" i="8" a="1"/>
  <c r="A105" i="8" s="1"/>
  <c r="A106" i="8" a="1"/>
  <c r="A106" i="8" s="1"/>
  <c r="A107" i="8" a="1"/>
  <c r="A107" i="8" s="1"/>
  <c r="A108" i="8" a="1"/>
  <c r="A108" i="8"/>
  <c r="A109" i="8" a="1"/>
  <c r="A109" i="8" s="1"/>
  <c r="A110" i="8" a="1"/>
  <c r="A110" i="8" s="1"/>
  <c r="A111" i="8" a="1"/>
  <c r="A111" i="8" s="1"/>
  <c r="A112" i="8" a="1"/>
  <c r="A112" i="8" s="1"/>
  <c r="A113" i="8" a="1"/>
  <c r="A113" i="8" s="1"/>
  <c r="A114" i="8" a="1"/>
  <c r="A114" i="8"/>
  <c r="A115" i="8" a="1"/>
  <c r="A115" i="8" s="1"/>
  <c r="A116" i="8" a="1"/>
  <c r="A116" i="8" s="1"/>
  <c r="A117" i="8" a="1"/>
  <c r="A117" i="8" s="1"/>
  <c r="A118" i="8" a="1"/>
  <c r="A118" i="8"/>
  <c r="A119" i="8" a="1"/>
  <c r="A119" i="8" s="1"/>
  <c r="A120" i="8" a="1"/>
  <c r="A120" i="8" s="1"/>
  <c r="A121" i="8" a="1"/>
  <c r="A121" i="8" s="1"/>
  <c r="A122" i="8" a="1"/>
  <c r="A122" i="8" s="1"/>
  <c r="A123" i="8" a="1"/>
  <c r="A123" i="8" s="1"/>
  <c r="A124" i="8" a="1"/>
  <c r="A124" i="8"/>
  <c r="A125" i="8" a="1"/>
  <c r="A125" i="8" s="1"/>
  <c r="A126" i="8" a="1"/>
  <c r="A126" i="8" s="1"/>
  <c r="A127" i="8" a="1"/>
  <c r="A127" i="8" s="1"/>
  <c r="A128" i="8" a="1"/>
  <c r="A128" i="8" s="1"/>
  <c r="A129" i="8" a="1"/>
  <c r="A129" i="8" s="1"/>
  <c r="A130" i="8" a="1"/>
  <c r="A130" i="8"/>
  <c r="A131" i="8" a="1"/>
  <c r="A131" i="8" s="1"/>
  <c r="A132" i="8" a="1"/>
  <c r="A132" i="8" s="1"/>
  <c r="A133" i="8" a="1"/>
  <c r="A133" i="8" s="1"/>
  <c r="A134" i="8" a="1"/>
  <c r="A134" i="8"/>
  <c r="A135" i="8" a="1"/>
  <c r="A135" i="8" s="1"/>
  <c r="A136" i="8" a="1"/>
  <c r="A136" i="8" s="1"/>
  <c r="A137" i="8" a="1"/>
  <c r="A137" i="8" s="1"/>
  <c r="A138" i="8" a="1"/>
  <c r="A138" i="8" s="1"/>
  <c r="A139" i="8" a="1"/>
  <c r="A139" i="8" s="1"/>
  <c r="A140" i="8" a="1"/>
  <c r="A140" i="8"/>
  <c r="A141" i="8" a="1"/>
  <c r="A141" i="8" s="1"/>
  <c r="A142" i="8" a="1"/>
  <c r="A142" i="8" s="1"/>
  <c r="A143" i="8" a="1"/>
  <c r="A143" i="8" s="1"/>
  <c r="A144" i="8" a="1"/>
  <c r="A144" i="8" s="1"/>
  <c r="A145" i="8" a="1"/>
  <c r="A145" i="8" s="1"/>
  <c r="A146" i="8" a="1"/>
  <c r="A146" i="8"/>
  <c r="A147" i="8" a="1"/>
  <c r="A147" i="8" s="1"/>
  <c r="A148" i="8" a="1"/>
  <c r="A148" i="8" s="1"/>
  <c r="A149" i="8" a="1"/>
  <c r="A149" i="8" s="1"/>
  <c r="A150" i="8" a="1"/>
  <c r="A150" i="8"/>
  <c r="A151" i="8" a="1"/>
  <c r="A151" i="8" s="1"/>
  <c r="A152" i="8" a="1"/>
  <c r="A152" i="8" s="1"/>
  <c r="A153" i="8" a="1"/>
  <c r="A153" i="8" s="1"/>
  <c r="A154" i="8" a="1"/>
  <c r="A154" i="8" s="1"/>
  <c r="A155" i="8" a="1"/>
  <c r="A155" i="8" s="1"/>
  <c r="A156" i="8" a="1"/>
  <c r="A156" i="8"/>
  <c r="A157" i="8" a="1"/>
  <c r="A157" i="8" s="1"/>
  <c r="A158" i="8" a="1"/>
  <c r="A158" i="8" s="1"/>
  <c r="A159" i="8" a="1"/>
  <c r="A159" i="8" s="1"/>
  <c r="A86" i="8" a="1"/>
  <c r="A86" i="8" s="1"/>
  <c r="A87" i="8" a="1"/>
  <c r="A87" i="8" s="1"/>
  <c r="A88" i="8" a="1"/>
  <c r="A88" i="8"/>
  <c r="A89" i="8" a="1"/>
  <c r="A89" i="8" s="1"/>
  <c r="A90" i="8" a="1"/>
  <c r="A90" i="8" s="1"/>
  <c r="A91" i="8" a="1"/>
  <c r="A91" i="8" s="1"/>
  <c r="A92" i="8" a="1"/>
  <c r="A92" i="8"/>
  <c r="A93" i="8" a="1"/>
  <c r="A93" i="8" s="1"/>
  <c r="A85" i="8" a="1"/>
  <c r="A85" i="8" s="1"/>
  <c r="A83" i="8"/>
  <c r="A77" i="8" a="1"/>
  <c r="A77" i="8" s="1"/>
  <c r="A78" i="8" a="1"/>
  <c r="A78" i="8" s="1"/>
  <c r="A79" i="8" a="1"/>
  <c r="A79" i="8" s="1"/>
  <c r="A80" i="8" a="1"/>
  <c r="A80" i="8" s="1"/>
  <c r="A81" i="8" a="1"/>
  <c r="A81" i="8" s="1"/>
  <c r="A76" i="8" a="1"/>
  <c r="A76" i="8" s="1"/>
  <c r="A74" i="8"/>
  <c r="A50" i="8" a="1"/>
  <c r="A50" i="8" s="1"/>
  <c r="A51" i="8" a="1"/>
  <c r="A51" i="8" s="1"/>
  <c r="A52" i="8" a="1"/>
  <c r="A52" i="8"/>
  <c r="A53" i="8" a="1"/>
  <c r="A53" i="8" s="1"/>
  <c r="A54" i="8" a="1"/>
  <c r="A54" i="8" s="1"/>
  <c r="A55" i="8" a="1"/>
  <c r="A55" i="8" s="1"/>
  <c r="A56" i="8" a="1"/>
  <c r="A56" i="8"/>
  <c r="A57" i="8" a="1"/>
  <c r="A57" i="8" s="1"/>
  <c r="A58" i="8" a="1"/>
  <c r="A58" i="8" s="1"/>
  <c r="A59" i="8" a="1"/>
  <c r="A59" i="8" s="1"/>
  <c r="A60" i="8" a="1"/>
  <c r="A60" i="8" s="1"/>
  <c r="A61" i="8" a="1"/>
  <c r="A61" i="8" s="1"/>
  <c r="A62" i="8" a="1"/>
  <c r="A62" i="8"/>
  <c r="A63" i="8" a="1"/>
  <c r="A63" i="8" s="1"/>
  <c r="A64" i="8" a="1"/>
  <c r="A64" i="8" s="1"/>
  <c r="A65" i="8" a="1"/>
  <c r="A65" i="8" s="1"/>
  <c r="A66" i="8" a="1"/>
  <c r="A66" i="8" s="1"/>
  <c r="A67" i="8" a="1"/>
  <c r="A67" i="8" s="1"/>
  <c r="A68" i="8" a="1"/>
  <c r="A68" i="8"/>
  <c r="A69" i="8" a="1"/>
  <c r="A69" i="8" s="1"/>
  <c r="A70" i="8" a="1"/>
  <c r="A70" i="8" s="1"/>
  <c r="A71" i="8" a="1"/>
  <c r="A71" i="8" s="1"/>
  <c r="A72" i="8" a="1"/>
  <c r="A72" i="8"/>
  <c r="A49" i="8" a="1"/>
  <c r="A49" i="8" s="1"/>
  <c r="A47" i="8"/>
  <c r="A43" i="8" a="1"/>
  <c r="A43" i="8"/>
  <c r="A44" i="8" a="1"/>
  <c r="A44" i="8"/>
  <c r="A45" i="8" a="1"/>
  <c r="A45" i="8"/>
  <c r="A42" i="8" a="1"/>
  <c r="A42" i="8"/>
  <c r="A40" i="8"/>
  <c r="A28" i="8" a="1"/>
  <c r="A28" i="8" s="1"/>
  <c r="A29" i="8" a="1"/>
  <c r="A29" i="8"/>
  <c r="A30" i="8" a="1"/>
  <c r="A30" i="8" s="1"/>
  <c r="A31" i="8" a="1"/>
  <c r="A31" i="8" s="1"/>
  <c r="A32" i="8" a="1"/>
  <c r="A32" i="8" s="1"/>
  <c r="A33" i="8" a="1"/>
  <c r="A33" i="8"/>
  <c r="A34" i="8" a="1"/>
  <c r="A34" i="8" s="1"/>
  <c r="A35" i="8" a="1"/>
  <c r="A35" i="8" s="1"/>
  <c r="A36" i="8" a="1"/>
  <c r="A36" i="8" s="1"/>
  <c r="A37" i="8" a="1"/>
  <c r="A37" i="8" s="1"/>
  <c r="A38" i="8" a="1"/>
  <c r="A38" i="8" s="1"/>
  <c r="A27" i="8" a="1"/>
  <c r="A27" i="8"/>
  <c r="A25" i="8"/>
  <c r="A23" i="8" a="1"/>
  <c r="A23" i="8" s="1"/>
  <c r="A22" i="8" a="1"/>
  <c r="A22" i="8" s="1"/>
  <c r="A20" i="8"/>
  <c r="A18" i="8"/>
  <c r="A9" i="8"/>
  <c r="A7" i="8"/>
  <c r="A12" i="8" a="1"/>
  <c r="A12" i="8" s="1"/>
  <c r="A13" i="8" a="1"/>
  <c r="A13" i="8" s="1"/>
  <c r="A14" i="8" a="1"/>
  <c r="A14" i="8" s="1"/>
  <c r="A15" i="8" a="1"/>
  <c r="A15" i="8" s="1"/>
  <c r="A16" i="8" a="1"/>
  <c r="A16" i="8" s="1"/>
  <c r="A11" i="8" a="1"/>
  <c r="A11" i="8" s="1"/>
  <c r="F5" i="8"/>
  <c r="A5" i="8"/>
  <c r="A3" i="8"/>
  <c r="C5" i="2"/>
  <c r="C12" i="2"/>
  <c r="C11" i="2"/>
  <c r="C10" i="2"/>
  <c r="C9" i="2"/>
  <c r="C8" i="2"/>
  <c r="C7" i="2"/>
  <c r="C6" i="2"/>
  <c r="C4" i="2"/>
  <c r="C3" i="2"/>
  <c r="C11" i="3"/>
  <c r="C10" i="3"/>
  <c r="C9" i="3"/>
  <c r="C8" i="3"/>
  <c r="C2" i="2"/>
  <c r="B11" i="3"/>
  <c r="B10" i="3"/>
  <c r="B9" i="3"/>
  <c r="B8" i="3"/>
  <c r="C9" i="5"/>
  <c r="B5" i="5"/>
  <c r="B7" i="5"/>
  <c r="C7" i="5"/>
  <c r="C5" i="5"/>
  <c r="D5" i="5" s="1"/>
  <c r="C3" i="5"/>
  <c r="D3" i="5" s="1"/>
  <c r="U4" i="1"/>
  <c r="U2" i="1"/>
  <c r="U3" i="1"/>
  <c r="U5" i="1"/>
  <c r="U6" i="1"/>
  <c r="U8" i="1"/>
  <c r="U7" i="1"/>
  <c r="U16" i="1"/>
  <c r="U13" i="1"/>
  <c r="U11" i="1"/>
  <c r="U9" i="1"/>
  <c r="U10" i="1"/>
  <c r="U12" i="1"/>
  <c r="U15" i="1"/>
  <c r="U14" i="1"/>
  <c r="U17" i="1"/>
  <c r="U18" i="1"/>
  <c r="U21" i="1"/>
  <c r="U19" i="1"/>
  <c r="U20" i="1"/>
  <c r="U25" i="1"/>
  <c r="U22" i="1"/>
  <c r="U26" i="1"/>
  <c r="U23" i="1"/>
  <c r="U24" i="1"/>
  <c r="U27" i="1"/>
  <c r="U28" i="1"/>
  <c r="U29" i="1"/>
  <c r="U30" i="1"/>
  <c r="U33" i="1"/>
  <c r="U31" i="1"/>
  <c r="U32"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D7" i="5"/>
  <c r="B9" i="5"/>
  <c r="D9" i="5"/>
  <c r="G28" i="3" a="1"/>
  <c r="G28" i="3"/>
  <c r="K10" i="3" a="1"/>
  <c r="K10" i="3" s="1"/>
  <c r="S29" i="3" a="1"/>
  <c r="S29" i="3" s="1"/>
  <c r="G33" i="3" a="1"/>
  <c r="G33" i="3" s="1"/>
  <c r="K19" i="3" a="1"/>
  <c r="K19" i="3" s="1"/>
  <c r="K28" i="3" a="1"/>
  <c r="K28" i="3" s="1"/>
  <c r="O16" i="3" a="1"/>
  <c r="O16" i="3"/>
  <c r="S16" i="3" a="1"/>
  <c r="S16" i="3" s="1"/>
  <c r="S18" i="3" a="1"/>
  <c r="S18" i="3" s="1"/>
  <c r="S27" i="3" a="1"/>
  <c r="S27" i="3" s="1"/>
  <c r="G38" i="3" a="1"/>
  <c r="G38" i="3"/>
  <c r="K38" i="3" a="1"/>
  <c r="K38" i="3" s="1"/>
  <c r="G23" i="3" a="1"/>
  <c r="G23" i="3" s="1"/>
  <c r="K24" i="3" a="1"/>
  <c r="K24" i="3" s="1"/>
  <c r="O18" i="3" a="1"/>
  <c r="O18" i="3" s="1"/>
  <c r="S8" i="3" a="1"/>
  <c r="S8" i="3" s="1"/>
  <c r="S11" i="3" a="1"/>
  <c r="S11" i="3"/>
  <c r="S31" i="3" a="1"/>
  <c r="S31" i="3" s="1"/>
  <c r="K15" i="3" a="1"/>
  <c r="K15" i="3" s="1"/>
  <c r="K20" i="3" a="1"/>
  <c r="K20" i="3" s="1"/>
  <c r="K22" i="3" a="1"/>
  <c r="K22" i="3" s="1"/>
  <c r="S9" i="3" a="1"/>
  <c r="S9" i="3" s="1"/>
  <c r="S14" i="3" a="1"/>
  <c r="S14" i="3" s="1"/>
  <c r="S23" i="3" a="1"/>
  <c r="S23" i="3" s="1"/>
  <c r="S30" i="3" a="1"/>
  <c r="S30" i="3" s="1"/>
  <c r="K26" i="3" a="1"/>
  <c r="K26" i="3" s="1"/>
  <c r="O19" i="3" a="1"/>
  <c r="O19" i="3" s="1"/>
  <c r="S21" i="3" a="1"/>
  <c r="S21" i="3" s="1"/>
  <c r="S37" i="3" a="1"/>
  <c r="S37" i="3" s="1"/>
  <c r="G20" i="3" a="1"/>
  <c r="G20" i="3" s="1"/>
  <c r="G25" i="3" a="1"/>
  <c r="G25" i="3" s="1"/>
  <c r="G22" i="3" a="1"/>
  <c r="G22" i="3" s="1"/>
  <c r="G35" i="3" a="1"/>
  <c r="G35" i="3" s="1"/>
  <c r="G32" i="3" a="1"/>
  <c r="G32" i="3" s="1"/>
  <c r="K36" i="3" a="1"/>
  <c r="K36" i="3" s="1"/>
  <c r="G27" i="3" a="1"/>
  <c r="G27" i="3" s="1"/>
  <c r="G24" i="3" a="1"/>
  <c r="G24" i="3" s="1"/>
  <c r="G37" i="3" a="1"/>
  <c r="G37" i="3" s="1"/>
  <c r="G34" i="3" a="1"/>
  <c r="G34" i="3" s="1"/>
  <c r="K34" i="3" a="1"/>
  <c r="K34" i="3" s="1"/>
  <c r="S12" i="3" a="1"/>
  <c r="S12" i="3" s="1"/>
  <c r="S35" i="3" a="1"/>
  <c r="S35" i="3" s="1"/>
  <c r="G29" i="3" a="1"/>
  <c r="G29" i="3" s="1"/>
  <c r="G26" i="3" a="1"/>
  <c r="G26" i="3" s="1"/>
  <c r="G30" i="3" a="1"/>
  <c r="G30" i="3" s="1"/>
  <c r="G36" i="3" a="1"/>
  <c r="G36" i="3" s="1"/>
  <c r="K7" i="3" a="1"/>
  <c r="K7" i="3" s="1"/>
  <c r="K32" i="3" a="1"/>
  <c r="K32" i="3" s="1"/>
  <c r="S25" i="3" a="1"/>
  <c r="S25" i="3" s="1"/>
  <c r="S33" i="3" a="1"/>
  <c r="S33" i="3" s="1"/>
  <c r="G7" i="3" a="1"/>
  <c r="G7" i="3" s="1"/>
  <c r="G6" i="3" a="1"/>
  <c r="G6" i="3" s="1"/>
  <c r="G5" i="3" a="1"/>
  <c r="G5" i="3" s="1"/>
  <c r="O21" i="3" a="1"/>
  <c r="O21" i="3"/>
  <c r="O23" i="3" a="1"/>
  <c r="O23" i="3" s="1"/>
  <c r="O25" i="3" a="1"/>
  <c r="O25" i="3" s="1"/>
  <c r="O27" i="3" a="1"/>
  <c r="O27" i="3" s="1"/>
  <c r="O29" i="3" a="1"/>
  <c r="O29" i="3"/>
  <c r="O22" i="3" a="1"/>
  <c r="O22" i="3" s="1"/>
  <c r="O24" i="3" a="1"/>
  <c r="O24" i="3" s="1"/>
  <c r="O26" i="3" a="1"/>
  <c r="O26" i="3" s="1"/>
  <c r="O28" i="3" a="1"/>
  <c r="O28" i="3"/>
  <c r="O20" i="3" a="1"/>
  <c r="O20" i="3" s="1"/>
  <c r="G17" i="3" a="1"/>
  <c r="G17" i="3" s="1"/>
  <c r="G19" i="3" a="1"/>
  <c r="G19" i="3" s="1"/>
  <c r="G18" i="3" a="1"/>
  <c r="G18" i="3"/>
  <c r="G16" i="3" a="1"/>
  <c r="G16" i="3" s="1"/>
  <c r="O9" i="3" a="1"/>
  <c r="O9" i="3" s="1"/>
  <c r="O8" i="3" a="1"/>
  <c r="O8" i="3" s="1"/>
  <c r="O10" i="3" a="1"/>
  <c r="O10" i="3"/>
  <c r="O12" i="3" a="1"/>
  <c r="O12" i="3" s="1"/>
  <c r="O14" i="3" a="1"/>
  <c r="O14" i="3" s="1"/>
  <c r="O11" i="3" a="1"/>
  <c r="O11" i="3" s="1"/>
  <c r="O13" i="3" a="1"/>
  <c r="O13" i="3"/>
  <c r="O15" i="3" a="1"/>
  <c r="O15" i="3" s="1"/>
  <c r="G10" i="3" a="1"/>
  <c r="G10" i="3" s="1"/>
  <c r="G9" i="3" a="1"/>
  <c r="G9" i="3" s="1"/>
  <c r="G8" i="3" a="1"/>
  <c r="G8" i="3"/>
  <c r="G13" i="3" a="1"/>
  <c r="G13" i="3" s="1"/>
  <c r="G15" i="3" a="1"/>
  <c r="G15" i="3" s="1"/>
  <c r="G12" i="3" a="1"/>
  <c r="G12" i="3" s="1"/>
  <c r="G14" i="3" a="1"/>
  <c r="G14" i="3"/>
  <c r="G11" i="3" a="1"/>
  <c r="G11" i="3" s="1"/>
  <c r="O6" i="3" a="1"/>
  <c r="O6" i="3" s="1"/>
  <c r="O5" i="3" a="1"/>
  <c r="O5" i="3" s="1"/>
  <c r="O7" i="3" a="1"/>
  <c r="O7" i="3"/>
  <c r="O31" i="3" a="1"/>
  <c r="O31" i="3" s="1"/>
  <c r="O33" i="3" a="1"/>
  <c r="O33" i="3" s="1"/>
  <c r="O35" i="3" a="1"/>
  <c r="O35" i="3" s="1"/>
  <c r="O37" i="3" a="1"/>
  <c r="O37" i="3"/>
  <c r="O30" i="3" a="1"/>
  <c r="O30" i="3" s="1"/>
  <c r="O32" i="3" a="1"/>
  <c r="O32" i="3" s="1"/>
  <c r="O34" i="3" a="1"/>
  <c r="O34" i="3" s="1"/>
  <c r="O36" i="3" a="1"/>
  <c r="O36" i="3"/>
  <c r="O38" i="3" a="1"/>
  <c r="O38" i="3" s="1"/>
  <c r="K5" i="3" a="1"/>
  <c r="K5" i="3" s="1"/>
  <c r="K8" i="3" a="1"/>
  <c r="K8" i="3" s="1"/>
  <c r="K11" i="3" a="1"/>
  <c r="K11" i="3"/>
  <c r="K14" i="3" a="1"/>
  <c r="K14" i="3" s="1"/>
  <c r="K16" i="3" a="1"/>
  <c r="K16" i="3" s="1"/>
  <c r="K29" i="3" a="1"/>
  <c r="K29" i="3" s="1"/>
  <c r="K27" i="3" a="1"/>
  <c r="K27" i="3"/>
  <c r="K25" i="3" a="1"/>
  <c r="K25" i="3" s="1"/>
  <c r="K23" i="3" a="1"/>
  <c r="K23" i="3" s="1"/>
  <c r="K30" i="3" a="1"/>
  <c r="K30" i="3" s="1"/>
  <c r="K37" i="3" a="1"/>
  <c r="K37" i="3"/>
  <c r="K35" i="3" a="1"/>
  <c r="K35" i="3" s="1"/>
  <c r="K33" i="3" a="1"/>
  <c r="K33" i="3" s="1"/>
  <c r="S15" i="3" a="1"/>
  <c r="S15" i="3" s="1"/>
  <c r="S19" i="3" a="1"/>
  <c r="S19" i="3"/>
  <c r="S20" i="3" a="1"/>
  <c r="S20" i="3" s="1"/>
  <c r="S28" i="3" a="1"/>
  <c r="S28" i="3" s="1"/>
  <c r="S26" i="3" a="1"/>
  <c r="S26" i="3" s="1"/>
  <c r="S24" i="3" a="1"/>
  <c r="S24" i="3"/>
  <c r="S38" i="3" a="1"/>
  <c r="S38" i="3" s="1"/>
  <c r="S36" i="3" a="1"/>
  <c r="S36" i="3" s="1"/>
  <c r="S34" i="3" a="1"/>
  <c r="S34" i="3" s="1"/>
  <c r="K13" i="3" l="1" a="1"/>
  <c r="K13" i="3" s="1"/>
  <c r="K17" i="3" a="1"/>
  <c r="K17" i="3" s="1"/>
</calcChain>
</file>

<file path=xl/comments1.xml><?xml version="1.0" encoding="utf-8"?>
<comments xmlns="http://schemas.openxmlformats.org/spreadsheetml/2006/main">
  <authors>
    <author>Daniel Nelson</author>
  </authors>
  <commentList>
    <comment ref="C1" authorId="0" shapeId="0">
      <text>
        <r>
          <rPr>
            <b/>
            <sz val="9"/>
            <color indexed="81"/>
            <rFont val="Tahoma"/>
            <family val="2"/>
          </rPr>
          <t>After typing in the name of your branch, click on the column header 'A' and copy it, then paste it in the forums.</t>
        </r>
      </text>
    </comment>
    <comment ref="G1" authorId="0" shapeId="0">
      <text>
        <r>
          <rPr>
            <b/>
            <sz val="9"/>
            <color indexed="81"/>
            <rFont val="Tahoma"/>
            <family val="2"/>
          </rPr>
          <t>Select the branch you want to copy from the drop down box, then click on the Column 'F' Header so that it selects the whole column, then copy, and finally paste it on the forums page.</t>
        </r>
      </text>
    </comment>
  </commentList>
</comments>
</file>

<file path=xl/sharedStrings.xml><?xml version="1.0" encoding="utf-8"?>
<sst xmlns="http://schemas.openxmlformats.org/spreadsheetml/2006/main" count="140" uniqueCount="119">
  <si>
    <t>Gamertag</t>
  </si>
  <si>
    <t>Rank</t>
  </si>
  <si>
    <t>Last Promotion</t>
  </si>
  <si>
    <t>Promotion Eligibility</t>
  </si>
  <si>
    <t>Last Active</t>
  </si>
  <si>
    <t>Red Boxed</t>
  </si>
  <si>
    <t>Date Recruited</t>
  </si>
  <si>
    <t>Month Recruited</t>
  </si>
  <si>
    <t>Squad</t>
  </si>
  <si>
    <t>Wants to rank up?</t>
  </si>
  <si>
    <t>Registered on Forums</t>
  </si>
  <si>
    <t>Drama Policy</t>
  </si>
  <si>
    <t>Sgt's Oath</t>
  </si>
  <si>
    <t>LTS Completed</t>
  </si>
  <si>
    <t>CTS Completed</t>
  </si>
  <si>
    <t>Out of Uniform</t>
  </si>
  <si>
    <t>Members Recruited</t>
  </si>
  <si>
    <t>Speeches Given</t>
  </si>
  <si>
    <t>Practices Run</t>
  </si>
  <si>
    <t>Notes</t>
  </si>
  <si>
    <t>Activity Link</t>
  </si>
  <si>
    <t>MIA or Patriot?</t>
  </si>
  <si>
    <t>Recruited By:</t>
  </si>
  <si>
    <t>Approved By:</t>
  </si>
  <si>
    <t>Date of Birth</t>
  </si>
  <si>
    <t>Age</t>
  </si>
  <si>
    <t>Real Name</t>
  </si>
  <si>
    <t>Email Address</t>
  </si>
  <si>
    <t>Phone Number</t>
  </si>
  <si>
    <t>MISC</t>
  </si>
  <si>
    <t>Date Removed or Transferred</t>
  </si>
  <si>
    <t>Removal or Transfer</t>
  </si>
  <si>
    <t>Original Branch</t>
  </si>
  <si>
    <t>Removal Reason</t>
  </si>
  <si>
    <t>Removal Terms</t>
  </si>
  <si>
    <t>Removed From Tag</t>
  </si>
  <si>
    <t>Patriot?</t>
  </si>
  <si>
    <t>Input By:</t>
  </si>
  <si>
    <t>List of Squad Names:</t>
  </si>
  <si>
    <t>1 -</t>
  </si>
  <si>
    <t>2 -</t>
  </si>
  <si>
    <t># of</t>
  </si>
  <si>
    <t>GamerTag</t>
  </si>
  <si>
    <t>3 -</t>
  </si>
  <si>
    <t>4 -</t>
  </si>
  <si>
    <t>*Type your squad names in the yellow section and they will then populate throughout the rest of the appspot, if you change one of them here they will change everywhere.  ~~~  Don't touch anything else on this page as it is all autocalculated and autopopulated based on the information that you put in the "Manage Members" page.</t>
  </si>
  <si>
    <t>Tags:</t>
  </si>
  <si>
    <t>Member(s) Promoted:</t>
  </si>
  <si>
    <t>Member(s) Recruited:</t>
  </si>
  <si>
    <t>Member(s) Removed:</t>
  </si>
  <si>
    <t>Member(s) Transferred In:</t>
  </si>
  <si>
    <t>Member(s) Transferred Out:</t>
  </si>
  <si>
    <t>MISC Tags:</t>
  </si>
  <si>
    <t>Secondaries</t>
  </si>
  <si>
    <t>Members:</t>
  </si>
  <si>
    <r>
      <t xml:space="preserve">These summary tables are based on the </t>
    </r>
    <r>
      <rPr>
        <b/>
        <sz val="13"/>
        <color theme="1"/>
        <rFont val="Calibri"/>
        <family val="2"/>
        <scheme val="minor"/>
      </rPr>
      <t>current month</t>
    </r>
    <r>
      <rPr>
        <sz val="13"/>
        <color theme="1"/>
        <rFont val="Calibri"/>
        <family val="2"/>
        <scheme val="minor"/>
      </rPr>
      <t xml:space="preserve"> and are designed to help you (the Cmdr) with filling out your </t>
    </r>
    <r>
      <rPr>
        <i/>
        <sz val="13"/>
        <color theme="1"/>
        <rFont val="Calibri"/>
        <family val="2"/>
        <scheme val="minor"/>
      </rPr>
      <t>'Monthly Report'</t>
    </r>
    <r>
      <rPr>
        <sz val="13"/>
        <color theme="1"/>
        <rFont val="Calibri"/>
        <family val="2"/>
        <scheme val="minor"/>
      </rPr>
      <t xml:space="preserve"> so that at least this much information is consolidated into one place.  Make sure you do so before the 1st or the tables will go blank, and </t>
    </r>
    <r>
      <rPr>
        <b/>
        <sz val="13"/>
        <color theme="1"/>
        <rFont val="Calibri"/>
        <family val="2"/>
        <scheme val="minor"/>
      </rPr>
      <t>don't touch anything!!</t>
    </r>
  </si>
  <si>
    <t>Branch Name:</t>
  </si>
  <si>
    <t>*up to 6</t>
  </si>
  <si>
    <t>*up to 2</t>
  </si>
  <si>
    <t>*up to 12</t>
  </si>
  <si>
    <t>*up to 4</t>
  </si>
  <si>
    <t>*up to 24</t>
  </si>
  <si>
    <t>*up to 75</t>
  </si>
  <si>
    <t>*up to 15</t>
  </si>
  <si>
    <t>[/pre]</t>
  </si>
  <si>
    <t>Suggested</t>
  </si>
  <si>
    <t>Current</t>
  </si>
  <si>
    <t>Needed</t>
  </si>
  <si>
    <t>Size of branch and balanced # of Officers in order to be considered for a branch split</t>
  </si>
  <si>
    <r>
      <t xml:space="preserve">Branch as a whole (minus the </t>
    </r>
    <r>
      <rPr>
        <i/>
        <sz val="16"/>
        <color theme="1"/>
        <rFont val="Calibri"/>
        <family val="2"/>
        <scheme val="minor"/>
      </rPr>
      <t>'Commander',</t>
    </r>
    <r>
      <rPr>
        <sz val="16"/>
        <color theme="1"/>
        <rFont val="Calibri"/>
        <family val="2"/>
        <scheme val="minor"/>
      </rPr>
      <t xml:space="preserve"> </t>
    </r>
    <r>
      <rPr>
        <i/>
        <sz val="16"/>
        <color theme="1"/>
        <rFont val="Calibri"/>
        <family val="2"/>
        <scheme val="minor"/>
      </rPr>
      <t>'Misc.',</t>
    </r>
    <r>
      <rPr>
        <sz val="16"/>
        <color theme="1"/>
        <rFont val="Calibri"/>
        <family val="2"/>
        <scheme val="minor"/>
      </rPr>
      <t xml:space="preserve"> and </t>
    </r>
    <r>
      <rPr>
        <i/>
        <sz val="16"/>
        <color theme="1"/>
        <rFont val="Calibri"/>
        <family val="2"/>
        <scheme val="minor"/>
      </rPr>
      <t>'Secondary'</t>
    </r>
    <r>
      <rPr>
        <sz val="16"/>
        <color theme="1"/>
        <rFont val="Calibri"/>
        <family val="2"/>
        <scheme val="minor"/>
      </rPr>
      <t xml:space="preserve"> ranks)</t>
    </r>
  </si>
  <si>
    <t>6 - Lt.</t>
  </si>
  <si>
    <t>1 Lt. per 10 Members, up to 2 per squad, have a minimum of 3 months in this rank, complete the CTS Class, then you can begin your 'Commanders Runs' and be considered for promotion</t>
  </si>
  <si>
    <t>5 - MSgt.</t>
  </si>
  <si>
    <t>Training rank with a minimum of 1 week (and up to 2 months), have gained access and training on the appspot, and have completed the 'LTS Class' before being considered for promotion</t>
  </si>
  <si>
    <t>4 - Sgt.</t>
  </si>
  <si>
    <t>2 Sgt. per Lt., have a minimum of 3 weeks in this rank and must read and accept the 'Sgt.'s Oath' before being considered for promotion</t>
  </si>
  <si>
    <t>3 - Cpl.</t>
  </si>
  <si>
    <t>Training rank with a minimum of 2 weeks (and a up to 2 months), must host 1 event, and have publicly read 2 speeches (one of which has to have been to a new recruit) before being considered for promotion</t>
  </si>
  <si>
    <t>2 - Pvt.</t>
  </si>
  <si>
    <t>Standard rank for most members who just want to play the game; there is a 1 week minimum and familiarity with the CoC's before being considered for promotion</t>
  </si>
  <si>
    <t>1 - Rct.</t>
  </si>
  <si>
    <t>Probationary rank with a 1 week minimum and 2 week maximum whereby the potential member must play with us, register on the forums, then read and sign the 'Drama Policy'</t>
  </si>
  <si>
    <t>*The only thing that needs to be adjusted on this page is the grey box indicating the membership total goal, all of the other numbers are autocalculated based on that number.</t>
  </si>
  <si>
    <t>*When you have achieved the recommented numbers your "Needed" boxes will turn green and say "GTG" (Good to Go)</t>
  </si>
  <si>
    <t>List of Ranks</t>
  </si>
  <si>
    <t>Yes/No Answers</t>
  </si>
  <si>
    <t>Type of Transfer</t>
  </si>
  <si>
    <t>Tag Removal</t>
  </si>
  <si>
    <t>1 Rct</t>
  </si>
  <si>
    <t>MIA</t>
  </si>
  <si>
    <t>Yes</t>
  </si>
  <si>
    <t>Good</t>
  </si>
  <si>
    <t>Transfer In</t>
  </si>
  <si>
    <t>Removed</t>
  </si>
  <si>
    <t>2 Pvt</t>
  </si>
  <si>
    <t>Patriot</t>
  </si>
  <si>
    <t>No</t>
  </si>
  <si>
    <t>Bad</t>
  </si>
  <si>
    <t>Transfer Out</t>
  </si>
  <si>
    <t>Removed Self</t>
  </si>
  <si>
    <t>3 Cpl</t>
  </si>
  <si>
    <t>Both</t>
  </si>
  <si>
    <t>Neutral</t>
  </si>
  <si>
    <t>Removal</t>
  </si>
  <si>
    <t>Blocked</t>
  </si>
  <si>
    <t>4 Sgt</t>
  </si>
  <si>
    <t>N / A</t>
  </si>
  <si>
    <t>5 MSgt</t>
  </si>
  <si>
    <t>6 Lt</t>
  </si>
  <si>
    <t>7 Cmd</t>
  </si>
  <si>
    <t>Secondary</t>
  </si>
  <si>
    <t>Updated By: 
Name | Date</t>
  </si>
  <si>
    <t>Commanders (7):</t>
  </si>
  <si>
    <t>Lieutenants (6):</t>
  </si>
  <si>
    <t>Master Sergeants (5):</t>
  </si>
  <si>
    <t>Sergeants (4):</t>
  </si>
  <si>
    <t>Corporals (3):</t>
  </si>
  <si>
    <t>Privates (2):</t>
  </si>
  <si>
    <t>Recruits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</si>
</sst>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20"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11"/>
      <color rgb="FF000000"/>
      <name val="Calibri"/>
      <family val="2"/>
      <scheme val="minor"/>
    </font>
    <font>
      <b/>
      <u/>
      <sz val="14"/>
      <color theme="1"/>
      <name val="Calibri"/>
      <family val="2"/>
      <scheme val="minor"/>
    </font>
    <font>
      <b/>
      <sz val="16"/>
      <color theme="1"/>
      <name val="Calibri"/>
      <family val="2"/>
      <scheme val="minor"/>
    </font>
    <font>
      <b/>
      <i/>
      <sz val="16"/>
      <color theme="1"/>
      <name val="Bodoni MT"/>
      <family val="1"/>
    </font>
    <font>
      <b/>
      <sz val="9"/>
      <color indexed="81"/>
      <name val="Tahoma"/>
      <family val="2"/>
    </font>
    <font>
      <b/>
      <u/>
      <sz val="16"/>
      <color theme="1"/>
      <name val="Calibri"/>
      <family val="2"/>
      <scheme val="minor"/>
    </font>
    <font>
      <b/>
      <u/>
      <sz val="22"/>
      <color theme="1"/>
      <name val="Calibri"/>
      <family val="2"/>
      <scheme val="minor"/>
    </font>
    <font>
      <sz val="13"/>
      <color theme="1"/>
      <name val="Calibri"/>
      <family val="2"/>
      <scheme val="minor"/>
    </font>
    <font>
      <b/>
      <sz val="13"/>
      <color theme="1"/>
      <name val="Calibri"/>
      <family val="2"/>
      <scheme val="minor"/>
    </font>
    <font>
      <i/>
      <sz val="13"/>
      <color theme="1"/>
      <name val="Calibri"/>
      <family val="2"/>
      <scheme val="minor"/>
    </font>
    <font>
      <i/>
      <sz val="14"/>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i/>
      <sz val="16"/>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theme="8"/>
        <bgColor theme="8"/>
      </patternFill>
    </fill>
    <fill>
      <patternFill patternType="solid">
        <fgColor theme="2"/>
        <bgColor indexed="64"/>
      </patternFill>
    </fill>
    <fill>
      <patternFill patternType="solid">
        <fgColor theme="3" tint="0.79998168889431442"/>
        <bgColor indexed="64"/>
      </patternFill>
    </fill>
    <fill>
      <patternFill patternType="solid">
        <fgColor theme="0"/>
        <bgColor indexed="64"/>
      </patternFill>
    </fill>
    <fill>
      <patternFill patternType="solid">
        <fgColor theme="0"/>
        <bgColor theme="8" tint="0.79998168889431442"/>
      </patternFill>
    </fill>
    <fill>
      <patternFill patternType="solid">
        <fgColor rgb="FFFFFF00"/>
        <bgColor indexed="64"/>
      </patternFill>
    </fill>
    <fill>
      <patternFill patternType="solid">
        <fgColor rgb="FF92D050"/>
        <bgColor indexed="64"/>
      </patternFill>
    </fill>
  </fills>
  <borders count="23">
    <border>
      <left/>
      <right/>
      <top/>
      <bottom/>
      <diagonal/>
    </border>
    <border>
      <left/>
      <right/>
      <top style="thin">
        <color theme="8" tint="0.39997558519241921"/>
      </top>
      <bottom/>
      <diagonal/>
    </border>
    <border>
      <left/>
      <right/>
      <top/>
      <bottom style="double">
        <color auto="1"/>
      </bottom>
      <diagonal/>
    </border>
    <border>
      <left/>
      <right/>
      <top style="thin">
        <color auto="1"/>
      </top>
      <bottom/>
      <diagonal/>
    </border>
    <border>
      <left/>
      <right/>
      <top/>
      <bottom style="thin">
        <color auto="1"/>
      </bottom>
      <diagonal/>
    </border>
    <border>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medium">
        <color auto="1"/>
      </left>
      <right/>
      <top/>
      <bottom style="thin">
        <color auto="1"/>
      </bottom>
      <diagonal/>
    </border>
    <border>
      <left/>
      <right style="medium">
        <color auto="1"/>
      </right>
      <top/>
      <bottom style="thin">
        <color auto="1"/>
      </bottom>
      <diagonal/>
    </border>
    <border>
      <left/>
      <right style="thin">
        <color auto="1"/>
      </right>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s>
  <cellStyleXfs count="2">
    <xf numFmtId="0" fontId="0" fillId="0" borderId="0"/>
    <xf numFmtId="0" fontId="2" fillId="0" borderId="0" applyNumberFormat="0" applyFill="0" applyBorder="0" applyAlignment="0" applyProtection="0"/>
  </cellStyleXfs>
  <cellXfs count="149">
    <xf numFmtId="0" fontId="0" fillId="0" borderId="0" xfId="0"/>
    <xf numFmtId="0" fontId="0" fillId="0" borderId="0" xfId="0" applyAlignment="1">
      <alignment horizontal="center" vertical="center"/>
    </xf>
    <xf numFmtId="0" fontId="0" fillId="0" borderId="0" xfId="0" applyProtection="1">
      <protection hidden="1"/>
    </xf>
    <xf numFmtId="0" fontId="5" fillId="0" borderId="0" xfId="0" applyFont="1" applyAlignment="1">
      <alignment horizontal="center" vertical="center"/>
    </xf>
    <xf numFmtId="0" fontId="0" fillId="0" borderId="0" xfId="0" applyBorder="1" applyProtection="1">
      <protection hidden="1"/>
    </xf>
    <xf numFmtId="0" fontId="0" fillId="0" borderId="4" xfId="0" applyBorder="1" applyProtection="1">
      <protection hidden="1"/>
    </xf>
    <xf numFmtId="0" fontId="0" fillId="0" borderId="19" xfId="0" applyBorder="1" applyProtection="1">
      <protection hidden="1"/>
    </xf>
    <xf numFmtId="0" fontId="0" fillId="0" borderId="18" xfId="0" applyBorder="1" applyProtection="1">
      <protection hidden="1"/>
    </xf>
    <xf numFmtId="0" fontId="14" fillId="0" borderId="0" xfId="0" applyFont="1" applyProtection="1">
      <protection hidden="1"/>
    </xf>
    <xf numFmtId="0" fontId="15" fillId="0" borderId="4" xfId="0" applyFont="1" applyBorder="1" applyAlignment="1" applyProtection="1">
      <alignment horizontal="center" vertical="center"/>
      <protection hidden="1"/>
    </xf>
    <xf numFmtId="0" fontId="15" fillId="0" borderId="18" xfId="0" applyFont="1" applyBorder="1" applyAlignment="1" applyProtection="1">
      <alignment vertical="center"/>
      <protection hidden="1"/>
    </xf>
    <xf numFmtId="0" fontId="15" fillId="0" borderId="4" xfId="0" applyFont="1" applyBorder="1" applyAlignment="1" applyProtection="1">
      <alignment vertical="center"/>
      <protection hidden="1"/>
    </xf>
    <xf numFmtId="0" fontId="15" fillId="0" borderId="4" xfId="0" applyFont="1" applyBorder="1" applyAlignment="1" applyProtection="1">
      <protection hidden="1"/>
    </xf>
    <xf numFmtId="0" fontId="15" fillId="0" borderId="4" xfId="0" applyFont="1" applyBorder="1" applyProtection="1">
      <protection hidden="1"/>
    </xf>
    <xf numFmtId="0" fontId="16" fillId="0" borderId="0" xfId="0" applyFont="1" applyProtection="1">
      <protection hidden="1"/>
    </xf>
    <xf numFmtId="1" fontId="0" fillId="0" borderId="3" xfId="0" applyNumberFormat="1" applyBorder="1" applyAlignment="1" applyProtection="1">
      <alignment horizontal="center" vertical="center"/>
      <protection hidden="1"/>
    </xf>
    <xf numFmtId="1" fontId="0" fillId="0" borderId="4" xfId="0" applyNumberFormat="1" applyBorder="1" applyAlignment="1" applyProtection="1">
      <alignment horizontal="center" vertical="center"/>
      <protection hidden="1"/>
    </xf>
    <xf numFmtId="0" fontId="17" fillId="0" borderId="22" xfId="0" applyFont="1" applyBorder="1" applyAlignment="1" applyProtection="1">
      <alignment horizontal="left" vertical="center"/>
      <protection hidden="1"/>
    </xf>
    <xf numFmtId="0" fontId="17" fillId="0" borderId="3" xfId="0" applyFont="1" applyBorder="1" applyAlignment="1" applyProtection="1">
      <alignment horizontal="left" vertical="center"/>
      <protection hidden="1"/>
    </xf>
    <xf numFmtId="0" fontId="17" fillId="0" borderId="18" xfId="0" applyFont="1" applyBorder="1" applyAlignment="1" applyProtection="1">
      <alignment horizontal="left" vertical="center"/>
      <protection hidden="1"/>
    </xf>
    <xf numFmtId="0" fontId="17" fillId="0" borderId="4" xfId="0" applyFont="1" applyBorder="1" applyAlignment="1" applyProtection="1">
      <alignment horizontal="left" vertical="center"/>
      <protection hidden="1"/>
    </xf>
    <xf numFmtId="1" fontId="0" fillId="0" borderId="20" xfId="0" applyNumberFormat="1" applyBorder="1" applyAlignment="1" applyProtection="1">
      <alignment horizontal="center" vertical="center"/>
      <protection hidden="1"/>
    </xf>
    <xf numFmtId="1" fontId="0" fillId="0" borderId="21" xfId="0" applyNumberFormat="1" applyBorder="1" applyAlignment="1" applyProtection="1">
      <alignment horizontal="center" vertical="center"/>
      <protection hidden="1"/>
    </xf>
    <xf numFmtId="1" fontId="0" fillId="0" borderId="3" xfId="0" applyNumberFormat="1" applyBorder="1" applyAlignment="1" applyProtection="1">
      <alignment horizontal="center" vertical="center"/>
      <protection hidden="1"/>
    </xf>
    <xf numFmtId="1" fontId="0" fillId="0" borderId="4" xfId="0" applyNumberFormat="1" applyBorder="1" applyAlignment="1" applyProtection="1">
      <alignment horizontal="center" vertical="center"/>
      <protection hidden="1"/>
    </xf>
    <xf numFmtId="0" fontId="3" fillId="2" borderId="1" xfId="0" applyFont="1" applyFill="1" applyBorder="1" applyAlignment="1" applyProtection="1">
      <alignment horizontal="center" vertical="center" wrapText="1"/>
      <protection hidden="1"/>
    </xf>
    <xf numFmtId="14" fontId="3" fillId="2" borderId="1" xfId="0" applyNumberFormat="1" applyFont="1" applyFill="1" applyBorder="1" applyAlignment="1" applyProtection="1">
      <alignment horizontal="center" vertical="center" wrapText="1"/>
      <protection hidden="1"/>
    </xf>
    <xf numFmtId="14" fontId="3" fillId="2" borderId="0" xfId="0" applyNumberFormat="1" applyFont="1" applyFill="1" applyBorder="1" applyAlignment="1" applyProtection="1">
      <alignment horizontal="center" vertical="center" wrapText="1"/>
      <protection hidden="1"/>
    </xf>
    <xf numFmtId="0" fontId="3" fillId="2" borderId="1" xfId="0" applyNumberFormat="1" applyFont="1" applyFill="1" applyBorder="1" applyAlignment="1" applyProtection="1">
      <alignment horizontal="center" vertical="center" wrapText="1"/>
      <protection hidden="1"/>
    </xf>
    <xf numFmtId="14" fontId="0" fillId="0" borderId="0" xfId="0" applyNumberFormat="1" applyAlignment="1" applyProtection="1">
      <alignment horizontal="center" vertical="center" wrapText="1"/>
      <protection hidden="1"/>
    </xf>
    <xf numFmtId="0" fontId="3" fillId="2" borderId="0" xfId="0" applyFont="1" applyFill="1" applyAlignment="1" applyProtection="1">
      <alignment horizontal="center" vertical="center" wrapText="1"/>
      <protection hidden="1"/>
    </xf>
    <xf numFmtId="0" fontId="19" fillId="2" borderId="0" xfId="0" applyFont="1" applyFill="1" applyAlignment="1" applyProtection="1">
      <alignment horizontal="center" vertical="center" wrapText="1"/>
      <protection hidden="1"/>
    </xf>
    <xf numFmtId="164" fontId="19" fillId="2" borderId="0" xfId="0" applyNumberFormat="1" applyFont="1" applyFill="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horizontal="center" vertical="center"/>
      <protection hidden="1"/>
    </xf>
    <xf numFmtId="14" fontId="0" fillId="0" borderId="0" xfId="0" applyNumberFormat="1" applyAlignment="1" applyProtection="1">
      <alignment horizontal="center" vertical="center"/>
      <protection hidden="1"/>
    </xf>
    <xf numFmtId="0" fontId="0" fillId="0" borderId="0" xfId="0" applyBorder="1" applyAlignment="1" applyProtection="1">
      <alignment horizontal="center" vertical="center" wrapText="1"/>
      <protection hidden="1"/>
    </xf>
    <xf numFmtId="0" fontId="0" fillId="0" borderId="0" xfId="0" applyBorder="1" applyAlignment="1" applyProtection="1">
      <alignment horizontal="center" vertical="center"/>
      <protection hidden="1"/>
    </xf>
    <xf numFmtId="14" fontId="0" fillId="0" borderId="0" xfId="0" applyNumberFormat="1" applyBorder="1" applyAlignment="1" applyProtection="1">
      <alignment horizontal="center" vertical="center"/>
      <protection hidden="1"/>
    </xf>
    <xf numFmtId="0" fontId="0" fillId="0" borderId="0" xfId="0" applyNumberFormat="1" applyAlignment="1" applyProtection="1">
      <alignment horizontal="center" vertical="center"/>
      <protection hidden="1"/>
    </xf>
    <xf numFmtId="0" fontId="2" fillId="0" borderId="0" xfId="1" applyAlignment="1" applyProtection="1">
      <alignment horizontal="center" vertical="center"/>
      <protection hidden="1"/>
    </xf>
    <xf numFmtId="0" fontId="0" fillId="0" borderId="0" xfId="0" applyFill="1" applyAlignment="1" applyProtection="1">
      <alignment horizontal="center" vertical="center"/>
      <protection hidden="1"/>
    </xf>
    <xf numFmtId="0" fontId="0" fillId="0" borderId="0" xfId="0" applyNumberFormat="1" applyBorder="1" applyAlignment="1" applyProtection="1">
      <alignment horizontal="center" vertical="center"/>
      <protection hidden="1"/>
    </xf>
    <xf numFmtId="0" fontId="0" fillId="0" borderId="0" xfId="0" applyAlignment="1" applyProtection="1">
      <alignment horizontal="left" vertical="center" wrapText="1"/>
      <protection hidden="1"/>
    </xf>
    <xf numFmtId="0" fontId="0" fillId="0" borderId="0" xfId="0" applyAlignment="1" applyProtection="1">
      <alignment vertical="center" wrapText="1"/>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protection locked="0" hidden="1"/>
    </xf>
    <xf numFmtId="0" fontId="0" fillId="0" borderId="0" xfId="0" applyAlignment="1" applyProtection="1">
      <alignment horizontal="center" vertical="center"/>
      <protection locked="0" hidden="1"/>
    </xf>
    <xf numFmtId="14" fontId="0" fillId="0" borderId="0" xfId="0" applyNumberFormat="1" applyAlignment="1" applyProtection="1">
      <alignment horizontal="center" vertical="center"/>
      <protection locked="0" hidden="1"/>
    </xf>
    <xf numFmtId="0" fontId="0" fillId="0" borderId="0" xfId="0" applyNumberFormat="1" applyAlignment="1" applyProtection="1">
      <alignment horizontal="center" vertical="center"/>
      <protection locked="0" hidden="1"/>
    </xf>
    <xf numFmtId="0" fontId="0" fillId="0" borderId="0" xfId="0" applyFill="1" applyAlignment="1" applyProtection="1">
      <alignment horizontal="center" vertical="center"/>
      <protection locked="0" hidden="1"/>
    </xf>
    <xf numFmtId="164" fontId="0" fillId="0" borderId="0" xfId="0" applyNumberFormat="1" applyFill="1" applyAlignment="1" applyProtection="1">
      <alignment horizontal="center" vertical="center"/>
      <protection locked="0" hidden="1"/>
    </xf>
    <xf numFmtId="14" fontId="0" fillId="0" borderId="0" xfId="0" applyNumberFormat="1" applyFill="1" applyAlignment="1" applyProtection="1">
      <alignment horizontal="center" vertical="center"/>
      <protection locked="0" hidden="1"/>
    </xf>
    <xf numFmtId="0" fontId="0" fillId="0" borderId="0" xfId="0" applyNumberFormat="1" applyAlignment="1" applyProtection="1">
      <alignment horizontal="center" vertical="center" wrapText="1"/>
      <protection locked="0" hidden="1"/>
    </xf>
    <xf numFmtId="14" fontId="0" fillId="0" borderId="0" xfId="0" applyNumberFormat="1" applyAlignment="1" applyProtection="1">
      <alignment horizontal="center" vertical="center" wrapText="1"/>
      <protection locked="0" hidden="1"/>
    </xf>
    <xf numFmtId="0" fontId="0" fillId="0" borderId="0" xfId="0" applyAlignment="1" applyProtection="1">
      <alignment horizontal="left" vertical="center" wrapText="1"/>
      <protection locked="0" hidden="1"/>
    </xf>
    <xf numFmtId="0" fontId="0" fillId="0" borderId="0" xfId="0" applyAlignment="1" applyProtection="1">
      <alignment horizontal="center"/>
      <protection hidden="1"/>
    </xf>
    <xf numFmtId="0" fontId="9" fillId="4" borderId="6" xfId="0" applyFont="1" applyFill="1" applyBorder="1" applyAlignment="1" applyProtection="1">
      <alignment horizontal="center" vertical="center" wrapText="1"/>
      <protection hidden="1"/>
    </xf>
    <xf numFmtId="0" fontId="9" fillId="4" borderId="8" xfId="0" applyFont="1" applyFill="1" applyBorder="1" applyAlignment="1" applyProtection="1">
      <alignment horizontal="center" vertical="center" wrapText="1"/>
      <protection hidden="1"/>
    </xf>
    <xf numFmtId="0" fontId="6" fillId="0" borderId="0" xfId="0" applyFont="1" applyAlignment="1" applyProtection="1">
      <alignment horizontal="center" vertical="center" wrapText="1"/>
      <protection hidden="1"/>
    </xf>
    <xf numFmtId="0" fontId="10" fillId="4" borderId="6" xfId="0" applyFont="1" applyFill="1" applyBorder="1" applyAlignment="1" applyProtection="1">
      <alignment horizontal="center" vertical="center"/>
      <protection hidden="1"/>
    </xf>
    <xf numFmtId="0" fontId="10" fillId="4" borderId="7" xfId="0" applyFont="1" applyFill="1" applyBorder="1" applyAlignment="1" applyProtection="1">
      <alignment horizontal="center" vertical="center"/>
      <protection hidden="1"/>
    </xf>
    <xf numFmtId="0" fontId="10" fillId="4" borderId="8" xfId="0" applyFont="1" applyFill="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0" fillId="4" borderId="9" xfId="0" applyFill="1" applyBorder="1" applyAlignment="1" applyProtection="1">
      <alignment horizontal="right"/>
      <protection hidden="1"/>
    </xf>
    <xf numFmtId="0" fontId="0" fillId="0" borderId="0" xfId="0" applyAlignment="1" applyProtection="1">
      <alignment wrapText="1"/>
      <protection hidden="1"/>
    </xf>
    <xf numFmtId="0" fontId="10" fillId="4" borderId="9" xfId="0" applyFont="1" applyFill="1" applyBorder="1" applyAlignment="1" applyProtection="1">
      <alignment horizontal="center" vertical="center"/>
      <protection hidden="1"/>
    </xf>
    <xf numFmtId="0" fontId="10" fillId="4" borderId="0" xfId="0" applyFont="1" applyFill="1" applyBorder="1" applyAlignment="1" applyProtection="1">
      <alignment horizontal="center" vertical="center"/>
      <protection hidden="1"/>
    </xf>
    <xf numFmtId="0" fontId="10" fillId="4" borderId="10" xfId="0" applyFont="1" applyFill="1" applyBorder="1" applyAlignment="1" applyProtection="1">
      <alignment horizontal="center" vertical="center"/>
      <protection hidden="1"/>
    </xf>
    <xf numFmtId="49" fontId="1" fillId="5" borderId="9" xfId="0" applyNumberFormat="1" applyFont="1" applyFill="1" applyBorder="1" applyAlignment="1" applyProtection="1">
      <alignment horizontal="center"/>
      <protection hidden="1"/>
    </xf>
    <xf numFmtId="1" fontId="1" fillId="5" borderId="0" xfId="0" applyNumberFormat="1" applyFont="1" applyFill="1" applyBorder="1" applyAlignment="1" applyProtection="1">
      <alignment horizontal="center"/>
      <protection hidden="1"/>
    </xf>
    <xf numFmtId="0" fontId="1" fillId="5" borderId="16" xfId="0" applyFont="1" applyFill="1" applyBorder="1" applyAlignment="1" applyProtection="1">
      <alignment horizontal="center"/>
      <protection hidden="1"/>
    </xf>
    <xf numFmtId="49" fontId="1" fillId="0" borderId="9" xfId="0" applyNumberFormat="1" applyFont="1" applyBorder="1" applyAlignment="1" applyProtection="1">
      <alignment horizontal="center"/>
      <protection hidden="1"/>
    </xf>
    <xf numFmtId="1" fontId="1" fillId="0" borderId="0" xfId="0" applyNumberFormat="1" applyFont="1" applyBorder="1" applyAlignment="1" applyProtection="1">
      <alignment horizontal="center"/>
      <protection hidden="1"/>
    </xf>
    <xf numFmtId="49" fontId="1" fillId="0" borderId="15" xfId="0" applyNumberFormat="1" applyFont="1" applyBorder="1" applyAlignment="1" applyProtection="1">
      <alignment horizontal="center"/>
      <protection hidden="1"/>
    </xf>
    <xf numFmtId="1" fontId="1" fillId="0" borderId="4" xfId="0" applyNumberFormat="1" applyFont="1" applyBorder="1" applyAlignment="1" applyProtection="1">
      <alignment horizontal="center"/>
      <protection hidden="1"/>
    </xf>
    <xf numFmtId="0" fontId="1" fillId="0" borderId="14" xfId="0" applyNumberFormat="1" applyFont="1" applyBorder="1" applyAlignment="1" applyProtection="1">
      <alignment horizontal="center"/>
      <protection hidden="1"/>
    </xf>
    <xf numFmtId="0" fontId="0" fillId="0" borderId="10" xfId="0" applyBorder="1" applyAlignment="1" applyProtection="1">
      <alignment horizontal="center"/>
      <protection hidden="1"/>
    </xf>
    <xf numFmtId="0" fontId="0" fillId="4" borderId="11" xfId="0" applyFill="1" applyBorder="1" applyAlignment="1" applyProtection="1">
      <alignment horizontal="right"/>
      <protection hidden="1"/>
    </xf>
    <xf numFmtId="49" fontId="0" fillId="0" borderId="9" xfId="0" applyNumberFormat="1" applyBorder="1" applyAlignment="1" applyProtection="1">
      <alignment horizontal="center"/>
      <protection hidden="1"/>
    </xf>
    <xf numFmtId="1" fontId="0" fillId="0" borderId="0" xfId="0" applyNumberFormat="1" applyBorder="1" applyAlignment="1" applyProtection="1">
      <alignment horizontal="center" vertical="center"/>
      <protection hidden="1"/>
    </xf>
    <xf numFmtId="49" fontId="0" fillId="0" borderId="15" xfId="0" applyNumberFormat="1" applyBorder="1" applyAlignment="1" applyProtection="1">
      <alignment horizontal="center"/>
      <protection hidden="1"/>
    </xf>
    <xf numFmtId="0" fontId="0" fillId="0" borderId="16" xfId="0" applyBorder="1" applyAlignment="1" applyProtection="1">
      <alignment horizontal="center"/>
      <protection hidden="1"/>
    </xf>
    <xf numFmtId="0" fontId="0" fillId="0" borderId="17" xfId="0" applyFont="1" applyBorder="1" applyAlignment="1" applyProtection="1">
      <alignment horizontal="center" vertical="center"/>
      <protection hidden="1"/>
    </xf>
    <xf numFmtId="1" fontId="0" fillId="0" borderId="0" xfId="0" applyNumberFormat="1" applyBorder="1" applyProtection="1">
      <protection hidden="1"/>
    </xf>
    <xf numFmtId="0" fontId="11" fillId="8" borderId="6" xfId="0" applyFont="1" applyFill="1" applyBorder="1" applyAlignment="1" applyProtection="1">
      <alignment horizontal="center" vertical="center" wrapText="1"/>
      <protection hidden="1"/>
    </xf>
    <xf numFmtId="0" fontId="0" fillId="8" borderId="8" xfId="0" applyFill="1" applyBorder="1" applyAlignment="1" applyProtection="1">
      <alignment horizontal="center" vertical="center" wrapText="1"/>
      <protection hidden="1"/>
    </xf>
    <xf numFmtId="0" fontId="0" fillId="8" borderId="9" xfId="0" applyFill="1" applyBorder="1" applyAlignment="1" applyProtection="1">
      <alignment horizontal="center" vertical="center" wrapText="1"/>
      <protection hidden="1"/>
    </xf>
    <xf numFmtId="0" fontId="0" fillId="8" borderId="10" xfId="0" applyFill="1" applyBorder="1" applyAlignment="1" applyProtection="1">
      <alignment horizontal="center" vertical="center" wrapText="1"/>
      <protection hidden="1"/>
    </xf>
    <xf numFmtId="1" fontId="0" fillId="0" borderId="4" xfId="0" applyNumberFormat="1" applyBorder="1" applyProtection="1">
      <protection hidden="1"/>
    </xf>
    <xf numFmtId="0" fontId="0" fillId="8" borderId="11"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49" fontId="0" fillId="0" borderId="11" xfId="0" applyNumberFormat="1" applyBorder="1" applyAlignment="1" applyProtection="1">
      <alignment horizontal="center"/>
      <protection hidden="1"/>
    </xf>
    <xf numFmtId="1" fontId="0" fillId="0" borderId="12" xfId="0" applyNumberFormat="1" applyBorder="1" applyProtection="1">
      <protection hidden="1"/>
    </xf>
    <xf numFmtId="0" fontId="0" fillId="0" borderId="13" xfId="0" applyBorder="1" applyAlignment="1" applyProtection="1">
      <alignment horizontal="center"/>
      <protection hidden="1"/>
    </xf>
    <xf numFmtId="0" fontId="0" fillId="7" borderId="10" xfId="0" applyFill="1" applyBorder="1" applyAlignment="1" applyProtection="1">
      <alignment horizontal="center"/>
      <protection locked="0" hidden="1"/>
    </xf>
    <xf numFmtId="0" fontId="0" fillId="7" borderId="10" xfId="0" applyFill="1" applyBorder="1" applyAlignment="1" applyProtection="1">
      <alignment horizontal="center" wrapText="1"/>
      <protection locked="0" hidden="1"/>
    </xf>
    <xf numFmtId="0" fontId="0" fillId="7" borderId="13" xfId="0" applyFill="1" applyBorder="1" applyAlignment="1" applyProtection="1">
      <alignment horizontal="center" wrapText="1"/>
      <protection locked="0" hidden="1"/>
    </xf>
    <xf numFmtId="0" fontId="1" fillId="0" borderId="17" xfId="0" applyFont="1" applyBorder="1" applyAlignment="1" applyProtection="1">
      <alignment horizontal="center" vertical="center" wrapText="1"/>
      <protection hidden="1"/>
    </xf>
    <xf numFmtId="0" fontId="1" fillId="3" borderId="6" xfId="0" applyFont="1" applyFill="1" applyBorder="1" applyProtection="1">
      <protection hidden="1"/>
    </xf>
    <xf numFmtId="0" fontId="0" fillId="3" borderId="7" xfId="0" applyFill="1" applyBorder="1" applyProtection="1">
      <protection hidden="1"/>
    </xf>
    <xf numFmtId="0" fontId="0" fillId="3" borderId="8" xfId="0" applyFill="1" applyBorder="1" applyAlignment="1" applyProtection="1">
      <alignment horizontal="center" vertical="center"/>
      <protection hidden="1"/>
    </xf>
    <xf numFmtId="0" fontId="1" fillId="3" borderId="6" xfId="0" applyFont="1" applyFill="1" applyBorder="1" applyAlignment="1" applyProtection="1">
      <alignment horizontal="left" vertical="center"/>
      <protection hidden="1"/>
    </xf>
    <xf numFmtId="0" fontId="0" fillId="0" borderId="0" xfId="0" applyNumberFormat="1" applyProtection="1">
      <protection hidden="1"/>
    </xf>
    <xf numFmtId="0" fontId="0" fillId="0" borderId="9" xfId="0" applyBorder="1" applyProtection="1">
      <protection hidden="1"/>
    </xf>
    <xf numFmtId="0" fontId="0" fillId="0" borderId="10" xfId="0" applyBorder="1" applyProtection="1">
      <protection hidden="1"/>
    </xf>
    <xf numFmtId="0" fontId="1" fillId="0" borderId="9" xfId="0" applyFont="1" applyBorder="1" applyAlignment="1" applyProtection="1">
      <alignment horizontal="center" vertical="center" wrapText="1"/>
      <protection hidden="1"/>
    </xf>
    <xf numFmtId="0" fontId="0" fillId="0" borderId="0" xfId="0" applyAlignment="1" applyProtection="1">
      <alignment horizontal="left"/>
      <protection hidden="1"/>
    </xf>
    <xf numFmtId="0" fontId="1" fillId="0" borderId="0" xfId="0" applyFont="1" applyAlignment="1" applyProtection="1">
      <alignment horizontal="center" vertical="center" wrapText="1"/>
      <protection hidden="1"/>
    </xf>
    <xf numFmtId="0" fontId="4" fillId="0" borderId="0" xfId="0" applyFont="1" applyProtection="1">
      <protection hidden="1"/>
    </xf>
    <xf numFmtId="0" fontId="11" fillId="8" borderId="8" xfId="0" applyFont="1" applyFill="1" applyBorder="1" applyAlignment="1" applyProtection="1">
      <alignment horizontal="center" vertical="center" wrapText="1"/>
      <protection hidden="1"/>
    </xf>
    <xf numFmtId="0" fontId="11" fillId="8" borderId="9" xfId="0" applyFont="1" applyFill="1" applyBorder="1" applyAlignment="1" applyProtection="1">
      <alignment horizontal="center" vertical="center" wrapText="1"/>
      <protection hidden="1"/>
    </xf>
    <xf numFmtId="0" fontId="11" fillId="8" borderId="10" xfId="0" applyFont="1" applyFill="1" applyBorder="1" applyAlignment="1" applyProtection="1">
      <alignment horizontal="center" vertical="center" wrapText="1"/>
      <protection hidden="1"/>
    </xf>
    <xf numFmtId="0" fontId="11" fillId="8" borderId="11" xfId="0" applyFont="1" applyFill="1" applyBorder="1" applyAlignment="1" applyProtection="1">
      <alignment horizontal="center" vertical="center" wrapText="1"/>
      <protection hidden="1"/>
    </xf>
    <xf numFmtId="0" fontId="11" fillId="8" borderId="13" xfId="0" applyFont="1" applyFill="1" applyBorder="1" applyAlignment="1" applyProtection="1">
      <alignment horizontal="center" vertical="center" wrapText="1"/>
      <protection hidden="1"/>
    </xf>
    <xf numFmtId="0" fontId="0" fillId="0" borderId="11" xfId="0" applyBorder="1" applyProtection="1">
      <protection hidden="1"/>
    </xf>
    <xf numFmtId="0" fontId="0" fillId="0" borderId="12" xfId="0" applyBorder="1" applyProtection="1">
      <protection hidden="1"/>
    </xf>
    <xf numFmtId="0" fontId="0" fillId="0" borderId="13" xfId="0" applyBorder="1" applyProtection="1">
      <protection hidden="1"/>
    </xf>
    <xf numFmtId="0" fontId="3" fillId="2" borderId="0" xfId="0" applyNumberFormat="1" applyFont="1" applyFill="1" applyBorder="1" applyAlignment="1" applyProtection="1">
      <alignment horizontal="center" vertical="center" wrapText="1"/>
      <protection hidden="1"/>
    </xf>
    <xf numFmtId="0" fontId="3" fillId="2" borderId="0" xfId="0" applyNumberFormat="1" applyFont="1" applyFill="1" applyAlignment="1" applyProtection="1">
      <alignment horizontal="center" vertical="center" wrapText="1"/>
      <protection hidden="1"/>
    </xf>
    <xf numFmtId="0" fontId="0" fillId="5" borderId="0" xfId="0" applyFill="1" applyProtection="1">
      <protection hidden="1"/>
    </xf>
    <xf numFmtId="0" fontId="0" fillId="0" borderId="0" xfId="0" applyNumberFormat="1" applyAlignment="1" applyProtection="1">
      <alignment vertical="center"/>
      <protection locked="0" hidden="1"/>
    </xf>
    <xf numFmtId="0" fontId="0" fillId="0" borderId="1" xfId="0" applyNumberFormat="1" applyFont="1" applyBorder="1" applyAlignment="1" applyProtection="1">
      <alignment horizontal="center" vertical="center" wrapText="1"/>
      <protection locked="0" hidden="1"/>
    </xf>
    <xf numFmtId="14" fontId="0" fillId="0" borderId="1" xfId="0" applyNumberFormat="1" applyFont="1" applyBorder="1" applyAlignment="1" applyProtection="1">
      <alignment horizontal="center" vertical="center" wrapText="1"/>
      <protection locked="0" hidden="1"/>
    </xf>
    <xf numFmtId="0" fontId="0" fillId="0" borderId="1" xfId="0" applyNumberFormat="1" applyFont="1" applyBorder="1" applyAlignment="1" applyProtection="1">
      <alignment horizontal="center" vertical="center"/>
      <protection locked="0" hidden="1"/>
    </xf>
    <xf numFmtId="0" fontId="0" fillId="0" borderId="0" xfId="0" applyNumberFormat="1" applyFont="1" applyBorder="1" applyAlignment="1" applyProtection="1">
      <alignment horizontal="center" vertical="center" wrapText="1"/>
      <protection locked="0" hidden="1"/>
    </xf>
    <xf numFmtId="0" fontId="0" fillId="5" borderId="0" xfId="0" applyNumberFormat="1" applyFill="1" applyAlignment="1" applyProtection="1">
      <alignment vertical="center"/>
      <protection locked="0" hidden="1"/>
    </xf>
    <xf numFmtId="0" fontId="0" fillId="5" borderId="0" xfId="0" applyNumberFormat="1" applyFill="1" applyAlignment="1" applyProtection="1">
      <alignment horizontal="center" vertical="center"/>
      <protection locked="0" hidden="1"/>
    </xf>
    <xf numFmtId="14" fontId="0" fillId="5" borderId="0" xfId="0" applyNumberFormat="1" applyFill="1" applyAlignment="1" applyProtection="1">
      <alignment horizontal="center" vertical="center"/>
      <protection locked="0" hidden="1"/>
    </xf>
    <xf numFmtId="14" fontId="0" fillId="5" borderId="1" xfId="0" applyNumberFormat="1" applyFont="1" applyFill="1" applyBorder="1" applyAlignment="1" applyProtection="1">
      <alignment horizontal="center" vertical="center" wrapText="1"/>
      <protection locked="0" hidden="1"/>
    </xf>
    <xf numFmtId="0" fontId="0" fillId="5" borderId="1" xfId="0" applyNumberFormat="1" applyFont="1" applyFill="1" applyBorder="1" applyAlignment="1" applyProtection="1">
      <alignment horizontal="center" vertical="center" wrapText="1"/>
      <protection locked="0" hidden="1"/>
    </xf>
    <xf numFmtId="0" fontId="0" fillId="6" borderId="1" xfId="0" applyNumberFormat="1" applyFont="1" applyFill="1" applyBorder="1" applyAlignment="1" applyProtection="1">
      <alignment horizontal="center" vertical="center" wrapText="1"/>
      <protection locked="0" hidden="1"/>
    </xf>
    <xf numFmtId="0" fontId="0" fillId="6" borderId="1" xfId="0" applyNumberFormat="1" applyFont="1" applyFill="1" applyBorder="1" applyAlignment="1" applyProtection="1">
      <alignment horizontal="center" vertical="center"/>
      <protection locked="0" hidden="1"/>
    </xf>
    <xf numFmtId="14" fontId="0" fillId="6" borderId="1" xfId="0" applyNumberFormat="1" applyFont="1" applyFill="1" applyBorder="1" applyAlignment="1" applyProtection="1">
      <alignment horizontal="center" vertical="center" wrapText="1"/>
      <protection locked="0" hidden="1"/>
    </xf>
    <xf numFmtId="0" fontId="0" fillId="5" borderId="0" xfId="0" applyNumberFormat="1" applyFont="1" applyFill="1" applyBorder="1" applyAlignment="1" applyProtection="1">
      <alignment horizontal="center" vertical="center" wrapText="1"/>
      <protection locked="0" hidden="1"/>
    </xf>
    <xf numFmtId="0" fontId="0" fillId="0" borderId="0" xfId="0" applyAlignment="1" applyProtection="1">
      <alignment horizontal="right" vertical="center"/>
      <protection hidden="1"/>
    </xf>
    <xf numFmtId="0" fontId="0" fillId="0" borderId="19"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0" fillId="0" borderId="0" xfId="0" applyAlignment="1" applyProtection="1">
      <alignment horizontal="left" vertical="center"/>
      <protection hidden="1"/>
    </xf>
    <xf numFmtId="0" fontId="0" fillId="0" borderId="4" xfId="0" applyBorder="1" applyAlignment="1" applyProtection="1">
      <alignment vertical="center"/>
      <protection hidden="1"/>
    </xf>
    <xf numFmtId="0" fontId="0" fillId="0" borderId="19" xfId="0" applyBorder="1" applyAlignment="1" applyProtection="1">
      <alignment vertical="center"/>
      <protection hidden="1"/>
    </xf>
    <xf numFmtId="14" fontId="0" fillId="0" borderId="0" xfId="0" applyNumberFormat="1" applyAlignment="1" applyProtection="1">
      <alignment vertical="center"/>
      <protection hidden="1"/>
    </xf>
    <xf numFmtId="14" fontId="0" fillId="0" borderId="19"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7" borderId="2" xfId="0" applyFill="1" applyBorder="1" applyAlignment="1" applyProtection="1">
      <alignment horizontal="center" vertical="center"/>
      <protection locked="0" hidden="1"/>
    </xf>
    <xf numFmtId="0" fontId="7" fillId="7" borderId="5" xfId="0" applyFont="1" applyFill="1" applyBorder="1" applyAlignment="1" applyProtection="1">
      <alignment horizontal="center" vertical="center"/>
      <protection locked="0" hidden="1"/>
    </xf>
    <xf numFmtId="1" fontId="0" fillId="3" borderId="3" xfId="0" applyNumberFormat="1" applyFill="1" applyBorder="1" applyAlignment="1" applyProtection="1">
      <alignment horizontal="center" vertical="center"/>
      <protection locked="0" hidden="1"/>
    </xf>
    <xf numFmtId="1" fontId="0" fillId="3" borderId="4" xfId="0" applyNumberFormat="1" applyFill="1" applyBorder="1" applyAlignment="1" applyProtection="1">
      <alignment horizontal="center" vertical="center"/>
      <protection locked="0" hidden="1"/>
    </xf>
  </cellXfs>
  <cellStyles count="2">
    <cellStyle name="Hyperlink" xfId="1" builtinId="8"/>
    <cellStyle name="Normal" xfId="0" builtinId="0"/>
  </cellStyles>
  <dxfs count="98">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19" formatCode="m/d/yyyy"/>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vertical/>
        <horizontal/>
      </border>
      <protection locked="0" hidden="1"/>
    </dxf>
    <dxf>
      <font>
        <b val="0"/>
        <i val="0"/>
        <strike val="0"/>
        <condense val="0"/>
        <extend val="0"/>
        <outline val="0"/>
        <shadow val="0"/>
        <u val="none"/>
        <vertAlign val="baseline"/>
        <sz val="11"/>
        <color theme="1"/>
        <name val="Calibri"/>
        <scheme val="minor"/>
      </font>
      <numFmt numFmtId="19" formatCode="m/d/yyyy"/>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19" formatCode="m/d/yyyy"/>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19" formatCode="m/d/yyyy"/>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left/>
        <right/>
        <top style="thin">
          <color theme="8" tint="0.39997558519241921"/>
        </top>
        <bottom/>
      </border>
      <protection locked="0" hidden="1"/>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right/>
        <top style="thin">
          <color theme="8" tint="0.39997558519241921"/>
        </top>
        <bottom/>
      </border>
      <protection locked="0" hidden="1"/>
    </dxf>
    <dxf>
      <font>
        <b/>
        <i val="0"/>
        <strike val="0"/>
        <condense val="0"/>
        <extend val="0"/>
        <outline val="0"/>
        <shadow val="0"/>
        <u val="none"/>
        <vertAlign val="baseline"/>
        <sz val="11"/>
        <color theme="0"/>
        <name val="Calibri"/>
        <scheme val="minor"/>
      </font>
      <numFmt numFmtId="0" formatCode="General"/>
      <fill>
        <patternFill patternType="solid">
          <fgColor theme="8"/>
          <bgColor theme="8"/>
        </patternFill>
      </fill>
      <alignment horizontal="center" vertical="center" textRotation="0" wrapText="1" indent="0" justifyLastLine="0" shrinkToFit="0" readingOrder="0"/>
      <protection locked="1" hidden="1"/>
    </dxf>
    <dxf>
      <numFmt numFmtId="0" formatCode="General"/>
      <alignment horizontal="center" vertical="center" textRotation="0" indent="0" justifyLastLine="0" shrinkToFit="0" readingOrder="0"/>
      <protection locked="1" hidden="1"/>
    </dxf>
    <dxf>
      <numFmt numFmtId="0" formatCode="General"/>
      <alignment horizontal="center" vertical="center"/>
      <protection locked="1" hidden="1"/>
    </dxf>
    <dxf>
      <numFmt numFmtId="164" formatCode="[&lt;=9999999]###\-####;\(###\)\ ###\-####"/>
      <alignment horizontal="center" vertical="center"/>
      <protection locked="0" hidden="1"/>
    </dxf>
    <dxf>
      <alignment horizontal="center" vertical="center"/>
      <protection locked="0" hidden="1"/>
    </dxf>
    <dxf>
      <alignment horizontal="center" vertical="center"/>
      <protection locked="0" hidden="1"/>
    </dxf>
    <dxf>
      <alignment horizontal="center" vertical="center"/>
      <protection locked="0" hidden="1"/>
    </dxf>
    <dxf>
      <alignment horizontal="center" vertical="center"/>
      <protection locked="0" hidden="1"/>
    </dxf>
    <dxf>
      <alignment horizontal="center" vertical="center"/>
      <protection locked="0" hidden="1"/>
    </dxf>
    <dxf>
      <numFmt numFmtId="165" formatCode="m/d/yy"/>
      <alignment horizontal="center" vertical="center"/>
      <protection locked="0" hidden="1"/>
    </dxf>
    <dxf>
      <alignment horizontal="center" vertical="center"/>
      <protection locked="0" hidden="1"/>
    </dxf>
    <dxf>
      <alignment horizontal="left" vertical="center" textRotation="0" wrapText="1" indent="0" justifyLastLine="0" shrinkToFit="0" readingOrder="0"/>
      <protection locked="0" hidden="1"/>
    </dxf>
    <dxf>
      <alignment horizontal="center" vertical="center"/>
      <protection locked="0" hidden="1"/>
    </dxf>
    <dxf>
      <alignment horizontal="center" vertical="center"/>
      <protection locked="0" hidden="1"/>
    </dxf>
    <dxf>
      <numFmt numFmtId="19" formatCode="m/d/yyyy"/>
      <alignment horizontal="center" vertical="center" textRotation="0" wrapText="0" indent="0" justifyLastLine="0" shrinkToFit="0" readingOrder="0"/>
      <protection locked="0" hidden="1"/>
    </dxf>
    <dxf>
      <numFmt numFmtId="19" formatCode="m/d/yyyy"/>
      <alignment horizontal="center" vertical="center" textRotation="0" wrapText="0" indent="0" justifyLastLine="0" shrinkToFit="0" readingOrder="0"/>
      <protection locked="0" hidden="1"/>
    </dxf>
    <dxf>
      <numFmt numFmtId="165" formatCode="m/d/yy"/>
      <alignment horizontal="center" vertical="center" textRotation="0" wrapText="1" indent="0" justifyLastLine="0" shrinkToFit="0" readingOrder="0"/>
      <protection locked="0" hidden="1"/>
    </dxf>
    <dxf>
      <numFmt numFmtId="165" formatCode="m/d/yy"/>
      <alignment horizontal="center" vertical="center" textRotation="0" wrapText="1" indent="0" justifyLastLine="0" shrinkToFit="0" readingOrder="0"/>
      <protection locked="0" hidden="1"/>
    </dxf>
    <dxf>
      <numFmt numFmtId="0" formatCode="General"/>
      <alignment horizontal="center" vertical="center" textRotation="0" wrapText="1" indent="0" justifyLastLine="0" shrinkToFit="0" readingOrder="0"/>
      <protection locked="0" hidden="1"/>
    </dxf>
    <dxf>
      <numFmt numFmtId="0" formatCode="General"/>
      <alignment horizontal="center" vertical="center" textRotation="0" wrapText="1" indent="0" justifyLastLine="0" shrinkToFit="0" readingOrder="0"/>
      <protection locked="0" hidden="1"/>
    </dxf>
    <dxf>
      <numFmt numFmtId="0" formatCode="General"/>
      <alignment horizontal="center" vertical="center" textRotation="0" wrapText="0" indent="0" justifyLastLine="0" shrinkToFit="0" readingOrder="0"/>
      <protection locked="0" hidden="1"/>
    </dxf>
    <dxf>
      <alignment horizontal="center" vertical="center"/>
      <protection locked="0" hidden="1"/>
    </dxf>
    <dxf>
      <alignment horizontal="center" vertical="center"/>
      <protection locked="0" hidden="1"/>
    </dxf>
    <dxf>
      <numFmt numFmtId="165" formatCode="m/d/yy"/>
      <alignment horizontal="center" vertical="center"/>
      <protection locked="0" hidden="1"/>
    </dxf>
    <dxf>
      <numFmt numFmtId="0" formatCode="General"/>
      <alignment horizontal="center" vertical="center" textRotation="0" wrapText="1" indent="0" justifyLastLine="0" shrinkToFit="0" readingOrder="0"/>
      <protection locked="1" hidden="1"/>
    </dxf>
    <dxf>
      <numFmt numFmtId="165" formatCode="m/d/yy"/>
      <alignment horizontal="center" vertical="center"/>
      <protection locked="0" hidden="1"/>
    </dxf>
    <dxf>
      <numFmt numFmtId="19" formatCode="m/d/yyyy"/>
      <alignment horizontal="center" vertical="center"/>
      <protection locked="0" hidden="1"/>
    </dxf>
    <dxf>
      <alignment horizontal="center" vertical="center"/>
      <protection locked="0" hidden="1"/>
    </dxf>
    <dxf>
      <alignment vertical="center"/>
      <protection locked="0" hidden="1"/>
    </dxf>
    <dxf>
      <protection locked="1" hidden="1"/>
    </dxf>
    <dxf>
      <font>
        <b/>
        <i val="0"/>
        <strike val="0"/>
        <condense val="0"/>
        <extend val="0"/>
        <outline val="0"/>
        <shadow val="0"/>
        <u val="none"/>
        <vertAlign val="baseline"/>
        <sz val="11"/>
        <color theme="0"/>
        <name val="Calibri"/>
        <scheme val="minor"/>
      </font>
      <fill>
        <patternFill patternType="solid">
          <fgColor theme="8"/>
          <bgColor theme="8"/>
        </patternFill>
      </fill>
      <alignment horizontal="center" vertical="center" textRotation="0" wrapText="1" indent="0" justifyLastLine="0" shrinkToFit="0" readingOrder="0"/>
      <protection locked="1" hidden="1"/>
    </dxf>
    <dxf>
      <numFmt numFmtId="19" formatCode="m/d/yyyy"/>
      <alignment horizontal="center" vertical="center" textRotation="0" wrapText="0" indent="0" justifyLastLine="0" shrinkToFit="0" readingOrder="0"/>
      <protection locked="1" hidden="1"/>
    </dxf>
    <dxf>
      <numFmt numFmtId="0" formatCode="General"/>
      <alignment horizontal="center" vertical="center" textRotation="0" wrapText="0" indent="0" justifyLastLine="0" shrinkToFit="0" readingOrder="0"/>
      <protection locked="1" hidden="1"/>
    </dxf>
    <dxf>
      <fill>
        <patternFill>
          <bgColor rgb="FF92D050"/>
        </patternFill>
      </fill>
    </dxf>
    <dxf>
      <fill>
        <patternFill>
          <bgColor rgb="FF92D050"/>
        </patternFill>
      </fill>
    </dxf>
    <dxf>
      <border outline="0">
        <left style="thin">
          <color theme="8" tint="0.39997558519241921"/>
        </left>
        <right style="thin">
          <color theme="8" tint="0.39997558519241921"/>
        </right>
        <top style="thin">
          <color theme="8" tint="0.39997558519241921"/>
        </top>
        <bottom style="thin">
          <color theme="8" tint="0.39997558519241921"/>
        </bottom>
      </border>
    </dxf>
    <dxf>
      <font>
        <color theme="0"/>
      </font>
      <fill>
        <patternFill>
          <fgColor auto="1"/>
          <bgColor theme="1"/>
        </patternFill>
      </fill>
    </dxf>
    <dxf>
      <font>
        <color theme="0"/>
      </font>
      <fill>
        <patternFill>
          <bgColor theme="1"/>
        </patternFill>
      </fill>
    </dxf>
    <dxf>
      <font>
        <color theme="0"/>
      </font>
      <fill>
        <patternFill>
          <bgColor theme="1" tint="0.24994659260841701"/>
        </patternFill>
      </fill>
    </dxf>
    <dxf>
      <font>
        <color theme="0"/>
      </font>
      <fill>
        <patternFill>
          <bgColor theme="1" tint="0.34998626667073579"/>
        </patternFill>
      </fill>
    </dxf>
    <dxf>
      <font>
        <color theme="0"/>
      </font>
      <fill>
        <patternFill>
          <bgColor theme="1" tint="0.499984740745262"/>
        </patternFill>
      </fill>
    </dxf>
    <dxf>
      <fill>
        <patternFill>
          <bgColor theme="0" tint="-0.34998626667073579"/>
        </patternFill>
      </fill>
    </dxf>
    <dxf>
      <fill>
        <patternFill>
          <bgColor theme="0" tint="-0.24994659260841701"/>
        </patternFill>
      </fill>
    </dxf>
    <dxf>
      <fill>
        <patternFill>
          <bgColor theme="2"/>
        </patternFill>
      </fill>
    </dxf>
    <dxf>
      <fill>
        <patternFill>
          <bgColor theme="0"/>
        </patternFill>
      </fill>
    </dxf>
    <dxf>
      <font>
        <color theme="0"/>
      </font>
      <fill>
        <patternFill>
          <fgColor auto="1"/>
          <bgColor theme="1"/>
        </patternFill>
      </fill>
    </dxf>
    <dxf>
      <font>
        <color theme="0"/>
      </font>
      <fill>
        <patternFill>
          <bgColor theme="1"/>
        </patternFill>
      </fill>
    </dxf>
    <dxf>
      <font>
        <color theme="0"/>
      </font>
      <fill>
        <patternFill>
          <bgColor theme="1" tint="0.24994659260841701"/>
        </patternFill>
      </fill>
    </dxf>
    <dxf>
      <font>
        <color theme="0"/>
      </font>
      <fill>
        <patternFill>
          <bgColor theme="1" tint="0.34998626667073579"/>
        </patternFill>
      </fill>
    </dxf>
    <dxf>
      <font>
        <color theme="0"/>
      </font>
      <fill>
        <patternFill>
          <bgColor theme="1" tint="0.499984740745262"/>
        </patternFill>
      </fill>
    </dxf>
    <dxf>
      <fill>
        <patternFill>
          <bgColor theme="0" tint="-0.34998626667073579"/>
        </patternFill>
      </fill>
    </dxf>
    <dxf>
      <fill>
        <patternFill>
          <bgColor theme="0" tint="-0.24994659260841701"/>
        </patternFill>
      </fill>
    </dxf>
    <dxf>
      <fill>
        <patternFill>
          <bgColor theme="2"/>
        </patternFill>
      </fill>
    </dxf>
    <dxf>
      <fill>
        <patternFill>
          <bgColor theme="0"/>
        </patternFill>
      </fill>
    </dxf>
    <dxf>
      <border outline="0">
        <left style="thin">
          <color theme="8" tint="0.39997558519241921"/>
        </left>
      </border>
    </dxf>
    <dxf>
      <fill>
        <patternFill>
          <bgColor rgb="FFFFFF00"/>
        </patternFill>
      </fill>
    </dxf>
    <dxf>
      <fill>
        <patternFill>
          <bgColor rgb="FFFF9B9B"/>
        </patternFill>
      </fill>
    </dxf>
    <dxf>
      <fill>
        <patternFill>
          <bgColor rgb="FFFF9B9B"/>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92D050"/>
        </patternFill>
      </fill>
    </dxf>
    <dxf>
      <fill>
        <patternFill>
          <bgColor rgb="FFFF9B9B"/>
        </patternFill>
      </fill>
    </dxf>
    <dxf>
      <fill>
        <patternFill>
          <bgColor rgb="FFFF9B9B"/>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92D050"/>
        </patternFill>
      </fill>
    </dxf>
    <dxf>
      <fill>
        <patternFill>
          <bgColor rgb="FFFF9B9B"/>
        </patternFill>
      </fill>
    </dxf>
    <dxf>
      <font>
        <color theme="0"/>
      </font>
      <fill>
        <patternFill>
          <fgColor auto="1"/>
          <bgColor theme="1"/>
        </patternFill>
      </fill>
    </dxf>
    <dxf>
      <font>
        <color theme="0"/>
      </font>
      <fill>
        <patternFill>
          <bgColor theme="1"/>
        </patternFill>
      </fill>
    </dxf>
    <dxf>
      <font>
        <color theme="0"/>
      </font>
      <fill>
        <patternFill>
          <bgColor theme="1" tint="0.24994659260841701"/>
        </patternFill>
      </fill>
    </dxf>
    <dxf>
      <font>
        <color theme="0"/>
      </font>
      <fill>
        <patternFill>
          <bgColor theme="1" tint="0.34998626667073579"/>
        </patternFill>
      </fill>
    </dxf>
    <dxf>
      <font>
        <color theme="0"/>
      </font>
      <fill>
        <patternFill>
          <bgColor theme="1" tint="0.499984740745262"/>
        </patternFill>
      </fill>
    </dxf>
    <dxf>
      <fill>
        <patternFill>
          <bgColor theme="0" tint="-0.34998626667073579"/>
        </patternFill>
      </fill>
    </dxf>
    <dxf>
      <fill>
        <patternFill>
          <bgColor theme="0" tint="-0.24994659260841701"/>
        </patternFill>
      </fill>
    </dxf>
    <dxf>
      <fill>
        <patternFill>
          <bgColor theme="2"/>
        </patternFill>
      </fill>
    </dxf>
    <dxf>
      <fill>
        <patternFill>
          <bgColor theme="0"/>
        </patternFill>
      </fill>
    </dxf>
  </dxfs>
  <tableStyles count="0" defaultTableStyle="TableStyleMedium2" defaultPivotStyle="PivotStyleLight16"/>
  <colors>
    <mruColors>
      <color rgb="FFFF9B9B"/>
      <color rgb="FFFFFFFF"/>
      <color rgb="FF29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r>
                  <a:rPr lang="en-US" sz="1400"/>
                  <a:t>Gods</a:t>
                </a:r>
              </a:p>
              <a:p>
                <a:pPr>
                  <a:defRPr sz="1400" b="1" i="0" u="none" strike="noStrike" kern="1200" baseline="0">
                    <a:solidFill>
                      <a:schemeClr val="tx1">
                        <a:lumMod val="75000"/>
                        <a:lumOff val="25000"/>
                      </a:schemeClr>
                    </a:solidFill>
                    <a:latin typeface="+mn-lt"/>
                    <a:ea typeface="+mn-ea"/>
                    <a:cs typeface="+mn-cs"/>
                  </a:defRPr>
                </a:pPr>
                <a:fld id="{FC684449-0788-4B16-8DFD-5D9E15F515E2}" type="PERCENTAGE">
                  <a:rPr lang="en-US" sz="1400"/>
                  <a:pPr>
                    <a:defRPr sz="1400" b="1"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a:lstStyle/>
              <a:p>
                <a:r>
                  <a:rPr lang="en-US" sz="1200"/>
                  <a:t>Mortals</a:t>
                </a:r>
              </a:p>
              <a:p>
                <a:fld id="{2C82A9B5-FF16-46F1-85B2-1D9E0D500B69}" type="PERCENTAGE">
                  <a:rPr lang="en-US" sz="1200"/>
                  <a:pPr/>
                  <a:t>[PERCENTAGE]</a:t>
                </a:fld>
                <a:endParaRPr lang="en-US"/>
              </a:p>
            </c:rich>
          </c:tx>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Lst>
        </c:dLbl>
      </c:pivotFmt>
      <c:pivotFmt>
        <c:idx val="3"/>
        <c:dLbl>
          <c:idx val="0"/>
          <c:layout>
            <c:manualLayout>
              <c:x val="0.13217167298532101"/>
              <c:y val="0.124274934383202"/>
            </c:manualLayout>
          </c:layout>
          <c:tx>
            <c:rich>
              <a:bodyPr/>
              <a:lstStyle/>
              <a:p>
                <a:r>
                  <a:rPr lang="en-US"/>
                  <a:t>Blank</a:t>
                </a:r>
              </a:p>
              <a:p>
                <a:fld id="{1DBA6DCF-3617-4DDC-9A39-AC0A50714BF8}" type="PERCENTAGE">
                  <a:rPr lang="en-US"/>
                  <a:pPr/>
                  <a:t>[PERCENTAGE]</a:t>
                </a:fld>
                <a:endParaRPr lang="en-US"/>
              </a:p>
            </c:rich>
          </c:tx>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4287528575057"/>
              <c:y val="-4.6048775153105903E-2"/>
            </c:manualLayout>
          </c:layout>
          <c:tx>
            <c:rich>
              <a:bodyPr/>
              <a:lstStyle/>
              <a:p>
                <a:r>
                  <a:rPr lang="en-US" sz="1200"/>
                  <a:t>Berserkers</a:t>
                </a:r>
              </a:p>
              <a:p>
                <a:fld id="{160F3D6D-8380-46F5-9004-5BA8C0DEBA29}" type="PERCENTAGE">
                  <a:rPr lang="en-US" sz="1200"/>
                  <a:pPr/>
                  <a:t>[PERCENTAGE]</a:t>
                </a:fld>
                <a:endParaRPr lang="en-US"/>
              </a:p>
            </c:rich>
          </c:tx>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15:layout>
                <c:manualLayout>
                  <c:w val="0.38735698360285598"/>
                  <c:h val="0.166458515602216"/>
                </c:manualLayout>
              </c15:layout>
              <c15:dlblFieldTable/>
              <c15:showDataLabelsRange val="0"/>
            </c:ext>
          </c:extLst>
        </c:dLbl>
      </c:pivotFmt>
    </c:pivotFmts>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981-417B-9FD2-B2ACD8E23B9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981-417B-9FD2-B2ACD8E23B9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F981-417B-9FD2-B2ACD8E23B9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F981-417B-9FD2-B2ACD8E23B91}"/>
              </c:ext>
            </c:extLst>
          </c:dPt>
          <c:dLbls>
            <c:dLbl>
              <c:idx val="2"/>
              <c:layout>
                <c:manualLayout>
                  <c:x val="-0.33625306764452301"/>
                  <c:y val="9.5923261390887301E-3"/>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5-F981-417B-9FD2-B2ACD8E23B91}"/>
                </c:ext>
                <c:ext xmlns:c15="http://schemas.microsoft.com/office/drawing/2012/chart" uri="{CE6537A1-D6FC-4f65-9D91-7224C49458BB}">
                  <c15:layout>
                    <c:manualLayout>
                      <c:w val="0.27485700544581698"/>
                      <c:h val="0.17152072804910801"/>
                    </c:manualLayout>
                  </c15:layout>
                </c:ext>
              </c:extLst>
            </c:dLbl>
            <c:dLbl>
              <c:idx val="3"/>
              <c:layout>
                <c:manualLayout>
                  <c:x val="0.33748694770554399"/>
                  <c:y val="1.6987103230801201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7-F981-417B-9FD2-B2ACD8E23B91}"/>
                </c:ext>
                <c:ext xmlns:c15="http://schemas.microsoft.com/office/drawing/2012/chart" uri="{CE6537A1-D6FC-4f65-9D91-7224C49458BB}">
                  <c15:layout>
                    <c:manualLayout>
                      <c:w val="0.296222324098326"/>
                      <c:h val="0.17152072804910801"/>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val>
            <c:numRef>
              <c:f>'Squads &amp; Rosters'!$C$8:$C$11</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8-F981-417B-9FD2-B2ACD8E23B91}"/>
            </c:ext>
            <c:ext xmlns:c15="http://schemas.microsoft.com/office/drawing/2012/chart" uri="{02D57815-91ED-43cb-92C2-25804820EDAC}">
              <c15:filteredCategoryTitle>
                <c15:cat>
                  <c:multiLvlStrRef>
                    <c:extLst xmlns:c16="http://schemas.microsoft.com/office/drawing/2014/chart" xmlns:c16r2="http://schemas.microsoft.com/office/drawing/2015/06/chart">
                      <c:ext uri="{02D57815-91ED-43cb-92C2-25804820EDAC}">
                        <c15:formulaRef>
                          <c15:sqref>'Squads &amp; Rosters'!$B$8:$B$11</c15:sqref>
                        </c15:formulaRef>
                      </c:ext>
                    </c:extLst>
                  </c:multiLvlStrRef>
                </c15:cat>
              </c15:filteredCategoryTitle>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Rank %'s</a:t>
            </a:r>
          </a:p>
        </c:rich>
      </c:tx>
      <c:layout>
        <c:manualLayout>
          <c:xMode val="edge"/>
          <c:yMode val="edge"/>
          <c:x val="2.03132290988913E-2"/>
          <c:y val="2.5098278534766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7256-4A07-B63C-A66A67B71D7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7256-4A07-B63C-A66A67B71D7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7256-4A07-B63C-A66A67B71D7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7256-4A07-B63C-A66A67B71D7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9-7256-4A07-B63C-A66A67B71D7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B-7256-4A07-B63C-A66A67B71D7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D-7256-4A07-B63C-A66A67B71D77}"/>
              </c:ext>
            </c:extLst>
          </c:dPt>
          <c:dLbls>
            <c:dLbl>
              <c:idx val="0"/>
              <c:layout>
                <c:manualLayout>
                  <c:x val="0.207884881330171"/>
                  <c:y val="-2.604039486716583E-2"/>
                </c:manualLayout>
              </c:layout>
              <c:tx>
                <c:rich>
                  <a:bodyPr/>
                  <a:lstStyle/>
                  <a:p>
                    <a:r>
                      <a:rPr lang="en-US" baseline="0"/>
                      <a:t>7
</a:t>
                    </a:r>
                    <a:fld id="{E62D8C40-1B92-4F73-B6AD-8F731824AFFB}"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7256-4A07-B63C-A66A67B71D77}"/>
                </c:ext>
                <c:ext xmlns:c15="http://schemas.microsoft.com/office/drawing/2012/chart" uri="{CE6537A1-D6FC-4f65-9D91-7224C49458BB}">
                  <c15:layout/>
                  <c15:dlblFieldTable/>
                  <c15:showDataLabelsRange val="0"/>
                </c:ext>
              </c:extLst>
            </c:dLbl>
            <c:dLbl>
              <c:idx val="1"/>
              <c:layout>
                <c:manualLayout>
                  <c:x val="0.35799112294768187"/>
                  <c:y val="6.911032794936306E-2"/>
                </c:manualLayout>
              </c:layout>
              <c:tx>
                <c:rich>
                  <a:bodyPr/>
                  <a:lstStyle/>
                  <a:p>
                    <a:r>
                      <a:rPr lang="en-US"/>
                      <a:t>6</a:t>
                    </a:r>
                    <a:r>
                      <a:rPr lang="en-US" baseline="0"/>
                      <a:t>
</a:t>
                    </a:r>
                    <a:fld id="{42E0AAC4-EDB4-4957-8C57-F2F312C18963}"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3-7256-4A07-B63C-A66A67B71D77}"/>
                </c:ext>
                <c:ext xmlns:c15="http://schemas.microsoft.com/office/drawing/2012/chart" uri="{CE6537A1-D6FC-4f65-9D91-7224C49458BB}">
                  <c15:layout/>
                  <c15:dlblFieldTable/>
                  <c15:showDataLabelsRange val="0"/>
                </c:ext>
              </c:extLst>
            </c:dLbl>
            <c:dLbl>
              <c:idx val="2"/>
              <c:layout>
                <c:manualLayout>
                  <c:x val="0.41884961384878783"/>
                  <c:y val="0.24768812572535442"/>
                </c:manualLayout>
              </c:layout>
              <c:tx>
                <c:rich>
                  <a:bodyPr/>
                  <a:lstStyle/>
                  <a:p>
                    <a:r>
                      <a:rPr lang="en-US" baseline="0"/>
                      <a:t>5
</a:t>
                    </a:r>
                    <a:fld id="{053D9461-FF94-4216-89B0-849A091C53D6}"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5-7256-4A07-B63C-A66A67B71D77}"/>
                </c:ext>
                <c:ext xmlns:c15="http://schemas.microsoft.com/office/drawing/2012/chart" uri="{CE6537A1-D6FC-4f65-9D91-7224C49458BB}">
                  <c15:layout/>
                  <c15:dlblFieldTable/>
                  <c15:showDataLabelsRange val="0"/>
                </c:ext>
              </c:extLst>
            </c:dLbl>
            <c:dLbl>
              <c:idx val="3"/>
              <c:layout>
                <c:manualLayout>
                  <c:x val="0.40452996893088067"/>
                  <c:y val="0.56128816084416855"/>
                </c:manualLayout>
              </c:layout>
              <c:tx>
                <c:rich>
                  <a:bodyPr/>
                  <a:lstStyle/>
                  <a:p>
                    <a:r>
                      <a:rPr lang="en-US" baseline="0"/>
                      <a:t>4
</a:t>
                    </a:r>
                    <a:fld id="{FD0733DD-3CE0-42E1-89F2-11F483D6CC94}"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7-7256-4A07-B63C-A66A67B71D77}"/>
                </c:ext>
                <c:ext xmlns:c15="http://schemas.microsoft.com/office/drawing/2012/chart" uri="{CE6537A1-D6FC-4f65-9D91-7224C49458BB}">
                  <c15:layout/>
                  <c15:dlblFieldTable/>
                  <c15:showDataLabelsRange val="0"/>
                </c:ext>
              </c:extLst>
            </c:dLbl>
            <c:dLbl>
              <c:idx val="4"/>
              <c:layout>
                <c:manualLayout>
                  <c:x val="0.25953369823998035"/>
                  <c:y val="0.77102636105981992"/>
                </c:manualLayout>
              </c:layout>
              <c:tx>
                <c:rich>
                  <a:bodyPr/>
                  <a:lstStyle/>
                  <a:p>
                    <a:r>
                      <a:rPr lang="en-US"/>
                      <a:t>3</a:t>
                    </a:r>
                    <a:r>
                      <a:rPr lang="en-US" baseline="0"/>
                      <a:t>
</a:t>
                    </a:r>
                    <a:fld id="{FE054150-4662-4C0D-A1BF-167B401A63AD}"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7256-4A07-B63C-A66A67B71D77}"/>
                </c:ext>
                <c:ext xmlns:c15="http://schemas.microsoft.com/office/drawing/2012/chart" uri="{CE6537A1-D6FC-4f65-9D91-7224C49458BB}">
                  <c15:layout/>
                  <c15:dlblFieldTable/>
                  <c15:showDataLabelsRange val="0"/>
                </c:ext>
              </c:extLst>
            </c:dLbl>
            <c:dLbl>
              <c:idx val="5"/>
              <c:layout>
                <c:manualLayout>
                  <c:x val="-0.26133351975180785"/>
                  <c:y val="0.76599929488006102"/>
                </c:manualLayout>
              </c:layout>
              <c:tx>
                <c:rich>
                  <a:bodyPr/>
                  <a:lstStyle/>
                  <a:p>
                    <a:r>
                      <a:rPr lang="en-US"/>
                      <a:t>2</a:t>
                    </a:r>
                    <a:r>
                      <a:rPr lang="en-US" baseline="0"/>
                      <a:t>
</a:t>
                    </a:r>
                    <a:fld id="{FAA6C986-D36C-42A9-BC24-C46F7C1A5F9D}"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B-7256-4A07-B63C-A66A67B71D77}"/>
                </c:ext>
                <c:ext xmlns:c15="http://schemas.microsoft.com/office/drawing/2012/chart" uri="{CE6537A1-D6FC-4f65-9D91-7224C49458BB}">
                  <c15:layout/>
                  <c15:dlblFieldTable/>
                  <c15:showDataLabelsRange val="0"/>
                </c:ext>
              </c:extLst>
            </c:dLbl>
            <c:dLbl>
              <c:idx val="6"/>
              <c:layout>
                <c:manualLayout>
                  <c:x val="-0.31317035247185826"/>
                  <c:y val="9.1559618302389456E-2"/>
                </c:manualLayout>
              </c:layout>
              <c:tx>
                <c:rich>
                  <a:bodyPr/>
                  <a:lstStyle/>
                  <a:p>
                    <a:r>
                      <a:rPr lang="en-US" baseline="0"/>
                      <a:t>1
</a:t>
                    </a:r>
                    <a:fld id="{ED976EBD-A272-4B7F-861E-747595C41414}" type="PERCENTAGE">
                      <a:rPr lang="en-US" baseline="0"/>
                      <a:pPr/>
                      <a:t>[PERCENTAGE]</a:t>
                    </a:fld>
                    <a:endParaRPr lang="en-US" baseline="0"/>
                  </a:p>
                </c:rich>
              </c:tx>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D-7256-4A07-B63C-A66A67B71D77}"/>
                </c:ext>
                <c:ext xmlns:c15="http://schemas.microsoft.com/office/drawing/2012/chart" uri="{CE6537A1-D6FC-4f65-9D91-7224C49458BB}">
                  <c15:layout/>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Summaries!$B$6:$B$12</c:f>
              <c:strCache>
                <c:ptCount val="7"/>
                <c:pt idx="0">
                  <c:v>Commanders (7):</c:v>
                </c:pt>
                <c:pt idx="1">
                  <c:v>Lieutenants (6):</c:v>
                </c:pt>
                <c:pt idx="2">
                  <c:v>Master Sergeants (5):</c:v>
                </c:pt>
                <c:pt idx="3">
                  <c:v>Sergeants (4):</c:v>
                </c:pt>
                <c:pt idx="4">
                  <c:v>Corporals (3):</c:v>
                </c:pt>
                <c:pt idx="5">
                  <c:v>Privates (2):</c:v>
                </c:pt>
                <c:pt idx="6">
                  <c:v>Recruits (1):</c:v>
                </c:pt>
              </c:strCache>
            </c:strRef>
          </c:cat>
          <c:val>
            <c:numRef>
              <c:f>Summaries!$C$6:$C$12</c:f>
              <c:numCache>
                <c:formatCode>General</c:formatCode>
                <c:ptCount val="7"/>
                <c:pt idx="0">
                  <c:v>0</c:v>
                </c:pt>
                <c:pt idx="1">
                  <c:v>0</c:v>
                </c:pt>
                <c:pt idx="2">
                  <c:v>0</c:v>
                </c:pt>
                <c:pt idx="3">
                  <c:v>0</c:v>
                </c:pt>
                <c:pt idx="4">
                  <c:v>0</c:v>
                </c:pt>
                <c:pt idx="5">
                  <c:v>0</c:v>
                </c:pt>
                <c:pt idx="6">
                  <c:v>0</c:v>
                </c:pt>
              </c:numCache>
            </c:numRef>
          </c:val>
          <c:extLst xmlns:c16r2="http://schemas.microsoft.com/office/drawing/2015/06/chart">
            <c:ext xmlns:c16="http://schemas.microsoft.com/office/drawing/2014/chart" uri="{C3380CC4-5D6E-409C-BE32-E72D297353CC}">
              <c16:uniqueId val="{0000000E-7256-4A07-B63C-A66A67B71D77}"/>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180974</xdr:colOff>
      <xdr:row>12</xdr:row>
      <xdr:rowOff>9525</xdr:rowOff>
    </xdr:from>
    <xdr:to>
      <xdr:col>3</xdr:col>
      <xdr:colOff>9524</xdr:colOff>
      <xdr:row>25</xdr:row>
      <xdr:rowOff>180975</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192446</xdr:colOff>
      <xdr:row>13</xdr:row>
      <xdr:rowOff>0</xdr:rowOff>
    </xdr:from>
    <xdr:to>
      <xdr:col>3</xdr:col>
      <xdr:colOff>0</xdr:colOff>
      <xdr:row>27</xdr:row>
      <xdr:rowOff>194387</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bl_Members" displayName="Tbl_Members" ref="A1:AD117" totalsRowShown="0" headerRowDxfId="46" dataDxfId="45" tableBorderDxfId="70" dataCellStyle="Normal">
  <autoFilter ref="A1:AD117"/>
  <sortState ref="A2:AA120">
    <sortCondition descending="1" ref="B2:B120"/>
    <sortCondition ref="C2:C120"/>
  </sortState>
  <tableColumns count="30">
    <tableColumn id="1" name="Gamertag" dataDxfId="44" dataCellStyle="Normal"/>
    <tableColumn id="2" name="Rank" dataDxfId="43" dataCellStyle="Normal"/>
    <tableColumn id="3" name="Last Promotion" dataDxfId="42" dataCellStyle="Normal"/>
    <tableColumn id="27" name="Promotion Eligibility" dataDxfId="40">
      <calculatedColumnFormula>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calculatedColumnFormula>
    </tableColumn>
    <tableColumn id="4" name="Last Active" dataDxfId="41" dataCellStyle="Normal"/>
    <tableColumn id="14" name="Red Boxed" dataDxfId="48">
      <calculatedColumnFormula>IF(Tbl_Members[Last Active]="","",IF(_xlfn.DAYS(TODAY(),Tbl_Members[Last Active])&lt;22,"No","Yes"))</calculatedColumnFormula>
    </tableColumn>
    <tableColumn id="5" name="Date Recruited" dataDxfId="39" dataCellStyle="Normal"/>
    <tableColumn id="16" name="Month Recruited" dataDxfId="47">
      <calculatedColumnFormula>IF(Tbl_Members[[#This Row],[Date Recruited]]="","",TEXT(Tbl_Members[[#This Row],[Date Recruited]],"MM"))</calculatedColumnFormula>
    </tableColumn>
    <tableColumn id="6" name="Squad" dataDxfId="38" dataCellStyle="Normal"/>
    <tableColumn id="7" name="Wants to rank up?" dataDxfId="37" dataCellStyle="Normal"/>
    <tableColumn id="26" name="Registered on Forums" dataDxfId="36"/>
    <tableColumn id="23" name="Drama Policy" dataDxfId="35"/>
    <tableColumn id="22" name="Sgt's Oath" dataDxfId="34"/>
    <tableColumn id="24" name="LTS Completed" dataDxfId="33"/>
    <tableColumn id="25" name="CTS Completed" dataDxfId="32"/>
    <tableColumn id="28" name="Out of Uniform" dataDxfId="31"/>
    <tableColumn id="9" name="Members Recruited" dataDxfId="30" dataCellStyle="Normal"/>
    <tableColumn id="8" name="Speeches Given" dataDxfId="29" dataCellStyle="Normal"/>
    <tableColumn id="10" name="Practices Run" dataDxfId="28" dataCellStyle="Normal"/>
    <tableColumn id="11" name="Notes" dataDxfId="27" dataCellStyle="Normal"/>
    <tableColumn id="12" name="Activity Link" dataDxfId="18" dataCellStyle="Normal">
      <calculatedColumnFormula>IF(A2="","",HYPERLINK(CONCATENATE("http://xboxgamertag.com/search/",SUBSTITUTE(TRIM(Tbl_Members[Gamertag])," ","-"),"/xbox-one"),Tbl_Members[Gamertag]))</calculatedColumnFormula>
    </tableColumn>
    <tableColumn id="13" name="MIA or Patriot?" dataDxfId="26" dataCellStyle="Normal"/>
    <tableColumn id="17" name="Updated By: _x000a_Name | Date" dataDxfId="25" dataCellStyle="Normal"/>
    <tableColumn id="18" name="Recruited By:" dataDxfId="24" dataCellStyle="Normal"/>
    <tableColumn id="19" name="Approved By:" dataDxfId="23" dataCellStyle="Normal"/>
    <tableColumn id="20" name="Date of Birth" dataDxfId="22" dataCellStyle="Normal"/>
    <tableColumn id="21" name="Age" dataDxfId="17" dataCellStyle="Normal">
      <calculatedColumnFormula>IF(Tbl_Members[[#This Row],[Date of Birth]]="","",INT(YEARFRAC(Z2,TODAY())))</calculatedColumnFormula>
    </tableColumn>
    <tableColumn id="15" name="Real Name" dataDxfId="21" dataCellStyle="Normal"/>
    <tableColumn id="29" name="Email Address" dataDxfId="20" dataCellStyle="Normal"/>
    <tableColumn id="30" name="Phone Number" dataDxfId="19" dataCellStyle="Normal"/>
  </tableColumns>
  <tableStyleInfo name="TableStyleMedium6" showFirstColumn="0" showLastColumn="0" showRowStripes="1" showColumnStripes="0"/>
</table>
</file>

<file path=xl/tables/table2.xml><?xml version="1.0" encoding="utf-8"?>
<table xmlns="http://schemas.openxmlformats.org/spreadsheetml/2006/main" id="3" name="Tbl_Transfers_Removals" displayName="Tbl_Transfers_Removals" ref="A1:O120" totalsRowShown="0" headerRowDxfId="16" dataDxfId="0" tableBorderDxfId="51">
  <autoFilter ref="A1:O120"/>
  <sortState ref="A2:O120">
    <sortCondition descending="1" ref="G2:G120"/>
  </sortState>
  <tableColumns count="15">
    <tableColumn id="1" name="Gamertag" dataDxfId="15"/>
    <tableColumn id="2" name="Rank" dataDxfId="14"/>
    <tableColumn id="12" name="Last Promotion" dataDxfId="13"/>
    <tableColumn id="13" name="Last Active" dataDxfId="12"/>
    <tableColumn id="14" name="Date Recruited" dataDxfId="11"/>
    <tableColumn id="5" name="Squad" dataDxfId="10"/>
    <tableColumn id="3" name="Date Removed or Transferred" dataDxfId="9"/>
    <tableColumn id="7" name="Removal or Transfer" dataDxfId="8"/>
    <tableColumn id="6" name="Original Branch" dataDxfId="7">
      <calculatedColumnFormula>IF(OR(Tbl_Transfers_Removals[[#This Row],[Removal or Transfer]]="Removal",Tbl_Transfers_Removals[[#This Row],[Removal or Transfer]]="Transfer Out"),'Forum Rosters'!$C$1,"")</calculatedColumnFormula>
    </tableColumn>
    <tableColumn id="8" name="Removal Reason" dataDxfId="6"/>
    <tableColumn id="9" name="Removal Terms" dataDxfId="5"/>
    <tableColumn id="15" name="Removed From Tag" dataDxfId="4"/>
    <tableColumn id="10" name="Notes" dataDxfId="3"/>
    <tableColumn id="11" name="Patriot?" dataDxfId="2"/>
    <tableColumn id="4" name="Input By:" dataDxfId="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D117"/>
  <sheetViews>
    <sheetView tabSelected="1" workbookViewId="0">
      <pane xSplit="1" topLeftCell="B1" activePane="topRight" state="frozen"/>
      <selection pane="topRight" activeCell="A2" sqref="A2"/>
    </sheetView>
  </sheetViews>
  <sheetFormatPr defaultColWidth="8.85546875" defaultRowHeight="30" customHeight="1" x14ac:dyDescent="0.25"/>
  <cols>
    <col min="1" max="1" width="22" style="34" customWidth="1"/>
    <col min="2" max="2" width="10.7109375" style="35" customWidth="1"/>
    <col min="3" max="3" width="13.140625" style="36" customWidth="1"/>
    <col min="4" max="4" width="15" style="39" bestFit="1" customWidth="1"/>
    <col min="5" max="5" width="12.85546875" style="36" bestFit="1" customWidth="1"/>
    <col min="6" max="6" width="11.140625" style="39" hidden="1" customWidth="1"/>
    <col min="7" max="7" width="13" style="36" customWidth="1"/>
    <col min="8" max="8" width="14.140625" style="39" hidden="1" customWidth="1"/>
    <col min="9" max="10" width="11" style="36" bestFit="1" customWidth="1"/>
    <col min="11" max="11" width="10.42578125" style="35" customWidth="1"/>
    <col min="12" max="12" width="11.28515625" style="40" customWidth="1"/>
    <col min="13" max="13" width="8.85546875" style="40" customWidth="1"/>
    <col min="14" max="14" width="11.5703125" style="40" customWidth="1"/>
    <col min="15" max="15" width="11.85546875" style="36" customWidth="1"/>
    <col min="16" max="16" width="12.7109375" style="35" customWidth="1"/>
    <col min="17" max="17" width="11.28515625" style="36" customWidth="1"/>
    <col min="18" max="18" width="9.85546875" style="2" customWidth="1"/>
    <col min="19" max="19" width="11" style="35" customWidth="1"/>
    <col min="20" max="20" width="57.7109375" style="2" customWidth="1"/>
    <col min="21" max="21" width="16.7109375" style="35" bestFit="1" customWidth="1"/>
    <col min="22" max="22" width="12.7109375" style="2" customWidth="1"/>
    <col min="23" max="23" width="29.140625" style="44" customWidth="1"/>
    <col min="24" max="24" width="16.5703125" style="36" bestFit="1" customWidth="1"/>
    <col min="25" max="25" width="17.28515625" style="35" bestFit="1" customWidth="1"/>
    <col min="26" max="26" width="13.28515625" style="35" customWidth="1"/>
    <col min="27" max="27" width="9" style="45" bestFit="1" customWidth="1"/>
    <col min="28" max="28" width="20.7109375" style="34" customWidth="1"/>
    <col min="29" max="29" width="30.7109375" style="34" customWidth="1"/>
    <col min="30" max="30" width="20.7109375" style="46" customWidth="1"/>
    <col min="31" max="16384" width="8.85546875" style="2"/>
  </cols>
  <sheetData>
    <row r="1" spans="1:30" s="33" customFormat="1" ht="30" customHeight="1" x14ac:dyDescent="0.25">
      <c r="A1" s="25" t="s">
        <v>0</v>
      </c>
      <c r="B1" s="25" t="s">
        <v>1</v>
      </c>
      <c r="C1" s="26" t="s">
        <v>2</v>
      </c>
      <c r="D1" s="27" t="s">
        <v>3</v>
      </c>
      <c r="E1" s="26" t="s">
        <v>4</v>
      </c>
      <c r="F1" s="27" t="s">
        <v>5</v>
      </c>
      <c r="G1" s="26" t="s">
        <v>6</v>
      </c>
      <c r="H1" s="27" t="s">
        <v>7</v>
      </c>
      <c r="I1" s="25" t="s">
        <v>8</v>
      </c>
      <c r="J1" s="25" t="s">
        <v>9</v>
      </c>
      <c r="K1" s="28" t="s">
        <v>10</v>
      </c>
      <c r="L1" s="28" t="s">
        <v>11</v>
      </c>
      <c r="M1" s="28" t="s">
        <v>12</v>
      </c>
      <c r="N1" s="26" t="s">
        <v>13</v>
      </c>
      <c r="O1" s="26" t="s">
        <v>14</v>
      </c>
      <c r="P1" s="25" t="s">
        <v>15</v>
      </c>
      <c r="Q1" s="25" t="s">
        <v>16</v>
      </c>
      <c r="R1" s="25" t="s">
        <v>17</v>
      </c>
      <c r="S1" s="25" t="s">
        <v>18</v>
      </c>
      <c r="T1" s="25" t="s">
        <v>19</v>
      </c>
      <c r="U1" s="25" t="s">
        <v>20</v>
      </c>
      <c r="V1" s="25" t="s">
        <v>21</v>
      </c>
      <c r="W1" s="29" t="s">
        <v>111</v>
      </c>
      <c r="X1" s="30" t="s">
        <v>22</v>
      </c>
      <c r="Y1" s="30" t="s">
        <v>23</v>
      </c>
      <c r="Z1" s="30" t="s">
        <v>24</v>
      </c>
      <c r="AA1" s="30" t="s">
        <v>25</v>
      </c>
      <c r="AB1" s="31" t="s">
        <v>26</v>
      </c>
      <c r="AC1" s="31" t="s">
        <v>27</v>
      </c>
      <c r="AD1" s="32" t="s">
        <v>28</v>
      </c>
    </row>
    <row r="2" spans="1:30" ht="30" customHeight="1" x14ac:dyDescent="0.25">
      <c r="A2" s="47"/>
      <c r="B2" s="48"/>
      <c r="C2" s="49"/>
      <c r="D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 s="49"/>
      <c r="F2" s="38" t="str">
        <f ca="1">IF(Tbl_Members[Last Active]="","",IF(_xlfn.DAYS(TODAY(),Tbl_Members[Last Active])&lt;22,"No","Yes"))</f>
        <v/>
      </c>
      <c r="G2" s="49"/>
      <c r="H2" s="39" t="str">
        <f>IF(Tbl_Members[[#This Row],[Date Recruited]]="","",TEXT(Tbl_Members[[#This Row],[Date Recruited]],"MM"))</f>
        <v/>
      </c>
      <c r="I2" s="48"/>
      <c r="J2" s="48"/>
      <c r="K2" s="50"/>
      <c r="L2" s="50"/>
      <c r="M2" s="50"/>
      <c r="N2" s="49"/>
      <c r="O2" s="49"/>
      <c r="P2" s="48"/>
      <c r="Q2" s="48"/>
      <c r="R2" s="48"/>
      <c r="S2" s="48"/>
      <c r="T2" s="47"/>
      <c r="U2" s="41" t="str">
        <f>IF(A2="","",HYPERLINK(CONCATENATE("http://xboxgamertag.com/search/",SUBSTITUTE(TRIM(Tbl_Members[Gamertag])," ","-"),"/xbox-one"),Tbl_Members[Gamertag]))</f>
        <v/>
      </c>
      <c r="V2" s="48"/>
      <c r="W2" s="49"/>
      <c r="X2" s="51"/>
      <c r="Y2" s="51"/>
      <c r="Z2" s="51"/>
      <c r="AA2" s="42" t="str">
        <f ca="1">IF(Tbl_Members[[#This Row],[Date of Birth]]="","",INT(YEARFRAC(Z2,TODAY())))</f>
        <v/>
      </c>
      <c r="AB2" s="51"/>
      <c r="AC2" s="51"/>
      <c r="AD2" s="52"/>
    </row>
    <row r="3" spans="1:30" ht="30" customHeight="1" x14ac:dyDescent="0.25">
      <c r="A3" s="47"/>
      <c r="B3" s="48"/>
      <c r="C3" s="49"/>
      <c r="D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 s="49"/>
      <c r="F3" s="38" t="str">
        <f ca="1">IF(Tbl_Members[Last Active]="","",IF(_xlfn.DAYS(TODAY(),Tbl_Members[Last Active])&lt;22,"No","Yes"))</f>
        <v/>
      </c>
      <c r="G3" s="49"/>
      <c r="H3" s="39" t="str">
        <f>IF(Tbl_Members[[#This Row],[Date Recruited]]="","",TEXT(Tbl_Members[[#This Row],[Date Recruited]],"MM"))</f>
        <v/>
      </c>
      <c r="I3" s="48"/>
      <c r="J3" s="48"/>
      <c r="K3" s="50"/>
      <c r="L3" s="50"/>
      <c r="M3" s="50"/>
      <c r="N3" s="49"/>
      <c r="O3" s="49"/>
      <c r="P3" s="48"/>
      <c r="Q3" s="48"/>
      <c r="R3" s="48"/>
      <c r="S3" s="48"/>
      <c r="T3" s="47"/>
      <c r="U3" s="41" t="str">
        <f>IF(A3="","",HYPERLINK(CONCATENATE("http://xboxgamertag.com/search/",SUBSTITUTE(TRIM(Tbl_Members[Gamertag])," ","-"),"/xbox-one"),Tbl_Members[Gamertag]))</f>
        <v/>
      </c>
      <c r="V3" s="48"/>
      <c r="W3" s="49"/>
      <c r="X3" s="51"/>
      <c r="Y3" s="51"/>
      <c r="Z3" s="51"/>
      <c r="AA3" s="42" t="str">
        <f ca="1">IF(Tbl_Members[[#This Row],[Date of Birth]]="","",INT(YEARFRAC(Z3,TODAY())))</f>
        <v/>
      </c>
      <c r="AB3" s="51"/>
      <c r="AC3" s="51"/>
      <c r="AD3" s="52"/>
    </row>
    <row r="4" spans="1:30" ht="30" customHeight="1" x14ac:dyDescent="0.25">
      <c r="A4" s="47"/>
      <c r="B4" s="48"/>
      <c r="C4" s="49"/>
      <c r="D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 s="49"/>
      <c r="F4" s="38" t="str">
        <f ca="1">IF(Tbl_Members[Last Active]="","",IF(_xlfn.DAYS(TODAY(),Tbl_Members[Last Active])&lt;22,"No","Yes"))</f>
        <v/>
      </c>
      <c r="G4" s="49"/>
      <c r="H4" s="39" t="str">
        <f>IF(Tbl_Members[[#This Row],[Date Recruited]]="","",TEXT(Tbl_Members[[#This Row],[Date Recruited]],"MM"))</f>
        <v/>
      </c>
      <c r="I4" s="48"/>
      <c r="J4" s="48"/>
      <c r="K4" s="50"/>
      <c r="L4" s="50"/>
      <c r="M4" s="50"/>
      <c r="N4" s="49"/>
      <c r="O4" s="49"/>
      <c r="P4" s="48"/>
      <c r="Q4" s="48"/>
      <c r="R4" s="48"/>
      <c r="S4" s="48"/>
      <c r="T4" s="47"/>
      <c r="U4" s="41" t="str">
        <f>IF(A4="","",HYPERLINK(CONCATENATE("http://xboxgamertag.com/search/",SUBSTITUTE(TRIM(Tbl_Members[Gamertag])," ","-"),"/xbox-one"),Tbl_Members[Gamertag]))</f>
        <v/>
      </c>
      <c r="V4" s="48"/>
      <c r="W4" s="49"/>
      <c r="X4" s="51"/>
      <c r="Y4" s="51"/>
      <c r="Z4" s="51"/>
      <c r="AA4" s="42" t="str">
        <f ca="1">IF(Tbl_Members[[#This Row],[Date of Birth]]="","",INT(YEARFRAC(Z4,TODAY())))</f>
        <v/>
      </c>
      <c r="AB4" s="51"/>
      <c r="AC4" s="51"/>
      <c r="AD4" s="52"/>
    </row>
    <row r="5" spans="1:30" ht="30" customHeight="1" x14ac:dyDescent="0.25">
      <c r="A5" s="47"/>
      <c r="B5" s="48"/>
      <c r="C5" s="49"/>
      <c r="D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 s="49"/>
      <c r="F5" s="43" t="str">
        <f ca="1">IF(Tbl_Members[Last Active]="","",IF(_xlfn.DAYS(TODAY(),Tbl_Members[Last Active])&lt;22,"No","Yes"))</f>
        <v/>
      </c>
      <c r="G5" s="49"/>
      <c r="H5" s="39" t="str">
        <f>IF(Tbl_Members[[#This Row],[Date Recruited]]="","",TEXT(Tbl_Members[[#This Row],[Date Recruited]],"MM"))</f>
        <v/>
      </c>
      <c r="I5" s="48"/>
      <c r="J5" s="48"/>
      <c r="K5" s="50"/>
      <c r="L5" s="50"/>
      <c r="M5" s="50"/>
      <c r="N5" s="49"/>
      <c r="O5" s="49"/>
      <c r="P5" s="48"/>
      <c r="Q5" s="48"/>
      <c r="R5" s="48"/>
      <c r="S5" s="48"/>
      <c r="T5" s="47"/>
      <c r="U5" s="41" t="str">
        <f>IF(A5="","",HYPERLINK(CONCATENATE("http://xboxgamertag.com/search/",SUBSTITUTE(TRIM(Tbl_Members[Gamertag])," ","-"),"/xbox-one"),Tbl_Members[Gamertag]))</f>
        <v/>
      </c>
      <c r="V5" s="48"/>
      <c r="W5" s="49"/>
      <c r="X5" s="51"/>
      <c r="Y5" s="51"/>
      <c r="Z5" s="53"/>
      <c r="AA5" s="42" t="str">
        <f ca="1">IF(Tbl_Members[[#This Row],[Date of Birth]]="","",INT(YEARFRAC(Z5,TODAY())))</f>
        <v/>
      </c>
      <c r="AB5" s="51"/>
      <c r="AC5" s="51"/>
      <c r="AD5" s="52"/>
    </row>
    <row r="6" spans="1:30" ht="30" customHeight="1" x14ac:dyDescent="0.25">
      <c r="A6" s="47"/>
      <c r="B6" s="48"/>
      <c r="C6" s="49"/>
      <c r="D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 s="49"/>
      <c r="F6" s="43" t="str">
        <f ca="1">IF(Tbl_Members[Last Active]="","",IF(_xlfn.DAYS(TODAY(),Tbl_Members[Last Active])&lt;22,"No","Yes"))</f>
        <v/>
      </c>
      <c r="G6" s="49"/>
      <c r="H6" s="39" t="str">
        <f>IF(Tbl_Members[[#This Row],[Date Recruited]]="","",TEXT(Tbl_Members[[#This Row],[Date Recruited]],"MM"))</f>
        <v/>
      </c>
      <c r="I6" s="48"/>
      <c r="J6" s="48"/>
      <c r="K6" s="50"/>
      <c r="L6" s="50"/>
      <c r="M6" s="50"/>
      <c r="N6" s="49"/>
      <c r="O6" s="49"/>
      <c r="P6" s="48"/>
      <c r="Q6" s="48"/>
      <c r="R6" s="48"/>
      <c r="S6" s="48"/>
      <c r="T6" s="47"/>
      <c r="U6" s="41" t="str">
        <f>IF(A6="","",HYPERLINK(CONCATENATE("http://xboxgamertag.com/search/",SUBSTITUTE(TRIM(Tbl_Members[Gamertag])," ","-"),"/xbox-one"),Tbl_Members[Gamertag]))</f>
        <v/>
      </c>
      <c r="V6" s="48"/>
      <c r="W6" s="49"/>
      <c r="X6" s="51"/>
      <c r="Y6" s="51"/>
      <c r="Z6" s="53"/>
      <c r="AA6" s="42" t="str">
        <f ca="1">IF(Tbl_Members[[#This Row],[Date of Birth]]="","",INT(YEARFRAC(Z6,TODAY())))</f>
        <v/>
      </c>
      <c r="AB6" s="51"/>
      <c r="AC6" s="51"/>
      <c r="AD6" s="52"/>
    </row>
    <row r="7" spans="1:30" ht="30" customHeight="1" x14ac:dyDescent="0.25">
      <c r="A7" s="47"/>
      <c r="B7" s="48"/>
      <c r="C7" s="49"/>
      <c r="D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 s="49"/>
      <c r="F7" s="43" t="str">
        <f ca="1">IF(Tbl_Members[Last Active]="","",IF(_xlfn.DAYS(TODAY(),Tbl_Members[Last Active])&lt;22,"No","Yes"))</f>
        <v/>
      </c>
      <c r="G7" s="49"/>
      <c r="H7" s="39" t="str">
        <f>IF(Tbl_Members[[#This Row],[Date Recruited]]="","",TEXT(Tbl_Members[[#This Row],[Date Recruited]],"MM"))</f>
        <v/>
      </c>
      <c r="I7" s="48"/>
      <c r="J7" s="48"/>
      <c r="K7" s="50"/>
      <c r="L7" s="50"/>
      <c r="M7" s="50"/>
      <c r="N7" s="49"/>
      <c r="O7" s="49"/>
      <c r="P7" s="48"/>
      <c r="Q7" s="48"/>
      <c r="R7" s="48"/>
      <c r="S7" s="48"/>
      <c r="T7" s="47"/>
      <c r="U7" s="41" t="str">
        <f>IF(A7="","",HYPERLINK(CONCATENATE("http://xboxgamertag.com/search/",SUBSTITUTE(TRIM(Tbl_Members[Gamertag])," ","-"),"/xbox-one"),Tbl_Members[Gamertag]))</f>
        <v/>
      </c>
      <c r="V7" s="48"/>
      <c r="W7" s="49"/>
      <c r="X7" s="51"/>
      <c r="Y7" s="51"/>
      <c r="Z7" s="53"/>
      <c r="AA7" s="42" t="str">
        <f ca="1">IF(Tbl_Members[[#This Row],[Date of Birth]]="","",INT(YEARFRAC(Z7,TODAY())))</f>
        <v/>
      </c>
      <c r="AB7" s="51"/>
      <c r="AC7" s="51"/>
      <c r="AD7" s="52"/>
    </row>
    <row r="8" spans="1:30" ht="30" customHeight="1" x14ac:dyDescent="0.25">
      <c r="A8" s="47"/>
      <c r="B8" s="48"/>
      <c r="C8" s="49"/>
      <c r="D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 s="49"/>
      <c r="F8" s="43" t="str">
        <f ca="1">IF(Tbl_Members[Last Active]="","",IF(_xlfn.DAYS(TODAY(),Tbl_Members[Last Active])&lt;22,"No","Yes"))</f>
        <v/>
      </c>
      <c r="G8" s="49"/>
      <c r="H8" s="39" t="str">
        <f>IF(Tbl_Members[[#This Row],[Date Recruited]]="","",TEXT(Tbl_Members[[#This Row],[Date Recruited]],"MM"))</f>
        <v/>
      </c>
      <c r="I8" s="48"/>
      <c r="J8" s="48"/>
      <c r="K8" s="50"/>
      <c r="L8" s="50"/>
      <c r="M8" s="50"/>
      <c r="N8" s="49"/>
      <c r="O8" s="49"/>
      <c r="P8" s="48"/>
      <c r="Q8" s="48"/>
      <c r="R8" s="48"/>
      <c r="S8" s="48"/>
      <c r="T8" s="47"/>
      <c r="U8" s="41" t="str">
        <f>IF(A8="","",HYPERLINK(CONCATENATE("http://xboxgamertag.com/search/",SUBSTITUTE(TRIM(Tbl_Members[Gamertag])," ","-"),"/xbox-one"),Tbl_Members[Gamertag]))</f>
        <v/>
      </c>
      <c r="V8" s="48"/>
      <c r="W8" s="49"/>
      <c r="X8" s="51"/>
      <c r="Y8" s="51"/>
      <c r="Z8" s="53"/>
      <c r="AA8" s="42" t="str">
        <f ca="1">IF(Tbl_Members[[#This Row],[Date of Birth]]="","",INT(YEARFRAC(Z8,TODAY())))</f>
        <v/>
      </c>
      <c r="AB8" s="51"/>
      <c r="AC8" s="51"/>
      <c r="AD8" s="52"/>
    </row>
    <row r="9" spans="1:30" ht="30" customHeight="1" x14ac:dyDescent="0.25">
      <c r="A9" s="47"/>
      <c r="B9" s="48"/>
      <c r="C9" s="49"/>
      <c r="D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 s="49"/>
      <c r="F9" s="43" t="str">
        <f ca="1">IF(Tbl_Members[Last Active]="","",IF(_xlfn.DAYS(TODAY(),Tbl_Members[Last Active])&lt;22,"No","Yes"))</f>
        <v/>
      </c>
      <c r="G9" s="49"/>
      <c r="H9" s="39" t="str">
        <f>IF(Tbl_Members[[#This Row],[Date Recruited]]="","",TEXT(Tbl_Members[[#This Row],[Date Recruited]],"MM"))</f>
        <v/>
      </c>
      <c r="I9" s="48"/>
      <c r="J9" s="48"/>
      <c r="K9" s="50"/>
      <c r="L9" s="54"/>
      <c r="M9" s="54"/>
      <c r="N9" s="55"/>
      <c r="O9" s="55"/>
      <c r="P9" s="48"/>
      <c r="Q9" s="48"/>
      <c r="R9" s="48"/>
      <c r="S9" s="48"/>
      <c r="T9" s="56"/>
      <c r="U9" s="41" t="str">
        <f>IF(A9="","",HYPERLINK(CONCATENATE("http://xboxgamertag.com/search/",SUBSTITUTE(TRIM(Tbl_Members[Gamertag])," ","-"),"/xbox-one"),Tbl_Members[Gamertag]))</f>
        <v/>
      </c>
      <c r="V9" s="48"/>
      <c r="W9" s="49"/>
      <c r="X9" s="51"/>
      <c r="Y9" s="51"/>
      <c r="Z9" s="53"/>
      <c r="AA9" s="42" t="str">
        <f ca="1">IF(Tbl_Members[[#This Row],[Date of Birth]]="","",INT(YEARFRAC(Z9,TODAY())))</f>
        <v/>
      </c>
      <c r="AB9" s="51"/>
      <c r="AC9" s="51"/>
      <c r="AD9" s="52"/>
    </row>
    <row r="10" spans="1:30" ht="30" customHeight="1" x14ac:dyDescent="0.25">
      <c r="A10" s="47"/>
      <c r="B10" s="48"/>
      <c r="C10" s="49"/>
      <c r="D1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 s="49"/>
      <c r="F10" s="43" t="str">
        <f ca="1">IF(Tbl_Members[Last Active]="","",IF(_xlfn.DAYS(TODAY(),Tbl_Members[Last Active])&lt;22,"No","Yes"))</f>
        <v/>
      </c>
      <c r="G10" s="49"/>
      <c r="H10" s="39" t="str">
        <f>IF(Tbl_Members[[#This Row],[Date Recruited]]="","",TEXT(Tbl_Members[[#This Row],[Date Recruited]],"MM"))</f>
        <v/>
      </c>
      <c r="I10" s="48"/>
      <c r="J10" s="48"/>
      <c r="K10" s="50"/>
      <c r="L10" s="54"/>
      <c r="M10" s="54"/>
      <c r="N10" s="55"/>
      <c r="O10" s="55"/>
      <c r="P10" s="48"/>
      <c r="Q10" s="48"/>
      <c r="R10" s="48"/>
      <c r="S10" s="48"/>
      <c r="T10" s="56"/>
      <c r="U10" s="41" t="str">
        <f>IF(A10="","",HYPERLINK(CONCATENATE("http://xboxgamertag.com/search/",SUBSTITUTE(TRIM(Tbl_Members[Gamertag])," ","-"),"/xbox-one"),Tbl_Members[Gamertag]))</f>
        <v/>
      </c>
      <c r="V10" s="48"/>
      <c r="W10" s="49"/>
      <c r="X10" s="51"/>
      <c r="Y10" s="51"/>
      <c r="Z10" s="53"/>
      <c r="AA10" s="42" t="str">
        <f ca="1">IF(Tbl_Members[[#This Row],[Date of Birth]]="","",INT(YEARFRAC(Z10,TODAY())))</f>
        <v/>
      </c>
      <c r="AB10" s="51"/>
      <c r="AC10" s="51"/>
      <c r="AD10" s="52"/>
    </row>
    <row r="11" spans="1:30" ht="30" customHeight="1" x14ac:dyDescent="0.25">
      <c r="A11" s="47"/>
      <c r="B11" s="48"/>
      <c r="C11" s="49"/>
      <c r="D1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 s="49"/>
      <c r="F11" s="43" t="str">
        <f ca="1">IF(Tbl_Members[Last Active]="","",IF(_xlfn.DAYS(TODAY(),Tbl_Members[Last Active])&lt;22,"No","Yes"))</f>
        <v/>
      </c>
      <c r="G11" s="49"/>
      <c r="H11" s="39" t="str">
        <f>IF(Tbl_Members[[#This Row],[Date Recruited]]="","",TEXT(Tbl_Members[[#This Row],[Date Recruited]],"MM"))</f>
        <v/>
      </c>
      <c r="I11" s="48"/>
      <c r="J11" s="48"/>
      <c r="K11" s="50"/>
      <c r="L11" s="54"/>
      <c r="M11" s="54"/>
      <c r="N11" s="55"/>
      <c r="O11" s="55"/>
      <c r="P11" s="48"/>
      <c r="Q11" s="48"/>
      <c r="R11" s="48"/>
      <c r="S11" s="48"/>
      <c r="T11" s="56"/>
      <c r="U11" s="41" t="str">
        <f>IF(A11="","",HYPERLINK(CONCATENATE("http://xboxgamertag.com/search/",SUBSTITUTE(TRIM(Tbl_Members[Gamertag])," ","-"),"/xbox-one"),Tbl_Members[Gamertag]))</f>
        <v/>
      </c>
      <c r="V11" s="48"/>
      <c r="W11" s="49"/>
      <c r="X11" s="51"/>
      <c r="Y11" s="51"/>
      <c r="Z11" s="51"/>
      <c r="AA11" s="42" t="str">
        <f ca="1">IF(Tbl_Members[[#This Row],[Date of Birth]]="","",INT(YEARFRAC(Z11,TODAY())))</f>
        <v/>
      </c>
      <c r="AB11" s="51"/>
      <c r="AC11" s="51"/>
      <c r="AD11" s="52"/>
    </row>
    <row r="12" spans="1:30" ht="30" customHeight="1" x14ac:dyDescent="0.25">
      <c r="A12" s="47"/>
      <c r="B12" s="48"/>
      <c r="C12" s="49"/>
      <c r="D1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2" s="49"/>
      <c r="F12" s="43" t="str">
        <f ca="1">IF(Tbl_Members[Last Active]="","",IF(_xlfn.DAYS(TODAY(),Tbl_Members[Last Active])&lt;22,"No","Yes"))</f>
        <v/>
      </c>
      <c r="G12" s="49"/>
      <c r="H12" s="39" t="str">
        <f>IF(Tbl_Members[[#This Row],[Date Recruited]]="","",TEXT(Tbl_Members[[#This Row],[Date Recruited]],"MM"))</f>
        <v/>
      </c>
      <c r="I12" s="48"/>
      <c r="J12" s="48"/>
      <c r="K12" s="50"/>
      <c r="L12" s="54"/>
      <c r="M12" s="54"/>
      <c r="N12" s="55"/>
      <c r="O12" s="55"/>
      <c r="P12" s="48"/>
      <c r="Q12" s="48"/>
      <c r="R12" s="48"/>
      <c r="S12" s="48"/>
      <c r="T12" s="56"/>
      <c r="U12" s="41" t="str">
        <f>IF(A12="","",HYPERLINK(CONCATENATE("http://xboxgamertag.com/search/",SUBSTITUTE(TRIM(Tbl_Members[Gamertag])," ","-"),"/xbox-one"),Tbl_Members[Gamertag]))</f>
        <v/>
      </c>
      <c r="V12" s="48"/>
      <c r="W12" s="49"/>
      <c r="X12" s="51"/>
      <c r="Y12" s="51"/>
      <c r="Z12" s="51"/>
      <c r="AA12" s="42" t="str">
        <f ca="1">IF(Tbl_Members[[#This Row],[Date of Birth]]="","",INT(YEARFRAC(Z12,TODAY())))</f>
        <v/>
      </c>
      <c r="AB12" s="51"/>
      <c r="AC12" s="51"/>
      <c r="AD12" s="52"/>
    </row>
    <row r="13" spans="1:30" ht="30" customHeight="1" x14ac:dyDescent="0.25">
      <c r="A13" s="47"/>
      <c r="B13" s="48"/>
      <c r="C13" s="49"/>
      <c r="D1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3" s="49"/>
      <c r="F13" s="43" t="str">
        <f ca="1">IF(Tbl_Members[Last Active]="","",IF(_xlfn.DAYS(TODAY(),Tbl_Members[Last Active])&lt;22,"No","Yes"))</f>
        <v/>
      </c>
      <c r="G13" s="49"/>
      <c r="H13" s="39" t="str">
        <f>IF(Tbl_Members[[#This Row],[Date Recruited]]="","",TEXT(Tbl_Members[[#This Row],[Date Recruited]],"MM"))</f>
        <v/>
      </c>
      <c r="I13" s="48"/>
      <c r="J13" s="48"/>
      <c r="K13" s="50"/>
      <c r="L13" s="54"/>
      <c r="M13" s="54"/>
      <c r="N13" s="55"/>
      <c r="O13" s="55"/>
      <c r="P13" s="48"/>
      <c r="Q13" s="48"/>
      <c r="R13" s="48"/>
      <c r="S13" s="48"/>
      <c r="T13" s="56"/>
      <c r="U13" s="41" t="str">
        <f>IF(A13="","",HYPERLINK(CONCATENATE("http://xboxgamertag.com/search/",SUBSTITUTE(TRIM(Tbl_Members[Gamertag])," ","-"),"/xbox-one"),Tbl_Members[Gamertag]))</f>
        <v/>
      </c>
      <c r="V13" s="48"/>
      <c r="W13" s="49"/>
      <c r="X13" s="51"/>
      <c r="Y13" s="51"/>
      <c r="Z13" s="53"/>
      <c r="AA13" s="42" t="str">
        <f ca="1">IF(Tbl_Members[[#This Row],[Date of Birth]]="","",INT(YEARFRAC(Z13,TODAY())))</f>
        <v/>
      </c>
      <c r="AB13" s="51"/>
      <c r="AC13" s="51"/>
      <c r="AD13" s="52"/>
    </row>
    <row r="14" spans="1:30" ht="30" customHeight="1" x14ac:dyDescent="0.25">
      <c r="A14" s="47"/>
      <c r="B14" s="48"/>
      <c r="C14" s="49"/>
      <c r="D1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4" s="49"/>
      <c r="F14" s="43" t="str">
        <f ca="1">IF(Tbl_Members[Last Active]="","",IF(_xlfn.DAYS(TODAY(),Tbl_Members[Last Active])&lt;22,"No","Yes"))</f>
        <v/>
      </c>
      <c r="G14" s="49"/>
      <c r="H14" s="39" t="str">
        <f>IF(Tbl_Members[[#This Row],[Date Recruited]]="","",TEXT(Tbl_Members[[#This Row],[Date Recruited]],"MM"))</f>
        <v/>
      </c>
      <c r="I14" s="48"/>
      <c r="J14" s="48"/>
      <c r="K14" s="50"/>
      <c r="L14" s="54"/>
      <c r="M14" s="54"/>
      <c r="N14" s="55"/>
      <c r="O14" s="55"/>
      <c r="P14" s="48"/>
      <c r="Q14" s="48"/>
      <c r="R14" s="48"/>
      <c r="S14" s="48"/>
      <c r="T14" s="56"/>
      <c r="U14" s="41" t="str">
        <f>IF(A14="","",HYPERLINK(CONCATENATE("http://xboxgamertag.com/search/",SUBSTITUTE(TRIM(Tbl_Members[Gamertag])," ","-"),"/xbox-one"),Tbl_Members[Gamertag]))</f>
        <v/>
      </c>
      <c r="V14" s="48"/>
      <c r="W14" s="49"/>
      <c r="X14" s="51"/>
      <c r="Y14" s="51"/>
      <c r="Z14" s="53"/>
      <c r="AA14" s="42" t="str">
        <f ca="1">IF(Tbl_Members[[#This Row],[Date of Birth]]="","",INT(YEARFRAC(Z14,TODAY())))</f>
        <v/>
      </c>
      <c r="AB14" s="51"/>
      <c r="AC14" s="51"/>
      <c r="AD14" s="52"/>
    </row>
    <row r="15" spans="1:30" ht="30" customHeight="1" x14ac:dyDescent="0.25">
      <c r="A15" s="47"/>
      <c r="B15" s="48"/>
      <c r="C15" s="49"/>
      <c r="D1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5" s="49"/>
      <c r="F15" s="43" t="str">
        <f ca="1">IF(Tbl_Members[Last Active]="","",IF(_xlfn.DAYS(TODAY(),Tbl_Members[Last Active])&lt;22,"No","Yes"))</f>
        <v/>
      </c>
      <c r="G15" s="49"/>
      <c r="H15" s="39" t="str">
        <f>IF(Tbl_Members[[#This Row],[Date Recruited]]="","",TEXT(Tbl_Members[[#This Row],[Date Recruited]],"MM"))</f>
        <v/>
      </c>
      <c r="I15" s="48"/>
      <c r="J15" s="48"/>
      <c r="K15" s="50"/>
      <c r="L15" s="54"/>
      <c r="M15" s="54"/>
      <c r="N15" s="55"/>
      <c r="O15" s="55"/>
      <c r="P15" s="48"/>
      <c r="Q15" s="48"/>
      <c r="R15" s="48"/>
      <c r="S15" s="48"/>
      <c r="T15" s="56"/>
      <c r="U15" s="41" t="str">
        <f>IF(A15="","",HYPERLINK(CONCATENATE("http://xboxgamertag.com/search/",SUBSTITUTE(TRIM(Tbl_Members[Gamertag])," ","-"),"/xbox-one"),Tbl_Members[Gamertag]))</f>
        <v/>
      </c>
      <c r="V15" s="48"/>
      <c r="W15" s="49"/>
      <c r="X15" s="51"/>
      <c r="Y15" s="51"/>
      <c r="Z15" s="53"/>
      <c r="AA15" s="42" t="str">
        <f ca="1">IF(Tbl_Members[[#This Row],[Date of Birth]]="","",INT(YEARFRAC(Z15,TODAY())))</f>
        <v/>
      </c>
      <c r="AB15" s="51"/>
      <c r="AC15" s="51"/>
      <c r="AD15" s="52"/>
    </row>
    <row r="16" spans="1:30" ht="30" customHeight="1" x14ac:dyDescent="0.25">
      <c r="A16" s="47"/>
      <c r="B16" s="48"/>
      <c r="C16" s="49"/>
      <c r="D1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6" s="49"/>
      <c r="F16" s="43" t="str">
        <f ca="1">IF(Tbl_Members[Last Active]="","",IF(_xlfn.DAYS(TODAY(),Tbl_Members[Last Active])&lt;22,"No","Yes"))</f>
        <v/>
      </c>
      <c r="G16" s="49"/>
      <c r="H16" s="39" t="str">
        <f>IF(Tbl_Members[[#This Row],[Date Recruited]]="","",TEXT(Tbl_Members[[#This Row],[Date Recruited]],"MM"))</f>
        <v/>
      </c>
      <c r="I16" s="48"/>
      <c r="J16" s="48"/>
      <c r="K16" s="50"/>
      <c r="L16" s="54"/>
      <c r="M16" s="54"/>
      <c r="N16" s="55"/>
      <c r="O16" s="55"/>
      <c r="P16" s="48"/>
      <c r="Q16" s="48"/>
      <c r="R16" s="48"/>
      <c r="S16" s="48"/>
      <c r="T16" s="56"/>
      <c r="U16" s="41" t="str">
        <f>IF(A16="","",HYPERLINK(CONCATENATE("http://xboxgamertag.com/search/",SUBSTITUTE(TRIM(Tbl_Members[Gamertag])," ","-"),"/xbox-one"),Tbl_Members[Gamertag]))</f>
        <v/>
      </c>
      <c r="V16" s="48"/>
      <c r="W16" s="49"/>
      <c r="X16" s="51"/>
      <c r="Y16" s="51"/>
      <c r="Z16" s="51"/>
      <c r="AA16" s="42" t="str">
        <f ca="1">IF(Tbl_Members[[#This Row],[Date of Birth]]="","",INT(YEARFRAC(Z16,TODAY())))</f>
        <v/>
      </c>
      <c r="AB16" s="51"/>
      <c r="AC16" s="51"/>
      <c r="AD16" s="52"/>
    </row>
    <row r="17" spans="1:30" ht="30" customHeight="1" x14ac:dyDescent="0.25">
      <c r="A17" s="47"/>
      <c r="B17" s="48"/>
      <c r="C17" s="49"/>
      <c r="D1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7" s="49"/>
      <c r="F17" s="43" t="str">
        <f ca="1">IF(Tbl_Members[Last Active]="","",IF(_xlfn.DAYS(TODAY(),Tbl_Members[Last Active])&lt;22,"No","Yes"))</f>
        <v/>
      </c>
      <c r="G17" s="49"/>
      <c r="H17" s="39" t="str">
        <f>IF(Tbl_Members[[#This Row],[Date Recruited]]="","",TEXT(Tbl_Members[[#This Row],[Date Recruited]],"MM"))</f>
        <v/>
      </c>
      <c r="I17" s="48"/>
      <c r="J17" s="48"/>
      <c r="K17" s="50"/>
      <c r="L17" s="54"/>
      <c r="M17" s="54"/>
      <c r="N17" s="55"/>
      <c r="O17" s="55"/>
      <c r="P17" s="48"/>
      <c r="Q17" s="48"/>
      <c r="R17" s="48"/>
      <c r="S17" s="48"/>
      <c r="T17" s="56"/>
      <c r="U17" s="41" t="str">
        <f>IF(A17="","",HYPERLINK(CONCATENATE("http://xboxgamertag.com/search/",SUBSTITUTE(TRIM(Tbl_Members[Gamertag])," ","-"),"/xbox-one"),Tbl_Members[Gamertag]))</f>
        <v/>
      </c>
      <c r="V17" s="48"/>
      <c r="W17" s="49"/>
      <c r="X17" s="51"/>
      <c r="Y17" s="51"/>
      <c r="Z17" s="53"/>
      <c r="AA17" s="42" t="str">
        <f ca="1">IF(Tbl_Members[[#This Row],[Date of Birth]]="","",INT(YEARFRAC(Z17,TODAY())))</f>
        <v/>
      </c>
      <c r="AB17" s="51"/>
      <c r="AC17" s="51"/>
      <c r="AD17" s="52"/>
    </row>
    <row r="18" spans="1:30" ht="30" customHeight="1" x14ac:dyDescent="0.25">
      <c r="A18" s="47"/>
      <c r="B18" s="48"/>
      <c r="C18" s="49"/>
      <c r="D1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8" s="49"/>
      <c r="F18" s="43" t="str">
        <f ca="1">IF(Tbl_Members[Last Active]="","",IF(_xlfn.DAYS(TODAY(),Tbl_Members[Last Active])&lt;22,"No","Yes"))</f>
        <v/>
      </c>
      <c r="G18" s="49"/>
      <c r="H18" s="39" t="str">
        <f>IF(Tbl_Members[[#This Row],[Date Recruited]]="","",TEXT(Tbl_Members[[#This Row],[Date Recruited]],"MM"))</f>
        <v/>
      </c>
      <c r="I18" s="48"/>
      <c r="J18" s="48"/>
      <c r="K18" s="50"/>
      <c r="L18" s="54"/>
      <c r="M18" s="54"/>
      <c r="N18" s="55"/>
      <c r="O18" s="55"/>
      <c r="P18" s="48"/>
      <c r="Q18" s="48"/>
      <c r="R18" s="48"/>
      <c r="S18" s="48"/>
      <c r="T18" s="56"/>
      <c r="U18" s="41" t="str">
        <f>IF(A18="","",HYPERLINK(CONCATENATE("http://xboxgamertag.com/search/",SUBSTITUTE(TRIM(Tbl_Members[Gamertag])," ","-"),"/xbox-one"),Tbl_Members[Gamertag]))</f>
        <v/>
      </c>
      <c r="V18" s="48"/>
      <c r="W18" s="49"/>
      <c r="X18" s="51"/>
      <c r="Y18" s="51"/>
      <c r="Z18" s="51"/>
      <c r="AA18" s="42" t="str">
        <f ca="1">IF(Tbl_Members[[#This Row],[Date of Birth]]="","",INT(YEARFRAC(Z18,TODAY())))</f>
        <v/>
      </c>
      <c r="AB18" s="51"/>
      <c r="AC18" s="51"/>
      <c r="AD18" s="52"/>
    </row>
    <row r="19" spans="1:30" ht="30" customHeight="1" x14ac:dyDescent="0.25">
      <c r="A19" s="47"/>
      <c r="B19" s="48"/>
      <c r="C19" s="49"/>
      <c r="D1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9" s="49"/>
      <c r="F19" s="43" t="str">
        <f ca="1">IF(Tbl_Members[Last Active]="","",IF(_xlfn.DAYS(TODAY(),Tbl_Members[Last Active])&lt;22,"No","Yes"))</f>
        <v/>
      </c>
      <c r="G19" s="49"/>
      <c r="H19" s="39" t="str">
        <f>IF(Tbl_Members[[#This Row],[Date Recruited]]="","",TEXT(Tbl_Members[[#This Row],[Date Recruited]],"MM"))</f>
        <v/>
      </c>
      <c r="I19" s="48"/>
      <c r="J19" s="48"/>
      <c r="K19" s="50"/>
      <c r="L19" s="54"/>
      <c r="M19" s="54"/>
      <c r="N19" s="55"/>
      <c r="O19" s="55"/>
      <c r="P19" s="48"/>
      <c r="Q19" s="48"/>
      <c r="R19" s="48"/>
      <c r="S19" s="48"/>
      <c r="T19" s="56"/>
      <c r="U19" s="41" t="str">
        <f>IF(A19="","",HYPERLINK(CONCATENATE("http://xboxgamertag.com/search/",SUBSTITUTE(TRIM(Tbl_Members[Gamertag])," ","-"),"/xbox-one"),Tbl_Members[Gamertag]))</f>
        <v/>
      </c>
      <c r="V19" s="48"/>
      <c r="W19" s="49"/>
      <c r="X19" s="51"/>
      <c r="Y19" s="51"/>
      <c r="Z19" s="53"/>
      <c r="AA19" s="42" t="str">
        <f ca="1">IF(Tbl_Members[[#This Row],[Date of Birth]]="","",INT(YEARFRAC(Z19,TODAY())))</f>
        <v/>
      </c>
      <c r="AB19" s="51"/>
      <c r="AC19" s="51"/>
      <c r="AD19" s="52"/>
    </row>
    <row r="20" spans="1:30" ht="30" customHeight="1" x14ac:dyDescent="0.25">
      <c r="A20" s="47"/>
      <c r="B20" s="48"/>
      <c r="C20" s="49"/>
      <c r="D2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0" s="49"/>
      <c r="F20" s="43" t="str">
        <f ca="1">IF(Tbl_Members[Last Active]="","",IF(_xlfn.DAYS(TODAY(),Tbl_Members[Last Active])&lt;22,"No","Yes"))</f>
        <v/>
      </c>
      <c r="G20" s="49"/>
      <c r="H20" s="39" t="str">
        <f>IF(Tbl_Members[[#This Row],[Date Recruited]]="","",TEXT(Tbl_Members[[#This Row],[Date Recruited]],"MM"))</f>
        <v/>
      </c>
      <c r="I20" s="48"/>
      <c r="J20" s="48"/>
      <c r="K20" s="50"/>
      <c r="L20" s="54"/>
      <c r="M20" s="54"/>
      <c r="N20" s="55"/>
      <c r="O20" s="55"/>
      <c r="P20" s="48"/>
      <c r="Q20" s="48"/>
      <c r="R20" s="48"/>
      <c r="S20" s="48"/>
      <c r="T20" s="56"/>
      <c r="U20" s="41" t="str">
        <f>IF(A20="","",HYPERLINK(CONCATENATE("http://xboxgamertag.com/search/",SUBSTITUTE(TRIM(Tbl_Members[Gamertag])," ","-"),"/xbox-one"),Tbl_Members[Gamertag]))</f>
        <v/>
      </c>
      <c r="V20" s="48"/>
      <c r="W20" s="49"/>
      <c r="X20" s="51"/>
      <c r="Y20" s="51"/>
      <c r="Z20" s="51"/>
      <c r="AA20" s="42" t="str">
        <f ca="1">IF(Tbl_Members[[#This Row],[Date of Birth]]="","",INT(YEARFRAC(Z20,TODAY())))</f>
        <v/>
      </c>
      <c r="AB20" s="51"/>
      <c r="AC20" s="51"/>
      <c r="AD20" s="52"/>
    </row>
    <row r="21" spans="1:30" ht="30" customHeight="1" x14ac:dyDescent="0.25">
      <c r="A21" s="47"/>
      <c r="B21" s="48"/>
      <c r="C21" s="49"/>
      <c r="D2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1" s="49"/>
      <c r="F21" s="43" t="str">
        <f ca="1">IF(Tbl_Members[Last Active]="","",IF(_xlfn.DAYS(TODAY(),Tbl_Members[Last Active])&lt;22,"No","Yes"))</f>
        <v/>
      </c>
      <c r="G21" s="49"/>
      <c r="H21" s="39" t="str">
        <f>IF(Tbl_Members[[#This Row],[Date Recruited]]="","",TEXT(Tbl_Members[[#This Row],[Date Recruited]],"MM"))</f>
        <v/>
      </c>
      <c r="I21" s="48"/>
      <c r="J21" s="48"/>
      <c r="K21" s="50"/>
      <c r="L21" s="54"/>
      <c r="M21" s="54"/>
      <c r="N21" s="55"/>
      <c r="O21" s="55"/>
      <c r="P21" s="48"/>
      <c r="Q21" s="48"/>
      <c r="R21" s="48"/>
      <c r="S21" s="48"/>
      <c r="T21" s="56"/>
      <c r="U21" s="41" t="str">
        <f>IF(A21="","",HYPERLINK(CONCATENATE("http://xboxgamertag.com/search/",SUBSTITUTE(TRIM(Tbl_Members[Gamertag])," ","-"),"/xbox-one"),Tbl_Members[Gamertag]))</f>
        <v/>
      </c>
      <c r="V21" s="48"/>
      <c r="W21" s="49"/>
      <c r="X21" s="51"/>
      <c r="Y21" s="51"/>
      <c r="Z21" s="53"/>
      <c r="AA21" s="42" t="str">
        <f ca="1">IF(Tbl_Members[[#This Row],[Date of Birth]]="","",INT(YEARFRAC(Z21,TODAY())))</f>
        <v/>
      </c>
      <c r="AB21" s="51"/>
      <c r="AC21" s="51"/>
      <c r="AD21" s="52"/>
    </row>
    <row r="22" spans="1:30" ht="30" customHeight="1" x14ac:dyDescent="0.25">
      <c r="A22" s="47"/>
      <c r="B22" s="48"/>
      <c r="C22" s="49"/>
      <c r="D2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2" s="49"/>
      <c r="F22" s="43" t="str">
        <f ca="1">IF(Tbl_Members[Last Active]="","",IF(_xlfn.DAYS(TODAY(),Tbl_Members[Last Active])&lt;22,"No","Yes"))</f>
        <v/>
      </c>
      <c r="G22" s="49"/>
      <c r="H22" s="39" t="str">
        <f>IF(Tbl_Members[[#This Row],[Date Recruited]]="","",TEXT(Tbl_Members[[#This Row],[Date Recruited]],"MM"))</f>
        <v/>
      </c>
      <c r="I22" s="48"/>
      <c r="J22" s="48"/>
      <c r="K22" s="50"/>
      <c r="L22" s="54"/>
      <c r="M22" s="54"/>
      <c r="N22" s="55"/>
      <c r="O22" s="55"/>
      <c r="P22" s="48"/>
      <c r="Q22" s="48"/>
      <c r="R22" s="48"/>
      <c r="S22" s="48"/>
      <c r="T22" s="56"/>
      <c r="U22" s="41" t="str">
        <f>IF(A22="","",HYPERLINK(CONCATENATE("http://xboxgamertag.com/search/",SUBSTITUTE(TRIM(Tbl_Members[Gamertag])," ","-"),"/xbox-one"),Tbl_Members[Gamertag]))</f>
        <v/>
      </c>
      <c r="V22" s="48"/>
      <c r="W22" s="49"/>
      <c r="X22" s="51"/>
      <c r="Y22" s="51"/>
      <c r="Z22" s="53"/>
      <c r="AA22" s="42" t="str">
        <f ca="1">IF(Tbl_Members[[#This Row],[Date of Birth]]="","",INT(YEARFRAC(Z22,TODAY())))</f>
        <v/>
      </c>
      <c r="AB22" s="51"/>
      <c r="AC22" s="51"/>
      <c r="AD22" s="52"/>
    </row>
    <row r="23" spans="1:30" ht="30" customHeight="1" x14ac:dyDescent="0.25">
      <c r="A23" s="47"/>
      <c r="B23" s="48"/>
      <c r="C23" s="49"/>
      <c r="D2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3" s="49"/>
      <c r="F23" s="38" t="str">
        <f ca="1">IF(Tbl_Members[Last Active]="","",IF(_xlfn.DAYS(TODAY(),Tbl_Members[Last Active])&lt;22,"No","Yes"))</f>
        <v/>
      </c>
      <c r="G23" s="49"/>
      <c r="H23" s="39" t="str">
        <f>IF(Tbl_Members[[#This Row],[Date Recruited]]="","",TEXT(Tbl_Members[[#This Row],[Date Recruited]],"MM"))</f>
        <v/>
      </c>
      <c r="I23" s="48"/>
      <c r="J23" s="48"/>
      <c r="K23" s="50"/>
      <c r="L23" s="54"/>
      <c r="M23" s="54"/>
      <c r="N23" s="55"/>
      <c r="O23" s="55"/>
      <c r="P23" s="48"/>
      <c r="Q23" s="48"/>
      <c r="R23" s="48"/>
      <c r="S23" s="48"/>
      <c r="T23" s="56"/>
      <c r="U23" s="41" t="str">
        <f>IF(A23="","",HYPERLINK(CONCATENATE("http://xboxgamertag.com/search/",SUBSTITUTE(TRIM(Tbl_Members[Gamertag])," ","-"),"/xbox-one"),Tbl_Members[Gamertag]))</f>
        <v/>
      </c>
      <c r="V23" s="48"/>
      <c r="W23" s="49"/>
      <c r="X23" s="51"/>
      <c r="Y23" s="51"/>
      <c r="Z23" s="51"/>
      <c r="AA23" s="42" t="str">
        <f ca="1">IF(Tbl_Members[[#This Row],[Date of Birth]]="","",INT(YEARFRAC(Z23,TODAY())))</f>
        <v/>
      </c>
      <c r="AB23" s="51"/>
      <c r="AC23" s="51"/>
      <c r="AD23" s="52"/>
    </row>
    <row r="24" spans="1:30" ht="30" customHeight="1" x14ac:dyDescent="0.25">
      <c r="A24" s="47"/>
      <c r="B24" s="48"/>
      <c r="C24" s="49"/>
      <c r="D2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4" s="49"/>
      <c r="F24" s="43" t="str">
        <f ca="1">IF(Tbl_Members[Last Active]="","",IF(_xlfn.DAYS(TODAY(),Tbl_Members[Last Active])&lt;22,"No","Yes"))</f>
        <v/>
      </c>
      <c r="G24" s="49"/>
      <c r="H24" s="39" t="str">
        <f>IF(Tbl_Members[[#This Row],[Date Recruited]]="","",TEXT(Tbl_Members[[#This Row],[Date Recruited]],"MM"))</f>
        <v/>
      </c>
      <c r="I24" s="48"/>
      <c r="J24" s="48"/>
      <c r="K24" s="50"/>
      <c r="L24" s="54"/>
      <c r="M24" s="54"/>
      <c r="N24" s="55"/>
      <c r="O24" s="55"/>
      <c r="P24" s="48"/>
      <c r="Q24" s="48"/>
      <c r="R24" s="48"/>
      <c r="S24" s="48"/>
      <c r="T24" s="56"/>
      <c r="U24" s="41" t="str">
        <f>IF(A24="","",HYPERLINK(CONCATENATE("http://xboxgamertag.com/search/",SUBSTITUTE(TRIM(Tbl_Members[Gamertag])," ","-"),"/xbox-one"),Tbl_Members[Gamertag]))</f>
        <v/>
      </c>
      <c r="V24" s="48"/>
      <c r="W24" s="49"/>
      <c r="X24" s="51"/>
      <c r="Y24" s="51"/>
      <c r="Z24" s="51"/>
      <c r="AA24" s="42" t="str">
        <f ca="1">IF(Tbl_Members[[#This Row],[Date of Birth]]="","",INT(YEARFRAC(Z24,TODAY())))</f>
        <v/>
      </c>
      <c r="AB24" s="51"/>
      <c r="AC24" s="51"/>
      <c r="AD24" s="52"/>
    </row>
    <row r="25" spans="1:30" ht="30" customHeight="1" x14ac:dyDescent="0.25">
      <c r="A25" s="47"/>
      <c r="B25" s="48"/>
      <c r="C25" s="49"/>
      <c r="D2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5" s="49"/>
      <c r="F25" s="43" t="str">
        <f ca="1">IF(Tbl_Members[Last Active]="","",IF(_xlfn.DAYS(TODAY(),Tbl_Members[Last Active])&lt;22,"No","Yes"))</f>
        <v/>
      </c>
      <c r="G25" s="49"/>
      <c r="H25" s="39" t="str">
        <f>IF(Tbl_Members[[#This Row],[Date Recruited]]="","",TEXT(Tbl_Members[[#This Row],[Date Recruited]],"MM"))</f>
        <v/>
      </c>
      <c r="I25" s="48"/>
      <c r="J25" s="48"/>
      <c r="K25" s="50"/>
      <c r="L25" s="54"/>
      <c r="M25" s="54"/>
      <c r="N25" s="55"/>
      <c r="O25" s="55"/>
      <c r="P25" s="48"/>
      <c r="Q25" s="48"/>
      <c r="R25" s="48"/>
      <c r="S25" s="48"/>
      <c r="T25" s="56"/>
      <c r="U25" s="41" t="str">
        <f>IF(A25="","",HYPERLINK(CONCATENATE("http://xboxgamertag.com/search/",SUBSTITUTE(TRIM(Tbl_Members[Gamertag])," ","-"),"/xbox-one"),Tbl_Members[Gamertag]))</f>
        <v/>
      </c>
      <c r="V25" s="48"/>
      <c r="W25" s="49"/>
      <c r="X25" s="51"/>
      <c r="Y25" s="51"/>
      <c r="Z25" s="51"/>
      <c r="AA25" s="42" t="str">
        <f ca="1">IF(Tbl_Members[[#This Row],[Date of Birth]]="","",INT(YEARFRAC(Z25,TODAY())))</f>
        <v/>
      </c>
      <c r="AB25" s="51"/>
      <c r="AC25" s="51"/>
      <c r="AD25" s="52"/>
    </row>
    <row r="26" spans="1:30" ht="30" customHeight="1" x14ac:dyDescent="0.25">
      <c r="A26" s="47"/>
      <c r="B26" s="48"/>
      <c r="C26" s="49"/>
      <c r="D2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6" s="49"/>
      <c r="F26" s="43" t="str">
        <f ca="1">IF(Tbl_Members[Last Active]="","",IF(_xlfn.DAYS(TODAY(),Tbl_Members[Last Active])&lt;22,"No","Yes"))</f>
        <v/>
      </c>
      <c r="G26" s="49"/>
      <c r="H26" s="39" t="str">
        <f>IF(Tbl_Members[[#This Row],[Date Recruited]]="","",TEXT(Tbl_Members[[#This Row],[Date Recruited]],"MM"))</f>
        <v/>
      </c>
      <c r="I26" s="48"/>
      <c r="J26" s="48"/>
      <c r="K26" s="50"/>
      <c r="L26" s="54"/>
      <c r="M26" s="54"/>
      <c r="N26" s="55"/>
      <c r="O26" s="55"/>
      <c r="P26" s="48"/>
      <c r="Q26" s="48"/>
      <c r="R26" s="48"/>
      <c r="S26" s="48"/>
      <c r="T26" s="56"/>
      <c r="U26" s="41" t="str">
        <f>IF(A26="","",HYPERLINK(CONCATENATE("http://xboxgamertag.com/search/",SUBSTITUTE(TRIM(Tbl_Members[Gamertag])," ","-"),"/xbox-one"),Tbl_Members[Gamertag]))</f>
        <v/>
      </c>
      <c r="V26" s="48"/>
      <c r="W26" s="49"/>
      <c r="X26" s="51"/>
      <c r="Y26" s="51"/>
      <c r="Z26" s="53"/>
      <c r="AA26" s="42" t="str">
        <f ca="1">IF(Tbl_Members[[#This Row],[Date of Birth]]="","",INT(YEARFRAC(Z26,TODAY())))</f>
        <v/>
      </c>
      <c r="AB26" s="51"/>
      <c r="AC26" s="51"/>
      <c r="AD26" s="52"/>
    </row>
    <row r="27" spans="1:30" ht="30" customHeight="1" x14ac:dyDescent="0.25">
      <c r="A27" s="47"/>
      <c r="B27" s="48"/>
      <c r="C27" s="49"/>
      <c r="D2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7" s="49"/>
      <c r="F27" s="43" t="str">
        <f ca="1">IF(Tbl_Members[Last Active]="","",IF(_xlfn.DAYS(TODAY(),Tbl_Members[Last Active])&lt;22,"No","Yes"))</f>
        <v/>
      </c>
      <c r="G27" s="49"/>
      <c r="H27" s="39" t="str">
        <f>IF(Tbl_Members[[#This Row],[Date Recruited]]="","",TEXT(Tbl_Members[[#This Row],[Date Recruited]],"MM"))</f>
        <v/>
      </c>
      <c r="I27" s="48"/>
      <c r="J27" s="48"/>
      <c r="K27" s="50"/>
      <c r="L27" s="54"/>
      <c r="M27" s="54"/>
      <c r="N27" s="55"/>
      <c r="O27" s="55"/>
      <c r="P27" s="48"/>
      <c r="Q27" s="48"/>
      <c r="R27" s="48"/>
      <c r="S27" s="48"/>
      <c r="T27" s="56"/>
      <c r="U27" s="41" t="str">
        <f>IF(A27="","",HYPERLINK(CONCATENATE("http://xboxgamertag.com/search/",SUBSTITUTE(TRIM(Tbl_Members[Gamertag])," ","-"),"/xbox-one"),Tbl_Members[Gamertag]))</f>
        <v/>
      </c>
      <c r="V27" s="48"/>
      <c r="W27" s="49"/>
      <c r="X27" s="51"/>
      <c r="Y27" s="51"/>
      <c r="Z27" s="51"/>
      <c r="AA27" s="42" t="str">
        <f ca="1">IF(Tbl_Members[[#This Row],[Date of Birth]]="","",INT(YEARFRAC(Z27,TODAY())))</f>
        <v/>
      </c>
      <c r="AB27" s="51"/>
      <c r="AC27" s="51"/>
      <c r="AD27" s="52"/>
    </row>
    <row r="28" spans="1:30" ht="30" customHeight="1" x14ac:dyDescent="0.25">
      <c r="A28" s="47"/>
      <c r="B28" s="48"/>
      <c r="C28" s="49"/>
      <c r="D2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8" s="49"/>
      <c r="F28" s="43" t="str">
        <f ca="1">IF(Tbl_Members[Last Active]="","",IF(_xlfn.DAYS(TODAY(),Tbl_Members[Last Active])&lt;22,"No","Yes"))</f>
        <v/>
      </c>
      <c r="G28" s="49"/>
      <c r="H28" s="39" t="str">
        <f>IF(Tbl_Members[[#This Row],[Date Recruited]]="","",TEXT(Tbl_Members[[#This Row],[Date Recruited]],"MM"))</f>
        <v/>
      </c>
      <c r="I28" s="48"/>
      <c r="J28" s="48"/>
      <c r="K28" s="50"/>
      <c r="L28" s="54"/>
      <c r="M28" s="54"/>
      <c r="N28" s="55"/>
      <c r="O28" s="55"/>
      <c r="P28" s="48"/>
      <c r="Q28" s="48"/>
      <c r="R28" s="48"/>
      <c r="S28" s="48"/>
      <c r="T28" s="56"/>
      <c r="U28" s="41" t="str">
        <f>IF(A28="","",HYPERLINK(CONCATENATE("http://xboxgamertag.com/search/",SUBSTITUTE(TRIM(Tbl_Members[Gamertag])," ","-"),"/xbox-one"),Tbl_Members[Gamertag]))</f>
        <v/>
      </c>
      <c r="V28" s="48"/>
      <c r="W28" s="49"/>
      <c r="X28" s="51"/>
      <c r="Y28" s="51"/>
      <c r="Z28" s="53"/>
      <c r="AA28" s="42" t="str">
        <f ca="1">IF(Tbl_Members[[#This Row],[Date of Birth]]="","",INT(YEARFRAC(Z28,TODAY())))</f>
        <v/>
      </c>
      <c r="AB28" s="51"/>
      <c r="AC28" s="51"/>
      <c r="AD28" s="52"/>
    </row>
    <row r="29" spans="1:30" ht="30" customHeight="1" x14ac:dyDescent="0.25">
      <c r="A29" s="47"/>
      <c r="B29" s="48"/>
      <c r="C29" s="49"/>
      <c r="D2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29" s="49"/>
      <c r="F29" s="43" t="str">
        <f ca="1">IF(Tbl_Members[Last Active]="","",IF(_xlfn.DAYS(TODAY(),Tbl_Members[Last Active])&lt;22,"No","Yes"))</f>
        <v/>
      </c>
      <c r="G29" s="49"/>
      <c r="H29" s="39" t="str">
        <f>IF(Tbl_Members[[#This Row],[Date Recruited]]="","",TEXT(Tbl_Members[[#This Row],[Date Recruited]],"MM"))</f>
        <v/>
      </c>
      <c r="I29" s="48"/>
      <c r="J29" s="48"/>
      <c r="K29" s="50"/>
      <c r="L29" s="54"/>
      <c r="M29" s="54"/>
      <c r="N29" s="55"/>
      <c r="O29" s="55"/>
      <c r="P29" s="48"/>
      <c r="Q29" s="48"/>
      <c r="R29" s="48"/>
      <c r="S29" s="48"/>
      <c r="T29" s="56"/>
      <c r="U29" s="41" t="str">
        <f>IF(A29="","",HYPERLINK(CONCATENATE("http://xboxgamertag.com/search/",SUBSTITUTE(TRIM(Tbl_Members[Gamertag])," ","-"),"/xbox-one"),Tbl_Members[Gamertag]))</f>
        <v/>
      </c>
      <c r="V29" s="48"/>
      <c r="W29" s="49"/>
      <c r="X29" s="51"/>
      <c r="Y29" s="51"/>
      <c r="Z29" s="53"/>
      <c r="AA29" s="42" t="str">
        <f ca="1">IF(Tbl_Members[[#This Row],[Date of Birth]]="","",INT(YEARFRAC(Z29,TODAY())))</f>
        <v/>
      </c>
      <c r="AB29" s="51"/>
      <c r="AC29" s="51"/>
      <c r="AD29" s="52"/>
    </row>
    <row r="30" spans="1:30" ht="30" customHeight="1" x14ac:dyDescent="0.25">
      <c r="A30" s="47"/>
      <c r="B30" s="48"/>
      <c r="C30" s="49"/>
      <c r="D3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0" s="49"/>
      <c r="F30" s="43" t="str">
        <f ca="1">IF(Tbl_Members[Last Active]="","",IF(_xlfn.DAYS(TODAY(),Tbl_Members[Last Active])&lt;22,"No","Yes"))</f>
        <v/>
      </c>
      <c r="G30" s="49"/>
      <c r="H30" s="39" t="str">
        <f>IF(Tbl_Members[[#This Row],[Date Recruited]]="","",TEXT(Tbl_Members[[#This Row],[Date Recruited]],"MM"))</f>
        <v/>
      </c>
      <c r="I30" s="48"/>
      <c r="J30" s="48"/>
      <c r="K30" s="50"/>
      <c r="L30" s="54"/>
      <c r="M30" s="54"/>
      <c r="N30" s="55"/>
      <c r="O30" s="55"/>
      <c r="P30" s="48"/>
      <c r="Q30" s="48"/>
      <c r="R30" s="48"/>
      <c r="S30" s="48"/>
      <c r="T30" s="56"/>
      <c r="U30" s="41" t="str">
        <f>IF(A30="","",HYPERLINK(CONCATENATE("http://xboxgamertag.com/search/",SUBSTITUTE(TRIM(Tbl_Members[Gamertag])," ","-"),"/xbox-one"),Tbl_Members[Gamertag]))</f>
        <v/>
      </c>
      <c r="V30" s="48"/>
      <c r="W30" s="49"/>
      <c r="X30" s="51"/>
      <c r="Y30" s="51"/>
      <c r="Z30" s="51"/>
      <c r="AA30" s="42" t="str">
        <f ca="1">IF(Tbl_Members[[#This Row],[Date of Birth]]="","",INT(YEARFRAC(Z30,TODAY())))</f>
        <v/>
      </c>
      <c r="AB30" s="51"/>
      <c r="AC30" s="51"/>
      <c r="AD30" s="52"/>
    </row>
    <row r="31" spans="1:30" ht="30" customHeight="1" x14ac:dyDescent="0.25">
      <c r="A31" s="47"/>
      <c r="B31" s="48"/>
      <c r="C31" s="49"/>
      <c r="D3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1" s="49"/>
      <c r="F31" s="43" t="str">
        <f ca="1">IF(Tbl_Members[Last Active]="","",IF(_xlfn.DAYS(TODAY(),Tbl_Members[Last Active])&lt;22,"No","Yes"))</f>
        <v/>
      </c>
      <c r="G31" s="49"/>
      <c r="H31" s="39" t="str">
        <f>IF(Tbl_Members[[#This Row],[Date Recruited]]="","",TEXT(Tbl_Members[[#This Row],[Date Recruited]],"MM"))</f>
        <v/>
      </c>
      <c r="I31" s="48"/>
      <c r="J31" s="48"/>
      <c r="K31" s="50"/>
      <c r="L31" s="54"/>
      <c r="M31" s="54"/>
      <c r="N31" s="55"/>
      <c r="O31" s="55"/>
      <c r="P31" s="48"/>
      <c r="Q31" s="48"/>
      <c r="R31" s="48"/>
      <c r="S31" s="48"/>
      <c r="T31" s="56"/>
      <c r="U31" s="41" t="str">
        <f>IF(A31="","",HYPERLINK(CONCATENATE("http://xboxgamertag.com/search/",SUBSTITUTE(TRIM(Tbl_Members[Gamertag])," ","-"),"/xbox-one"),Tbl_Members[Gamertag]))</f>
        <v/>
      </c>
      <c r="V31" s="48"/>
      <c r="W31" s="49"/>
      <c r="X31" s="51"/>
      <c r="Y31" s="51"/>
      <c r="Z31" s="53"/>
      <c r="AA31" s="42" t="str">
        <f ca="1">IF(Tbl_Members[[#This Row],[Date of Birth]]="","",INT(YEARFRAC(Z31,TODAY())))</f>
        <v/>
      </c>
      <c r="AB31" s="51"/>
      <c r="AC31" s="51"/>
      <c r="AD31" s="52"/>
    </row>
    <row r="32" spans="1:30" ht="30" customHeight="1" x14ac:dyDescent="0.25">
      <c r="A32" s="47"/>
      <c r="B32" s="48"/>
      <c r="C32" s="49"/>
      <c r="D3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2" s="49"/>
      <c r="F32" s="43" t="str">
        <f ca="1">IF(Tbl_Members[Last Active]="","",IF(_xlfn.DAYS(TODAY(),Tbl_Members[Last Active])&lt;22,"No","Yes"))</f>
        <v/>
      </c>
      <c r="G32" s="49"/>
      <c r="H32" s="39" t="str">
        <f>IF(Tbl_Members[[#This Row],[Date Recruited]]="","",TEXT(Tbl_Members[[#This Row],[Date Recruited]],"MM"))</f>
        <v/>
      </c>
      <c r="I32" s="48"/>
      <c r="J32" s="48"/>
      <c r="K32" s="50"/>
      <c r="L32" s="54"/>
      <c r="M32" s="54"/>
      <c r="N32" s="55"/>
      <c r="O32" s="55"/>
      <c r="P32" s="48"/>
      <c r="Q32" s="48"/>
      <c r="R32" s="48"/>
      <c r="S32" s="48"/>
      <c r="T32" s="56"/>
      <c r="U32" s="41" t="str">
        <f>IF(A32="","",HYPERLINK(CONCATENATE("http://xboxgamertag.com/search/",SUBSTITUTE(TRIM(Tbl_Members[Gamertag])," ","-"),"/xbox-one"),Tbl_Members[Gamertag]))</f>
        <v/>
      </c>
      <c r="V32" s="48"/>
      <c r="W32" s="49"/>
      <c r="X32" s="51"/>
      <c r="Y32" s="51"/>
      <c r="Z32" s="53"/>
      <c r="AA32" s="42" t="str">
        <f ca="1">IF(Tbl_Members[[#This Row],[Date of Birth]]="","",INT(YEARFRAC(Z32,TODAY())))</f>
        <v/>
      </c>
      <c r="AB32" s="51"/>
      <c r="AC32" s="51"/>
      <c r="AD32" s="52"/>
    </row>
    <row r="33" spans="1:30" ht="30" customHeight="1" x14ac:dyDescent="0.25">
      <c r="A33" s="47"/>
      <c r="B33" s="48"/>
      <c r="C33" s="49"/>
      <c r="D3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3" s="49"/>
      <c r="F33" s="43" t="str">
        <f ca="1">IF(Tbl_Members[Last Active]="","",IF(_xlfn.DAYS(TODAY(),Tbl_Members[Last Active])&lt;22,"No","Yes"))</f>
        <v/>
      </c>
      <c r="G33" s="49"/>
      <c r="H33" s="39" t="str">
        <f>IF(Tbl_Members[[#This Row],[Date Recruited]]="","",TEXT(Tbl_Members[[#This Row],[Date Recruited]],"MM"))</f>
        <v/>
      </c>
      <c r="I33" s="48"/>
      <c r="J33" s="48"/>
      <c r="K33" s="50"/>
      <c r="L33" s="54"/>
      <c r="M33" s="54"/>
      <c r="N33" s="55"/>
      <c r="O33" s="55"/>
      <c r="P33" s="48"/>
      <c r="Q33" s="48"/>
      <c r="R33" s="48"/>
      <c r="S33" s="48"/>
      <c r="T33" s="56"/>
      <c r="U33" s="41" t="str">
        <f>IF(A33="","",HYPERLINK(CONCATENATE("http://xboxgamertag.com/search/",SUBSTITUTE(TRIM(Tbl_Members[Gamertag])," ","-"),"/xbox-one"),Tbl_Members[Gamertag]))</f>
        <v/>
      </c>
      <c r="V33" s="48"/>
      <c r="W33" s="49"/>
      <c r="X33" s="51"/>
      <c r="Y33" s="51"/>
      <c r="Z33" s="53"/>
      <c r="AA33" s="42" t="str">
        <f ca="1">IF(Tbl_Members[[#This Row],[Date of Birth]]="","",INT(YEARFRAC(Z33,TODAY())))</f>
        <v/>
      </c>
      <c r="AB33" s="51"/>
      <c r="AC33" s="51"/>
      <c r="AD33" s="52"/>
    </row>
    <row r="34" spans="1:30" ht="30" customHeight="1" x14ac:dyDescent="0.25">
      <c r="A34" s="47"/>
      <c r="B34" s="48"/>
      <c r="C34" s="49"/>
      <c r="D3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4" s="49"/>
      <c r="F34" s="43" t="str">
        <f ca="1">IF(Tbl_Members[Last Active]="","",IF(_xlfn.DAYS(TODAY(),Tbl_Members[Last Active])&lt;22,"No","Yes"))</f>
        <v/>
      </c>
      <c r="G34" s="49"/>
      <c r="H34" s="39" t="str">
        <f>IF(Tbl_Members[[#This Row],[Date Recruited]]="","",TEXT(Tbl_Members[[#This Row],[Date Recruited]],"MM"))</f>
        <v/>
      </c>
      <c r="I34" s="48"/>
      <c r="J34" s="48"/>
      <c r="K34" s="50"/>
      <c r="L34" s="54"/>
      <c r="M34" s="54"/>
      <c r="N34" s="55"/>
      <c r="O34" s="55"/>
      <c r="P34" s="48"/>
      <c r="Q34" s="48"/>
      <c r="R34" s="48"/>
      <c r="S34" s="48"/>
      <c r="T34" s="56"/>
      <c r="U34" s="41" t="str">
        <f>IF(A34="","",HYPERLINK(CONCATENATE("http://xboxgamertag.com/search/",SUBSTITUTE(TRIM(Tbl_Members[Gamertag])," ","-"),"/xbox-one"),Tbl_Members[Gamertag]))</f>
        <v/>
      </c>
      <c r="V34" s="48"/>
      <c r="W34" s="49"/>
      <c r="X34" s="51"/>
      <c r="Y34" s="51"/>
      <c r="Z34" s="51"/>
      <c r="AA34" s="42" t="str">
        <f ca="1">IF(Tbl_Members[[#This Row],[Date of Birth]]="","",INT(YEARFRAC(Z34,TODAY())))</f>
        <v/>
      </c>
      <c r="AB34" s="51"/>
      <c r="AC34" s="51"/>
      <c r="AD34" s="52"/>
    </row>
    <row r="35" spans="1:30" ht="30" customHeight="1" x14ac:dyDescent="0.25">
      <c r="A35" s="47"/>
      <c r="B35" s="48"/>
      <c r="C35" s="49"/>
      <c r="D3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5" s="49"/>
      <c r="F35" s="43" t="str">
        <f ca="1">IF(Tbl_Members[Last Active]="","",IF(_xlfn.DAYS(TODAY(),Tbl_Members[Last Active])&lt;22,"No","Yes"))</f>
        <v/>
      </c>
      <c r="G35" s="49"/>
      <c r="H35" s="39" t="str">
        <f>IF(Tbl_Members[[#This Row],[Date Recruited]]="","",TEXT(Tbl_Members[[#This Row],[Date Recruited]],"MM"))</f>
        <v/>
      </c>
      <c r="I35" s="48"/>
      <c r="J35" s="48"/>
      <c r="K35" s="50"/>
      <c r="L35" s="54"/>
      <c r="M35" s="54"/>
      <c r="N35" s="55"/>
      <c r="O35" s="55"/>
      <c r="P35" s="48"/>
      <c r="Q35" s="48"/>
      <c r="R35" s="48"/>
      <c r="S35" s="48"/>
      <c r="T35" s="56"/>
      <c r="U35" s="41" t="str">
        <f>IF(A35="","",HYPERLINK(CONCATENATE("http://xboxgamertag.com/search/",SUBSTITUTE(TRIM(Tbl_Members[Gamertag])," ","-"),"/xbox-one"),Tbl_Members[Gamertag]))</f>
        <v/>
      </c>
      <c r="V35" s="48"/>
      <c r="W35" s="49"/>
      <c r="X35" s="51"/>
      <c r="Y35" s="51"/>
      <c r="Z35" s="51"/>
      <c r="AA35" s="42" t="str">
        <f ca="1">IF(Tbl_Members[[#This Row],[Date of Birth]]="","",INT(YEARFRAC(Z35,TODAY())))</f>
        <v/>
      </c>
      <c r="AB35" s="51"/>
      <c r="AC35" s="51"/>
      <c r="AD35" s="52"/>
    </row>
    <row r="36" spans="1:30" ht="30" customHeight="1" x14ac:dyDescent="0.25">
      <c r="A36" s="47"/>
      <c r="B36" s="48"/>
      <c r="C36" s="49"/>
      <c r="D3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6" s="49"/>
      <c r="F36" s="43" t="str">
        <f ca="1">IF(Tbl_Members[Last Active]="","",IF(_xlfn.DAYS(TODAY(),Tbl_Members[Last Active])&lt;22,"No","Yes"))</f>
        <v/>
      </c>
      <c r="G36" s="49"/>
      <c r="H36" s="39" t="str">
        <f>IF(Tbl_Members[[#This Row],[Date Recruited]]="","",TEXT(Tbl_Members[[#This Row],[Date Recruited]],"MM"))</f>
        <v/>
      </c>
      <c r="I36" s="48"/>
      <c r="J36" s="48"/>
      <c r="K36" s="50"/>
      <c r="L36" s="54"/>
      <c r="M36" s="54"/>
      <c r="N36" s="55"/>
      <c r="O36" s="55"/>
      <c r="P36" s="48"/>
      <c r="Q36" s="48"/>
      <c r="R36" s="48"/>
      <c r="S36" s="48"/>
      <c r="T36" s="56"/>
      <c r="U36" s="41" t="str">
        <f>IF(A36="","",HYPERLINK(CONCATENATE("http://xboxgamertag.com/search/",SUBSTITUTE(TRIM(Tbl_Members[Gamertag])," ","-"),"/xbox-one"),Tbl_Members[Gamertag]))</f>
        <v/>
      </c>
      <c r="V36" s="48"/>
      <c r="W36" s="49"/>
      <c r="X36" s="51"/>
      <c r="Y36" s="51"/>
      <c r="Z36" s="51"/>
      <c r="AA36" s="42" t="str">
        <f ca="1">IF(Tbl_Members[[#This Row],[Date of Birth]]="","",INT(YEARFRAC(Z36,TODAY())))</f>
        <v/>
      </c>
      <c r="AB36" s="51"/>
      <c r="AC36" s="51"/>
      <c r="AD36" s="52"/>
    </row>
    <row r="37" spans="1:30" ht="30" customHeight="1" x14ac:dyDescent="0.25">
      <c r="A37" s="47"/>
      <c r="B37" s="48"/>
      <c r="C37" s="49"/>
      <c r="D3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7" s="49"/>
      <c r="F37" s="43" t="str">
        <f ca="1">IF(Tbl_Members[Last Active]="","",IF(_xlfn.DAYS(TODAY(),Tbl_Members[Last Active])&lt;22,"No","Yes"))</f>
        <v/>
      </c>
      <c r="G37" s="49"/>
      <c r="H37" s="39" t="str">
        <f>IF(Tbl_Members[[#This Row],[Date Recruited]]="","",TEXT(Tbl_Members[[#This Row],[Date Recruited]],"MM"))</f>
        <v/>
      </c>
      <c r="I37" s="48"/>
      <c r="J37" s="48"/>
      <c r="K37" s="50"/>
      <c r="L37" s="54"/>
      <c r="M37" s="54"/>
      <c r="N37" s="55"/>
      <c r="O37" s="55"/>
      <c r="P37" s="48"/>
      <c r="Q37" s="48"/>
      <c r="R37" s="48"/>
      <c r="S37" s="48"/>
      <c r="T37" s="56"/>
      <c r="U37" s="41" t="str">
        <f>IF(A37="","",HYPERLINK(CONCATENATE("http://xboxgamertag.com/search/",SUBSTITUTE(TRIM(Tbl_Members[Gamertag])," ","-"),"/xbox-one"),Tbl_Members[Gamertag]))</f>
        <v/>
      </c>
      <c r="V37" s="48"/>
      <c r="W37" s="49"/>
      <c r="X37" s="51"/>
      <c r="Y37" s="51"/>
      <c r="Z37" s="51"/>
      <c r="AA37" s="42" t="str">
        <f ca="1">IF(Tbl_Members[[#This Row],[Date of Birth]]="","",INT(YEARFRAC(Z37,TODAY())))</f>
        <v/>
      </c>
      <c r="AB37" s="51"/>
      <c r="AC37" s="51"/>
      <c r="AD37" s="52"/>
    </row>
    <row r="38" spans="1:30" ht="30" customHeight="1" x14ac:dyDescent="0.25">
      <c r="A38" s="47"/>
      <c r="B38" s="48"/>
      <c r="C38" s="49"/>
      <c r="D3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8" s="49"/>
      <c r="F38" s="43" t="str">
        <f ca="1">IF(Tbl_Members[Last Active]="","",IF(_xlfn.DAYS(TODAY(),Tbl_Members[Last Active])&lt;22,"No","Yes"))</f>
        <v/>
      </c>
      <c r="G38" s="49"/>
      <c r="H38" s="39" t="str">
        <f>IF(Tbl_Members[[#This Row],[Date Recruited]]="","",TEXT(Tbl_Members[[#This Row],[Date Recruited]],"MM"))</f>
        <v/>
      </c>
      <c r="I38" s="48"/>
      <c r="J38" s="48"/>
      <c r="K38" s="50"/>
      <c r="L38" s="54"/>
      <c r="M38" s="54"/>
      <c r="N38" s="55"/>
      <c r="O38" s="55"/>
      <c r="P38" s="48"/>
      <c r="Q38" s="48"/>
      <c r="R38" s="48"/>
      <c r="S38" s="48"/>
      <c r="T38" s="56"/>
      <c r="U38" s="41" t="str">
        <f>IF(A38="","",HYPERLINK(CONCATENATE("http://xboxgamertag.com/search/",SUBSTITUTE(TRIM(Tbl_Members[Gamertag])," ","-"),"/xbox-one"),Tbl_Members[Gamertag]))</f>
        <v/>
      </c>
      <c r="V38" s="48"/>
      <c r="W38" s="49"/>
      <c r="X38" s="51"/>
      <c r="Y38" s="51"/>
      <c r="Z38" s="51"/>
      <c r="AA38" s="42" t="str">
        <f ca="1">IF(Tbl_Members[[#This Row],[Date of Birth]]="","",INT(YEARFRAC(Z38,TODAY())))</f>
        <v/>
      </c>
      <c r="AB38" s="51"/>
      <c r="AC38" s="51"/>
      <c r="AD38" s="52"/>
    </row>
    <row r="39" spans="1:30" ht="30" customHeight="1" x14ac:dyDescent="0.25">
      <c r="A39" s="47"/>
      <c r="B39" s="48"/>
      <c r="C39" s="49"/>
      <c r="D3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39" s="49"/>
      <c r="F39" s="43" t="str">
        <f ca="1">IF(Tbl_Members[Last Active]="","",IF(_xlfn.DAYS(TODAY(),Tbl_Members[Last Active])&lt;22,"No","Yes"))</f>
        <v/>
      </c>
      <c r="G39" s="49"/>
      <c r="H39" s="39" t="str">
        <f>IF(Tbl_Members[[#This Row],[Date Recruited]]="","",TEXT(Tbl_Members[[#This Row],[Date Recruited]],"MM"))</f>
        <v/>
      </c>
      <c r="I39" s="48"/>
      <c r="J39" s="48"/>
      <c r="K39" s="50"/>
      <c r="L39" s="54"/>
      <c r="M39" s="54"/>
      <c r="N39" s="55"/>
      <c r="O39" s="55"/>
      <c r="P39" s="48"/>
      <c r="Q39" s="48"/>
      <c r="R39" s="48"/>
      <c r="S39" s="48"/>
      <c r="T39" s="56"/>
      <c r="U39" s="41" t="str">
        <f>IF(A39="","",HYPERLINK(CONCATENATE("http://xboxgamertag.com/search/",SUBSTITUTE(TRIM(Tbl_Members[Gamertag])," ","-"),"/xbox-one"),Tbl_Members[Gamertag]))</f>
        <v/>
      </c>
      <c r="V39" s="48"/>
      <c r="W39" s="49"/>
      <c r="X39" s="51"/>
      <c r="Y39" s="51"/>
      <c r="Z39" s="51"/>
      <c r="AA39" s="42" t="str">
        <f ca="1">IF(Tbl_Members[[#This Row],[Date of Birth]]="","",INT(YEARFRAC(Z39,TODAY())))</f>
        <v/>
      </c>
      <c r="AB39" s="51"/>
      <c r="AC39" s="51"/>
      <c r="AD39" s="52"/>
    </row>
    <row r="40" spans="1:30" ht="30" customHeight="1" x14ac:dyDescent="0.25">
      <c r="A40" s="47"/>
      <c r="B40" s="48"/>
      <c r="C40" s="49"/>
      <c r="D4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0" s="49"/>
      <c r="F40" s="38" t="str">
        <f ca="1">IF(Tbl_Members[Last Active]="","",IF(_xlfn.DAYS(TODAY(),Tbl_Members[Last Active])&lt;22,"No","Yes"))</f>
        <v/>
      </c>
      <c r="G40" s="49"/>
      <c r="H40" s="39" t="str">
        <f>IF(Tbl_Members[[#This Row],[Date Recruited]]="","",TEXT(Tbl_Members[[#This Row],[Date Recruited]],"MM"))</f>
        <v/>
      </c>
      <c r="I40" s="48"/>
      <c r="J40" s="48"/>
      <c r="K40" s="50"/>
      <c r="L40" s="54"/>
      <c r="M40" s="54"/>
      <c r="N40" s="55"/>
      <c r="O40" s="55"/>
      <c r="P40" s="48"/>
      <c r="Q40" s="48"/>
      <c r="R40" s="48"/>
      <c r="S40" s="48"/>
      <c r="T40" s="56"/>
      <c r="U40" s="41" t="str">
        <f>IF(A40="","",HYPERLINK(CONCATENATE("http://xboxgamertag.com/search/",SUBSTITUTE(TRIM(Tbl_Members[Gamertag])," ","-"),"/xbox-one"),Tbl_Members[Gamertag]))</f>
        <v/>
      </c>
      <c r="V40" s="48"/>
      <c r="W40" s="49"/>
      <c r="X40" s="51"/>
      <c r="Y40" s="51"/>
      <c r="Z40" s="51"/>
      <c r="AA40" s="42" t="str">
        <f ca="1">IF(Tbl_Members[[#This Row],[Date of Birth]]="","",INT(YEARFRAC(Z40,TODAY())))</f>
        <v/>
      </c>
      <c r="AB40" s="51"/>
      <c r="AC40" s="51"/>
      <c r="AD40" s="52"/>
    </row>
    <row r="41" spans="1:30" ht="30" customHeight="1" x14ac:dyDescent="0.25">
      <c r="A41" s="47"/>
      <c r="B41" s="48"/>
      <c r="C41" s="49"/>
      <c r="D4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1" s="49"/>
      <c r="F41" s="38" t="str">
        <f ca="1">IF(Tbl_Members[Last Active]="","",IF(_xlfn.DAYS(TODAY(),Tbl_Members[Last Active])&lt;22,"No","Yes"))</f>
        <v/>
      </c>
      <c r="G41" s="49"/>
      <c r="H41" s="39" t="str">
        <f>IF(Tbl_Members[[#This Row],[Date Recruited]]="","",TEXT(Tbl_Members[[#This Row],[Date Recruited]],"MM"))</f>
        <v/>
      </c>
      <c r="I41" s="48"/>
      <c r="J41" s="48"/>
      <c r="K41" s="50"/>
      <c r="L41" s="54"/>
      <c r="M41" s="54"/>
      <c r="N41" s="55"/>
      <c r="O41" s="55"/>
      <c r="P41" s="48"/>
      <c r="Q41" s="48"/>
      <c r="R41" s="48"/>
      <c r="S41" s="48"/>
      <c r="T41" s="56"/>
      <c r="U41" s="41" t="str">
        <f>IF(A41="","",HYPERLINK(CONCATENATE("http://xboxgamertag.com/search/",SUBSTITUTE(TRIM(Tbl_Members[Gamertag])," ","-"),"/xbox-one"),Tbl_Members[Gamertag]))</f>
        <v/>
      </c>
      <c r="V41" s="48"/>
      <c r="W41" s="49"/>
      <c r="X41" s="51"/>
      <c r="Y41" s="51"/>
      <c r="Z41" s="51"/>
      <c r="AA41" s="42" t="str">
        <f ca="1">IF(Tbl_Members[[#This Row],[Date of Birth]]="","",INT(YEARFRAC(Z41,TODAY())))</f>
        <v/>
      </c>
      <c r="AB41" s="51"/>
      <c r="AC41" s="51"/>
      <c r="AD41" s="52"/>
    </row>
    <row r="42" spans="1:30" ht="30" customHeight="1" x14ac:dyDescent="0.25">
      <c r="A42" s="47"/>
      <c r="B42" s="48"/>
      <c r="C42" s="49"/>
      <c r="D4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2" s="49"/>
      <c r="F42" s="38" t="str">
        <f ca="1">IF(Tbl_Members[Last Active]="","",IF(_xlfn.DAYS(TODAY(),Tbl_Members[Last Active])&lt;22,"No","Yes"))</f>
        <v/>
      </c>
      <c r="G42" s="49"/>
      <c r="H42" s="39" t="str">
        <f>IF(Tbl_Members[[#This Row],[Date Recruited]]="","",TEXT(Tbl_Members[[#This Row],[Date Recruited]],"MM"))</f>
        <v/>
      </c>
      <c r="I42" s="48"/>
      <c r="J42" s="48"/>
      <c r="K42" s="50"/>
      <c r="L42" s="54"/>
      <c r="M42" s="54"/>
      <c r="N42" s="55"/>
      <c r="O42" s="55"/>
      <c r="P42" s="48"/>
      <c r="Q42" s="48"/>
      <c r="R42" s="48"/>
      <c r="S42" s="48"/>
      <c r="T42" s="56"/>
      <c r="U42" s="41" t="str">
        <f>IF(A42="","",HYPERLINK(CONCATENATE("http://xboxgamertag.com/search/",SUBSTITUTE(TRIM(Tbl_Members[Gamertag])," ","-"),"/xbox-one"),Tbl_Members[Gamertag]))</f>
        <v/>
      </c>
      <c r="V42" s="48"/>
      <c r="W42" s="49"/>
      <c r="X42" s="51"/>
      <c r="Y42" s="51"/>
      <c r="Z42" s="51"/>
      <c r="AA42" s="42" t="str">
        <f ca="1">IF(Tbl_Members[[#This Row],[Date of Birth]]="","",INT(YEARFRAC(Z42,TODAY())))</f>
        <v/>
      </c>
      <c r="AB42" s="51"/>
      <c r="AC42" s="51"/>
      <c r="AD42" s="52"/>
    </row>
    <row r="43" spans="1:30" ht="30" customHeight="1" x14ac:dyDescent="0.25">
      <c r="A43" s="47"/>
      <c r="B43" s="48"/>
      <c r="C43" s="49"/>
      <c r="D4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3" s="49"/>
      <c r="F43" s="38" t="str">
        <f ca="1">IF(Tbl_Members[Last Active]="","",IF(_xlfn.DAYS(TODAY(),Tbl_Members[Last Active])&lt;22,"No","Yes"))</f>
        <v/>
      </c>
      <c r="G43" s="49"/>
      <c r="H43" s="39" t="str">
        <f>IF(Tbl_Members[[#This Row],[Date Recruited]]="","",TEXT(Tbl_Members[[#This Row],[Date Recruited]],"MM"))</f>
        <v/>
      </c>
      <c r="I43" s="48"/>
      <c r="J43" s="48"/>
      <c r="K43" s="50"/>
      <c r="L43" s="54"/>
      <c r="M43" s="54"/>
      <c r="N43" s="55"/>
      <c r="O43" s="55"/>
      <c r="P43" s="48"/>
      <c r="Q43" s="48"/>
      <c r="R43" s="48"/>
      <c r="S43" s="48"/>
      <c r="T43" s="56"/>
      <c r="U43" s="41" t="str">
        <f>IF(A43="","",HYPERLINK(CONCATENATE("http://xboxgamertag.com/search/",SUBSTITUTE(TRIM(Tbl_Members[Gamertag])," ","-"),"/xbox-one"),Tbl_Members[Gamertag]))</f>
        <v/>
      </c>
      <c r="V43" s="48"/>
      <c r="W43" s="49"/>
      <c r="X43" s="51"/>
      <c r="Y43" s="51"/>
      <c r="Z43" s="51"/>
      <c r="AA43" s="42" t="str">
        <f ca="1">IF(Tbl_Members[[#This Row],[Date of Birth]]="","",INT(YEARFRAC(Z43,TODAY())))</f>
        <v/>
      </c>
      <c r="AB43" s="51"/>
      <c r="AC43" s="51"/>
      <c r="AD43" s="52"/>
    </row>
    <row r="44" spans="1:30" ht="30" customHeight="1" x14ac:dyDescent="0.25">
      <c r="A44" s="47"/>
      <c r="B44" s="48"/>
      <c r="C44" s="49"/>
      <c r="D4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4" s="49"/>
      <c r="F44" s="38" t="str">
        <f ca="1">IF(Tbl_Members[Last Active]="","",IF(_xlfn.DAYS(TODAY(),Tbl_Members[Last Active])&lt;22,"No","Yes"))</f>
        <v/>
      </c>
      <c r="G44" s="49"/>
      <c r="H44" s="39" t="str">
        <f>IF(Tbl_Members[[#This Row],[Date Recruited]]="","",TEXT(Tbl_Members[[#This Row],[Date Recruited]],"MM"))</f>
        <v/>
      </c>
      <c r="I44" s="48"/>
      <c r="J44" s="48"/>
      <c r="K44" s="50"/>
      <c r="L44" s="54"/>
      <c r="M44" s="54"/>
      <c r="N44" s="55"/>
      <c r="O44" s="55"/>
      <c r="P44" s="48"/>
      <c r="Q44" s="48"/>
      <c r="R44" s="48"/>
      <c r="S44" s="48"/>
      <c r="T44" s="56"/>
      <c r="U44" s="41" t="str">
        <f>IF(A44="","",HYPERLINK(CONCATENATE("http://xboxgamertag.com/search/",SUBSTITUTE(TRIM(Tbl_Members[Gamertag])," ","-"),"/xbox-one"),Tbl_Members[Gamertag]))</f>
        <v/>
      </c>
      <c r="V44" s="48"/>
      <c r="W44" s="49"/>
      <c r="X44" s="51"/>
      <c r="Y44" s="51"/>
      <c r="Z44" s="51"/>
      <c r="AA44" s="42" t="str">
        <f ca="1">IF(Tbl_Members[[#This Row],[Date of Birth]]="","",INT(YEARFRAC(Z44,TODAY())))</f>
        <v/>
      </c>
      <c r="AB44" s="51"/>
      <c r="AC44" s="51"/>
      <c r="AD44" s="52"/>
    </row>
    <row r="45" spans="1:30" ht="30" customHeight="1" x14ac:dyDescent="0.25">
      <c r="A45" s="47"/>
      <c r="B45" s="48"/>
      <c r="C45" s="49"/>
      <c r="D4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5" s="49"/>
      <c r="F45" s="38" t="str">
        <f ca="1">IF(Tbl_Members[Last Active]="","",IF(_xlfn.DAYS(TODAY(),Tbl_Members[Last Active])&lt;22,"No","Yes"))</f>
        <v/>
      </c>
      <c r="G45" s="49"/>
      <c r="H45" s="39" t="str">
        <f>IF(Tbl_Members[[#This Row],[Date Recruited]]="","",TEXT(Tbl_Members[[#This Row],[Date Recruited]],"MM"))</f>
        <v/>
      </c>
      <c r="I45" s="48"/>
      <c r="J45" s="48"/>
      <c r="K45" s="50"/>
      <c r="L45" s="54"/>
      <c r="M45" s="54"/>
      <c r="N45" s="55"/>
      <c r="O45" s="55"/>
      <c r="P45" s="48"/>
      <c r="Q45" s="48"/>
      <c r="R45" s="48"/>
      <c r="S45" s="48"/>
      <c r="T45" s="56"/>
      <c r="U45" s="41" t="str">
        <f>IF(A45="","",HYPERLINK(CONCATENATE("http://xboxgamertag.com/search/",SUBSTITUTE(TRIM(Tbl_Members[Gamertag])," ","-"),"/xbox-one"),Tbl_Members[Gamertag]))</f>
        <v/>
      </c>
      <c r="V45" s="48"/>
      <c r="W45" s="49"/>
      <c r="X45" s="51"/>
      <c r="Y45" s="51"/>
      <c r="Z45" s="51"/>
      <c r="AA45" s="42" t="str">
        <f ca="1">IF(Tbl_Members[[#This Row],[Date of Birth]]="","",INT(YEARFRAC(Z45,TODAY())))</f>
        <v/>
      </c>
      <c r="AB45" s="51"/>
      <c r="AC45" s="51"/>
      <c r="AD45" s="52"/>
    </row>
    <row r="46" spans="1:30" ht="30" customHeight="1" x14ac:dyDescent="0.25">
      <c r="A46" s="47"/>
      <c r="B46" s="48"/>
      <c r="C46" s="49"/>
      <c r="D4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6" s="49"/>
      <c r="F46" s="38" t="str">
        <f ca="1">IF(Tbl_Members[Last Active]="","",IF(_xlfn.DAYS(TODAY(),Tbl_Members[Last Active])&lt;22,"No","Yes"))</f>
        <v/>
      </c>
      <c r="G46" s="49"/>
      <c r="H46" s="39" t="str">
        <f>IF(Tbl_Members[[#This Row],[Date Recruited]]="","",TEXT(Tbl_Members[[#This Row],[Date Recruited]],"MM"))</f>
        <v/>
      </c>
      <c r="I46" s="48"/>
      <c r="J46" s="48"/>
      <c r="K46" s="50"/>
      <c r="L46" s="54"/>
      <c r="M46" s="54"/>
      <c r="N46" s="55"/>
      <c r="O46" s="55"/>
      <c r="P46" s="48"/>
      <c r="Q46" s="48"/>
      <c r="R46" s="48"/>
      <c r="S46" s="48"/>
      <c r="T46" s="56"/>
      <c r="U46" s="41" t="str">
        <f>IF(A46="","",HYPERLINK(CONCATENATE("http://xboxgamertag.com/search/",SUBSTITUTE(TRIM(Tbl_Members[Gamertag])," ","-"),"/xbox-one"),Tbl_Members[Gamertag]))</f>
        <v/>
      </c>
      <c r="V46" s="48"/>
      <c r="W46" s="49"/>
      <c r="X46" s="51"/>
      <c r="Y46" s="51"/>
      <c r="Z46" s="51"/>
      <c r="AA46" s="42" t="str">
        <f ca="1">IF(Tbl_Members[[#This Row],[Date of Birth]]="","",INT(YEARFRAC(Z46,TODAY())))</f>
        <v/>
      </c>
      <c r="AB46" s="51"/>
      <c r="AC46" s="51"/>
      <c r="AD46" s="52"/>
    </row>
    <row r="47" spans="1:30" ht="30" customHeight="1" x14ac:dyDescent="0.25">
      <c r="A47" s="47"/>
      <c r="B47" s="48"/>
      <c r="C47" s="49"/>
      <c r="D4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7" s="49"/>
      <c r="F47" s="38" t="str">
        <f ca="1">IF(Tbl_Members[Last Active]="","",IF(_xlfn.DAYS(TODAY(),Tbl_Members[Last Active])&lt;22,"No","Yes"))</f>
        <v/>
      </c>
      <c r="G47" s="49"/>
      <c r="H47" s="39" t="str">
        <f>IF(Tbl_Members[[#This Row],[Date Recruited]]="","",TEXT(Tbl_Members[[#This Row],[Date Recruited]],"MM"))</f>
        <v/>
      </c>
      <c r="I47" s="48"/>
      <c r="J47" s="48"/>
      <c r="K47" s="50"/>
      <c r="L47" s="54"/>
      <c r="M47" s="54"/>
      <c r="N47" s="55"/>
      <c r="O47" s="55"/>
      <c r="P47" s="48"/>
      <c r="Q47" s="48"/>
      <c r="R47" s="48"/>
      <c r="S47" s="48"/>
      <c r="T47" s="56"/>
      <c r="U47" s="41" t="str">
        <f>IF(A47="","",HYPERLINK(CONCATENATE("http://xboxgamertag.com/search/",SUBSTITUTE(TRIM(Tbl_Members[Gamertag])," ","-"),"/xbox-one"),Tbl_Members[Gamertag]))</f>
        <v/>
      </c>
      <c r="V47" s="48"/>
      <c r="W47" s="49"/>
      <c r="X47" s="51"/>
      <c r="Y47" s="51"/>
      <c r="Z47" s="51"/>
      <c r="AA47" s="42" t="str">
        <f ca="1">IF(Tbl_Members[[#This Row],[Date of Birth]]="","",INT(YEARFRAC(Z47,TODAY())))</f>
        <v/>
      </c>
      <c r="AB47" s="51"/>
      <c r="AC47" s="51"/>
      <c r="AD47" s="52"/>
    </row>
    <row r="48" spans="1:30" ht="30" customHeight="1" x14ac:dyDescent="0.25">
      <c r="A48" s="47"/>
      <c r="B48" s="48"/>
      <c r="C48" s="49"/>
      <c r="D4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8" s="49"/>
      <c r="F48" s="38" t="str">
        <f ca="1">IF(Tbl_Members[Last Active]="","",IF(_xlfn.DAYS(TODAY(),Tbl_Members[Last Active])&lt;22,"No","Yes"))</f>
        <v/>
      </c>
      <c r="G48" s="49"/>
      <c r="H48" s="39" t="str">
        <f>IF(Tbl_Members[[#This Row],[Date Recruited]]="","",TEXT(Tbl_Members[[#This Row],[Date Recruited]],"MM"))</f>
        <v/>
      </c>
      <c r="I48" s="48"/>
      <c r="J48" s="48"/>
      <c r="K48" s="50"/>
      <c r="L48" s="54"/>
      <c r="M48" s="54"/>
      <c r="N48" s="55"/>
      <c r="O48" s="55"/>
      <c r="P48" s="48"/>
      <c r="Q48" s="48"/>
      <c r="R48" s="48"/>
      <c r="S48" s="48"/>
      <c r="T48" s="56"/>
      <c r="U48" s="41" t="str">
        <f>IF(A48="","",HYPERLINK(CONCATENATE("http://xboxgamertag.com/search/",SUBSTITUTE(TRIM(Tbl_Members[Gamertag])," ","-"),"/xbox-one"),Tbl_Members[Gamertag]))</f>
        <v/>
      </c>
      <c r="V48" s="48"/>
      <c r="W48" s="49"/>
      <c r="X48" s="51"/>
      <c r="Y48" s="51"/>
      <c r="Z48" s="51"/>
      <c r="AA48" s="42" t="str">
        <f ca="1">IF(Tbl_Members[[#This Row],[Date of Birth]]="","",INT(YEARFRAC(Z48,TODAY())))</f>
        <v/>
      </c>
      <c r="AB48" s="51"/>
      <c r="AC48" s="51"/>
      <c r="AD48" s="52"/>
    </row>
    <row r="49" spans="1:30" ht="30" customHeight="1" x14ac:dyDescent="0.25">
      <c r="A49" s="47"/>
      <c r="B49" s="48"/>
      <c r="C49" s="49"/>
      <c r="D4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49" s="49"/>
      <c r="F49" s="38" t="str">
        <f ca="1">IF(Tbl_Members[Last Active]="","",IF(_xlfn.DAYS(TODAY(),Tbl_Members[Last Active])&lt;22,"No","Yes"))</f>
        <v/>
      </c>
      <c r="G49" s="49"/>
      <c r="H49" s="39" t="str">
        <f>IF(Tbl_Members[[#This Row],[Date Recruited]]="","",TEXT(Tbl_Members[[#This Row],[Date Recruited]],"MM"))</f>
        <v/>
      </c>
      <c r="I49" s="48"/>
      <c r="J49" s="48"/>
      <c r="K49" s="50"/>
      <c r="L49" s="54"/>
      <c r="M49" s="54"/>
      <c r="N49" s="55"/>
      <c r="O49" s="55"/>
      <c r="P49" s="48"/>
      <c r="Q49" s="48"/>
      <c r="R49" s="48"/>
      <c r="S49" s="48"/>
      <c r="T49" s="56"/>
      <c r="U49" s="41" t="str">
        <f>IF(A49="","",HYPERLINK(CONCATENATE("http://xboxgamertag.com/search/",SUBSTITUTE(TRIM(Tbl_Members[Gamertag])," ","-"),"/xbox-one"),Tbl_Members[Gamertag]))</f>
        <v/>
      </c>
      <c r="V49" s="48"/>
      <c r="W49" s="49"/>
      <c r="X49" s="51"/>
      <c r="Y49" s="51"/>
      <c r="Z49" s="51"/>
      <c r="AA49" s="42" t="str">
        <f ca="1">IF(Tbl_Members[[#This Row],[Date of Birth]]="","",INT(YEARFRAC(Z49,TODAY())))</f>
        <v/>
      </c>
      <c r="AB49" s="51"/>
      <c r="AC49" s="51"/>
      <c r="AD49" s="52"/>
    </row>
    <row r="50" spans="1:30" ht="30" customHeight="1" x14ac:dyDescent="0.25">
      <c r="A50" s="47"/>
      <c r="B50" s="48"/>
      <c r="C50" s="49"/>
      <c r="D5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0" s="49"/>
      <c r="F50" s="38" t="str">
        <f ca="1">IF(Tbl_Members[Last Active]="","",IF(_xlfn.DAYS(TODAY(),Tbl_Members[Last Active])&lt;22,"No","Yes"))</f>
        <v/>
      </c>
      <c r="G50" s="49"/>
      <c r="H50" s="39" t="str">
        <f>IF(Tbl_Members[[#This Row],[Date Recruited]]="","",TEXT(Tbl_Members[[#This Row],[Date Recruited]],"MM"))</f>
        <v/>
      </c>
      <c r="I50" s="48"/>
      <c r="J50" s="48"/>
      <c r="K50" s="50"/>
      <c r="L50" s="54"/>
      <c r="M50" s="54"/>
      <c r="N50" s="55"/>
      <c r="O50" s="55"/>
      <c r="P50" s="48"/>
      <c r="Q50" s="48"/>
      <c r="R50" s="48"/>
      <c r="S50" s="48"/>
      <c r="T50" s="56"/>
      <c r="U50" s="41" t="str">
        <f>IF(A50="","",HYPERLINK(CONCATENATE("http://xboxgamertag.com/search/",SUBSTITUTE(TRIM(Tbl_Members[Gamertag])," ","-"),"/xbox-one"),Tbl_Members[Gamertag]))</f>
        <v/>
      </c>
      <c r="V50" s="48"/>
      <c r="W50" s="49"/>
      <c r="X50" s="51"/>
      <c r="Y50" s="51"/>
      <c r="Z50" s="51"/>
      <c r="AA50" s="42" t="str">
        <f ca="1">IF(Tbl_Members[[#This Row],[Date of Birth]]="","",INT(YEARFRAC(Z50,TODAY())))</f>
        <v/>
      </c>
      <c r="AB50" s="51"/>
      <c r="AC50" s="51"/>
      <c r="AD50" s="52"/>
    </row>
    <row r="51" spans="1:30" ht="30" customHeight="1" x14ac:dyDescent="0.25">
      <c r="A51" s="47"/>
      <c r="B51" s="48"/>
      <c r="C51" s="49"/>
      <c r="D5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1" s="49"/>
      <c r="F51" s="38" t="str">
        <f ca="1">IF(Tbl_Members[Last Active]="","",IF(_xlfn.DAYS(TODAY(),Tbl_Members[Last Active])&lt;22,"No","Yes"))</f>
        <v/>
      </c>
      <c r="G51" s="49"/>
      <c r="H51" s="39" t="str">
        <f>IF(Tbl_Members[[#This Row],[Date Recruited]]="","",TEXT(Tbl_Members[[#This Row],[Date Recruited]],"MM"))</f>
        <v/>
      </c>
      <c r="I51" s="48"/>
      <c r="J51" s="48"/>
      <c r="K51" s="50"/>
      <c r="L51" s="54"/>
      <c r="M51" s="54"/>
      <c r="N51" s="55"/>
      <c r="O51" s="55"/>
      <c r="P51" s="48"/>
      <c r="Q51" s="48"/>
      <c r="R51" s="48"/>
      <c r="S51" s="48"/>
      <c r="T51" s="56"/>
      <c r="U51" s="41" t="str">
        <f>IF(A51="","",HYPERLINK(CONCATENATE("http://xboxgamertag.com/search/",SUBSTITUTE(TRIM(Tbl_Members[Gamertag])," ","-"),"/xbox-one"),Tbl_Members[Gamertag]))</f>
        <v/>
      </c>
      <c r="V51" s="48"/>
      <c r="W51" s="49"/>
      <c r="X51" s="51"/>
      <c r="Y51" s="51"/>
      <c r="Z51" s="51"/>
      <c r="AA51" s="42" t="str">
        <f ca="1">IF(Tbl_Members[[#This Row],[Date of Birth]]="","",INT(YEARFRAC(Z51,TODAY())))</f>
        <v/>
      </c>
      <c r="AB51" s="51"/>
      <c r="AC51" s="51"/>
      <c r="AD51" s="52"/>
    </row>
    <row r="52" spans="1:30" ht="30" customHeight="1" x14ac:dyDescent="0.25">
      <c r="A52" s="47"/>
      <c r="B52" s="48"/>
      <c r="C52" s="49"/>
      <c r="D5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2" s="49"/>
      <c r="F52" s="38" t="str">
        <f ca="1">IF(Tbl_Members[Last Active]="","",IF(_xlfn.DAYS(TODAY(),Tbl_Members[Last Active])&lt;22,"No","Yes"))</f>
        <v/>
      </c>
      <c r="G52" s="49"/>
      <c r="H52" s="39" t="str">
        <f>IF(Tbl_Members[[#This Row],[Date Recruited]]="","",TEXT(Tbl_Members[[#This Row],[Date Recruited]],"MM"))</f>
        <v/>
      </c>
      <c r="I52" s="48"/>
      <c r="J52" s="48"/>
      <c r="K52" s="50"/>
      <c r="L52" s="54"/>
      <c r="M52" s="54"/>
      <c r="N52" s="55"/>
      <c r="O52" s="55"/>
      <c r="P52" s="48"/>
      <c r="Q52" s="48"/>
      <c r="R52" s="48"/>
      <c r="S52" s="48"/>
      <c r="T52" s="56"/>
      <c r="U52" s="41" t="str">
        <f>IF(A52="","",HYPERLINK(CONCATENATE("http://xboxgamertag.com/search/",SUBSTITUTE(TRIM(Tbl_Members[Gamertag])," ","-"),"/xbox-one"),Tbl_Members[Gamertag]))</f>
        <v/>
      </c>
      <c r="V52" s="48"/>
      <c r="W52" s="49"/>
      <c r="X52" s="51"/>
      <c r="Y52" s="51"/>
      <c r="Z52" s="51"/>
      <c r="AA52" s="42" t="str">
        <f ca="1">IF(Tbl_Members[[#This Row],[Date of Birth]]="","",INT(YEARFRAC(Z52,TODAY())))</f>
        <v/>
      </c>
      <c r="AB52" s="51"/>
      <c r="AC52" s="51"/>
      <c r="AD52" s="52"/>
    </row>
    <row r="53" spans="1:30" ht="30" customHeight="1" x14ac:dyDescent="0.25">
      <c r="A53" s="47"/>
      <c r="B53" s="48"/>
      <c r="C53" s="49"/>
      <c r="D5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3" s="49"/>
      <c r="F53" s="38" t="str">
        <f ca="1">IF(Tbl_Members[Last Active]="","",IF(_xlfn.DAYS(TODAY(),Tbl_Members[Last Active])&lt;22,"No","Yes"))</f>
        <v/>
      </c>
      <c r="G53" s="49"/>
      <c r="H53" s="39" t="str">
        <f>IF(Tbl_Members[[#This Row],[Date Recruited]]="","",TEXT(Tbl_Members[[#This Row],[Date Recruited]],"MM"))</f>
        <v/>
      </c>
      <c r="I53" s="48"/>
      <c r="J53" s="48"/>
      <c r="K53" s="50"/>
      <c r="L53" s="54"/>
      <c r="M53" s="54"/>
      <c r="N53" s="55"/>
      <c r="O53" s="55"/>
      <c r="P53" s="48"/>
      <c r="Q53" s="48"/>
      <c r="R53" s="48"/>
      <c r="S53" s="48"/>
      <c r="T53" s="56"/>
      <c r="U53" s="41" t="str">
        <f>IF(A53="","",HYPERLINK(CONCATENATE("http://xboxgamertag.com/search/",SUBSTITUTE(TRIM(Tbl_Members[Gamertag])," ","-"),"/xbox-one"),Tbl_Members[Gamertag]))</f>
        <v/>
      </c>
      <c r="V53" s="48"/>
      <c r="W53" s="49"/>
      <c r="X53" s="51"/>
      <c r="Y53" s="51"/>
      <c r="Z53" s="51"/>
      <c r="AA53" s="42" t="str">
        <f ca="1">IF(Tbl_Members[[#This Row],[Date of Birth]]="","",INT(YEARFRAC(Z53,TODAY())))</f>
        <v/>
      </c>
      <c r="AB53" s="51"/>
      <c r="AC53" s="51"/>
      <c r="AD53" s="52"/>
    </row>
    <row r="54" spans="1:30" ht="30" customHeight="1" x14ac:dyDescent="0.25">
      <c r="A54" s="47"/>
      <c r="B54" s="48"/>
      <c r="C54" s="49"/>
      <c r="D5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4" s="49"/>
      <c r="F54" s="38" t="str">
        <f ca="1">IF(Tbl_Members[Last Active]="","",IF(_xlfn.DAYS(TODAY(),Tbl_Members[Last Active])&lt;22,"No","Yes"))</f>
        <v/>
      </c>
      <c r="G54" s="49"/>
      <c r="H54" s="39" t="str">
        <f>IF(Tbl_Members[[#This Row],[Date Recruited]]="","",TEXT(Tbl_Members[[#This Row],[Date Recruited]],"MM"))</f>
        <v/>
      </c>
      <c r="I54" s="48"/>
      <c r="J54" s="48"/>
      <c r="K54" s="50"/>
      <c r="L54" s="54"/>
      <c r="M54" s="54"/>
      <c r="N54" s="55"/>
      <c r="O54" s="55"/>
      <c r="P54" s="48"/>
      <c r="Q54" s="48"/>
      <c r="R54" s="48"/>
      <c r="S54" s="48"/>
      <c r="T54" s="56"/>
      <c r="U54" s="41" t="str">
        <f>IF(A54="","",HYPERLINK(CONCATENATE("http://xboxgamertag.com/search/",SUBSTITUTE(TRIM(Tbl_Members[Gamertag])," ","-"),"/xbox-one"),Tbl_Members[Gamertag]))</f>
        <v/>
      </c>
      <c r="V54" s="48"/>
      <c r="W54" s="49"/>
      <c r="X54" s="51"/>
      <c r="Y54" s="51"/>
      <c r="Z54" s="51"/>
      <c r="AA54" s="42" t="str">
        <f ca="1">IF(Tbl_Members[[#This Row],[Date of Birth]]="","",INT(YEARFRAC(Z54,TODAY())))</f>
        <v/>
      </c>
      <c r="AB54" s="51"/>
      <c r="AC54" s="51"/>
      <c r="AD54" s="52"/>
    </row>
    <row r="55" spans="1:30" ht="30" customHeight="1" x14ac:dyDescent="0.25">
      <c r="A55" s="47"/>
      <c r="B55" s="48"/>
      <c r="C55" s="49"/>
      <c r="D5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5" s="49"/>
      <c r="F55" s="38" t="str">
        <f ca="1">IF(Tbl_Members[Last Active]="","",IF(_xlfn.DAYS(TODAY(),Tbl_Members[Last Active])&lt;22,"No","Yes"))</f>
        <v/>
      </c>
      <c r="G55" s="49"/>
      <c r="H55" s="39" t="str">
        <f>IF(Tbl_Members[[#This Row],[Date Recruited]]="","",TEXT(Tbl_Members[[#This Row],[Date Recruited]],"MM"))</f>
        <v/>
      </c>
      <c r="I55" s="48"/>
      <c r="J55" s="48"/>
      <c r="K55" s="50"/>
      <c r="L55" s="54"/>
      <c r="M55" s="54"/>
      <c r="N55" s="55"/>
      <c r="O55" s="55"/>
      <c r="P55" s="48"/>
      <c r="Q55" s="48"/>
      <c r="R55" s="48"/>
      <c r="S55" s="48"/>
      <c r="T55" s="56"/>
      <c r="U55" s="41" t="str">
        <f>IF(A55="","",HYPERLINK(CONCATENATE("http://xboxgamertag.com/search/",SUBSTITUTE(TRIM(Tbl_Members[Gamertag])," ","-"),"/xbox-one"),Tbl_Members[Gamertag]))</f>
        <v/>
      </c>
      <c r="V55" s="48"/>
      <c r="W55" s="49"/>
      <c r="X55" s="51"/>
      <c r="Y55" s="51"/>
      <c r="Z55" s="51"/>
      <c r="AA55" s="42" t="str">
        <f ca="1">IF(Tbl_Members[[#This Row],[Date of Birth]]="","",INT(YEARFRAC(Z55,TODAY())))</f>
        <v/>
      </c>
      <c r="AB55" s="51"/>
      <c r="AC55" s="51"/>
      <c r="AD55" s="52"/>
    </row>
    <row r="56" spans="1:30" ht="30" customHeight="1" x14ac:dyDescent="0.25">
      <c r="A56" s="47"/>
      <c r="B56" s="48"/>
      <c r="C56" s="49"/>
      <c r="D5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6" s="49"/>
      <c r="F56" s="38" t="str">
        <f ca="1">IF(Tbl_Members[Last Active]="","",IF(_xlfn.DAYS(TODAY(),Tbl_Members[Last Active])&lt;22,"No","Yes"))</f>
        <v/>
      </c>
      <c r="G56" s="49"/>
      <c r="H56" s="39" t="str">
        <f>IF(Tbl_Members[[#This Row],[Date Recruited]]="","",TEXT(Tbl_Members[[#This Row],[Date Recruited]],"MM"))</f>
        <v/>
      </c>
      <c r="I56" s="48"/>
      <c r="J56" s="48"/>
      <c r="K56" s="50"/>
      <c r="L56" s="54"/>
      <c r="M56" s="54"/>
      <c r="N56" s="55"/>
      <c r="O56" s="55"/>
      <c r="P56" s="48"/>
      <c r="Q56" s="48"/>
      <c r="R56" s="48"/>
      <c r="S56" s="48"/>
      <c r="T56" s="56"/>
      <c r="U56" s="41" t="str">
        <f>IF(A56="","",HYPERLINK(CONCATENATE("http://xboxgamertag.com/search/",SUBSTITUTE(TRIM(Tbl_Members[Gamertag])," ","-"),"/xbox-one"),Tbl_Members[Gamertag]))</f>
        <v/>
      </c>
      <c r="V56" s="48"/>
      <c r="W56" s="49"/>
      <c r="X56" s="51"/>
      <c r="Y56" s="51"/>
      <c r="Z56" s="51"/>
      <c r="AA56" s="42" t="str">
        <f ca="1">IF(Tbl_Members[[#This Row],[Date of Birth]]="","",INT(YEARFRAC(Z56,TODAY())))</f>
        <v/>
      </c>
      <c r="AB56" s="51"/>
      <c r="AC56" s="51"/>
      <c r="AD56" s="52"/>
    </row>
    <row r="57" spans="1:30" ht="30" customHeight="1" x14ac:dyDescent="0.25">
      <c r="A57" s="47"/>
      <c r="B57" s="48"/>
      <c r="C57" s="49"/>
      <c r="D5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7" s="49"/>
      <c r="F57" s="38" t="str">
        <f ca="1">IF(Tbl_Members[Last Active]="","",IF(_xlfn.DAYS(TODAY(),Tbl_Members[Last Active])&lt;22,"No","Yes"))</f>
        <v/>
      </c>
      <c r="G57" s="49"/>
      <c r="H57" s="39" t="str">
        <f>IF(Tbl_Members[[#This Row],[Date Recruited]]="","",TEXT(Tbl_Members[[#This Row],[Date Recruited]],"MM"))</f>
        <v/>
      </c>
      <c r="I57" s="48"/>
      <c r="J57" s="48"/>
      <c r="K57" s="50"/>
      <c r="L57" s="54"/>
      <c r="M57" s="54"/>
      <c r="N57" s="55"/>
      <c r="O57" s="55"/>
      <c r="P57" s="48"/>
      <c r="Q57" s="48"/>
      <c r="R57" s="48"/>
      <c r="S57" s="48"/>
      <c r="T57" s="56"/>
      <c r="U57" s="41" t="str">
        <f>IF(A57="","",HYPERLINK(CONCATENATE("http://xboxgamertag.com/search/",SUBSTITUTE(TRIM(Tbl_Members[Gamertag])," ","-"),"/xbox-one"),Tbl_Members[Gamertag]))</f>
        <v/>
      </c>
      <c r="V57" s="48"/>
      <c r="W57" s="49"/>
      <c r="X57" s="51"/>
      <c r="Y57" s="51"/>
      <c r="Z57" s="51"/>
      <c r="AA57" s="42" t="str">
        <f ca="1">IF(Tbl_Members[[#This Row],[Date of Birth]]="","",INT(YEARFRAC(Z57,TODAY())))</f>
        <v/>
      </c>
      <c r="AB57" s="51"/>
      <c r="AC57" s="51"/>
      <c r="AD57" s="52"/>
    </row>
    <row r="58" spans="1:30" ht="30" customHeight="1" x14ac:dyDescent="0.25">
      <c r="A58" s="47"/>
      <c r="B58" s="48"/>
      <c r="C58" s="49"/>
      <c r="D5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8" s="49"/>
      <c r="F58" s="38" t="str">
        <f ca="1">IF(Tbl_Members[Last Active]="","",IF(_xlfn.DAYS(TODAY(),Tbl_Members[Last Active])&lt;22,"No","Yes"))</f>
        <v/>
      </c>
      <c r="G58" s="49"/>
      <c r="H58" s="39" t="str">
        <f>IF(Tbl_Members[[#This Row],[Date Recruited]]="","",TEXT(Tbl_Members[[#This Row],[Date Recruited]],"MM"))</f>
        <v/>
      </c>
      <c r="I58" s="48"/>
      <c r="J58" s="48"/>
      <c r="K58" s="50"/>
      <c r="L58" s="54"/>
      <c r="M58" s="54"/>
      <c r="N58" s="55"/>
      <c r="O58" s="55"/>
      <c r="P58" s="48"/>
      <c r="Q58" s="48"/>
      <c r="R58" s="48"/>
      <c r="S58" s="48"/>
      <c r="T58" s="56"/>
      <c r="U58" s="41" t="str">
        <f>IF(A58="","",HYPERLINK(CONCATENATE("http://xboxgamertag.com/search/",SUBSTITUTE(TRIM(Tbl_Members[Gamertag])," ","-"),"/xbox-one"),Tbl_Members[Gamertag]))</f>
        <v/>
      </c>
      <c r="V58" s="48"/>
      <c r="W58" s="49"/>
      <c r="X58" s="51"/>
      <c r="Y58" s="51"/>
      <c r="Z58" s="51"/>
      <c r="AA58" s="42" t="str">
        <f ca="1">IF(Tbl_Members[[#This Row],[Date of Birth]]="","",INT(YEARFRAC(Z58,TODAY())))</f>
        <v/>
      </c>
      <c r="AB58" s="51"/>
      <c r="AC58" s="51"/>
      <c r="AD58" s="52"/>
    </row>
    <row r="59" spans="1:30" ht="30" customHeight="1" x14ac:dyDescent="0.25">
      <c r="A59" s="47"/>
      <c r="B59" s="48"/>
      <c r="C59" s="49"/>
      <c r="D5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59" s="49"/>
      <c r="F59" s="38" t="str">
        <f ca="1">IF(Tbl_Members[Last Active]="","",IF(_xlfn.DAYS(TODAY(),Tbl_Members[Last Active])&lt;22,"No","Yes"))</f>
        <v/>
      </c>
      <c r="G59" s="49"/>
      <c r="H59" s="39" t="str">
        <f>IF(Tbl_Members[[#This Row],[Date Recruited]]="","",TEXT(Tbl_Members[[#This Row],[Date Recruited]],"MM"))</f>
        <v/>
      </c>
      <c r="I59" s="48"/>
      <c r="J59" s="48"/>
      <c r="K59" s="50"/>
      <c r="L59" s="54"/>
      <c r="M59" s="54"/>
      <c r="N59" s="55"/>
      <c r="O59" s="55"/>
      <c r="P59" s="48"/>
      <c r="Q59" s="48"/>
      <c r="R59" s="48"/>
      <c r="S59" s="48"/>
      <c r="T59" s="56"/>
      <c r="U59" s="41" t="str">
        <f>IF(A59="","",HYPERLINK(CONCATENATE("http://xboxgamertag.com/search/",SUBSTITUTE(TRIM(Tbl_Members[Gamertag])," ","-"),"/xbox-one"),Tbl_Members[Gamertag]))</f>
        <v/>
      </c>
      <c r="V59" s="48"/>
      <c r="W59" s="49"/>
      <c r="X59" s="51"/>
      <c r="Y59" s="51"/>
      <c r="Z59" s="51"/>
      <c r="AA59" s="42" t="str">
        <f ca="1">IF(Tbl_Members[[#This Row],[Date of Birth]]="","",INT(YEARFRAC(Z59,TODAY())))</f>
        <v/>
      </c>
      <c r="AB59" s="51"/>
      <c r="AC59" s="51"/>
      <c r="AD59" s="52"/>
    </row>
    <row r="60" spans="1:30" ht="30" customHeight="1" x14ac:dyDescent="0.25">
      <c r="A60" s="47"/>
      <c r="B60" s="48"/>
      <c r="C60" s="49"/>
      <c r="D6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0" s="49"/>
      <c r="F60" s="38" t="str">
        <f ca="1">IF(Tbl_Members[Last Active]="","",IF(_xlfn.DAYS(TODAY(),Tbl_Members[Last Active])&lt;22,"No","Yes"))</f>
        <v/>
      </c>
      <c r="G60" s="49"/>
      <c r="H60" s="39" t="str">
        <f>IF(Tbl_Members[[#This Row],[Date Recruited]]="","",TEXT(Tbl_Members[[#This Row],[Date Recruited]],"MM"))</f>
        <v/>
      </c>
      <c r="I60" s="48"/>
      <c r="J60" s="48"/>
      <c r="K60" s="50"/>
      <c r="L60" s="54"/>
      <c r="M60" s="54"/>
      <c r="N60" s="55"/>
      <c r="O60" s="55"/>
      <c r="P60" s="48"/>
      <c r="Q60" s="48"/>
      <c r="R60" s="48"/>
      <c r="S60" s="48"/>
      <c r="T60" s="56"/>
      <c r="U60" s="41" t="str">
        <f>IF(A60="","",HYPERLINK(CONCATENATE("http://xboxgamertag.com/search/",SUBSTITUTE(TRIM(Tbl_Members[Gamertag])," ","-"),"/xbox-one"),Tbl_Members[Gamertag]))</f>
        <v/>
      </c>
      <c r="V60" s="48"/>
      <c r="W60" s="49"/>
      <c r="X60" s="51"/>
      <c r="Y60" s="51"/>
      <c r="Z60" s="51"/>
      <c r="AA60" s="42" t="str">
        <f ca="1">IF(Tbl_Members[[#This Row],[Date of Birth]]="","",INT(YEARFRAC(Z60,TODAY())))</f>
        <v/>
      </c>
      <c r="AB60" s="51"/>
      <c r="AC60" s="51"/>
      <c r="AD60" s="52"/>
    </row>
    <row r="61" spans="1:30" ht="30" customHeight="1" x14ac:dyDescent="0.25">
      <c r="A61" s="47"/>
      <c r="B61" s="48"/>
      <c r="C61" s="49"/>
      <c r="D6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1" s="49"/>
      <c r="F61" s="38" t="str">
        <f ca="1">IF(Tbl_Members[Last Active]="","",IF(_xlfn.DAYS(TODAY(),Tbl_Members[Last Active])&lt;22,"No","Yes"))</f>
        <v/>
      </c>
      <c r="G61" s="49"/>
      <c r="H61" s="39" t="str">
        <f>IF(Tbl_Members[[#This Row],[Date Recruited]]="","",TEXT(Tbl_Members[[#This Row],[Date Recruited]],"MM"))</f>
        <v/>
      </c>
      <c r="I61" s="48"/>
      <c r="J61" s="48"/>
      <c r="K61" s="50"/>
      <c r="L61" s="54"/>
      <c r="M61" s="54"/>
      <c r="N61" s="55"/>
      <c r="O61" s="55"/>
      <c r="P61" s="48"/>
      <c r="Q61" s="48"/>
      <c r="R61" s="48"/>
      <c r="S61" s="48"/>
      <c r="T61" s="56"/>
      <c r="U61" s="41" t="str">
        <f>IF(A61="","",HYPERLINK(CONCATENATE("http://xboxgamertag.com/search/",SUBSTITUTE(TRIM(Tbl_Members[Gamertag])," ","-"),"/xbox-one"),Tbl_Members[Gamertag]))</f>
        <v/>
      </c>
      <c r="V61" s="48"/>
      <c r="W61" s="49"/>
      <c r="X61" s="51"/>
      <c r="Y61" s="51"/>
      <c r="Z61" s="51"/>
      <c r="AA61" s="42" t="str">
        <f ca="1">IF(Tbl_Members[[#This Row],[Date of Birth]]="","",INT(YEARFRAC(Z61,TODAY())))</f>
        <v/>
      </c>
      <c r="AB61" s="51"/>
      <c r="AC61" s="51"/>
      <c r="AD61" s="52"/>
    </row>
    <row r="62" spans="1:30" ht="30" customHeight="1" x14ac:dyDescent="0.25">
      <c r="A62" s="47"/>
      <c r="B62" s="48"/>
      <c r="C62" s="49"/>
      <c r="D6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2" s="49"/>
      <c r="F62" s="38" t="str">
        <f ca="1">IF(Tbl_Members[Last Active]="","",IF(_xlfn.DAYS(TODAY(),Tbl_Members[Last Active])&lt;22,"No","Yes"))</f>
        <v/>
      </c>
      <c r="G62" s="49"/>
      <c r="H62" s="39" t="str">
        <f>IF(Tbl_Members[[#This Row],[Date Recruited]]="","",TEXT(Tbl_Members[[#This Row],[Date Recruited]],"MM"))</f>
        <v/>
      </c>
      <c r="I62" s="48"/>
      <c r="J62" s="48"/>
      <c r="K62" s="50"/>
      <c r="L62" s="54"/>
      <c r="M62" s="54"/>
      <c r="N62" s="55"/>
      <c r="O62" s="55"/>
      <c r="P62" s="48"/>
      <c r="Q62" s="48"/>
      <c r="R62" s="48"/>
      <c r="S62" s="48"/>
      <c r="T62" s="56"/>
      <c r="U62" s="41" t="str">
        <f>IF(A62="","",HYPERLINK(CONCATENATE("http://xboxgamertag.com/search/",SUBSTITUTE(TRIM(Tbl_Members[Gamertag])," ","-"),"/xbox-one"),Tbl_Members[Gamertag]))</f>
        <v/>
      </c>
      <c r="V62" s="48"/>
      <c r="W62" s="49"/>
      <c r="X62" s="51"/>
      <c r="Y62" s="51"/>
      <c r="Z62" s="51"/>
      <c r="AA62" s="42" t="str">
        <f ca="1">IF(Tbl_Members[[#This Row],[Date of Birth]]="","",INT(YEARFRAC(Z62,TODAY())))</f>
        <v/>
      </c>
      <c r="AB62" s="51"/>
      <c r="AC62" s="51"/>
      <c r="AD62" s="52"/>
    </row>
    <row r="63" spans="1:30" ht="30" customHeight="1" x14ac:dyDescent="0.25">
      <c r="A63" s="47"/>
      <c r="B63" s="48"/>
      <c r="C63" s="49"/>
      <c r="D6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3" s="49"/>
      <c r="F63" s="38" t="str">
        <f ca="1">IF(Tbl_Members[Last Active]="","",IF(_xlfn.DAYS(TODAY(),Tbl_Members[Last Active])&lt;22,"No","Yes"))</f>
        <v/>
      </c>
      <c r="G63" s="49"/>
      <c r="H63" s="39" t="str">
        <f>IF(Tbl_Members[[#This Row],[Date Recruited]]="","",TEXT(Tbl_Members[[#This Row],[Date Recruited]],"MM"))</f>
        <v/>
      </c>
      <c r="I63" s="48"/>
      <c r="J63" s="48"/>
      <c r="K63" s="50"/>
      <c r="L63" s="54"/>
      <c r="M63" s="54"/>
      <c r="N63" s="55"/>
      <c r="O63" s="55"/>
      <c r="P63" s="48"/>
      <c r="Q63" s="48"/>
      <c r="R63" s="48"/>
      <c r="S63" s="48"/>
      <c r="T63" s="56"/>
      <c r="U63" s="41" t="str">
        <f>IF(A63="","",HYPERLINK(CONCATENATE("http://xboxgamertag.com/search/",SUBSTITUTE(TRIM(Tbl_Members[Gamertag])," ","-"),"/xbox-one"),Tbl_Members[Gamertag]))</f>
        <v/>
      </c>
      <c r="V63" s="48"/>
      <c r="W63" s="49"/>
      <c r="X63" s="51"/>
      <c r="Y63" s="51"/>
      <c r="Z63" s="51"/>
      <c r="AA63" s="42" t="str">
        <f ca="1">IF(Tbl_Members[[#This Row],[Date of Birth]]="","",INT(YEARFRAC(Z63,TODAY())))</f>
        <v/>
      </c>
      <c r="AB63" s="51"/>
      <c r="AC63" s="51"/>
      <c r="AD63" s="52"/>
    </row>
    <row r="64" spans="1:30" ht="30" customHeight="1" x14ac:dyDescent="0.25">
      <c r="A64" s="47"/>
      <c r="B64" s="48"/>
      <c r="C64" s="49"/>
      <c r="D6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4" s="49"/>
      <c r="F64" s="38" t="str">
        <f ca="1">IF(Tbl_Members[Last Active]="","",IF(_xlfn.DAYS(TODAY(),Tbl_Members[Last Active])&lt;22,"No","Yes"))</f>
        <v/>
      </c>
      <c r="G64" s="49"/>
      <c r="H64" s="39" t="str">
        <f>IF(Tbl_Members[[#This Row],[Date Recruited]]="","",TEXT(Tbl_Members[[#This Row],[Date Recruited]],"MM"))</f>
        <v/>
      </c>
      <c r="I64" s="48"/>
      <c r="J64" s="48"/>
      <c r="K64" s="50"/>
      <c r="L64" s="54"/>
      <c r="M64" s="54"/>
      <c r="N64" s="55"/>
      <c r="O64" s="55"/>
      <c r="P64" s="48"/>
      <c r="Q64" s="48"/>
      <c r="R64" s="48"/>
      <c r="S64" s="48"/>
      <c r="T64" s="56"/>
      <c r="U64" s="41" t="str">
        <f>IF(A64="","",HYPERLINK(CONCATENATE("http://xboxgamertag.com/search/",SUBSTITUTE(TRIM(Tbl_Members[Gamertag])," ","-"),"/xbox-one"),Tbl_Members[Gamertag]))</f>
        <v/>
      </c>
      <c r="V64" s="48"/>
      <c r="W64" s="49"/>
      <c r="X64" s="51"/>
      <c r="Y64" s="51"/>
      <c r="Z64" s="51"/>
      <c r="AA64" s="42" t="str">
        <f ca="1">IF(Tbl_Members[[#This Row],[Date of Birth]]="","",INT(YEARFRAC(Z64,TODAY())))</f>
        <v/>
      </c>
      <c r="AB64" s="51"/>
      <c r="AC64" s="51"/>
      <c r="AD64" s="52"/>
    </row>
    <row r="65" spans="1:30" ht="30" customHeight="1" x14ac:dyDescent="0.25">
      <c r="A65" s="47"/>
      <c r="B65" s="48"/>
      <c r="C65" s="49"/>
      <c r="D6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5" s="49"/>
      <c r="F65" s="38" t="str">
        <f ca="1">IF(Tbl_Members[Last Active]="","",IF(_xlfn.DAYS(TODAY(),Tbl_Members[Last Active])&lt;22,"No","Yes"))</f>
        <v/>
      </c>
      <c r="G65" s="49"/>
      <c r="H65" s="39" t="str">
        <f>IF(Tbl_Members[[#This Row],[Date Recruited]]="","",TEXT(Tbl_Members[[#This Row],[Date Recruited]],"MM"))</f>
        <v/>
      </c>
      <c r="I65" s="48"/>
      <c r="J65" s="48"/>
      <c r="K65" s="50"/>
      <c r="L65" s="54"/>
      <c r="M65" s="54"/>
      <c r="N65" s="55"/>
      <c r="O65" s="55"/>
      <c r="P65" s="48"/>
      <c r="Q65" s="48"/>
      <c r="R65" s="48"/>
      <c r="S65" s="48"/>
      <c r="T65" s="56"/>
      <c r="U65" s="41" t="str">
        <f>IF(A65="","",HYPERLINK(CONCATENATE("http://xboxgamertag.com/search/",SUBSTITUTE(TRIM(Tbl_Members[Gamertag])," ","-"),"/xbox-one"),Tbl_Members[Gamertag]))</f>
        <v/>
      </c>
      <c r="V65" s="48"/>
      <c r="W65" s="49"/>
      <c r="X65" s="51"/>
      <c r="Y65" s="51"/>
      <c r="Z65" s="51"/>
      <c r="AA65" s="42" t="str">
        <f ca="1">IF(Tbl_Members[[#This Row],[Date of Birth]]="","",INT(YEARFRAC(Z65,TODAY())))</f>
        <v/>
      </c>
      <c r="AB65" s="51"/>
      <c r="AC65" s="51"/>
      <c r="AD65" s="52"/>
    </row>
    <row r="66" spans="1:30" ht="30" customHeight="1" x14ac:dyDescent="0.25">
      <c r="A66" s="47"/>
      <c r="B66" s="48"/>
      <c r="C66" s="49"/>
      <c r="D6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6" s="49"/>
      <c r="F66" s="38" t="str">
        <f ca="1">IF(Tbl_Members[Last Active]="","",IF(_xlfn.DAYS(TODAY(),Tbl_Members[Last Active])&lt;22,"No","Yes"))</f>
        <v/>
      </c>
      <c r="G66" s="49"/>
      <c r="H66" s="39" t="str">
        <f>IF(Tbl_Members[[#This Row],[Date Recruited]]="","",TEXT(Tbl_Members[[#This Row],[Date Recruited]],"MM"))</f>
        <v/>
      </c>
      <c r="I66" s="48"/>
      <c r="J66" s="48"/>
      <c r="K66" s="50"/>
      <c r="L66" s="54"/>
      <c r="M66" s="54"/>
      <c r="N66" s="55"/>
      <c r="O66" s="55"/>
      <c r="P66" s="48"/>
      <c r="Q66" s="48"/>
      <c r="R66" s="48"/>
      <c r="S66" s="48"/>
      <c r="T66" s="56"/>
      <c r="U66" s="41" t="str">
        <f>IF(A66="","",HYPERLINK(CONCATENATE("http://xboxgamertag.com/search/",SUBSTITUTE(TRIM(Tbl_Members[Gamertag])," ","-"),"/xbox-one"),Tbl_Members[Gamertag]))</f>
        <v/>
      </c>
      <c r="V66" s="48"/>
      <c r="W66" s="49"/>
      <c r="X66" s="51"/>
      <c r="Y66" s="51"/>
      <c r="Z66" s="51"/>
      <c r="AA66" s="42" t="str">
        <f ca="1">IF(Tbl_Members[[#This Row],[Date of Birth]]="","",INT(YEARFRAC(Z66,TODAY())))</f>
        <v/>
      </c>
      <c r="AB66" s="51"/>
      <c r="AC66" s="51"/>
      <c r="AD66" s="52"/>
    </row>
    <row r="67" spans="1:30" ht="30" customHeight="1" x14ac:dyDescent="0.25">
      <c r="A67" s="47"/>
      <c r="B67" s="48"/>
      <c r="C67" s="49"/>
      <c r="D6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7" s="49"/>
      <c r="F67" s="38" t="str">
        <f ca="1">IF(Tbl_Members[Last Active]="","",IF(_xlfn.DAYS(TODAY(),Tbl_Members[Last Active])&lt;22,"No","Yes"))</f>
        <v/>
      </c>
      <c r="G67" s="49"/>
      <c r="H67" s="39" t="str">
        <f>IF(Tbl_Members[[#This Row],[Date Recruited]]="","",TEXT(Tbl_Members[[#This Row],[Date Recruited]],"MM"))</f>
        <v/>
      </c>
      <c r="I67" s="48"/>
      <c r="J67" s="48"/>
      <c r="K67" s="50"/>
      <c r="L67" s="54"/>
      <c r="M67" s="54"/>
      <c r="N67" s="55"/>
      <c r="O67" s="55"/>
      <c r="P67" s="48"/>
      <c r="Q67" s="48"/>
      <c r="R67" s="48"/>
      <c r="S67" s="48"/>
      <c r="T67" s="56"/>
      <c r="U67" s="41" t="str">
        <f>IF(A67="","",HYPERLINK(CONCATENATE("http://xboxgamertag.com/search/",SUBSTITUTE(TRIM(Tbl_Members[Gamertag])," ","-"),"/xbox-one"),Tbl_Members[Gamertag]))</f>
        <v/>
      </c>
      <c r="V67" s="48"/>
      <c r="W67" s="49"/>
      <c r="X67" s="51"/>
      <c r="Y67" s="51"/>
      <c r="Z67" s="51"/>
      <c r="AA67" s="42" t="str">
        <f ca="1">IF(Tbl_Members[[#This Row],[Date of Birth]]="","",INT(YEARFRAC(Z67,TODAY())))</f>
        <v/>
      </c>
      <c r="AB67" s="51"/>
      <c r="AC67" s="51"/>
      <c r="AD67" s="52"/>
    </row>
    <row r="68" spans="1:30" ht="30" customHeight="1" x14ac:dyDescent="0.25">
      <c r="A68" s="47"/>
      <c r="B68" s="48"/>
      <c r="C68" s="49"/>
      <c r="D6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8" s="49"/>
      <c r="F68" s="38" t="str">
        <f ca="1">IF(Tbl_Members[Last Active]="","",IF(_xlfn.DAYS(TODAY(),Tbl_Members[Last Active])&lt;22,"No","Yes"))</f>
        <v/>
      </c>
      <c r="G68" s="49"/>
      <c r="H68" s="39" t="str">
        <f>IF(Tbl_Members[[#This Row],[Date Recruited]]="","",TEXT(Tbl_Members[[#This Row],[Date Recruited]],"MM"))</f>
        <v/>
      </c>
      <c r="I68" s="48"/>
      <c r="J68" s="48"/>
      <c r="K68" s="50"/>
      <c r="L68" s="54"/>
      <c r="M68" s="54"/>
      <c r="N68" s="55"/>
      <c r="O68" s="55"/>
      <c r="P68" s="48"/>
      <c r="Q68" s="48"/>
      <c r="R68" s="48"/>
      <c r="S68" s="48"/>
      <c r="T68" s="56"/>
      <c r="U68" s="41" t="str">
        <f>IF(A68="","",HYPERLINK(CONCATENATE("http://xboxgamertag.com/search/",SUBSTITUTE(TRIM(Tbl_Members[Gamertag])," ","-"),"/xbox-one"),Tbl_Members[Gamertag]))</f>
        <v/>
      </c>
      <c r="V68" s="48"/>
      <c r="W68" s="49"/>
      <c r="X68" s="51"/>
      <c r="Y68" s="51"/>
      <c r="Z68" s="51"/>
      <c r="AA68" s="42" t="str">
        <f ca="1">IF(Tbl_Members[[#This Row],[Date of Birth]]="","",INT(YEARFRAC(Z68,TODAY())))</f>
        <v/>
      </c>
      <c r="AB68" s="51"/>
      <c r="AC68" s="51"/>
      <c r="AD68" s="52"/>
    </row>
    <row r="69" spans="1:30" ht="30" customHeight="1" x14ac:dyDescent="0.25">
      <c r="A69" s="47"/>
      <c r="B69" s="48"/>
      <c r="C69" s="49"/>
      <c r="D6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69" s="49"/>
      <c r="F69" s="38" t="str">
        <f ca="1">IF(Tbl_Members[Last Active]="","",IF(_xlfn.DAYS(TODAY(),Tbl_Members[Last Active])&lt;22,"No","Yes"))</f>
        <v/>
      </c>
      <c r="G69" s="49"/>
      <c r="H69" s="39" t="str">
        <f>IF(Tbl_Members[[#This Row],[Date Recruited]]="","",TEXT(Tbl_Members[[#This Row],[Date Recruited]],"MM"))</f>
        <v/>
      </c>
      <c r="I69" s="48"/>
      <c r="J69" s="48"/>
      <c r="K69" s="50"/>
      <c r="L69" s="54"/>
      <c r="M69" s="54"/>
      <c r="N69" s="55"/>
      <c r="O69" s="55"/>
      <c r="P69" s="48"/>
      <c r="Q69" s="48"/>
      <c r="R69" s="48"/>
      <c r="S69" s="48"/>
      <c r="T69" s="56"/>
      <c r="U69" s="41" t="str">
        <f>IF(A69="","",HYPERLINK(CONCATENATE("http://xboxgamertag.com/search/",SUBSTITUTE(TRIM(Tbl_Members[Gamertag])," ","-"),"/xbox-one"),Tbl_Members[Gamertag]))</f>
        <v/>
      </c>
      <c r="V69" s="48"/>
      <c r="W69" s="49"/>
      <c r="X69" s="51"/>
      <c r="Y69" s="51"/>
      <c r="Z69" s="51"/>
      <c r="AA69" s="42" t="str">
        <f ca="1">IF(Tbl_Members[[#This Row],[Date of Birth]]="","",INT(YEARFRAC(Z69,TODAY())))</f>
        <v/>
      </c>
      <c r="AB69" s="51"/>
      <c r="AC69" s="51"/>
      <c r="AD69" s="52"/>
    </row>
    <row r="70" spans="1:30" ht="30" customHeight="1" x14ac:dyDescent="0.25">
      <c r="A70" s="47"/>
      <c r="B70" s="48"/>
      <c r="C70" s="49"/>
      <c r="D7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0" s="49"/>
      <c r="F70" s="38" t="str">
        <f ca="1">IF(Tbl_Members[Last Active]="","",IF(_xlfn.DAYS(TODAY(),Tbl_Members[Last Active])&lt;22,"No","Yes"))</f>
        <v/>
      </c>
      <c r="G70" s="49"/>
      <c r="H70" s="39" t="str">
        <f>IF(Tbl_Members[[#This Row],[Date Recruited]]="","",TEXT(Tbl_Members[[#This Row],[Date Recruited]],"MM"))</f>
        <v/>
      </c>
      <c r="I70" s="48"/>
      <c r="J70" s="48"/>
      <c r="K70" s="50"/>
      <c r="L70" s="54"/>
      <c r="M70" s="54"/>
      <c r="N70" s="55"/>
      <c r="O70" s="55"/>
      <c r="P70" s="48"/>
      <c r="Q70" s="48"/>
      <c r="R70" s="48"/>
      <c r="S70" s="48"/>
      <c r="T70" s="56"/>
      <c r="U70" s="41" t="str">
        <f>IF(A70="","",HYPERLINK(CONCATENATE("http://xboxgamertag.com/search/",SUBSTITUTE(TRIM(Tbl_Members[Gamertag])," ","-"),"/xbox-one"),Tbl_Members[Gamertag]))</f>
        <v/>
      </c>
      <c r="V70" s="48"/>
      <c r="W70" s="49"/>
      <c r="X70" s="51"/>
      <c r="Y70" s="51"/>
      <c r="Z70" s="51"/>
      <c r="AA70" s="42" t="str">
        <f ca="1">IF(Tbl_Members[[#This Row],[Date of Birth]]="","",INT(YEARFRAC(Z70,TODAY())))</f>
        <v/>
      </c>
      <c r="AB70" s="51"/>
      <c r="AC70" s="51"/>
      <c r="AD70" s="52"/>
    </row>
    <row r="71" spans="1:30" ht="30" customHeight="1" x14ac:dyDescent="0.25">
      <c r="A71" s="47"/>
      <c r="B71" s="48"/>
      <c r="C71" s="49"/>
      <c r="D7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1" s="49"/>
      <c r="F71" s="38" t="str">
        <f ca="1">IF(Tbl_Members[Last Active]="","",IF(_xlfn.DAYS(TODAY(),Tbl_Members[Last Active])&lt;22,"No","Yes"))</f>
        <v/>
      </c>
      <c r="G71" s="49"/>
      <c r="H71" s="39" t="str">
        <f>IF(Tbl_Members[[#This Row],[Date Recruited]]="","",TEXT(Tbl_Members[[#This Row],[Date Recruited]],"MM"))</f>
        <v/>
      </c>
      <c r="I71" s="48"/>
      <c r="J71" s="48"/>
      <c r="K71" s="50"/>
      <c r="L71" s="54"/>
      <c r="M71" s="54"/>
      <c r="N71" s="55"/>
      <c r="O71" s="55"/>
      <c r="P71" s="48"/>
      <c r="Q71" s="48"/>
      <c r="R71" s="48"/>
      <c r="S71" s="48"/>
      <c r="T71" s="56"/>
      <c r="U71" s="41" t="str">
        <f>IF(A71="","",HYPERLINK(CONCATENATE("http://xboxgamertag.com/search/",SUBSTITUTE(TRIM(Tbl_Members[Gamertag])," ","-"),"/xbox-one"),Tbl_Members[Gamertag]))</f>
        <v/>
      </c>
      <c r="V71" s="48"/>
      <c r="W71" s="49"/>
      <c r="X71" s="51"/>
      <c r="Y71" s="51"/>
      <c r="Z71" s="51"/>
      <c r="AA71" s="42" t="str">
        <f ca="1">IF(Tbl_Members[[#This Row],[Date of Birth]]="","",INT(YEARFRAC(Z71,TODAY())))</f>
        <v/>
      </c>
      <c r="AB71" s="51"/>
      <c r="AC71" s="51"/>
      <c r="AD71" s="52"/>
    </row>
    <row r="72" spans="1:30" ht="30" customHeight="1" x14ac:dyDescent="0.25">
      <c r="A72" s="47"/>
      <c r="B72" s="48"/>
      <c r="C72" s="49"/>
      <c r="D7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2" s="49"/>
      <c r="F72" s="38" t="str">
        <f ca="1">IF(Tbl_Members[Last Active]="","",IF(_xlfn.DAYS(TODAY(),Tbl_Members[Last Active])&lt;22,"No","Yes"))</f>
        <v/>
      </c>
      <c r="G72" s="49"/>
      <c r="H72" s="39" t="str">
        <f>IF(Tbl_Members[[#This Row],[Date Recruited]]="","",TEXT(Tbl_Members[[#This Row],[Date Recruited]],"MM"))</f>
        <v/>
      </c>
      <c r="I72" s="48"/>
      <c r="J72" s="48"/>
      <c r="K72" s="50"/>
      <c r="L72" s="54"/>
      <c r="M72" s="54"/>
      <c r="N72" s="55"/>
      <c r="O72" s="55"/>
      <c r="P72" s="48"/>
      <c r="Q72" s="48"/>
      <c r="R72" s="48"/>
      <c r="S72" s="48"/>
      <c r="T72" s="56"/>
      <c r="U72" s="41" t="str">
        <f>IF(A72="","",HYPERLINK(CONCATENATE("http://xboxgamertag.com/search/",SUBSTITUTE(TRIM(Tbl_Members[Gamertag])," ","-"),"/xbox-one"),Tbl_Members[Gamertag]))</f>
        <v/>
      </c>
      <c r="V72" s="48"/>
      <c r="W72" s="49"/>
      <c r="X72" s="51"/>
      <c r="Y72" s="51"/>
      <c r="Z72" s="51"/>
      <c r="AA72" s="42" t="str">
        <f ca="1">IF(Tbl_Members[[#This Row],[Date of Birth]]="","",INT(YEARFRAC(Z72,TODAY())))</f>
        <v/>
      </c>
      <c r="AB72" s="51"/>
      <c r="AC72" s="51"/>
      <c r="AD72" s="52"/>
    </row>
    <row r="73" spans="1:30" ht="30" customHeight="1" x14ac:dyDescent="0.25">
      <c r="A73" s="47"/>
      <c r="B73" s="48"/>
      <c r="C73" s="49"/>
      <c r="D7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3" s="49"/>
      <c r="F73" s="38" t="str">
        <f ca="1">IF(Tbl_Members[Last Active]="","",IF(_xlfn.DAYS(TODAY(),Tbl_Members[Last Active])&lt;22,"No","Yes"))</f>
        <v/>
      </c>
      <c r="G73" s="49"/>
      <c r="H73" s="39" t="str">
        <f>IF(Tbl_Members[[#This Row],[Date Recruited]]="","",TEXT(Tbl_Members[[#This Row],[Date Recruited]],"MM"))</f>
        <v/>
      </c>
      <c r="I73" s="48"/>
      <c r="J73" s="48"/>
      <c r="K73" s="50"/>
      <c r="L73" s="54"/>
      <c r="M73" s="54"/>
      <c r="N73" s="55"/>
      <c r="O73" s="55"/>
      <c r="P73" s="48"/>
      <c r="Q73" s="48"/>
      <c r="R73" s="48"/>
      <c r="S73" s="48"/>
      <c r="T73" s="56"/>
      <c r="U73" s="41" t="str">
        <f>IF(A73="","",HYPERLINK(CONCATENATE("http://xboxgamertag.com/search/",SUBSTITUTE(TRIM(Tbl_Members[Gamertag])," ","-"),"/xbox-one"),Tbl_Members[Gamertag]))</f>
        <v/>
      </c>
      <c r="V73" s="48"/>
      <c r="W73" s="49"/>
      <c r="X73" s="51"/>
      <c r="Y73" s="51"/>
      <c r="Z73" s="51"/>
      <c r="AA73" s="42" t="str">
        <f ca="1">IF(Tbl_Members[[#This Row],[Date of Birth]]="","",INT(YEARFRAC(Z73,TODAY())))</f>
        <v/>
      </c>
      <c r="AB73" s="51"/>
      <c r="AC73" s="51"/>
      <c r="AD73" s="52"/>
    </row>
    <row r="74" spans="1:30" ht="30" customHeight="1" x14ac:dyDescent="0.25">
      <c r="A74" s="47"/>
      <c r="B74" s="48"/>
      <c r="C74" s="49"/>
      <c r="D7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4" s="49"/>
      <c r="F74" s="38" t="str">
        <f ca="1">IF(Tbl_Members[Last Active]="","",IF(_xlfn.DAYS(TODAY(),Tbl_Members[Last Active])&lt;22,"No","Yes"))</f>
        <v/>
      </c>
      <c r="G74" s="49"/>
      <c r="H74" s="39" t="str">
        <f>IF(Tbl_Members[[#This Row],[Date Recruited]]="","",TEXT(Tbl_Members[[#This Row],[Date Recruited]],"MM"))</f>
        <v/>
      </c>
      <c r="I74" s="48"/>
      <c r="J74" s="48"/>
      <c r="K74" s="50"/>
      <c r="L74" s="54"/>
      <c r="M74" s="54"/>
      <c r="N74" s="55"/>
      <c r="O74" s="55"/>
      <c r="P74" s="48"/>
      <c r="Q74" s="48"/>
      <c r="R74" s="48"/>
      <c r="S74" s="48"/>
      <c r="T74" s="56"/>
      <c r="U74" s="41" t="str">
        <f>IF(A74="","",HYPERLINK(CONCATENATE("http://xboxgamertag.com/search/",SUBSTITUTE(TRIM(Tbl_Members[Gamertag])," ","-"),"/xbox-one"),Tbl_Members[Gamertag]))</f>
        <v/>
      </c>
      <c r="V74" s="48"/>
      <c r="W74" s="49"/>
      <c r="X74" s="51"/>
      <c r="Y74" s="51"/>
      <c r="Z74" s="51"/>
      <c r="AA74" s="42" t="str">
        <f ca="1">IF(Tbl_Members[[#This Row],[Date of Birth]]="","",INT(YEARFRAC(Z74,TODAY())))</f>
        <v/>
      </c>
      <c r="AB74" s="51"/>
      <c r="AC74" s="51"/>
      <c r="AD74" s="52"/>
    </row>
    <row r="75" spans="1:30" ht="30" customHeight="1" x14ac:dyDescent="0.25">
      <c r="A75" s="47"/>
      <c r="B75" s="48"/>
      <c r="C75" s="49"/>
      <c r="D7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5" s="49"/>
      <c r="F75" s="38" t="str">
        <f ca="1">IF(Tbl_Members[Last Active]="","",IF(_xlfn.DAYS(TODAY(),Tbl_Members[Last Active])&lt;22,"No","Yes"))</f>
        <v/>
      </c>
      <c r="G75" s="49"/>
      <c r="H75" s="39" t="str">
        <f>IF(Tbl_Members[[#This Row],[Date Recruited]]="","",TEXT(Tbl_Members[[#This Row],[Date Recruited]],"MM"))</f>
        <v/>
      </c>
      <c r="I75" s="48"/>
      <c r="J75" s="48"/>
      <c r="K75" s="50"/>
      <c r="L75" s="54"/>
      <c r="M75" s="54"/>
      <c r="N75" s="55"/>
      <c r="O75" s="55"/>
      <c r="P75" s="48"/>
      <c r="Q75" s="48"/>
      <c r="R75" s="48"/>
      <c r="S75" s="48"/>
      <c r="T75" s="56"/>
      <c r="U75" s="41" t="str">
        <f>IF(A75="","",HYPERLINK(CONCATENATE("http://xboxgamertag.com/search/",SUBSTITUTE(TRIM(Tbl_Members[Gamertag])," ","-"),"/xbox-one"),Tbl_Members[Gamertag]))</f>
        <v/>
      </c>
      <c r="V75" s="48"/>
      <c r="W75" s="49"/>
      <c r="X75" s="51"/>
      <c r="Y75" s="51"/>
      <c r="Z75" s="51"/>
      <c r="AA75" s="42" t="str">
        <f ca="1">IF(Tbl_Members[[#This Row],[Date of Birth]]="","",INT(YEARFRAC(Z75,TODAY())))</f>
        <v/>
      </c>
      <c r="AB75" s="51"/>
      <c r="AC75" s="51"/>
      <c r="AD75" s="52"/>
    </row>
    <row r="76" spans="1:30" ht="30" customHeight="1" x14ac:dyDescent="0.25">
      <c r="A76" s="47"/>
      <c r="B76" s="48"/>
      <c r="C76" s="49"/>
      <c r="D7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6" s="49"/>
      <c r="F76" s="38" t="str">
        <f ca="1">IF(Tbl_Members[Last Active]="","",IF(_xlfn.DAYS(TODAY(),Tbl_Members[Last Active])&lt;22,"No","Yes"))</f>
        <v/>
      </c>
      <c r="G76" s="49"/>
      <c r="H76" s="39" t="str">
        <f>IF(Tbl_Members[[#This Row],[Date Recruited]]="","",TEXT(Tbl_Members[[#This Row],[Date Recruited]],"MM"))</f>
        <v/>
      </c>
      <c r="I76" s="48"/>
      <c r="J76" s="48"/>
      <c r="K76" s="50"/>
      <c r="L76" s="54"/>
      <c r="M76" s="54"/>
      <c r="N76" s="55"/>
      <c r="O76" s="55"/>
      <c r="P76" s="48"/>
      <c r="Q76" s="48"/>
      <c r="R76" s="48"/>
      <c r="S76" s="48"/>
      <c r="T76" s="56"/>
      <c r="U76" s="41" t="str">
        <f>IF(A76="","",HYPERLINK(CONCATENATE("http://xboxgamertag.com/search/",SUBSTITUTE(TRIM(Tbl_Members[Gamertag])," ","-"),"/xbox-one"),Tbl_Members[Gamertag]))</f>
        <v/>
      </c>
      <c r="V76" s="48"/>
      <c r="W76" s="49"/>
      <c r="X76" s="51"/>
      <c r="Y76" s="51"/>
      <c r="Z76" s="51"/>
      <c r="AA76" s="42" t="str">
        <f ca="1">IF(Tbl_Members[[#This Row],[Date of Birth]]="","",INT(YEARFRAC(Z76,TODAY())))</f>
        <v/>
      </c>
      <c r="AB76" s="51"/>
      <c r="AC76" s="51"/>
      <c r="AD76" s="52"/>
    </row>
    <row r="77" spans="1:30" ht="30" customHeight="1" x14ac:dyDescent="0.25">
      <c r="A77" s="47"/>
      <c r="B77" s="48"/>
      <c r="C77" s="49"/>
      <c r="D7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7" s="49"/>
      <c r="F77" s="38" t="str">
        <f ca="1">IF(Tbl_Members[Last Active]="","",IF(_xlfn.DAYS(TODAY(),Tbl_Members[Last Active])&lt;22,"No","Yes"))</f>
        <v/>
      </c>
      <c r="G77" s="49"/>
      <c r="H77" s="39" t="str">
        <f>IF(Tbl_Members[[#This Row],[Date Recruited]]="","",TEXT(Tbl_Members[[#This Row],[Date Recruited]],"MM"))</f>
        <v/>
      </c>
      <c r="I77" s="48"/>
      <c r="J77" s="48"/>
      <c r="K77" s="50"/>
      <c r="L77" s="54"/>
      <c r="M77" s="54"/>
      <c r="N77" s="55"/>
      <c r="O77" s="55"/>
      <c r="P77" s="48"/>
      <c r="Q77" s="48"/>
      <c r="R77" s="48"/>
      <c r="S77" s="48"/>
      <c r="T77" s="56"/>
      <c r="U77" s="41" t="str">
        <f>IF(A77="","",HYPERLINK(CONCATENATE("http://xboxgamertag.com/search/",SUBSTITUTE(TRIM(Tbl_Members[Gamertag])," ","-"),"/xbox-one"),Tbl_Members[Gamertag]))</f>
        <v/>
      </c>
      <c r="V77" s="48"/>
      <c r="W77" s="49"/>
      <c r="X77" s="51"/>
      <c r="Y77" s="51"/>
      <c r="Z77" s="51"/>
      <c r="AA77" s="42" t="str">
        <f ca="1">IF(Tbl_Members[[#This Row],[Date of Birth]]="","",INT(YEARFRAC(Z77,TODAY())))</f>
        <v/>
      </c>
      <c r="AB77" s="51"/>
      <c r="AC77" s="51"/>
      <c r="AD77" s="52"/>
    </row>
    <row r="78" spans="1:30" ht="30" customHeight="1" x14ac:dyDescent="0.25">
      <c r="A78" s="47"/>
      <c r="B78" s="48"/>
      <c r="C78" s="49"/>
      <c r="D7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8" s="49"/>
      <c r="F78" s="38" t="str">
        <f ca="1">IF(Tbl_Members[Last Active]="","",IF(_xlfn.DAYS(TODAY(),Tbl_Members[Last Active])&lt;22,"No","Yes"))</f>
        <v/>
      </c>
      <c r="G78" s="49"/>
      <c r="H78" s="39" t="str">
        <f>IF(Tbl_Members[[#This Row],[Date Recruited]]="","",TEXT(Tbl_Members[[#This Row],[Date Recruited]],"MM"))</f>
        <v/>
      </c>
      <c r="I78" s="48"/>
      <c r="J78" s="48"/>
      <c r="K78" s="50"/>
      <c r="L78" s="54"/>
      <c r="M78" s="54"/>
      <c r="N78" s="55"/>
      <c r="O78" s="55"/>
      <c r="P78" s="48"/>
      <c r="Q78" s="48"/>
      <c r="R78" s="48"/>
      <c r="S78" s="48"/>
      <c r="T78" s="56"/>
      <c r="U78" s="41" t="str">
        <f>IF(A78="","",HYPERLINK(CONCATENATE("http://xboxgamertag.com/search/",SUBSTITUTE(TRIM(Tbl_Members[Gamertag])," ","-"),"/xbox-one"),Tbl_Members[Gamertag]))</f>
        <v/>
      </c>
      <c r="V78" s="48"/>
      <c r="W78" s="49"/>
      <c r="X78" s="51"/>
      <c r="Y78" s="51"/>
      <c r="Z78" s="51"/>
      <c r="AA78" s="42" t="str">
        <f ca="1">IF(Tbl_Members[[#This Row],[Date of Birth]]="","",INT(YEARFRAC(Z78,TODAY())))</f>
        <v/>
      </c>
      <c r="AB78" s="51"/>
      <c r="AC78" s="51"/>
      <c r="AD78" s="52"/>
    </row>
    <row r="79" spans="1:30" ht="30" customHeight="1" x14ac:dyDescent="0.25">
      <c r="A79" s="47"/>
      <c r="B79" s="48"/>
      <c r="C79" s="49"/>
      <c r="D7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79" s="49"/>
      <c r="F79" s="38" t="str">
        <f ca="1">IF(Tbl_Members[Last Active]="","",IF(_xlfn.DAYS(TODAY(),Tbl_Members[Last Active])&lt;22,"No","Yes"))</f>
        <v/>
      </c>
      <c r="G79" s="49"/>
      <c r="H79" s="39" t="str">
        <f>IF(Tbl_Members[[#This Row],[Date Recruited]]="","",TEXT(Tbl_Members[[#This Row],[Date Recruited]],"MM"))</f>
        <v/>
      </c>
      <c r="I79" s="48"/>
      <c r="J79" s="48"/>
      <c r="K79" s="50"/>
      <c r="L79" s="54"/>
      <c r="M79" s="54"/>
      <c r="N79" s="55"/>
      <c r="O79" s="55"/>
      <c r="P79" s="48"/>
      <c r="Q79" s="48"/>
      <c r="R79" s="48"/>
      <c r="S79" s="48"/>
      <c r="T79" s="56"/>
      <c r="U79" s="41" t="str">
        <f>IF(A79="","",HYPERLINK(CONCATENATE("http://xboxgamertag.com/search/",SUBSTITUTE(TRIM(Tbl_Members[Gamertag])," ","-"),"/xbox-one"),Tbl_Members[Gamertag]))</f>
        <v/>
      </c>
      <c r="V79" s="48"/>
      <c r="W79" s="49"/>
      <c r="X79" s="51"/>
      <c r="Y79" s="51"/>
      <c r="Z79" s="51"/>
      <c r="AA79" s="42" t="str">
        <f ca="1">IF(Tbl_Members[[#This Row],[Date of Birth]]="","",INT(YEARFRAC(Z79,TODAY())))</f>
        <v/>
      </c>
      <c r="AB79" s="51"/>
      <c r="AC79" s="51"/>
      <c r="AD79" s="52"/>
    </row>
    <row r="80" spans="1:30" ht="30" customHeight="1" x14ac:dyDescent="0.25">
      <c r="A80" s="47"/>
      <c r="B80" s="48"/>
      <c r="C80" s="49"/>
      <c r="D8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0" s="49"/>
      <c r="F80" s="38" t="str">
        <f ca="1">IF(Tbl_Members[Last Active]="","",IF(_xlfn.DAYS(TODAY(),Tbl_Members[Last Active])&lt;22,"No","Yes"))</f>
        <v/>
      </c>
      <c r="G80" s="49"/>
      <c r="H80" s="39" t="str">
        <f>IF(Tbl_Members[[#This Row],[Date Recruited]]="","",TEXT(Tbl_Members[[#This Row],[Date Recruited]],"MM"))</f>
        <v/>
      </c>
      <c r="I80" s="48"/>
      <c r="J80" s="48"/>
      <c r="K80" s="50"/>
      <c r="L80" s="54"/>
      <c r="M80" s="54"/>
      <c r="N80" s="55"/>
      <c r="O80" s="55"/>
      <c r="P80" s="48"/>
      <c r="Q80" s="48"/>
      <c r="R80" s="48"/>
      <c r="S80" s="48"/>
      <c r="T80" s="56"/>
      <c r="U80" s="41" t="str">
        <f>IF(A80="","",HYPERLINK(CONCATENATE("http://xboxgamertag.com/search/",SUBSTITUTE(TRIM(Tbl_Members[Gamertag])," ","-"),"/xbox-one"),Tbl_Members[Gamertag]))</f>
        <v/>
      </c>
      <c r="V80" s="48"/>
      <c r="W80" s="49"/>
      <c r="X80" s="51"/>
      <c r="Y80" s="51"/>
      <c r="Z80" s="51"/>
      <c r="AA80" s="42" t="str">
        <f ca="1">IF(Tbl_Members[[#This Row],[Date of Birth]]="","",INT(YEARFRAC(Z80,TODAY())))</f>
        <v/>
      </c>
      <c r="AB80" s="51"/>
      <c r="AC80" s="51"/>
      <c r="AD80" s="52"/>
    </row>
    <row r="81" spans="1:30" ht="30" customHeight="1" x14ac:dyDescent="0.25">
      <c r="A81" s="47"/>
      <c r="B81" s="48"/>
      <c r="C81" s="49"/>
      <c r="D8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1" s="49"/>
      <c r="F81" s="38" t="str">
        <f ca="1">IF(Tbl_Members[Last Active]="","",IF(_xlfn.DAYS(TODAY(),Tbl_Members[Last Active])&lt;22,"No","Yes"))</f>
        <v/>
      </c>
      <c r="G81" s="49"/>
      <c r="H81" s="39" t="str">
        <f>IF(Tbl_Members[[#This Row],[Date Recruited]]="","",TEXT(Tbl_Members[[#This Row],[Date Recruited]],"MM"))</f>
        <v/>
      </c>
      <c r="I81" s="48"/>
      <c r="J81" s="48"/>
      <c r="K81" s="50"/>
      <c r="L81" s="54"/>
      <c r="M81" s="54"/>
      <c r="N81" s="55"/>
      <c r="O81" s="55"/>
      <c r="P81" s="48"/>
      <c r="Q81" s="48"/>
      <c r="R81" s="48"/>
      <c r="S81" s="48"/>
      <c r="T81" s="56"/>
      <c r="U81" s="41" t="str">
        <f>IF(A81="","",HYPERLINK(CONCATENATE("http://xboxgamertag.com/search/",SUBSTITUTE(TRIM(Tbl_Members[Gamertag])," ","-"),"/xbox-one"),Tbl_Members[Gamertag]))</f>
        <v/>
      </c>
      <c r="V81" s="48"/>
      <c r="W81" s="49"/>
      <c r="X81" s="51"/>
      <c r="Y81" s="51"/>
      <c r="Z81" s="51"/>
      <c r="AA81" s="42" t="str">
        <f ca="1">IF(Tbl_Members[[#This Row],[Date of Birth]]="","",INT(YEARFRAC(Z81,TODAY())))</f>
        <v/>
      </c>
      <c r="AB81" s="51"/>
      <c r="AC81" s="51"/>
      <c r="AD81" s="52"/>
    </row>
    <row r="82" spans="1:30" ht="30" customHeight="1" x14ac:dyDescent="0.25">
      <c r="A82" s="47"/>
      <c r="B82" s="48"/>
      <c r="C82" s="49"/>
      <c r="D8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2" s="49"/>
      <c r="F82" s="38" t="str">
        <f ca="1">IF(Tbl_Members[Last Active]="","",IF(_xlfn.DAYS(TODAY(),Tbl_Members[Last Active])&lt;22,"No","Yes"))</f>
        <v/>
      </c>
      <c r="G82" s="49"/>
      <c r="H82" s="39" t="str">
        <f>IF(Tbl_Members[[#This Row],[Date Recruited]]="","",TEXT(Tbl_Members[[#This Row],[Date Recruited]],"MM"))</f>
        <v/>
      </c>
      <c r="I82" s="48"/>
      <c r="J82" s="48"/>
      <c r="K82" s="50"/>
      <c r="L82" s="54"/>
      <c r="M82" s="54"/>
      <c r="N82" s="55"/>
      <c r="O82" s="55"/>
      <c r="P82" s="48"/>
      <c r="Q82" s="48"/>
      <c r="R82" s="48"/>
      <c r="S82" s="48"/>
      <c r="T82" s="56"/>
      <c r="U82" s="41" t="str">
        <f>IF(A82="","",HYPERLINK(CONCATENATE("http://xboxgamertag.com/search/",SUBSTITUTE(TRIM(Tbl_Members[Gamertag])," ","-"),"/xbox-one"),Tbl_Members[Gamertag]))</f>
        <v/>
      </c>
      <c r="V82" s="48"/>
      <c r="W82" s="49"/>
      <c r="X82" s="51"/>
      <c r="Y82" s="51"/>
      <c r="Z82" s="51"/>
      <c r="AA82" s="42" t="str">
        <f ca="1">IF(Tbl_Members[[#This Row],[Date of Birth]]="","",INT(YEARFRAC(Z82,TODAY())))</f>
        <v/>
      </c>
      <c r="AB82" s="51"/>
      <c r="AC82" s="51"/>
      <c r="AD82" s="52"/>
    </row>
    <row r="83" spans="1:30" ht="30" customHeight="1" x14ac:dyDescent="0.25">
      <c r="A83" s="47"/>
      <c r="B83" s="48"/>
      <c r="C83" s="49"/>
      <c r="D8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3" s="49"/>
      <c r="F83" s="38" t="str">
        <f ca="1">IF(Tbl_Members[Last Active]="","",IF(_xlfn.DAYS(TODAY(),Tbl_Members[Last Active])&lt;22,"No","Yes"))</f>
        <v/>
      </c>
      <c r="G83" s="49"/>
      <c r="H83" s="39" t="str">
        <f>IF(Tbl_Members[[#This Row],[Date Recruited]]="","",TEXT(Tbl_Members[[#This Row],[Date Recruited]],"MM"))</f>
        <v/>
      </c>
      <c r="I83" s="48"/>
      <c r="J83" s="48"/>
      <c r="K83" s="50"/>
      <c r="L83" s="54"/>
      <c r="M83" s="54"/>
      <c r="N83" s="55"/>
      <c r="O83" s="55"/>
      <c r="P83" s="48"/>
      <c r="Q83" s="48"/>
      <c r="R83" s="48"/>
      <c r="S83" s="48"/>
      <c r="T83" s="56"/>
      <c r="U83" s="41" t="str">
        <f>IF(A83="","",HYPERLINK(CONCATENATE("http://xboxgamertag.com/search/",SUBSTITUTE(TRIM(Tbl_Members[Gamertag])," ","-"),"/xbox-one"),Tbl_Members[Gamertag]))</f>
        <v/>
      </c>
      <c r="V83" s="48"/>
      <c r="W83" s="49"/>
      <c r="X83" s="51"/>
      <c r="Y83" s="51"/>
      <c r="Z83" s="51"/>
      <c r="AA83" s="42" t="str">
        <f ca="1">IF(Tbl_Members[[#This Row],[Date of Birth]]="","",INT(YEARFRAC(Z83,TODAY())))</f>
        <v/>
      </c>
      <c r="AB83" s="51"/>
      <c r="AC83" s="51"/>
      <c r="AD83" s="52"/>
    </row>
    <row r="84" spans="1:30" ht="30" customHeight="1" x14ac:dyDescent="0.25">
      <c r="A84" s="47"/>
      <c r="B84" s="48"/>
      <c r="C84" s="49"/>
      <c r="D8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4" s="49"/>
      <c r="F84" s="38" t="str">
        <f ca="1">IF(Tbl_Members[Last Active]="","",IF(_xlfn.DAYS(TODAY(),Tbl_Members[Last Active])&lt;22,"No","Yes"))</f>
        <v/>
      </c>
      <c r="G84" s="49"/>
      <c r="H84" s="39" t="str">
        <f>IF(Tbl_Members[[#This Row],[Date Recruited]]="","",TEXT(Tbl_Members[[#This Row],[Date Recruited]],"MM"))</f>
        <v/>
      </c>
      <c r="I84" s="48"/>
      <c r="J84" s="48"/>
      <c r="K84" s="50"/>
      <c r="L84" s="54"/>
      <c r="M84" s="54"/>
      <c r="N84" s="55"/>
      <c r="O84" s="55"/>
      <c r="P84" s="48"/>
      <c r="Q84" s="48"/>
      <c r="R84" s="48"/>
      <c r="S84" s="48"/>
      <c r="T84" s="56"/>
      <c r="U84" s="41" t="str">
        <f>IF(A84="","",HYPERLINK(CONCATENATE("http://xboxgamertag.com/search/",SUBSTITUTE(TRIM(Tbl_Members[Gamertag])," ","-"),"/xbox-one"),Tbl_Members[Gamertag]))</f>
        <v/>
      </c>
      <c r="V84" s="48"/>
      <c r="W84" s="49"/>
      <c r="X84" s="51"/>
      <c r="Y84" s="51"/>
      <c r="Z84" s="51"/>
      <c r="AA84" s="42" t="str">
        <f ca="1">IF(Tbl_Members[[#This Row],[Date of Birth]]="","",INT(YEARFRAC(Z84,TODAY())))</f>
        <v/>
      </c>
      <c r="AB84" s="51"/>
      <c r="AC84" s="51"/>
      <c r="AD84" s="52"/>
    </row>
    <row r="85" spans="1:30" ht="30" customHeight="1" x14ac:dyDescent="0.25">
      <c r="A85" s="47"/>
      <c r="B85" s="48"/>
      <c r="C85" s="49"/>
      <c r="D8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5" s="49"/>
      <c r="F85" s="38" t="str">
        <f ca="1">IF(Tbl_Members[Last Active]="","",IF(_xlfn.DAYS(TODAY(),Tbl_Members[Last Active])&lt;22,"No","Yes"))</f>
        <v/>
      </c>
      <c r="G85" s="49"/>
      <c r="H85" s="39" t="str">
        <f>IF(Tbl_Members[[#This Row],[Date Recruited]]="","",TEXT(Tbl_Members[[#This Row],[Date Recruited]],"MM"))</f>
        <v/>
      </c>
      <c r="I85" s="48"/>
      <c r="J85" s="48"/>
      <c r="K85" s="50"/>
      <c r="L85" s="54"/>
      <c r="M85" s="54"/>
      <c r="N85" s="55"/>
      <c r="O85" s="55"/>
      <c r="P85" s="48"/>
      <c r="Q85" s="48"/>
      <c r="R85" s="48"/>
      <c r="S85" s="48"/>
      <c r="T85" s="56"/>
      <c r="U85" s="41" t="str">
        <f>IF(A85="","",HYPERLINK(CONCATENATE("http://xboxgamertag.com/search/",SUBSTITUTE(TRIM(Tbl_Members[Gamertag])," ","-"),"/xbox-one"),Tbl_Members[Gamertag]))</f>
        <v/>
      </c>
      <c r="V85" s="48"/>
      <c r="W85" s="49"/>
      <c r="X85" s="51"/>
      <c r="Y85" s="51"/>
      <c r="Z85" s="51"/>
      <c r="AA85" s="42" t="str">
        <f ca="1">IF(Tbl_Members[[#This Row],[Date of Birth]]="","",INT(YEARFRAC(Z85,TODAY())))</f>
        <v/>
      </c>
      <c r="AB85" s="51"/>
      <c r="AC85" s="51"/>
      <c r="AD85" s="52"/>
    </row>
    <row r="86" spans="1:30" ht="30" customHeight="1" x14ac:dyDescent="0.25">
      <c r="A86" s="47"/>
      <c r="B86" s="48"/>
      <c r="C86" s="49"/>
      <c r="D8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6" s="49"/>
      <c r="F86" s="38" t="str">
        <f ca="1">IF(Tbl_Members[Last Active]="","",IF(_xlfn.DAYS(TODAY(),Tbl_Members[Last Active])&lt;22,"No","Yes"))</f>
        <v/>
      </c>
      <c r="G86" s="49"/>
      <c r="H86" s="39" t="str">
        <f>IF(Tbl_Members[[#This Row],[Date Recruited]]="","",TEXT(Tbl_Members[[#This Row],[Date Recruited]],"MM"))</f>
        <v/>
      </c>
      <c r="I86" s="48"/>
      <c r="J86" s="48"/>
      <c r="K86" s="50"/>
      <c r="L86" s="54"/>
      <c r="M86" s="54"/>
      <c r="N86" s="55"/>
      <c r="O86" s="55"/>
      <c r="P86" s="48"/>
      <c r="Q86" s="48"/>
      <c r="R86" s="48"/>
      <c r="S86" s="48"/>
      <c r="T86" s="56"/>
      <c r="U86" s="41" t="str">
        <f>IF(A86="","",HYPERLINK(CONCATENATE("http://xboxgamertag.com/search/",SUBSTITUTE(TRIM(Tbl_Members[Gamertag])," ","-"),"/xbox-one"),Tbl_Members[Gamertag]))</f>
        <v/>
      </c>
      <c r="V86" s="48"/>
      <c r="W86" s="49"/>
      <c r="X86" s="51"/>
      <c r="Y86" s="51"/>
      <c r="Z86" s="51"/>
      <c r="AA86" s="42" t="str">
        <f ca="1">IF(Tbl_Members[[#This Row],[Date of Birth]]="","",INT(YEARFRAC(Z86,TODAY())))</f>
        <v/>
      </c>
      <c r="AB86" s="51"/>
      <c r="AC86" s="51"/>
      <c r="AD86" s="52"/>
    </row>
    <row r="87" spans="1:30" ht="30" customHeight="1" x14ac:dyDescent="0.25">
      <c r="A87" s="47"/>
      <c r="B87" s="48"/>
      <c r="C87" s="49"/>
      <c r="D8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7" s="49"/>
      <c r="F87" s="38" t="str">
        <f ca="1">IF(Tbl_Members[Last Active]="","",IF(_xlfn.DAYS(TODAY(),Tbl_Members[Last Active])&lt;22,"No","Yes"))</f>
        <v/>
      </c>
      <c r="G87" s="49"/>
      <c r="H87" s="39" t="str">
        <f>IF(Tbl_Members[[#This Row],[Date Recruited]]="","",TEXT(Tbl_Members[[#This Row],[Date Recruited]],"MM"))</f>
        <v/>
      </c>
      <c r="I87" s="48"/>
      <c r="J87" s="48"/>
      <c r="K87" s="50"/>
      <c r="L87" s="54"/>
      <c r="M87" s="54"/>
      <c r="N87" s="55"/>
      <c r="O87" s="55"/>
      <c r="P87" s="48"/>
      <c r="Q87" s="48"/>
      <c r="R87" s="48"/>
      <c r="S87" s="48"/>
      <c r="T87" s="56"/>
      <c r="U87" s="41" t="str">
        <f>IF(A87="","",HYPERLINK(CONCATENATE("http://xboxgamertag.com/search/",SUBSTITUTE(TRIM(Tbl_Members[Gamertag])," ","-"),"/xbox-one"),Tbl_Members[Gamertag]))</f>
        <v/>
      </c>
      <c r="V87" s="48"/>
      <c r="W87" s="49"/>
      <c r="X87" s="51"/>
      <c r="Y87" s="51"/>
      <c r="Z87" s="51"/>
      <c r="AA87" s="42" t="str">
        <f ca="1">IF(Tbl_Members[[#This Row],[Date of Birth]]="","",INT(YEARFRAC(Z87,TODAY())))</f>
        <v/>
      </c>
      <c r="AB87" s="51"/>
      <c r="AC87" s="51"/>
      <c r="AD87" s="52"/>
    </row>
    <row r="88" spans="1:30" ht="30" customHeight="1" x14ac:dyDescent="0.25">
      <c r="A88" s="47"/>
      <c r="B88" s="48"/>
      <c r="C88" s="49"/>
      <c r="D8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8" s="49"/>
      <c r="F88" s="38" t="str">
        <f ca="1">IF(Tbl_Members[Last Active]="","",IF(_xlfn.DAYS(TODAY(),Tbl_Members[Last Active])&lt;22,"No","Yes"))</f>
        <v/>
      </c>
      <c r="G88" s="49"/>
      <c r="H88" s="39" t="str">
        <f>IF(Tbl_Members[[#This Row],[Date Recruited]]="","",TEXT(Tbl_Members[[#This Row],[Date Recruited]],"MM"))</f>
        <v/>
      </c>
      <c r="I88" s="48"/>
      <c r="J88" s="48"/>
      <c r="K88" s="50"/>
      <c r="L88" s="54"/>
      <c r="M88" s="54"/>
      <c r="N88" s="55"/>
      <c r="O88" s="55"/>
      <c r="P88" s="48"/>
      <c r="Q88" s="48"/>
      <c r="R88" s="48"/>
      <c r="S88" s="48"/>
      <c r="T88" s="56"/>
      <c r="U88" s="41" t="str">
        <f>IF(A88="","",HYPERLINK(CONCATENATE("http://xboxgamertag.com/search/",SUBSTITUTE(TRIM(Tbl_Members[Gamertag])," ","-"),"/xbox-one"),Tbl_Members[Gamertag]))</f>
        <v/>
      </c>
      <c r="V88" s="48"/>
      <c r="W88" s="49"/>
      <c r="X88" s="51"/>
      <c r="Y88" s="51"/>
      <c r="Z88" s="51"/>
      <c r="AA88" s="42" t="str">
        <f ca="1">IF(Tbl_Members[[#This Row],[Date of Birth]]="","",INT(YEARFRAC(Z88,TODAY())))</f>
        <v/>
      </c>
      <c r="AB88" s="51"/>
      <c r="AC88" s="51"/>
      <c r="AD88" s="52"/>
    </row>
    <row r="89" spans="1:30" ht="30" customHeight="1" x14ac:dyDescent="0.25">
      <c r="A89" s="47"/>
      <c r="B89" s="48"/>
      <c r="C89" s="49"/>
      <c r="D8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89" s="49"/>
      <c r="F89" s="38" t="str">
        <f ca="1">IF(Tbl_Members[Last Active]="","",IF(_xlfn.DAYS(TODAY(),Tbl_Members[Last Active])&lt;22,"No","Yes"))</f>
        <v/>
      </c>
      <c r="G89" s="49"/>
      <c r="H89" s="39" t="str">
        <f>IF(Tbl_Members[[#This Row],[Date Recruited]]="","",TEXT(Tbl_Members[[#This Row],[Date Recruited]],"MM"))</f>
        <v/>
      </c>
      <c r="I89" s="48"/>
      <c r="J89" s="48"/>
      <c r="K89" s="50"/>
      <c r="L89" s="54"/>
      <c r="M89" s="54"/>
      <c r="N89" s="55"/>
      <c r="O89" s="55"/>
      <c r="P89" s="48"/>
      <c r="Q89" s="48"/>
      <c r="R89" s="48"/>
      <c r="S89" s="48"/>
      <c r="T89" s="56"/>
      <c r="U89" s="41" t="str">
        <f>IF(A89="","",HYPERLINK(CONCATENATE("http://xboxgamertag.com/search/",SUBSTITUTE(TRIM(Tbl_Members[Gamertag])," ","-"),"/xbox-one"),Tbl_Members[Gamertag]))</f>
        <v/>
      </c>
      <c r="V89" s="48"/>
      <c r="W89" s="49"/>
      <c r="X89" s="51"/>
      <c r="Y89" s="51"/>
      <c r="Z89" s="51"/>
      <c r="AA89" s="42" t="str">
        <f ca="1">IF(Tbl_Members[[#This Row],[Date of Birth]]="","",INT(YEARFRAC(Z89,TODAY())))</f>
        <v/>
      </c>
      <c r="AB89" s="51"/>
      <c r="AC89" s="51"/>
      <c r="AD89" s="52"/>
    </row>
    <row r="90" spans="1:30" ht="30" customHeight="1" x14ac:dyDescent="0.25">
      <c r="A90" s="47"/>
      <c r="B90" s="48"/>
      <c r="C90" s="49"/>
      <c r="D9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0" s="49"/>
      <c r="F90" s="38" t="str">
        <f ca="1">IF(Tbl_Members[Last Active]="","",IF(_xlfn.DAYS(TODAY(),Tbl_Members[Last Active])&lt;22,"No","Yes"))</f>
        <v/>
      </c>
      <c r="G90" s="49"/>
      <c r="H90" s="39" t="str">
        <f>IF(Tbl_Members[[#This Row],[Date Recruited]]="","",TEXT(Tbl_Members[[#This Row],[Date Recruited]],"MM"))</f>
        <v/>
      </c>
      <c r="I90" s="48"/>
      <c r="J90" s="48"/>
      <c r="K90" s="50"/>
      <c r="L90" s="54"/>
      <c r="M90" s="54"/>
      <c r="N90" s="55"/>
      <c r="O90" s="55"/>
      <c r="P90" s="48"/>
      <c r="Q90" s="48"/>
      <c r="R90" s="48"/>
      <c r="S90" s="48"/>
      <c r="T90" s="56"/>
      <c r="U90" s="41" t="str">
        <f>IF(A90="","",HYPERLINK(CONCATENATE("http://xboxgamertag.com/search/",SUBSTITUTE(TRIM(Tbl_Members[Gamertag])," ","-"),"/xbox-one"),Tbl_Members[Gamertag]))</f>
        <v/>
      </c>
      <c r="V90" s="48"/>
      <c r="W90" s="49"/>
      <c r="X90" s="51"/>
      <c r="Y90" s="51"/>
      <c r="Z90" s="51"/>
      <c r="AA90" s="42" t="str">
        <f ca="1">IF(Tbl_Members[[#This Row],[Date of Birth]]="","",INT(YEARFRAC(Z90,TODAY())))</f>
        <v/>
      </c>
      <c r="AB90" s="51"/>
      <c r="AC90" s="51"/>
      <c r="AD90" s="52"/>
    </row>
    <row r="91" spans="1:30" ht="30" customHeight="1" x14ac:dyDescent="0.25">
      <c r="A91" s="47"/>
      <c r="B91" s="48"/>
      <c r="C91" s="49"/>
      <c r="D9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1" s="49"/>
      <c r="F91" s="38" t="str">
        <f ca="1">IF(Tbl_Members[Last Active]="","",IF(_xlfn.DAYS(TODAY(),Tbl_Members[Last Active])&lt;22,"No","Yes"))</f>
        <v/>
      </c>
      <c r="G91" s="49"/>
      <c r="H91" s="39" t="str">
        <f>IF(Tbl_Members[[#This Row],[Date Recruited]]="","",TEXT(Tbl_Members[[#This Row],[Date Recruited]],"MM"))</f>
        <v/>
      </c>
      <c r="I91" s="48"/>
      <c r="J91" s="48"/>
      <c r="K91" s="50"/>
      <c r="L91" s="54"/>
      <c r="M91" s="54"/>
      <c r="N91" s="55"/>
      <c r="O91" s="55"/>
      <c r="P91" s="48"/>
      <c r="Q91" s="48"/>
      <c r="R91" s="48"/>
      <c r="S91" s="48"/>
      <c r="T91" s="56"/>
      <c r="U91" s="41" t="str">
        <f>IF(A91="","",HYPERLINK(CONCATENATE("http://xboxgamertag.com/search/",SUBSTITUTE(TRIM(Tbl_Members[Gamertag])," ","-"),"/xbox-one"),Tbl_Members[Gamertag]))</f>
        <v/>
      </c>
      <c r="V91" s="48"/>
      <c r="W91" s="49"/>
      <c r="X91" s="51"/>
      <c r="Y91" s="51"/>
      <c r="Z91" s="51"/>
      <c r="AA91" s="42" t="str">
        <f ca="1">IF(Tbl_Members[[#This Row],[Date of Birth]]="","",INT(YEARFRAC(Z91,TODAY())))</f>
        <v/>
      </c>
      <c r="AB91" s="51"/>
      <c r="AC91" s="51"/>
      <c r="AD91" s="52"/>
    </row>
    <row r="92" spans="1:30" ht="30" customHeight="1" x14ac:dyDescent="0.25">
      <c r="A92" s="47"/>
      <c r="B92" s="48"/>
      <c r="C92" s="49"/>
      <c r="D9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2" s="49"/>
      <c r="F92" s="38" t="str">
        <f ca="1">IF(Tbl_Members[Last Active]="","",IF(_xlfn.DAYS(TODAY(),Tbl_Members[Last Active])&lt;22,"No","Yes"))</f>
        <v/>
      </c>
      <c r="G92" s="49"/>
      <c r="H92" s="39" t="str">
        <f>IF(Tbl_Members[[#This Row],[Date Recruited]]="","",TEXT(Tbl_Members[[#This Row],[Date Recruited]],"MM"))</f>
        <v/>
      </c>
      <c r="I92" s="48"/>
      <c r="J92" s="48"/>
      <c r="K92" s="50"/>
      <c r="L92" s="54"/>
      <c r="M92" s="54"/>
      <c r="N92" s="55"/>
      <c r="O92" s="55"/>
      <c r="P92" s="48"/>
      <c r="Q92" s="48"/>
      <c r="R92" s="48"/>
      <c r="S92" s="48"/>
      <c r="T92" s="56"/>
      <c r="U92" s="41" t="str">
        <f>IF(A92="","",HYPERLINK(CONCATENATE("http://xboxgamertag.com/search/",SUBSTITUTE(TRIM(Tbl_Members[Gamertag])," ","-"),"/xbox-one"),Tbl_Members[Gamertag]))</f>
        <v/>
      </c>
      <c r="V92" s="48"/>
      <c r="W92" s="49"/>
      <c r="X92" s="51"/>
      <c r="Y92" s="51"/>
      <c r="Z92" s="51"/>
      <c r="AA92" s="42" t="str">
        <f ca="1">IF(Tbl_Members[[#This Row],[Date of Birth]]="","",INT(YEARFRAC(Z92,TODAY())))</f>
        <v/>
      </c>
      <c r="AB92" s="51"/>
      <c r="AC92" s="51"/>
      <c r="AD92" s="52"/>
    </row>
    <row r="93" spans="1:30" ht="30" customHeight="1" x14ac:dyDescent="0.25">
      <c r="A93" s="47"/>
      <c r="B93" s="48"/>
      <c r="C93" s="49"/>
      <c r="D9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3" s="49"/>
      <c r="F93" s="38" t="str">
        <f ca="1">IF(Tbl_Members[Last Active]="","",IF(_xlfn.DAYS(TODAY(),Tbl_Members[Last Active])&lt;22,"No","Yes"))</f>
        <v/>
      </c>
      <c r="G93" s="49"/>
      <c r="H93" s="39" t="str">
        <f>IF(Tbl_Members[[#This Row],[Date Recruited]]="","",TEXT(Tbl_Members[[#This Row],[Date Recruited]],"MM"))</f>
        <v/>
      </c>
      <c r="I93" s="48"/>
      <c r="J93" s="48"/>
      <c r="K93" s="50"/>
      <c r="L93" s="54"/>
      <c r="M93" s="54"/>
      <c r="N93" s="55"/>
      <c r="O93" s="55"/>
      <c r="P93" s="48"/>
      <c r="Q93" s="48"/>
      <c r="R93" s="48"/>
      <c r="S93" s="48"/>
      <c r="T93" s="56"/>
      <c r="U93" s="41" t="str">
        <f>IF(A93="","",HYPERLINK(CONCATENATE("http://xboxgamertag.com/search/",SUBSTITUTE(TRIM(Tbl_Members[Gamertag])," ","-"),"/xbox-one"),Tbl_Members[Gamertag]))</f>
        <v/>
      </c>
      <c r="V93" s="48"/>
      <c r="W93" s="49"/>
      <c r="X93" s="51"/>
      <c r="Y93" s="51"/>
      <c r="Z93" s="51"/>
      <c r="AA93" s="42" t="str">
        <f ca="1">IF(Tbl_Members[[#This Row],[Date of Birth]]="","",INT(YEARFRAC(Z93,TODAY())))</f>
        <v/>
      </c>
      <c r="AB93" s="51"/>
      <c r="AC93" s="51"/>
      <c r="AD93" s="52"/>
    </row>
    <row r="94" spans="1:30" ht="30" customHeight="1" x14ac:dyDescent="0.25">
      <c r="A94" s="47"/>
      <c r="B94" s="48"/>
      <c r="C94" s="49"/>
      <c r="D9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4" s="49"/>
      <c r="F94" s="38" t="str">
        <f ca="1">IF(Tbl_Members[Last Active]="","",IF(_xlfn.DAYS(TODAY(),Tbl_Members[Last Active])&lt;22,"No","Yes"))</f>
        <v/>
      </c>
      <c r="G94" s="49"/>
      <c r="H94" s="39" t="str">
        <f>IF(Tbl_Members[[#This Row],[Date Recruited]]="","",TEXT(Tbl_Members[[#This Row],[Date Recruited]],"MM"))</f>
        <v/>
      </c>
      <c r="I94" s="48"/>
      <c r="J94" s="48"/>
      <c r="K94" s="50"/>
      <c r="L94" s="54"/>
      <c r="M94" s="54"/>
      <c r="N94" s="55"/>
      <c r="O94" s="55"/>
      <c r="P94" s="48"/>
      <c r="Q94" s="48"/>
      <c r="R94" s="48"/>
      <c r="S94" s="48"/>
      <c r="T94" s="56"/>
      <c r="U94" s="41" t="str">
        <f>IF(A94="","",HYPERLINK(CONCATENATE("http://xboxgamertag.com/search/",SUBSTITUTE(TRIM(Tbl_Members[Gamertag])," ","-"),"/xbox-one"),Tbl_Members[Gamertag]))</f>
        <v/>
      </c>
      <c r="V94" s="48"/>
      <c r="W94" s="49"/>
      <c r="X94" s="51"/>
      <c r="Y94" s="51"/>
      <c r="Z94" s="51"/>
      <c r="AA94" s="42" t="str">
        <f ca="1">IF(Tbl_Members[[#This Row],[Date of Birth]]="","",INT(YEARFRAC(Z94,TODAY())))</f>
        <v/>
      </c>
      <c r="AB94" s="51"/>
      <c r="AC94" s="51"/>
      <c r="AD94" s="52"/>
    </row>
    <row r="95" spans="1:30" ht="30" customHeight="1" x14ac:dyDescent="0.25">
      <c r="A95" s="47"/>
      <c r="B95" s="48"/>
      <c r="C95" s="49"/>
      <c r="D9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5" s="49"/>
      <c r="F95" s="38" t="str">
        <f ca="1">IF(Tbl_Members[Last Active]="","",IF(_xlfn.DAYS(TODAY(),Tbl_Members[Last Active])&lt;22,"No","Yes"))</f>
        <v/>
      </c>
      <c r="G95" s="49"/>
      <c r="H95" s="39" t="str">
        <f>IF(Tbl_Members[[#This Row],[Date Recruited]]="","",TEXT(Tbl_Members[[#This Row],[Date Recruited]],"MM"))</f>
        <v/>
      </c>
      <c r="I95" s="48"/>
      <c r="J95" s="48"/>
      <c r="K95" s="50"/>
      <c r="L95" s="54"/>
      <c r="M95" s="54"/>
      <c r="N95" s="55"/>
      <c r="O95" s="55"/>
      <c r="P95" s="48"/>
      <c r="Q95" s="48"/>
      <c r="R95" s="48"/>
      <c r="S95" s="48"/>
      <c r="T95" s="56"/>
      <c r="U95" s="41" t="str">
        <f>IF(A95="","",HYPERLINK(CONCATENATE("http://xboxgamertag.com/search/",SUBSTITUTE(TRIM(Tbl_Members[Gamertag])," ","-"),"/xbox-one"),Tbl_Members[Gamertag]))</f>
        <v/>
      </c>
      <c r="V95" s="48"/>
      <c r="W95" s="49"/>
      <c r="X95" s="51"/>
      <c r="Y95" s="51"/>
      <c r="Z95" s="51"/>
      <c r="AA95" s="42" t="str">
        <f ca="1">IF(Tbl_Members[[#This Row],[Date of Birth]]="","",INT(YEARFRAC(Z95,TODAY())))</f>
        <v/>
      </c>
      <c r="AB95" s="51"/>
      <c r="AC95" s="51"/>
      <c r="AD95" s="52"/>
    </row>
    <row r="96" spans="1:30" ht="30" customHeight="1" x14ac:dyDescent="0.25">
      <c r="A96" s="47"/>
      <c r="B96" s="48"/>
      <c r="C96" s="49"/>
      <c r="D9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6" s="49"/>
      <c r="F96" s="38" t="str">
        <f ca="1">IF(Tbl_Members[Last Active]="","",IF(_xlfn.DAYS(TODAY(),Tbl_Members[Last Active])&lt;22,"No","Yes"))</f>
        <v/>
      </c>
      <c r="G96" s="49"/>
      <c r="H96" s="39" t="str">
        <f>IF(Tbl_Members[[#This Row],[Date Recruited]]="","",TEXT(Tbl_Members[[#This Row],[Date Recruited]],"MM"))</f>
        <v/>
      </c>
      <c r="I96" s="48"/>
      <c r="J96" s="48"/>
      <c r="K96" s="50"/>
      <c r="L96" s="54"/>
      <c r="M96" s="54"/>
      <c r="N96" s="55"/>
      <c r="O96" s="55"/>
      <c r="P96" s="48"/>
      <c r="Q96" s="48"/>
      <c r="R96" s="48"/>
      <c r="S96" s="48"/>
      <c r="T96" s="56"/>
      <c r="U96" s="41" t="str">
        <f>IF(A96="","",HYPERLINK(CONCATENATE("http://xboxgamertag.com/search/",SUBSTITUTE(TRIM(Tbl_Members[Gamertag])," ","-"),"/xbox-one"),Tbl_Members[Gamertag]))</f>
        <v/>
      </c>
      <c r="V96" s="48"/>
      <c r="W96" s="49"/>
      <c r="X96" s="51"/>
      <c r="Y96" s="51"/>
      <c r="Z96" s="51"/>
      <c r="AA96" s="42" t="str">
        <f ca="1">IF(Tbl_Members[[#This Row],[Date of Birth]]="","",INT(YEARFRAC(Z96,TODAY())))</f>
        <v/>
      </c>
      <c r="AB96" s="51"/>
      <c r="AC96" s="51"/>
      <c r="AD96" s="52"/>
    </row>
    <row r="97" spans="1:30" ht="30" customHeight="1" x14ac:dyDescent="0.25">
      <c r="A97" s="47"/>
      <c r="B97" s="48"/>
      <c r="C97" s="49"/>
      <c r="D9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7" s="49"/>
      <c r="F97" s="38" t="str">
        <f ca="1">IF(Tbl_Members[Last Active]="","",IF(_xlfn.DAYS(TODAY(),Tbl_Members[Last Active])&lt;22,"No","Yes"))</f>
        <v/>
      </c>
      <c r="G97" s="49"/>
      <c r="H97" s="39" t="str">
        <f>IF(Tbl_Members[[#This Row],[Date Recruited]]="","",TEXT(Tbl_Members[[#This Row],[Date Recruited]],"MM"))</f>
        <v/>
      </c>
      <c r="I97" s="48"/>
      <c r="J97" s="48"/>
      <c r="K97" s="50"/>
      <c r="L97" s="54"/>
      <c r="M97" s="54"/>
      <c r="N97" s="55"/>
      <c r="O97" s="55"/>
      <c r="P97" s="48"/>
      <c r="Q97" s="48"/>
      <c r="R97" s="48"/>
      <c r="S97" s="48"/>
      <c r="T97" s="56"/>
      <c r="U97" s="41" t="str">
        <f>IF(A97="","",HYPERLINK(CONCATENATE("http://xboxgamertag.com/search/",SUBSTITUTE(TRIM(Tbl_Members[Gamertag])," ","-"),"/xbox-one"),Tbl_Members[Gamertag]))</f>
        <v/>
      </c>
      <c r="V97" s="48"/>
      <c r="W97" s="49"/>
      <c r="X97" s="51"/>
      <c r="Y97" s="51"/>
      <c r="Z97" s="51"/>
      <c r="AA97" s="42" t="str">
        <f ca="1">IF(Tbl_Members[[#This Row],[Date of Birth]]="","",INT(YEARFRAC(Z97,TODAY())))</f>
        <v/>
      </c>
      <c r="AB97" s="51"/>
      <c r="AC97" s="51"/>
      <c r="AD97" s="52"/>
    </row>
    <row r="98" spans="1:30" ht="30" customHeight="1" x14ac:dyDescent="0.25">
      <c r="A98" s="47"/>
      <c r="B98" s="48"/>
      <c r="C98" s="49"/>
      <c r="D9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8" s="49"/>
      <c r="F98" s="38" t="str">
        <f ca="1">IF(Tbl_Members[Last Active]="","",IF(_xlfn.DAYS(TODAY(),Tbl_Members[Last Active])&lt;22,"No","Yes"))</f>
        <v/>
      </c>
      <c r="G98" s="49"/>
      <c r="H98" s="39" t="str">
        <f>IF(Tbl_Members[[#This Row],[Date Recruited]]="","",TEXT(Tbl_Members[[#This Row],[Date Recruited]],"MM"))</f>
        <v/>
      </c>
      <c r="I98" s="48"/>
      <c r="J98" s="48"/>
      <c r="K98" s="50"/>
      <c r="L98" s="54"/>
      <c r="M98" s="54"/>
      <c r="N98" s="55"/>
      <c r="O98" s="55"/>
      <c r="P98" s="48"/>
      <c r="Q98" s="48"/>
      <c r="R98" s="48"/>
      <c r="S98" s="48"/>
      <c r="T98" s="56"/>
      <c r="U98" s="41" t="str">
        <f>IF(A98="","",HYPERLINK(CONCATENATE("http://xboxgamertag.com/search/",SUBSTITUTE(TRIM(Tbl_Members[Gamertag])," ","-"),"/xbox-one"),Tbl_Members[Gamertag]))</f>
        <v/>
      </c>
      <c r="V98" s="48"/>
      <c r="W98" s="49"/>
      <c r="X98" s="51"/>
      <c r="Y98" s="51"/>
      <c r="Z98" s="51"/>
      <c r="AA98" s="42" t="str">
        <f ca="1">IF(Tbl_Members[[#This Row],[Date of Birth]]="","",INT(YEARFRAC(Z98,TODAY())))</f>
        <v/>
      </c>
      <c r="AB98" s="51"/>
      <c r="AC98" s="51"/>
      <c r="AD98" s="52"/>
    </row>
    <row r="99" spans="1:30" ht="30" customHeight="1" x14ac:dyDescent="0.25">
      <c r="A99" s="47"/>
      <c r="B99" s="48"/>
      <c r="C99" s="49"/>
      <c r="D9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99" s="49"/>
      <c r="F99" s="38" t="str">
        <f ca="1">IF(Tbl_Members[Last Active]="","",IF(_xlfn.DAYS(TODAY(),Tbl_Members[Last Active])&lt;22,"No","Yes"))</f>
        <v/>
      </c>
      <c r="G99" s="49"/>
      <c r="H99" s="39" t="str">
        <f>IF(Tbl_Members[[#This Row],[Date Recruited]]="","",TEXT(Tbl_Members[[#This Row],[Date Recruited]],"MM"))</f>
        <v/>
      </c>
      <c r="I99" s="48"/>
      <c r="J99" s="48"/>
      <c r="K99" s="50"/>
      <c r="L99" s="54"/>
      <c r="M99" s="54"/>
      <c r="N99" s="55"/>
      <c r="O99" s="55"/>
      <c r="P99" s="48"/>
      <c r="Q99" s="48"/>
      <c r="R99" s="48"/>
      <c r="S99" s="48"/>
      <c r="T99" s="56"/>
      <c r="U99" s="41" t="str">
        <f>IF(A99="","",HYPERLINK(CONCATENATE("http://xboxgamertag.com/search/",SUBSTITUTE(TRIM(Tbl_Members[Gamertag])," ","-"),"/xbox-one"),Tbl_Members[Gamertag]))</f>
        <v/>
      </c>
      <c r="V99" s="48"/>
      <c r="W99" s="49"/>
      <c r="X99" s="51"/>
      <c r="Y99" s="51"/>
      <c r="Z99" s="51"/>
      <c r="AA99" s="42" t="str">
        <f ca="1">IF(Tbl_Members[[#This Row],[Date of Birth]]="","",INT(YEARFRAC(Z99,TODAY())))</f>
        <v/>
      </c>
      <c r="AB99" s="51"/>
      <c r="AC99" s="51"/>
      <c r="AD99" s="52"/>
    </row>
    <row r="100" spans="1:30" ht="30" customHeight="1" x14ac:dyDescent="0.25">
      <c r="A100" s="47"/>
      <c r="B100" s="48"/>
      <c r="C100" s="49"/>
      <c r="D10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0" s="49"/>
      <c r="F100" s="38" t="str">
        <f ca="1">IF(Tbl_Members[Last Active]="","",IF(_xlfn.DAYS(TODAY(),Tbl_Members[Last Active])&lt;22,"No","Yes"))</f>
        <v/>
      </c>
      <c r="G100" s="49"/>
      <c r="H100" s="39" t="str">
        <f>IF(Tbl_Members[[#This Row],[Date Recruited]]="","",TEXT(Tbl_Members[[#This Row],[Date Recruited]],"MM"))</f>
        <v/>
      </c>
      <c r="I100" s="48"/>
      <c r="J100" s="48"/>
      <c r="K100" s="50"/>
      <c r="L100" s="54"/>
      <c r="M100" s="54"/>
      <c r="N100" s="55"/>
      <c r="O100" s="55"/>
      <c r="P100" s="48"/>
      <c r="Q100" s="48"/>
      <c r="R100" s="48"/>
      <c r="S100" s="48"/>
      <c r="T100" s="56"/>
      <c r="U100" s="41" t="str">
        <f>IF(A100="","",HYPERLINK(CONCATENATE("http://xboxgamertag.com/search/",SUBSTITUTE(TRIM(Tbl_Members[Gamertag])," ","-"),"/xbox-one"),Tbl_Members[Gamertag]))</f>
        <v/>
      </c>
      <c r="V100" s="48"/>
      <c r="W100" s="49"/>
      <c r="X100" s="51"/>
      <c r="Y100" s="51"/>
      <c r="Z100" s="51"/>
      <c r="AA100" s="42" t="str">
        <f ca="1">IF(Tbl_Members[[#This Row],[Date of Birth]]="","",INT(YEARFRAC(Z100,TODAY())))</f>
        <v/>
      </c>
      <c r="AB100" s="51"/>
      <c r="AC100" s="51"/>
      <c r="AD100" s="52"/>
    </row>
    <row r="101" spans="1:30" ht="30" customHeight="1" x14ac:dyDescent="0.25">
      <c r="A101" s="47"/>
      <c r="B101" s="48"/>
      <c r="C101" s="49"/>
      <c r="D10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1" s="49"/>
      <c r="F101" s="38" t="str">
        <f ca="1">IF(Tbl_Members[Last Active]="","",IF(_xlfn.DAYS(TODAY(),Tbl_Members[Last Active])&lt;22,"No","Yes"))</f>
        <v/>
      </c>
      <c r="G101" s="49"/>
      <c r="H101" s="39" t="str">
        <f>IF(Tbl_Members[[#This Row],[Date Recruited]]="","",TEXT(Tbl_Members[[#This Row],[Date Recruited]],"MM"))</f>
        <v/>
      </c>
      <c r="I101" s="48"/>
      <c r="J101" s="48"/>
      <c r="K101" s="50"/>
      <c r="L101" s="54"/>
      <c r="M101" s="54"/>
      <c r="N101" s="55"/>
      <c r="O101" s="55"/>
      <c r="P101" s="48"/>
      <c r="Q101" s="48"/>
      <c r="R101" s="48"/>
      <c r="S101" s="48"/>
      <c r="T101" s="56"/>
      <c r="U101" s="41" t="str">
        <f>IF(A101="","",HYPERLINK(CONCATENATE("http://xboxgamertag.com/search/",SUBSTITUTE(TRIM(Tbl_Members[Gamertag])," ","-"),"/xbox-one"),Tbl_Members[Gamertag]))</f>
        <v/>
      </c>
      <c r="V101" s="48"/>
      <c r="W101" s="49"/>
      <c r="X101" s="51"/>
      <c r="Y101" s="51"/>
      <c r="Z101" s="51"/>
      <c r="AA101" s="42" t="str">
        <f ca="1">IF(Tbl_Members[[#This Row],[Date of Birth]]="","",INT(YEARFRAC(Z101,TODAY())))</f>
        <v/>
      </c>
      <c r="AB101" s="51"/>
      <c r="AC101" s="51"/>
      <c r="AD101" s="52"/>
    </row>
    <row r="102" spans="1:30" ht="30" customHeight="1" x14ac:dyDescent="0.25">
      <c r="A102" s="47"/>
      <c r="B102" s="48"/>
      <c r="C102" s="49"/>
      <c r="D10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2" s="49"/>
      <c r="F102" s="38" t="str">
        <f ca="1">IF(Tbl_Members[Last Active]="","",IF(_xlfn.DAYS(TODAY(),Tbl_Members[Last Active])&lt;22,"No","Yes"))</f>
        <v/>
      </c>
      <c r="G102" s="49"/>
      <c r="H102" s="39" t="str">
        <f>IF(Tbl_Members[[#This Row],[Date Recruited]]="","",TEXT(Tbl_Members[[#This Row],[Date Recruited]],"MM"))</f>
        <v/>
      </c>
      <c r="I102" s="48"/>
      <c r="J102" s="48"/>
      <c r="K102" s="50"/>
      <c r="L102" s="54"/>
      <c r="M102" s="54"/>
      <c r="N102" s="55"/>
      <c r="O102" s="55"/>
      <c r="P102" s="48"/>
      <c r="Q102" s="48"/>
      <c r="R102" s="48"/>
      <c r="S102" s="48"/>
      <c r="T102" s="56"/>
      <c r="U102" s="41" t="str">
        <f>IF(A102="","",HYPERLINK(CONCATENATE("http://xboxgamertag.com/search/",SUBSTITUTE(TRIM(Tbl_Members[Gamertag])," ","-"),"/xbox-one"),Tbl_Members[Gamertag]))</f>
        <v/>
      </c>
      <c r="V102" s="48"/>
      <c r="W102" s="49"/>
      <c r="X102" s="51"/>
      <c r="Y102" s="51"/>
      <c r="Z102" s="51"/>
      <c r="AA102" s="42" t="str">
        <f ca="1">IF(Tbl_Members[[#This Row],[Date of Birth]]="","",INT(YEARFRAC(Z102,TODAY())))</f>
        <v/>
      </c>
      <c r="AB102" s="51"/>
      <c r="AC102" s="51"/>
      <c r="AD102" s="52"/>
    </row>
    <row r="103" spans="1:30" ht="30" customHeight="1" x14ac:dyDescent="0.25">
      <c r="A103" s="47"/>
      <c r="B103" s="48"/>
      <c r="C103" s="49"/>
      <c r="D10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3" s="49"/>
      <c r="F103" s="38" t="str">
        <f ca="1">IF(Tbl_Members[Last Active]="","",IF(_xlfn.DAYS(TODAY(),Tbl_Members[Last Active])&lt;22,"No","Yes"))</f>
        <v/>
      </c>
      <c r="G103" s="49"/>
      <c r="H103" s="39" t="str">
        <f>IF(Tbl_Members[[#This Row],[Date Recruited]]="","",TEXT(Tbl_Members[[#This Row],[Date Recruited]],"MM"))</f>
        <v/>
      </c>
      <c r="I103" s="48"/>
      <c r="J103" s="48"/>
      <c r="K103" s="50"/>
      <c r="L103" s="54"/>
      <c r="M103" s="54"/>
      <c r="N103" s="55"/>
      <c r="O103" s="55"/>
      <c r="P103" s="48"/>
      <c r="Q103" s="48"/>
      <c r="R103" s="48"/>
      <c r="S103" s="48"/>
      <c r="T103" s="56"/>
      <c r="U103" s="41" t="str">
        <f>IF(A103="","",HYPERLINK(CONCATENATE("http://xboxgamertag.com/search/",SUBSTITUTE(TRIM(Tbl_Members[Gamertag])," ","-"),"/xbox-one"),Tbl_Members[Gamertag]))</f>
        <v/>
      </c>
      <c r="V103" s="48"/>
      <c r="W103" s="49"/>
      <c r="X103" s="51"/>
      <c r="Y103" s="51"/>
      <c r="Z103" s="51"/>
      <c r="AA103" s="42" t="str">
        <f ca="1">IF(Tbl_Members[[#This Row],[Date of Birth]]="","",INT(YEARFRAC(Z103,TODAY())))</f>
        <v/>
      </c>
      <c r="AB103" s="51"/>
      <c r="AC103" s="51"/>
      <c r="AD103" s="52"/>
    </row>
    <row r="104" spans="1:30" ht="30" customHeight="1" x14ac:dyDescent="0.25">
      <c r="A104" s="47"/>
      <c r="B104" s="48"/>
      <c r="C104" s="49"/>
      <c r="D10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4" s="49"/>
      <c r="F104" s="38" t="str">
        <f ca="1">IF(Tbl_Members[Last Active]="","",IF(_xlfn.DAYS(TODAY(),Tbl_Members[Last Active])&lt;22,"No","Yes"))</f>
        <v/>
      </c>
      <c r="G104" s="49"/>
      <c r="H104" s="39" t="str">
        <f>IF(Tbl_Members[[#This Row],[Date Recruited]]="","",TEXT(Tbl_Members[[#This Row],[Date Recruited]],"MM"))</f>
        <v/>
      </c>
      <c r="I104" s="48"/>
      <c r="J104" s="48"/>
      <c r="K104" s="50"/>
      <c r="L104" s="54"/>
      <c r="M104" s="54"/>
      <c r="N104" s="55"/>
      <c r="O104" s="55"/>
      <c r="P104" s="48"/>
      <c r="Q104" s="48"/>
      <c r="R104" s="48"/>
      <c r="S104" s="48"/>
      <c r="T104" s="56"/>
      <c r="U104" s="41" t="str">
        <f>IF(A104="","",HYPERLINK(CONCATENATE("http://xboxgamertag.com/search/",SUBSTITUTE(TRIM(Tbl_Members[Gamertag])," ","-"),"/xbox-one"),Tbl_Members[Gamertag]))</f>
        <v/>
      </c>
      <c r="V104" s="48"/>
      <c r="W104" s="49"/>
      <c r="X104" s="51"/>
      <c r="Y104" s="51"/>
      <c r="Z104" s="51"/>
      <c r="AA104" s="42" t="str">
        <f ca="1">IF(Tbl_Members[[#This Row],[Date of Birth]]="","",INT(YEARFRAC(Z104,TODAY())))</f>
        <v/>
      </c>
      <c r="AB104" s="51"/>
      <c r="AC104" s="51"/>
      <c r="AD104" s="52"/>
    </row>
    <row r="105" spans="1:30" ht="30" customHeight="1" x14ac:dyDescent="0.25">
      <c r="A105" s="47"/>
      <c r="B105" s="48"/>
      <c r="C105" s="49"/>
      <c r="D10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5" s="49"/>
      <c r="F105" s="38" t="str">
        <f ca="1">IF(Tbl_Members[Last Active]="","",IF(_xlfn.DAYS(TODAY(),Tbl_Members[Last Active])&lt;22,"No","Yes"))</f>
        <v/>
      </c>
      <c r="G105" s="49"/>
      <c r="H105" s="39" t="str">
        <f>IF(Tbl_Members[[#This Row],[Date Recruited]]="","",TEXT(Tbl_Members[[#This Row],[Date Recruited]],"MM"))</f>
        <v/>
      </c>
      <c r="I105" s="48"/>
      <c r="J105" s="48"/>
      <c r="K105" s="50"/>
      <c r="L105" s="54"/>
      <c r="M105" s="54"/>
      <c r="N105" s="55"/>
      <c r="O105" s="55"/>
      <c r="P105" s="48"/>
      <c r="Q105" s="48"/>
      <c r="R105" s="48"/>
      <c r="S105" s="48"/>
      <c r="T105" s="56"/>
      <c r="U105" s="41" t="str">
        <f>IF(A105="","",HYPERLINK(CONCATENATE("http://xboxgamertag.com/search/",SUBSTITUTE(TRIM(Tbl_Members[Gamertag])," ","-"),"/xbox-one"),Tbl_Members[Gamertag]))</f>
        <v/>
      </c>
      <c r="V105" s="48"/>
      <c r="W105" s="49"/>
      <c r="X105" s="51"/>
      <c r="Y105" s="51"/>
      <c r="Z105" s="51"/>
      <c r="AA105" s="42" t="str">
        <f ca="1">IF(Tbl_Members[[#This Row],[Date of Birth]]="","",INT(YEARFRAC(Z105,TODAY())))</f>
        <v/>
      </c>
      <c r="AB105" s="51"/>
      <c r="AC105" s="51"/>
      <c r="AD105" s="52"/>
    </row>
    <row r="106" spans="1:30" ht="30" customHeight="1" x14ac:dyDescent="0.25">
      <c r="A106" s="47"/>
      <c r="B106" s="48"/>
      <c r="C106" s="49"/>
      <c r="D10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6" s="49"/>
      <c r="F106" s="38" t="str">
        <f ca="1">IF(Tbl_Members[Last Active]="","",IF(_xlfn.DAYS(TODAY(),Tbl_Members[Last Active])&lt;22,"No","Yes"))</f>
        <v/>
      </c>
      <c r="G106" s="49"/>
      <c r="H106" s="39" t="str">
        <f>IF(Tbl_Members[[#This Row],[Date Recruited]]="","",TEXT(Tbl_Members[[#This Row],[Date Recruited]],"MM"))</f>
        <v/>
      </c>
      <c r="I106" s="48"/>
      <c r="J106" s="48"/>
      <c r="K106" s="50"/>
      <c r="L106" s="54"/>
      <c r="M106" s="54"/>
      <c r="N106" s="55"/>
      <c r="O106" s="55"/>
      <c r="P106" s="48"/>
      <c r="Q106" s="48"/>
      <c r="R106" s="48"/>
      <c r="S106" s="48"/>
      <c r="T106" s="56"/>
      <c r="U106" s="41" t="str">
        <f>IF(A106="","",HYPERLINK(CONCATENATE("http://xboxgamertag.com/search/",SUBSTITUTE(TRIM(Tbl_Members[Gamertag])," ","-"),"/xbox-one"),Tbl_Members[Gamertag]))</f>
        <v/>
      </c>
      <c r="V106" s="48"/>
      <c r="W106" s="49"/>
      <c r="X106" s="51"/>
      <c r="Y106" s="51"/>
      <c r="Z106" s="51"/>
      <c r="AA106" s="42" t="str">
        <f ca="1">IF(Tbl_Members[[#This Row],[Date of Birth]]="","",INT(YEARFRAC(Z106,TODAY())))</f>
        <v/>
      </c>
      <c r="AB106" s="51"/>
      <c r="AC106" s="51"/>
      <c r="AD106" s="52"/>
    </row>
    <row r="107" spans="1:30" ht="30" customHeight="1" x14ac:dyDescent="0.25">
      <c r="A107" s="47"/>
      <c r="B107" s="48"/>
      <c r="C107" s="49"/>
      <c r="D10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7" s="49"/>
      <c r="F107" s="38" t="str">
        <f ca="1">IF(Tbl_Members[Last Active]="","",IF(_xlfn.DAYS(TODAY(),Tbl_Members[Last Active])&lt;22,"No","Yes"))</f>
        <v/>
      </c>
      <c r="G107" s="49"/>
      <c r="H107" s="39" t="str">
        <f>IF(Tbl_Members[[#This Row],[Date Recruited]]="","",TEXT(Tbl_Members[[#This Row],[Date Recruited]],"MM"))</f>
        <v/>
      </c>
      <c r="I107" s="48"/>
      <c r="J107" s="48"/>
      <c r="K107" s="50"/>
      <c r="L107" s="54"/>
      <c r="M107" s="54"/>
      <c r="N107" s="55"/>
      <c r="O107" s="55"/>
      <c r="P107" s="48"/>
      <c r="Q107" s="48"/>
      <c r="R107" s="48"/>
      <c r="S107" s="48"/>
      <c r="T107" s="56"/>
      <c r="U107" s="41" t="str">
        <f>IF(A107="","",HYPERLINK(CONCATENATE("http://xboxgamertag.com/search/",SUBSTITUTE(TRIM(Tbl_Members[Gamertag])," ","-"),"/xbox-one"),Tbl_Members[Gamertag]))</f>
        <v/>
      </c>
      <c r="V107" s="48"/>
      <c r="W107" s="49"/>
      <c r="X107" s="51"/>
      <c r="Y107" s="51"/>
      <c r="Z107" s="51"/>
      <c r="AA107" s="42" t="str">
        <f ca="1">IF(Tbl_Members[[#This Row],[Date of Birth]]="","",INT(YEARFRAC(Z107,TODAY())))</f>
        <v/>
      </c>
      <c r="AB107" s="51"/>
      <c r="AC107" s="51"/>
      <c r="AD107" s="52"/>
    </row>
    <row r="108" spans="1:30" ht="30" customHeight="1" x14ac:dyDescent="0.25">
      <c r="A108" s="47"/>
      <c r="B108" s="48"/>
      <c r="C108" s="49"/>
      <c r="D108"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8" s="49"/>
      <c r="F108" s="38" t="str">
        <f ca="1">IF(Tbl_Members[Last Active]="","",IF(_xlfn.DAYS(TODAY(),Tbl_Members[Last Active])&lt;22,"No","Yes"))</f>
        <v/>
      </c>
      <c r="G108" s="49"/>
      <c r="H108" s="39" t="str">
        <f>IF(Tbl_Members[[#This Row],[Date Recruited]]="","",TEXT(Tbl_Members[[#This Row],[Date Recruited]],"MM"))</f>
        <v/>
      </c>
      <c r="I108" s="48"/>
      <c r="J108" s="48"/>
      <c r="K108" s="50"/>
      <c r="L108" s="54"/>
      <c r="M108" s="54"/>
      <c r="N108" s="55"/>
      <c r="O108" s="55"/>
      <c r="P108" s="48"/>
      <c r="Q108" s="48"/>
      <c r="R108" s="48"/>
      <c r="S108" s="48"/>
      <c r="T108" s="56"/>
      <c r="U108" s="41" t="str">
        <f>IF(A108="","",HYPERLINK(CONCATENATE("http://xboxgamertag.com/search/",SUBSTITUTE(TRIM(Tbl_Members[Gamertag])," ","-"),"/xbox-one"),Tbl_Members[Gamertag]))</f>
        <v/>
      </c>
      <c r="V108" s="48"/>
      <c r="W108" s="49"/>
      <c r="X108" s="51"/>
      <c r="Y108" s="51"/>
      <c r="Z108" s="51"/>
      <c r="AA108" s="42" t="str">
        <f ca="1">IF(Tbl_Members[[#This Row],[Date of Birth]]="","",INT(YEARFRAC(Z108,TODAY())))</f>
        <v/>
      </c>
      <c r="AB108" s="51"/>
      <c r="AC108" s="51"/>
      <c r="AD108" s="52"/>
    </row>
    <row r="109" spans="1:30" ht="30" customHeight="1" x14ac:dyDescent="0.25">
      <c r="A109" s="47"/>
      <c r="B109" s="48"/>
      <c r="C109" s="49"/>
      <c r="D109"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09" s="49"/>
      <c r="F109" s="38" t="str">
        <f ca="1">IF(Tbl_Members[Last Active]="","",IF(_xlfn.DAYS(TODAY(),Tbl_Members[Last Active])&lt;22,"No","Yes"))</f>
        <v/>
      </c>
      <c r="G109" s="49"/>
      <c r="H109" s="39" t="str">
        <f>IF(Tbl_Members[[#This Row],[Date Recruited]]="","",TEXT(Tbl_Members[[#This Row],[Date Recruited]],"MM"))</f>
        <v/>
      </c>
      <c r="I109" s="48"/>
      <c r="J109" s="48"/>
      <c r="K109" s="50"/>
      <c r="L109" s="54"/>
      <c r="M109" s="54"/>
      <c r="N109" s="55"/>
      <c r="O109" s="55"/>
      <c r="P109" s="48"/>
      <c r="Q109" s="48"/>
      <c r="R109" s="48"/>
      <c r="S109" s="48"/>
      <c r="T109" s="56"/>
      <c r="U109" s="41" t="str">
        <f>IF(A109="","",HYPERLINK(CONCATENATE("http://xboxgamertag.com/search/",SUBSTITUTE(TRIM(Tbl_Members[Gamertag])," ","-"),"/xbox-one"),Tbl_Members[Gamertag]))</f>
        <v/>
      </c>
      <c r="V109" s="48"/>
      <c r="W109" s="49"/>
      <c r="X109" s="51"/>
      <c r="Y109" s="51"/>
      <c r="Z109" s="51"/>
      <c r="AA109" s="42" t="str">
        <f ca="1">IF(Tbl_Members[[#This Row],[Date of Birth]]="","",INT(YEARFRAC(Z109,TODAY())))</f>
        <v/>
      </c>
      <c r="AB109" s="51"/>
      <c r="AC109" s="51"/>
      <c r="AD109" s="52"/>
    </row>
    <row r="110" spans="1:30" ht="30" customHeight="1" x14ac:dyDescent="0.25">
      <c r="A110" s="47"/>
      <c r="B110" s="48"/>
      <c r="C110" s="49"/>
      <c r="D110"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0" s="49"/>
      <c r="F110" s="38" t="str">
        <f ca="1">IF(Tbl_Members[Last Active]="","",IF(_xlfn.DAYS(TODAY(),Tbl_Members[Last Active])&lt;22,"No","Yes"))</f>
        <v/>
      </c>
      <c r="G110" s="49"/>
      <c r="H110" s="39" t="str">
        <f>IF(Tbl_Members[[#This Row],[Date Recruited]]="","",TEXT(Tbl_Members[[#This Row],[Date Recruited]],"MM"))</f>
        <v/>
      </c>
      <c r="I110" s="48"/>
      <c r="J110" s="48"/>
      <c r="K110" s="50"/>
      <c r="L110" s="54"/>
      <c r="M110" s="54"/>
      <c r="N110" s="55"/>
      <c r="O110" s="55"/>
      <c r="P110" s="48"/>
      <c r="Q110" s="48"/>
      <c r="R110" s="48"/>
      <c r="S110" s="48"/>
      <c r="T110" s="56"/>
      <c r="U110" s="41" t="str">
        <f>IF(A110="","",HYPERLINK(CONCATENATE("http://xboxgamertag.com/search/",SUBSTITUTE(TRIM(Tbl_Members[Gamertag])," ","-"),"/xbox-one"),Tbl_Members[Gamertag]))</f>
        <v/>
      </c>
      <c r="V110" s="48"/>
      <c r="W110" s="49"/>
      <c r="X110" s="51"/>
      <c r="Y110" s="51"/>
      <c r="Z110" s="51"/>
      <c r="AA110" s="42" t="str">
        <f ca="1">IF(Tbl_Members[[#This Row],[Date of Birth]]="","",INT(YEARFRAC(Z110,TODAY())))</f>
        <v/>
      </c>
      <c r="AB110" s="51"/>
      <c r="AC110" s="51"/>
      <c r="AD110" s="52"/>
    </row>
    <row r="111" spans="1:30" ht="30" customHeight="1" x14ac:dyDescent="0.25">
      <c r="A111" s="47"/>
      <c r="B111" s="48"/>
      <c r="C111" s="49"/>
      <c r="D111"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1" s="49"/>
      <c r="F111" s="38" t="str">
        <f ca="1">IF(Tbl_Members[Last Active]="","",IF(_xlfn.DAYS(TODAY(),Tbl_Members[Last Active])&lt;22,"No","Yes"))</f>
        <v/>
      </c>
      <c r="G111" s="49"/>
      <c r="H111" s="39" t="str">
        <f>IF(Tbl_Members[[#This Row],[Date Recruited]]="","",TEXT(Tbl_Members[[#This Row],[Date Recruited]],"MM"))</f>
        <v/>
      </c>
      <c r="I111" s="48"/>
      <c r="J111" s="48"/>
      <c r="K111" s="50"/>
      <c r="L111" s="54"/>
      <c r="M111" s="54"/>
      <c r="N111" s="55"/>
      <c r="O111" s="55"/>
      <c r="P111" s="48"/>
      <c r="Q111" s="48"/>
      <c r="R111" s="48"/>
      <c r="S111" s="48"/>
      <c r="T111" s="56"/>
      <c r="U111" s="41" t="str">
        <f>IF(A111="","",HYPERLINK(CONCATENATE("http://xboxgamertag.com/search/",SUBSTITUTE(TRIM(Tbl_Members[Gamertag])," ","-"),"/xbox-one"),Tbl_Members[Gamertag]))</f>
        <v/>
      </c>
      <c r="V111" s="48"/>
      <c r="W111" s="49"/>
      <c r="X111" s="51"/>
      <c r="Y111" s="51"/>
      <c r="Z111" s="51"/>
      <c r="AA111" s="42" t="str">
        <f ca="1">IF(Tbl_Members[[#This Row],[Date of Birth]]="","",INT(YEARFRAC(Z111,TODAY())))</f>
        <v/>
      </c>
      <c r="AB111" s="51"/>
      <c r="AC111" s="51"/>
      <c r="AD111" s="52"/>
    </row>
    <row r="112" spans="1:30" ht="30" customHeight="1" x14ac:dyDescent="0.25">
      <c r="A112" s="47"/>
      <c r="B112" s="48"/>
      <c r="C112" s="49"/>
      <c r="D112"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2" s="49"/>
      <c r="F112" s="38" t="str">
        <f ca="1">IF(Tbl_Members[Last Active]="","",IF(_xlfn.DAYS(TODAY(),Tbl_Members[Last Active])&lt;22,"No","Yes"))</f>
        <v/>
      </c>
      <c r="G112" s="49"/>
      <c r="H112" s="39" t="str">
        <f>IF(Tbl_Members[[#This Row],[Date Recruited]]="","",TEXT(Tbl_Members[[#This Row],[Date Recruited]],"MM"))</f>
        <v/>
      </c>
      <c r="I112" s="48"/>
      <c r="J112" s="48"/>
      <c r="K112" s="50"/>
      <c r="L112" s="54"/>
      <c r="M112" s="54"/>
      <c r="N112" s="55"/>
      <c r="O112" s="55"/>
      <c r="P112" s="48"/>
      <c r="Q112" s="48"/>
      <c r="R112" s="48"/>
      <c r="S112" s="48"/>
      <c r="T112" s="56"/>
      <c r="U112" s="41" t="str">
        <f>IF(A112="","",HYPERLINK(CONCATENATE("http://xboxgamertag.com/search/",SUBSTITUTE(TRIM(Tbl_Members[Gamertag])," ","-"),"/xbox-one"),Tbl_Members[Gamertag]))</f>
        <v/>
      </c>
      <c r="V112" s="48"/>
      <c r="W112" s="49"/>
      <c r="X112" s="51"/>
      <c r="Y112" s="51"/>
      <c r="Z112" s="51"/>
      <c r="AA112" s="42" t="str">
        <f ca="1">IF(Tbl_Members[[#This Row],[Date of Birth]]="","",INT(YEARFRAC(Z112,TODAY())))</f>
        <v/>
      </c>
      <c r="AB112" s="51"/>
      <c r="AC112" s="51"/>
      <c r="AD112" s="52"/>
    </row>
    <row r="113" spans="1:30" ht="30" customHeight="1" x14ac:dyDescent="0.25">
      <c r="A113" s="47"/>
      <c r="B113" s="48"/>
      <c r="C113" s="49"/>
      <c r="D113"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3" s="49"/>
      <c r="F113" s="38" t="str">
        <f ca="1">IF(Tbl_Members[Last Active]="","",IF(_xlfn.DAYS(TODAY(),Tbl_Members[Last Active])&lt;22,"No","Yes"))</f>
        <v/>
      </c>
      <c r="G113" s="49"/>
      <c r="H113" s="39" t="str">
        <f>IF(Tbl_Members[[#This Row],[Date Recruited]]="","",TEXT(Tbl_Members[[#This Row],[Date Recruited]],"MM"))</f>
        <v/>
      </c>
      <c r="I113" s="48"/>
      <c r="J113" s="48"/>
      <c r="K113" s="50"/>
      <c r="L113" s="54"/>
      <c r="M113" s="54"/>
      <c r="N113" s="55"/>
      <c r="O113" s="55"/>
      <c r="P113" s="48"/>
      <c r="Q113" s="48"/>
      <c r="R113" s="48"/>
      <c r="S113" s="48"/>
      <c r="T113" s="56"/>
      <c r="U113" s="41" t="str">
        <f>IF(A113="","",HYPERLINK(CONCATENATE("http://xboxgamertag.com/search/",SUBSTITUTE(TRIM(Tbl_Members[Gamertag])," ","-"),"/xbox-one"),Tbl_Members[Gamertag]))</f>
        <v/>
      </c>
      <c r="V113" s="48"/>
      <c r="W113" s="49"/>
      <c r="X113" s="51"/>
      <c r="Y113" s="51"/>
      <c r="Z113" s="51"/>
      <c r="AA113" s="42" t="str">
        <f ca="1">IF(Tbl_Members[[#This Row],[Date of Birth]]="","",INT(YEARFRAC(Z113,TODAY())))</f>
        <v/>
      </c>
      <c r="AB113" s="51"/>
      <c r="AC113" s="51"/>
      <c r="AD113" s="52"/>
    </row>
    <row r="114" spans="1:30" ht="30" customHeight="1" x14ac:dyDescent="0.25">
      <c r="A114" s="47"/>
      <c r="B114" s="48"/>
      <c r="C114" s="49"/>
      <c r="D114"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4" s="49"/>
      <c r="F114" s="38" t="str">
        <f ca="1">IF(Tbl_Members[Last Active]="","",IF(_xlfn.DAYS(TODAY(),Tbl_Members[Last Active])&lt;22,"No","Yes"))</f>
        <v/>
      </c>
      <c r="G114" s="49"/>
      <c r="H114" s="39" t="str">
        <f>IF(Tbl_Members[[#This Row],[Date Recruited]]="","",TEXT(Tbl_Members[[#This Row],[Date Recruited]],"MM"))</f>
        <v/>
      </c>
      <c r="I114" s="48"/>
      <c r="J114" s="48"/>
      <c r="K114" s="50"/>
      <c r="L114" s="54"/>
      <c r="M114" s="54"/>
      <c r="N114" s="55"/>
      <c r="O114" s="55"/>
      <c r="P114" s="48"/>
      <c r="Q114" s="48"/>
      <c r="R114" s="48"/>
      <c r="S114" s="48"/>
      <c r="T114" s="56"/>
      <c r="U114" s="41" t="str">
        <f>IF(A114="","",HYPERLINK(CONCATENATE("http://xboxgamertag.com/search/",SUBSTITUTE(TRIM(Tbl_Members[Gamertag])," ","-"),"/xbox-one"),Tbl_Members[Gamertag]))</f>
        <v/>
      </c>
      <c r="V114" s="48"/>
      <c r="W114" s="49"/>
      <c r="X114" s="51"/>
      <c r="Y114" s="51"/>
      <c r="Z114" s="51"/>
      <c r="AA114" s="42" t="str">
        <f ca="1">IF(Tbl_Members[[#This Row],[Date of Birth]]="","",INT(YEARFRAC(Z114,TODAY())))</f>
        <v/>
      </c>
      <c r="AB114" s="51"/>
      <c r="AC114" s="51"/>
      <c r="AD114" s="52"/>
    </row>
    <row r="115" spans="1:30" ht="30" customHeight="1" x14ac:dyDescent="0.25">
      <c r="A115" s="47"/>
      <c r="B115" s="48"/>
      <c r="C115" s="49"/>
      <c r="D115"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5" s="49"/>
      <c r="F115" s="38" t="str">
        <f ca="1">IF(Tbl_Members[Last Active]="","",IF(_xlfn.DAYS(TODAY(),Tbl_Members[Last Active])&lt;22,"No","Yes"))</f>
        <v/>
      </c>
      <c r="G115" s="49"/>
      <c r="H115" s="39" t="str">
        <f>IF(Tbl_Members[[#This Row],[Date Recruited]]="","",TEXT(Tbl_Members[[#This Row],[Date Recruited]],"MM"))</f>
        <v/>
      </c>
      <c r="I115" s="48"/>
      <c r="J115" s="48"/>
      <c r="K115" s="50"/>
      <c r="L115" s="54"/>
      <c r="M115" s="54"/>
      <c r="N115" s="55"/>
      <c r="O115" s="55"/>
      <c r="P115" s="48"/>
      <c r="Q115" s="48"/>
      <c r="R115" s="48"/>
      <c r="S115" s="48"/>
      <c r="T115" s="56"/>
      <c r="U115" s="41" t="str">
        <f>IF(A115="","",HYPERLINK(CONCATENATE("http://xboxgamertag.com/search/",SUBSTITUTE(TRIM(Tbl_Members[Gamertag])," ","-"),"/xbox-one"),Tbl_Members[Gamertag]))</f>
        <v/>
      </c>
      <c r="V115" s="48"/>
      <c r="W115" s="49"/>
      <c r="X115" s="51"/>
      <c r="Y115" s="51"/>
      <c r="Z115" s="51"/>
      <c r="AA115" s="42" t="str">
        <f ca="1">IF(Tbl_Members[[#This Row],[Date of Birth]]="","",INT(YEARFRAC(Z115,TODAY())))</f>
        <v/>
      </c>
      <c r="AB115" s="51"/>
      <c r="AC115" s="51"/>
      <c r="AD115" s="52"/>
    </row>
    <row r="116" spans="1:30" ht="30" customHeight="1" x14ac:dyDescent="0.25">
      <c r="A116" s="47"/>
      <c r="B116" s="48"/>
      <c r="C116" s="49"/>
      <c r="D116"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6" s="49"/>
      <c r="F116" s="38" t="str">
        <f ca="1">IF(Tbl_Members[Last Active]="","",IF(_xlfn.DAYS(TODAY(),Tbl_Members[Last Active])&lt;22,"No","Yes"))</f>
        <v/>
      </c>
      <c r="G116" s="49"/>
      <c r="H116" s="39" t="str">
        <f>IF(Tbl_Members[[#This Row],[Date Recruited]]="","",TEXT(Tbl_Members[[#This Row],[Date Recruited]],"MM"))</f>
        <v/>
      </c>
      <c r="I116" s="48"/>
      <c r="J116" s="48"/>
      <c r="K116" s="50"/>
      <c r="L116" s="54"/>
      <c r="M116" s="54"/>
      <c r="N116" s="55"/>
      <c r="O116" s="55"/>
      <c r="P116" s="48"/>
      <c r="Q116" s="48"/>
      <c r="R116" s="48"/>
      <c r="S116" s="48"/>
      <c r="T116" s="56"/>
      <c r="U116" s="41" t="str">
        <f>IF(A116="","",HYPERLINK(CONCATENATE("http://xboxgamertag.com/search/",SUBSTITUTE(TRIM(Tbl_Members[Gamertag])," ","-"),"/xbox-one"),Tbl_Members[Gamertag]))</f>
        <v/>
      </c>
      <c r="V116" s="48"/>
      <c r="W116" s="49"/>
      <c r="X116" s="51"/>
      <c r="Y116" s="51"/>
      <c r="Z116" s="51"/>
      <c r="AA116" s="42" t="str">
        <f ca="1">IF(Tbl_Members[[#This Row],[Date of Birth]]="","",INT(YEARFRAC(Z116,TODAY())))</f>
        <v/>
      </c>
      <c r="AB116" s="51"/>
      <c r="AC116" s="51"/>
      <c r="AD116" s="52"/>
    </row>
    <row r="117" spans="1:30" ht="30" customHeight="1" x14ac:dyDescent="0.25">
      <c r="A117" s="47"/>
      <c r="B117" s="48"/>
      <c r="C117" s="49"/>
      <c r="D117" s="37" t="str">
        <f ca="1">IF(OR(Tbl_Members[[#This Row],[Date Recruited]]="",Tbl_Members[[#This Row],[Rank]]=Rank_Misc,Tbl_Members[[#This Row],[Rank]]=Rank_Secondary),"",IF(Tbl_Members[[#This Row],[Rank]]=Rank1,IF(Tbl_Members[[#This Row],[Date Recruited]]&gt;TODAY()-7,"Within Minimum Time",IF(TODAY()&gt;Tbl_Members[[#This Row],[Date Recruited]]+21,"Beyond Max Time",IF(OR(Tbl_Members[[#This Row],[Registered on Forums]]="",Tbl_Members[[#This Row],[Registered on Forums]]="No"),"Not Registered","GTG"))),IF(Tbl_Members[[#This Row],[Rank]]=Rank2,IF(OR(Tbl_Members[[#This Row],[Wants to rank up?]]="",Tbl_Members[[#This Row],[Wants to rank up?]]="No"),"",IF(Tbl_Members[[#This Row],[Last Promotion]]&gt;TODAY()-7,"Within Minimum Time","GTG")),IF(Tbl_Members[[#This Row],[Rank]]=Rank3,IF(OR(Tbl_Members[[#This Row],[Wants to rank up?]]="",Tbl_Members[[#This Row],[Wants to rank up?]]="No"),"",IF(Tbl_Members[[#This Row],[Last Promotion]]&gt;TODAY()-14,"Within Minimum Time",IF(TODAY()&gt;Tbl_Members[[#This Row],[Last Promotion]]+60,"Beyond Max Time",IF(OR(Tbl_Members[[#This Row],[Drama Policy]]="",Tbl_Members[[#This Row],[Drama Policy]]="No"),"Drama Policy","GTG")))),IF(Tbl_Members[[#This Row],[Rank]]=Rank4,IF(OR(Tbl_Members[[#This Row],[Wants to rank up?]]="",Tbl_Members[[#This Row],[Wants to rank up?]]="No"),"",IF(Tbl_Members[[#This Row],[Last Promotion]]&gt;TODAY()-14,"Within Minimum Time",IF(OR(Tbl_Members[[#This Row],[Sgt''s Oath]]="",Tbl_Members[[#This Row],[Sgt''s Oath]]="No"),"Sgt's Oath","GTG"))),IF(Tbl_Members[[#This Row],[Rank]]=Rank5,IF(OR(Tbl_Members[[#This Row],[Wants to rank up?]]="",Tbl_Members[[#This Row],[Wants to rank up?]]="No"),"",IF(Tbl_Members[[#This Row],[Last Promotion]]&gt;TODAY()-14,"Within Minimum Time",IF(TODAY()&gt;Tbl_Members[[#This Row],[Last Promotion]]+60,"Beyond Max Time",IF(ISBLANK(Tbl_Members[[#This Row],[LTS Completed]]),"Needs LTS","GTG")))),IF(Tbl_Members[[#This Row],[Rank]]=Rank6,IF(OR(Tbl_Members[[#This Row],[Wants to rank up?]]="",Tbl_Members[[#This Row],[Wants to rank up?]]="No"),"",IF(Tbl_Members[[#This Row],[Last Promotion]]&gt;TODAY()-90,"Within Minimum Time",IF(ISBLANK(Tbl_Members[[#This Row],[CTS Completed]]),"Needs CTS","GTG"))),IF(Tbl_Members[[#This Row],[Rank]]=Rank7,""))))))))</f>
        <v/>
      </c>
      <c r="E117" s="49"/>
      <c r="F117" s="38" t="str">
        <f ca="1">IF(Tbl_Members[Last Active]="","",IF(_xlfn.DAYS(TODAY(),Tbl_Members[Last Active])&lt;22,"No","Yes"))</f>
        <v/>
      </c>
      <c r="G117" s="49"/>
      <c r="H117" s="39" t="str">
        <f>IF(Tbl_Members[[#This Row],[Date Recruited]]="","",TEXT(Tbl_Members[[#This Row],[Date Recruited]],"MM"))</f>
        <v/>
      </c>
      <c r="I117" s="48"/>
      <c r="J117" s="48"/>
      <c r="K117" s="50"/>
      <c r="L117" s="54"/>
      <c r="M117" s="54"/>
      <c r="N117" s="55"/>
      <c r="O117" s="55"/>
      <c r="P117" s="48"/>
      <c r="Q117" s="48"/>
      <c r="R117" s="48"/>
      <c r="S117" s="48"/>
      <c r="T117" s="56"/>
      <c r="U117" s="41" t="str">
        <f>IF(A117="","",HYPERLINK(CONCATENATE("http://xboxgamertag.com/search/",SUBSTITUTE(TRIM(Tbl_Members[Gamertag])," ","-"),"/xbox-one"),Tbl_Members[Gamertag]))</f>
        <v/>
      </c>
      <c r="V117" s="48"/>
      <c r="W117" s="49"/>
      <c r="X117" s="51"/>
      <c r="Y117" s="51"/>
      <c r="Z117" s="51"/>
      <c r="AA117" s="42" t="str">
        <f ca="1">IF(Tbl_Members[[#This Row],[Date of Birth]]="","",INT(YEARFRAC(Z117,TODAY())))</f>
        <v/>
      </c>
      <c r="AB117" s="51"/>
      <c r="AC117" s="51"/>
      <c r="AD117" s="52"/>
    </row>
  </sheetData>
  <sheetProtection algorithmName="SHA-512" hashValue="6hAnsWdM+2bpkYgnXF+eyuTIsFbA4TXJJ8b5AC7yXKkEMB2JNgnjsL39BTrY0eeVfidl89VWzC7Dn2AjjSNzqw==" saltValue="Edromjiyz2gch4TaRa66cw==" spinCount="100000" sheet="1" objects="1" scenarios="1"/>
  <sortState ref="X2:X5">
    <sortCondition ref="X2"/>
  </sortState>
  <customSheetViews>
    <customSheetView guid="{910B280B-1D41-4475-992A-3EE03647ECB3}" showAutoFilter="1" hiddenColumns="1">
      <selection activeCell="A2" sqref="A2"/>
      <pageMargins left="0" right="0" top="0" bottom="0" header="0" footer="0"/>
      <pageSetup orientation="portrait" r:id="rId1"/>
      <autoFilter ref="A1:Q125">
        <sortState ref="A2:Q125">
          <sortCondition descending="1" ref="B1:B125"/>
        </sortState>
      </autoFilter>
    </customSheetView>
  </customSheetViews>
  <conditionalFormatting sqref="B97:B1048568 B1:B95">
    <cfRule type="cellIs" dxfId="97" priority="67" stopIfTrue="1" operator="equal">
      <formula>"1 Rct"</formula>
    </cfRule>
    <cfRule type="cellIs" dxfId="96" priority="68" stopIfTrue="1" operator="equal">
      <formula>"2 Pvt"</formula>
    </cfRule>
    <cfRule type="cellIs" dxfId="95" priority="69" stopIfTrue="1" operator="equal">
      <formula>"3 Cpl"</formula>
    </cfRule>
    <cfRule type="cellIs" dxfId="94" priority="70" stopIfTrue="1" operator="equal">
      <formula>"4 Sgt"</formula>
    </cfRule>
    <cfRule type="cellIs" dxfId="93" priority="71" stopIfTrue="1" operator="equal">
      <formula>"5 MSgt"</formula>
    </cfRule>
    <cfRule type="cellIs" dxfId="92" priority="72" stopIfTrue="1" operator="equal">
      <formula>"6 Lt"</formula>
    </cfRule>
    <cfRule type="cellIs" dxfId="91" priority="73" stopIfTrue="1" operator="equal">
      <formula>"7 Cmd"</formula>
    </cfRule>
    <cfRule type="cellIs" dxfId="90" priority="74" stopIfTrue="1" operator="equal">
      <formula>"Secondary"</formula>
    </cfRule>
    <cfRule type="cellIs" dxfId="89" priority="107" stopIfTrue="1" operator="equal">
      <formula>"MISC"</formula>
    </cfRule>
  </conditionalFormatting>
  <conditionalFormatting sqref="E2:E147">
    <cfRule type="expression" dxfId="88" priority="18">
      <formula>IF(F2="Yes",TRUE,FALSE)</formula>
    </cfRule>
  </conditionalFormatting>
  <conditionalFormatting sqref="C2:C147">
    <cfRule type="expression" dxfId="87" priority="3">
      <formula>IF(D2="GTG",TRUE,FALSE)</formula>
    </cfRule>
    <cfRule type="expression" dxfId="86" priority="5">
      <formula>IF(D2="Not Registered",TRUE,FALSE)</formula>
    </cfRule>
    <cfRule type="expression" dxfId="85" priority="7">
      <formula>IF(D2="Drama Policy",TRUE,FALSE)</formula>
    </cfRule>
    <cfRule type="expression" dxfId="84" priority="9">
      <formula>IF(D2="Sgt's Oath",TRUE,FALSE)</formula>
    </cfRule>
    <cfRule type="expression" dxfId="83" priority="10">
      <formula>IF(D2="Needs LTS",TRUE,FALSE)</formula>
    </cfRule>
    <cfRule type="expression" dxfId="82" priority="11">
      <formula>IF(D2="Needs CTS",TRUE,FALSE)</formula>
    </cfRule>
    <cfRule type="expression" dxfId="81" priority="13">
      <formula>IF(D2="Within Minimum Time",TRUE,FALSE)</formula>
    </cfRule>
    <cfRule type="expression" dxfId="80" priority="15">
      <formula>IF(D2="Beyond Max Time",TRUE,FALSE)</formula>
    </cfRule>
  </conditionalFormatting>
  <conditionalFormatting sqref="D2:D147">
    <cfRule type="expression" dxfId="79" priority="1">
      <formula>IF(D2="GTG",TRUE,FALSE)</formula>
    </cfRule>
    <cfRule type="expression" dxfId="78" priority="2">
      <formula>IF(D2="Not Registered",TRUE,FALSE)</formula>
    </cfRule>
    <cfRule type="expression" dxfId="77" priority="4">
      <formula>IF(D2="Drama Policy",TRUE,FALSE)</formula>
    </cfRule>
    <cfRule type="expression" dxfId="76" priority="6">
      <formula>IF(D2="Sgt's Oath",TRUE,FALSE)</formula>
    </cfRule>
    <cfRule type="expression" dxfId="75" priority="8">
      <formula>IF(D2="Needs LTS",TRUE,FALSE)</formula>
    </cfRule>
    <cfRule type="expression" dxfId="74" priority="12">
      <formula>IF(D2="Needs CTS",TRUE,FALSE)</formula>
    </cfRule>
    <cfRule type="expression" dxfId="73" priority="14">
      <formula>IF(D2="Within Minimum Time",TRUE,FALSE)</formula>
    </cfRule>
    <cfRule type="expression" dxfId="72" priority="16">
      <formula>IF(D2="Beyond Max Time",TRUE,FALSE)</formula>
    </cfRule>
  </conditionalFormatting>
  <conditionalFormatting sqref="A2:A147">
    <cfRule type="expression" dxfId="71" priority="108">
      <formula>IF(P2="Yes",TRUE,FALSE)</formula>
    </cfRule>
  </conditionalFormatting>
  <dataValidations count="4">
    <dataValidation type="list" allowBlank="1" showInputMessage="1" showErrorMessage="1" sqref="Q118:Q1048571 P1:P1048573 J1:J117 K2:M117">
      <formula1>Yes_No</formula1>
    </dataValidation>
    <dataValidation type="whole" operator="greaterThanOrEqual" allowBlank="1" showInputMessage="1" showErrorMessage="1" sqref="U118:U1048568 Q97:S117 S118:S1048568 Q2:S95">
      <formula1>0</formula1>
    </dataValidation>
    <dataValidation operator="greaterThanOrEqual" allowBlank="1" showInputMessage="1" showErrorMessage="1" sqref="Q1:S1"/>
    <dataValidation type="list" allowBlank="1" showInputMessage="1" showErrorMessage="1" sqref="B1:B1048571">
      <formula1>Rank_List</formula1>
    </dataValidation>
  </dataValidations>
  <pageMargins left="0.25" right="0.25" top="0.75" bottom="0.75" header="0.3" footer="0.3"/>
  <pageSetup orientation="landscape" r:id="rId2"/>
  <ignoredErrors>
    <ignoredError sqref="B1 J1 P1" listDataValidation="1"/>
  </ignoredErrors>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'Squads &amp; Rosters'!$C$3:$C$9</xm:f>
          </x14:formula1>
          <xm:sqref>K118:K1048568</xm:sqref>
        </x14:dataValidation>
        <x14:dataValidation type="list" allowBlank="1" showInputMessage="1" showErrorMessage="1">
          <x14:formula1>
            <xm:f>Logic!$D$3:$D$6</xm:f>
          </x14:formula1>
          <xm:sqref>Y118:Y1048568 V2:V117</xm:sqref>
        </x14:dataValidation>
        <x14:dataValidation type="list" allowBlank="1">
          <x14:formula1>
            <xm:f>'Squads &amp; Rosters'!$C$3:$C$6</xm:f>
          </x14:formula1>
          <xm:sqref>I2:I117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V38"/>
  <sheetViews>
    <sheetView showGridLines="0" workbookViewId="0">
      <selection activeCell="B28" sqref="B28:C38"/>
    </sheetView>
  </sheetViews>
  <sheetFormatPr defaultColWidth="8.85546875" defaultRowHeight="15" x14ac:dyDescent="0.25"/>
  <cols>
    <col min="1" max="1" width="2.85546875" style="2" customWidth="1"/>
    <col min="2" max="2" width="13.28515625" style="57" customWidth="1"/>
    <col min="3" max="3" width="28.85546875" style="2" customWidth="1"/>
    <col min="4" max="4" width="2.85546875" style="2" customWidth="1"/>
    <col min="5" max="6" width="8.85546875" style="2"/>
    <col min="7" max="7" width="15.85546875" style="2" bestFit="1" customWidth="1"/>
    <col min="8" max="8" width="2.85546875" style="2" customWidth="1"/>
    <col min="9" max="10" width="8.85546875" style="2"/>
    <col min="11" max="11" width="15.85546875" style="2" bestFit="1" customWidth="1"/>
    <col min="12" max="12" width="2.85546875" style="2" customWidth="1"/>
    <col min="13" max="14" width="8.85546875" style="2"/>
    <col min="15" max="15" width="15.85546875" style="2" bestFit="1" customWidth="1"/>
    <col min="16" max="16" width="2.85546875" style="2" customWidth="1"/>
    <col min="17" max="18" width="8.85546875" style="2"/>
    <col min="19" max="19" width="15.85546875" style="2" bestFit="1" customWidth="1"/>
    <col min="20" max="20" width="2.85546875" style="2" customWidth="1"/>
    <col min="21" max="16384" width="8.85546875" style="2"/>
  </cols>
  <sheetData>
    <row r="1" spans="2:22" ht="15" customHeight="1" thickBot="1" x14ac:dyDescent="0.3"/>
    <row r="2" spans="2:22" s="64" customFormat="1" ht="21" customHeight="1" x14ac:dyDescent="0.25">
      <c r="B2" s="58" t="s">
        <v>38</v>
      </c>
      <c r="C2" s="59"/>
      <c r="D2" s="60"/>
      <c r="E2" s="61" t="str">
        <f>IF(Squad_1="","",Squad_1)</f>
        <v/>
      </c>
      <c r="F2" s="62"/>
      <c r="G2" s="63"/>
      <c r="I2" s="61" t="str">
        <f>IF(Squad_2="","",Squad_2)</f>
        <v/>
      </c>
      <c r="J2" s="62"/>
      <c r="K2" s="63"/>
      <c r="M2" s="61" t="str">
        <f>IF(Squad_3="","",Squad_3)</f>
        <v/>
      </c>
      <c r="N2" s="62"/>
      <c r="O2" s="63"/>
      <c r="Q2" s="61" t="str">
        <f>IF(Squad_4="","",Squad_4)</f>
        <v/>
      </c>
      <c r="R2" s="62"/>
      <c r="S2" s="63"/>
    </row>
    <row r="3" spans="2:22" ht="15" customHeight="1" x14ac:dyDescent="0.25">
      <c r="B3" s="65" t="s">
        <v>39</v>
      </c>
      <c r="C3" s="96"/>
      <c r="D3" s="66"/>
      <c r="E3" s="67"/>
      <c r="F3" s="68"/>
      <c r="G3" s="69"/>
      <c r="I3" s="67"/>
      <c r="J3" s="68"/>
      <c r="K3" s="69"/>
      <c r="M3" s="67"/>
      <c r="N3" s="68"/>
      <c r="O3" s="69"/>
      <c r="Q3" s="67"/>
      <c r="R3" s="68"/>
      <c r="S3" s="69"/>
      <c r="V3" s="57"/>
    </row>
    <row r="4" spans="2:22" x14ac:dyDescent="0.25">
      <c r="B4" s="65" t="s">
        <v>40</v>
      </c>
      <c r="C4" s="97"/>
      <c r="D4" s="66"/>
      <c r="E4" s="70" t="s">
        <v>1</v>
      </c>
      <c r="F4" s="71" t="s">
        <v>41</v>
      </c>
      <c r="G4" s="72" t="s">
        <v>42</v>
      </c>
      <c r="I4" s="73" t="s">
        <v>1</v>
      </c>
      <c r="J4" s="74" t="s">
        <v>41</v>
      </c>
      <c r="K4" s="72" t="s">
        <v>42</v>
      </c>
      <c r="M4" s="75" t="s">
        <v>1</v>
      </c>
      <c r="N4" s="76" t="s">
        <v>41</v>
      </c>
      <c r="O4" s="72" t="s">
        <v>42</v>
      </c>
      <c r="Q4" s="73" t="s">
        <v>1</v>
      </c>
      <c r="R4" s="74" t="s">
        <v>41</v>
      </c>
      <c r="S4" s="72" t="s">
        <v>42</v>
      </c>
    </row>
    <row r="5" spans="2:22" x14ac:dyDescent="0.25">
      <c r="B5" s="65" t="s">
        <v>43</v>
      </c>
      <c r="C5" s="97"/>
      <c r="D5" s="66"/>
      <c r="E5" s="77" t="str">
        <f>IF($E$2="","",Rank6)</f>
        <v/>
      </c>
      <c r="F5" s="15" t="str">
        <f>IF($E$2="","",IF(COUNTIFS(Tbl_Members[Squad],$E$2,Tbl_Members[Rank],E5)=0,"",COUNTIFS(Tbl_Members[Squad],$E$2,Tbl_Members[Rank],E5)))</f>
        <v/>
      </c>
      <c r="G5" s="78" t="str">
        <f t="array" ref="G5">IF($F$5="","",IF(ROWS($G$5:G5)&lt;=COUNTIFS(Tbl_Members[Squad],$E$2,Tbl_Members[Rank],$E$5),INDEX(Tbl_Members[Gamertag],SMALL(IF(Tbl_Members[Squad]=$E$2,IF(Tbl_Members[Rank]=$E$5,ROW(Tbl_Members[Gamertag])-ROW('Manage Members'!$A$2)+1)),ROWS($G$5:G5))),""))</f>
        <v/>
      </c>
      <c r="I5" s="77" t="str">
        <f>IF($I$2="","",Rank6)</f>
        <v/>
      </c>
      <c r="J5" s="15" t="str">
        <f>IF($I$2="","",IF(COUNTIFS(Tbl_Members[Squad],$I$2,Tbl_Members[Rank],I5)=0,"",COUNTIFS(Tbl_Members[Squad],$I$2,Tbl_Members[Rank],I5)))</f>
        <v/>
      </c>
      <c r="K5" s="78" t="str">
        <f t="array" ref="K5">IF($J$5="","",IF(ROWS($K$5:K5)&lt;=COUNTIFS(Tbl_Members[Squad],$I$2,Tbl_Members[Rank],$I$5),INDEX(Tbl_Members[Gamertag],SMALL(IF(Tbl_Members[Squad]=$I$2,IF(Tbl_Members[Rank]=$I$5,ROW(Tbl_Members[Gamertag])-ROW('Manage Members'!$A$2)+1)),ROWS($K$5:K5))),""))</f>
        <v/>
      </c>
      <c r="M5" s="77" t="str">
        <f>IF($M$2="","",Rank6)</f>
        <v/>
      </c>
      <c r="N5" s="15" t="str">
        <f>IF($M$2="","",IF(COUNTIFS(Tbl_Members[Squad],$M$2,Tbl_Members[Rank],M5)=0,"",COUNTIFS(Tbl_Members[Squad],$M$2,Tbl_Members[Rank],M5)))</f>
        <v/>
      </c>
      <c r="O5" s="78" t="str">
        <f t="array" ref="O5">IF($N$5="","",IF(ROWS($O$5:O5)&lt;=COUNTIFS(Tbl_Members[Squad],$M$2,Tbl_Members[Rank],$M$5),INDEX(Tbl_Members[Gamertag],SMALL(IF(Tbl_Members[Squad]=$M$2,IF(Tbl_Members[Rank]=$M$5,ROW(Tbl_Members[Gamertag])-ROW('Manage Members'!$A$2)+1)),ROWS($O$5:O5))),""))</f>
        <v/>
      </c>
      <c r="Q5" s="77" t="str">
        <f>IF($Q$2="","",Rank6)</f>
        <v/>
      </c>
      <c r="R5" s="15" t="str">
        <f>IF($Q$2="","",IF(COUNTIFS(Tbl_Members[Squad],$Q$2,Tbl_Members[Rank],Q5)=0,"",COUNTIFS(Tbl_Members[Squad],$Q$2,Tbl_Members[Rank],Q5)))</f>
        <v/>
      </c>
      <c r="S5" s="78" t="str">
        <f t="array" ref="S5">IF(R5="","",IF(ROWS($S$5:S5)&lt;=COUNTIFS(Tbl_Members[Squad],$Q$2,Tbl_Members[Rank],$Q$5),INDEX(Tbl_Members[Gamertag],SMALL(IF(Tbl_Members[Squad]=$Q$2,IF(Tbl_Members[Rank]=$Q$5,ROW(Tbl_Members[Gamertag])-ROW('Manage Members'!$A$2)+1)),ROWS($S$5:S5))),""))</f>
        <v/>
      </c>
    </row>
    <row r="6" spans="2:22" ht="15.75" thickBot="1" x14ac:dyDescent="0.3">
      <c r="B6" s="79" t="s">
        <v>44</v>
      </c>
      <c r="C6" s="98"/>
      <c r="D6" s="66"/>
      <c r="E6" s="80"/>
      <c r="F6" s="81"/>
      <c r="G6" s="78" t="str">
        <f t="array" ref="G6">IF($F$5="","",IF(ROWS($G$5:G6)&lt;=COUNTIFS(Tbl_Members[Squad],$E$2,Tbl_Members[Rank],$E$5),INDEX(Tbl_Members[Gamertag],SMALL(IF(Tbl_Members[Squad]=$E$2,IF(Tbl_Members[Rank]=$E$5,ROW(Tbl_Members[Gamertag])-ROW('Manage Members'!$A$2)+1)),ROWS($G$5:G6))),""))</f>
        <v/>
      </c>
      <c r="I6" s="80"/>
      <c r="J6" s="81"/>
      <c r="K6" s="78" t="str">
        <f t="array" ref="K6">IF($J$5="","",IF(ROWS($K$5:K6)&lt;=COUNTIFS(Tbl_Members[Squad],$I$2,Tbl_Members[Rank],$I$5),INDEX(Tbl_Members[Gamertag],SMALL(IF(Tbl_Members[Squad]=$I$2,IF(Tbl_Members[Rank]=$I$5,ROW(Tbl_Members[Gamertag])-ROW('Manage Members'!$A$2)+1)),ROWS($K$5:K6))),""))</f>
        <v/>
      </c>
      <c r="M6" s="80"/>
      <c r="N6" s="81"/>
      <c r="O6" s="78" t="str">
        <f t="array" ref="O6">IF($N$5="","",IF(ROWS($O$5:O6)&lt;=COUNTIFS(Tbl_Members[Squad],$M$2,Tbl_Members[Rank],$M$5),INDEX(Tbl_Members[Gamertag],SMALL(IF(Tbl_Members[Squad]=$M$2,IF(Tbl_Members[Rank]=$M$5,ROW(Tbl_Members[Gamertag])-ROW('Manage Members'!$A$2)+1)),ROWS($O$5:O6))),""))</f>
        <v/>
      </c>
      <c r="Q6" s="80"/>
      <c r="R6" s="81"/>
      <c r="S6" s="78" t="str">
        <f t="array" ref="S6">IF(R6="","",IF(ROWS($S$5:S6)&lt;=COUNTIFS(Tbl_Members[Squad],$Q$2,Tbl_Members[Rank],$Q$5),INDEX(Tbl_Members[Gamertag],SMALL(IF(Tbl_Members[Squad]=$Q$2,IF(Tbl_Members[Rank]=$Q$5,ROW(Tbl_Members[Gamertag])-ROW('Manage Members'!$A$2)+1)),ROWS($S$5:S6))),""))</f>
        <v/>
      </c>
    </row>
    <row r="7" spans="2:22" x14ac:dyDescent="0.25">
      <c r="C7" s="66"/>
      <c r="D7" s="66"/>
      <c r="E7" s="82"/>
      <c r="F7" s="16"/>
      <c r="G7" s="83" t="str">
        <f t="array" ref="G7">IF($F$5="","",IF(ROWS($G$5:G7)&lt;=COUNTIFS(Tbl_Members[Squad],$E$2,Tbl_Members[Rank],$E$5),INDEX(Tbl_Members[Gamertag],SMALL(IF(Tbl_Members[Squad]=$E$2,IF(Tbl_Members[Rank]=$E$5,ROW(Tbl_Members[Gamertag])-ROW('Manage Members'!$A$2)+1)),ROWS($G$5:G7))),""))</f>
        <v/>
      </c>
      <c r="I7" s="82"/>
      <c r="J7" s="16"/>
      <c r="K7" s="83" t="str">
        <f t="array" ref="K7">IF($J$5="","",IF(ROWS($K$5:K7)&lt;=COUNTIFS(Tbl_Members[Squad],$I$2,Tbl_Members[Rank],$I$5),INDEX(Tbl_Members[Gamertag],SMALL(IF(Tbl_Members[Squad]=$I$2,IF(Tbl_Members[Rank]=$I$5,ROW(Tbl_Members[Gamertag])-ROW('Manage Members'!$A$2)+1)),ROWS($K$5:K7))),""))</f>
        <v/>
      </c>
      <c r="M7" s="82"/>
      <c r="N7" s="16"/>
      <c r="O7" s="83" t="str">
        <f t="array" ref="O7">IF($N$5="","",IF(ROWS($O$5:O7)&lt;=COUNTIFS(Tbl_Members[Squad],$M$2,Tbl_Members[Rank],$M$5),INDEX(Tbl_Members[Gamertag],SMALL(IF(Tbl_Members[Squad]=$M$2,IF(Tbl_Members[Rank]=$M$5,ROW(Tbl_Members[Gamertag])-ROW('Manage Members'!$A$2)+1)),ROWS($O$5:O7))),""))</f>
        <v/>
      </c>
      <c r="Q7" s="82"/>
      <c r="R7" s="16"/>
      <c r="S7" s="83" t="str">
        <f t="array" ref="S7">IF(R7="","",IF(ROWS($S$5:S7)&lt;=COUNTIFS(Tbl_Members[Squad],$Q$2,Tbl_Members[Rank],$Q$5),INDEX(Tbl_Members[Gamertag],SMALL(IF(Tbl_Members[Squad]=$Q$2,IF(Tbl_Members[Rank]=$Q$5,ROW(Tbl_Members[Gamertag])-ROW('Manage Members'!$A$2)+1)),ROWS($S$5:S7))),""))</f>
        <v/>
      </c>
    </row>
    <row r="8" spans="2:22" x14ac:dyDescent="0.25">
      <c r="B8" s="84" t="str">
        <f>IF(Squad_1="","",Squad_1)</f>
        <v/>
      </c>
      <c r="C8" s="35" t="str">
        <f>IF(Squad_1="","",COUNTIF(Tbl_Members[Squad],Squad_1))</f>
        <v/>
      </c>
      <c r="E8" s="77" t="str">
        <f>IF($E$2="","",Rank5)</f>
        <v/>
      </c>
      <c r="F8" s="15" t="str">
        <f>IF($E$2="","",IF(COUNTIFS(Tbl_Members[Squad],$E$2,Tbl_Members[Rank],E8)=0,"",COUNTIFS(Tbl_Members[Squad],$E$2,Tbl_Members[Rank],E8)))</f>
        <v/>
      </c>
      <c r="G8" s="78" t="str">
        <f t="array" ref="G8">IF($F$8="","",IF(ROWS($G$8:G8)&lt;=COUNTIFS(Tbl_Members[Squad],$E$2,Tbl_Members[Rank],$E$8),INDEX(Tbl_Members[Gamertag],SMALL(IF(Tbl_Members[Squad]=$E$2,IF(Tbl_Members[Rank]=$E$8,ROW(Tbl_Members[Gamertag])-ROW('Manage Members'!$A$2)+1)),ROWS($G$8:G8))),""))</f>
        <v/>
      </c>
      <c r="I8" s="77" t="str">
        <f>IF($I$2="","",Rank5)</f>
        <v/>
      </c>
      <c r="J8" s="15" t="str">
        <f>IF($I$2="","",IF(COUNTIFS(Tbl_Members[Squad],$I$2,Tbl_Members[Rank],I8)=0,"",COUNTIFS(Tbl_Members[Squad],$I$2,Tbl_Members[Rank],I8)))</f>
        <v/>
      </c>
      <c r="K8" s="78" t="str">
        <f t="array" ref="K8">IF($J$8="","",IF(ROWS($K$8:K8)&lt;=COUNTIFS(Tbl_Members[Squad],$I$2,Tbl_Members[Rank],$I$8),INDEX(Tbl_Members[Gamertag],SMALL(IF(Tbl_Members[Squad]=$I$2,IF(Tbl_Members[Rank]=$I$8,ROW(Tbl_Members[Gamertag])-ROW('Manage Members'!$A$2)+1)),ROWS($K$8:K8))),""))</f>
        <v/>
      </c>
      <c r="M8" s="77" t="str">
        <f>IF($M$2="","",Rank5)</f>
        <v/>
      </c>
      <c r="N8" s="15" t="str">
        <f>IF($M$2="","",IF(COUNTIFS(Tbl_Members[Squad],$M$2,Tbl_Members[Rank],M8)=0,"",COUNTIFS(Tbl_Members[Squad],$M$2,Tbl_Members[Rank],M8)))</f>
        <v/>
      </c>
      <c r="O8" s="78" t="str">
        <f t="array" ref="O8">IF($N$8="","",IF(ROWS($O$8:O8)&lt;=COUNTIFS(Tbl_Members[Squad],$M$2,Tbl_Members[Rank],$M$8),INDEX(Tbl_Members[Gamertag],SMALL(IF(Tbl_Members[Squad]=$M$2,IF(Tbl_Members[Rank]=$M$8,ROW(Tbl_Members[Gamertag])-ROW('Manage Members'!$A$2)+1)),ROWS($O$8:O8))),""))</f>
        <v/>
      </c>
      <c r="Q8" s="77" t="str">
        <f>IF($Q$2="","",Rank5)</f>
        <v/>
      </c>
      <c r="R8" s="15" t="str">
        <f>IF($Q$2="","",IF(COUNTIFS(Tbl_Members[Squad],$Q$2,Tbl_Members[Rank],Q8)=0,"",COUNTIFS(Tbl_Members[Squad],$Q$2,Tbl_Members[Rank],Q8)))</f>
        <v/>
      </c>
      <c r="S8" s="78" t="str">
        <f t="array" ref="S8">IF($R$8="","",IF(ROWS($S$8:S8)&lt;=COUNTIFS(Tbl_Members[Squad],$Q$2,Tbl_Members[Rank],$Q$8),INDEX(Tbl_Members[Gamertag],SMALL(IF(Tbl_Members[Squad]=$Q$2,IF(Tbl_Members[Rank]=$Q$8,ROW(Tbl_Members[Gamertag])-ROW('Manage Members'!$A$2)+1)),ROWS($S$8:S8))),""))</f>
        <v/>
      </c>
    </row>
    <row r="9" spans="2:22" x14ac:dyDescent="0.25">
      <c r="B9" s="84" t="str">
        <f>IF(Squad_2="","",Squad_2)</f>
        <v/>
      </c>
      <c r="C9" s="35" t="str">
        <f>IF(Squad_2="","",COUNTIF(Tbl_Members[Squad],Squad_2))</f>
        <v/>
      </c>
      <c r="E9" s="80"/>
      <c r="F9" s="81"/>
      <c r="G9" s="78" t="str">
        <f t="array" ref="G9">IF($F$8="","",IF(ROWS($G$8:G9)&lt;=COUNTIFS(Tbl_Members[Squad],$E$2,Tbl_Members[Rank],$E$8),INDEX(Tbl_Members[Gamertag],SMALL(IF(Tbl_Members[Squad]=$E$2,IF(Tbl_Members[Rank]=$E$8,ROW(Tbl_Members[Gamertag])-ROW('Manage Members'!$A$2)+1)),ROWS($G$8:G9))),""))</f>
        <v/>
      </c>
      <c r="I9" s="80"/>
      <c r="J9" s="81"/>
      <c r="K9" s="78" t="str">
        <f t="array" ref="K9">IF($J$8="","",IF(ROWS($K$8:K9)&lt;=COUNTIFS(Tbl_Members[Squad],$I$2,Tbl_Members[Rank],$I$8),INDEX(Tbl_Members[Gamertag],SMALL(IF(Tbl_Members[Squad]=$I$2,IF(Tbl_Members[Rank]=$I$8,ROW(Tbl_Members[Gamertag])-ROW('Manage Members'!$A$2)+1)),ROWS($K$8:K9))),""))</f>
        <v/>
      </c>
      <c r="M9" s="80"/>
      <c r="N9" s="81"/>
      <c r="O9" s="78" t="str">
        <f t="array" ref="O9">IF($N$8="","",IF(ROWS($O$8:O9)&lt;=COUNTIFS(Tbl_Members[Squad],$M$2,Tbl_Members[Rank],$M$8),INDEX(Tbl_Members[Gamertag],SMALL(IF(Tbl_Members[Squad]=$M$2,IF(Tbl_Members[Rank]=$M$8,ROW(Tbl_Members[Gamertag])-ROW('Manage Members'!$A$2)+1)),ROWS($O$8:O9))),""))</f>
        <v/>
      </c>
      <c r="Q9" s="80"/>
      <c r="R9" s="81"/>
      <c r="S9" s="78" t="str">
        <f t="array" ref="S9">IF($R$8="","",IF(ROWS($S$8:S9)&lt;=COUNTIFS(Tbl_Members[Squad],$Q$2,Tbl_Members[Rank],$Q$8),INDEX(Tbl_Members[Gamertag],SMALL(IF(Tbl_Members[Squad]=$Q$2,IF(Tbl_Members[Rank]=$Q$8,ROW(Tbl_Members[Gamertag])-ROW('Manage Members'!$A$2)+1)),ROWS($S$8:S9))),""))</f>
        <v/>
      </c>
    </row>
    <row r="10" spans="2:22" x14ac:dyDescent="0.25">
      <c r="B10" s="84" t="str">
        <f>IF(Squad_3="","",Squad_3)</f>
        <v/>
      </c>
      <c r="C10" s="35" t="str">
        <f>IF(Squad_3="","",COUNTIF(Tbl_Members[Squad],Squad_3))</f>
        <v/>
      </c>
      <c r="E10" s="82"/>
      <c r="F10" s="16"/>
      <c r="G10" s="83" t="str">
        <f t="array" ref="G10">IF($F$8="","",IF(ROWS($G$8:G10)&lt;=COUNTIFS(Tbl_Members[Squad],$E$2,Tbl_Members[Rank],$E$8),INDEX(Tbl_Members[Gamertag],SMALL(IF(Tbl_Members[Squad]=$E$2,IF(Tbl_Members[Rank]=$E$8,ROW(Tbl_Members[Gamertag])-ROW('Manage Members'!$A$2)+1)),ROWS($G$8:G10))),""))</f>
        <v/>
      </c>
      <c r="I10" s="82"/>
      <c r="J10" s="16"/>
      <c r="K10" s="83" t="str">
        <f t="array" ref="K10">IF($J$8="","",IF(ROWS($K$8:K10)&lt;=COUNTIFS(Tbl_Members[Squad],$I$2,Tbl_Members[Rank],$I$8),INDEX(Tbl_Members[Gamertag],SMALL(IF(Tbl_Members[Squad]=$I$2,IF(Tbl_Members[Rank]=$I$8,ROW(Tbl_Members[Gamertag])-ROW('Manage Members'!$A$2)+1)),ROWS($K$8:K10))),""))</f>
        <v/>
      </c>
      <c r="M10" s="82"/>
      <c r="N10" s="16"/>
      <c r="O10" s="83" t="str">
        <f t="array" ref="O10">IF($N$8="","",IF(ROWS($O$8:O10)&lt;=COUNTIFS(Tbl_Members[Squad],$M$2,Tbl_Members[Rank],$M$8),INDEX(Tbl_Members[Gamertag],SMALL(IF(Tbl_Members[Squad]=$M$2,IF(Tbl_Members[Rank]=$M$8,ROW(Tbl_Members[Gamertag])-ROW('Manage Members'!$A$2)+1)),ROWS($O$8:O10))),""))</f>
        <v/>
      </c>
      <c r="Q10" s="82"/>
      <c r="R10" s="16"/>
      <c r="S10" s="83" t="str">
        <f t="array" ref="S10">IF($R$8="","",IF(ROWS($S$8:S10)&lt;=COUNTIFS(Tbl_Members[Squad],$Q$2,Tbl_Members[Rank],$Q$8),INDEX(Tbl_Members[Gamertag],SMALL(IF(Tbl_Members[Squad]=$Q$2,IF(Tbl_Members[Rank]=$Q$8,ROW(Tbl_Members[Gamertag])-ROW('Manage Members'!$A$2)+1)),ROWS($S$8:S10))),""))</f>
        <v/>
      </c>
    </row>
    <row r="11" spans="2:22" x14ac:dyDescent="0.25">
      <c r="B11" s="84" t="str">
        <f>IF(Squad_4="","",Squad_4)</f>
        <v/>
      </c>
      <c r="C11" s="35" t="str">
        <f>IF(Squad_4="","",COUNTIF(Tbl_Members[Squad],Squad_4))</f>
        <v/>
      </c>
      <c r="E11" s="77" t="str">
        <f>IF($E$2="","",Rank4)</f>
        <v/>
      </c>
      <c r="F11" s="15" t="str">
        <f>IF($E$2="","",IF(COUNTIFS(Tbl_Members[Squad],$E$2,Tbl_Members[Rank],E11)=0,"",COUNTIFS(Tbl_Members[Squad],$E$2,Tbl_Members[Rank],E11)))</f>
        <v/>
      </c>
      <c r="G11" s="78" t="str">
        <f t="array" ref="G11">IF($F$11="","",IF(ROWS($G$11:G11)&lt;=COUNTIFS(Tbl_Members[Squad],$E$2,Tbl_Members[Rank],$E$11),INDEX(Tbl_Members[Gamertag],SMALL(IF(Tbl_Members[Squad]=$E$2,IF(Tbl_Members[Rank]=$E$11,ROW(Tbl_Members[Gamertag])-ROW('Manage Members'!$A$2)+1)),ROWS($G$11:G11))),""))</f>
        <v/>
      </c>
      <c r="I11" s="77" t="str">
        <f>IF($I$2="","",Rank4)</f>
        <v/>
      </c>
      <c r="J11" s="15" t="str">
        <f>IF($I$2="","",IF(COUNTIFS(Tbl_Members[Squad],$I$2,Tbl_Members[Rank],I11)=0,"",COUNTIFS(Tbl_Members[Squad],$I$2,Tbl_Members[Rank],I11)))</f>
        <v/>
      </c>
      <c r="K11" s="78" t="str">
        <f t="array" ref="K11">IF($J$11="","",IF(ROWS($K$11:K11)&lt;=COUNTIFS(Tbl_Members[Squad],$I$2,Tbl_Members[Rank],$I$11),INDEX(Tbl_Members[Gamertag],SMALL(IF(Tbl_Members[Squad]=$I$2,IF(Tbl_Members[Rank]=$I$11,ROW(Tbl_Members[Gamertag])-ROW('Manage Members'!$A$2)+1)),ROWS($K$11:K11))),""))</f>
        <v/>
      </c>
      <c r="M11" s="77" t="str">
        <f>IF($M$2="","",Rank4)</f>
        <v/>
      </c>
      <c r="N11" s="15" t="str">
        <f>IF($M$2="","",IF(COUNTIFS(Tbl_Members[Squad],$M$2,Tbl_Members[Rank],M11)=0,"",COUNTIFS(Tbl_Members[Squad],$M$2,Tbl_Members[Rank],M11)))</f>
        <v/>
      </c>
      <c r="O11" s="78" t="str">
        <f t="array" ref="O11">IF($N$11="","",IF(ROWS($O$11:O11)&lt;=COUNTIFS(Tbl_Members[Squad],$M$2,Tbl_Members[Rank],$M$11),INDEX(Tbl_Members[Gamertag],SMALL(IF(Tbl_Members[Squad]=$M$2,IF(Tbl_Members[Rank]=$M$11,ROW(Tbl_Members[Gamertag])-ROW('Manage Members'!$A$2)+1)),ROWS($O$11:O11))),""))</f>
        <v/>
      </c>
      <c r="Q11" s="77" t="str">
        <f>IF($Q$2="","",Rank4)</f>
        <v/>
      </c>
      <c r="R11" s="15" t="str">
        <f>IF($Q$2="","",IF(COUNTIFS(Tbl_Members[Squad],$Q$2,Tbl_Members[Rank],Q11)=0,"",COUNTIFS(Tbl_Members[Squad],$Q$2,Tbl_Members[Rank],Q11)))</f>
        <v/>
      </c>
      <c r="S11" s="78" t="str">
        <f t="array" ref="S11">IF($R$11="","",IF(ROWS($S$11:S11)&lt;=COUNTIFS(Tbl_Members[Squad],$Q$2,Tbl_Members[Rank],$Q$11),INDEX(Tbl_Members[Gamertag],SMALL(IF(Tbl_Members[Squad]=$Q$2,IF(Tbl_Members[Rank]=$Q$11,ROW(Tbl_Members[Gamertag])-ROW('Manage Members'!$A$2)+1)),ROWS($S$11:S11))),""))</f>
        <v/>
      </c>
    </row>
    <row r="12" spans="2:22" x14ac:dyDescent="0.25">
      <c r="B12" s="2"/>
      <c r="E12" s="80"/>
      <c r="F12" s="81"/>
      <c r="G12" s="78" t="str">
        <f t="array" ref="G12">IF($F$11="","",IF(ROWS($G$11:G12)&lt;=COUNTIFS(Tbl_Members[Squad],$E$2,Tbl_Members[Rank],$E$11),INDEX(Tbl_Members[Gamertag],SMALL(IF(Tbl_Members[Squad]=$E$2,IF(Tbl_Members[Rank]=$E$11,ROW(Tbl_Members[Gamertag])-ROW('Manage Members'!$A$2)+1)),ROWS($G$11:G12))),""))</f>
        <v/>
      </c>
      <c r="I12" s="80"/>
      <c r="J12" s="81"/>
      <c r="K12" s="78" t="str">
        <f t="array" ref="K12">IF($J$11="","",IF(ROWS($K$11:K12)&lt;=COUNTIFS(Tbl_Members[Squad],$I$2,Tbl_Members[Rank],$I$11),INDEX(Tbl_Members[Gamertag],SMALL(IF(Tbl_Members[Squad]=$I$2,IF(Tbl_Members[Rank]=$I$11,ROW(Tbl_Members[Gamertag])-ROW('Manage Members'!$A$2)+1)),ROWS($K$11:K12))),""))</f>
        <v/>
      </c>
      <c r="M12" s="80"/>
      <c r="N12" s="81"/>
      <c r="O12" s="78" t="str">
        <f t="array" ref="O12">IF($N$11="","",IF(ROWS($O$11:O12)&lt;=COUNTIFS(Tbl_Members[Squad],$M$2,Tbl_Members[Rank],$M$11),INDEX(Tbl_Members[Gamertag],SMALL(IF(Tbl_Members[Squad]=$M$2,IF(Tbl_Members[Rank]=$M$11,ROW(Tbl_Members[Gamertag])-ROW('Manage Members'!$A$2)+1)),ROWS($O$11:O12))),""))</f>
        <v/>
      </c>
      <c r="Q12" s="80"/>
      <c r="R12" s="81"/>
      <c r="S12" s="78" t="str">
        <f t="array" ref="S12">IF($R$11="","",IF(ROWS($S$11:S12)&lt;=COUNTIFS(Tbl_Members[Squad],$Q$2,Tbl_Members[Rank],$Q$11),INDEX(Tbl_Members[Gamertag],SMALL(IF(Tbl_Members[Squad]=$Q$2,IF(Tbl_Members[Rank]=$Q$11,ROW(Tbl_Members[Gamertag])-ROW('Manage Members'!$A$2)+1)),ROWS($S$11:S12))),""))</f>
        <v/>
      </c>
    </row>
    <row r="13" spans="2:22" x14ac:dyDescent="0.25">
      <c r="B13" s="2"/>
      <c r="E13" s="80"/>
      <c r="F13" s="81"/>
      <c r="G13" s="78" t="str">
        <f t="array" ref="G13">IF($F$11="","",IF(ROWS($G$11:G13)&lt;=COUNTIFS(Tbl_Members[Squad],$E$2,Tbl_Members[Rank],$E$11),INDEX(Tbl_Members[Gamertag],SMALL(IF(Tbl_Members[Squad]=$E$2,IF(Tbl_Members[Rank]=$E$11,ROW(Tbl_Members[Gamertag])-ROW('Manage Members'!$A$2)+1)),ROWS($G$11:G13))),""))</f>
        <v/>
      </c>
      <c r="I13" s="80"/>
      <c r="J13" s="81"/>
      <c r="K13" s="78" t="str">
        <f t="array" ref="K13">IF($J$11="","",IF(ROWS($K$11:K13)&lt;=COUNTIFS(Tbl_Members[Squad],$I$2,Tbl_Members[Rank],$I$11),INDEX(Tbl_Members[Gamertag],SMALL(IF(Tbl_Members[Squad]=$I$2,IF(Tbl_Members[Rank]=$I$11,ROW(Tbl_Members[Gamertag])-ROW('Manage Members'!$A$2)+1)),ROWS($K$11:K13))),""))</f>
        <v/>
      </c>
      <c r="M13" s="80"/>
      <c r="N13" s="81"/>
      <c r="O13" s="78" t="str">
        <f t="array" ref="O13">IF($N$11="","",IF(ROWS($O$11:O13)&lt;=COUNTIFS(Tbl_Members[Squad],$M$2,Tbl_Members[Rank],$M$11),INDEX(Tbl_Members[Gamertag],SMALL(IF(Tbl_Members[Squad]=$M$2,IF(Tbl_Members[Rank]=$M$11,ROW(Tbl_Members[Gamertag])-ROW('Manage Members'!$A$2)+1)),ROWS($O$11:O13))),""))</f>
        <v/>
      </c>
      <c r="Q13" s="80"/>
      <c r="R13" s="81"/>
      <c r="S13" s="78" t="str">
        <f t="array" ref="S13">IF($R$11="","",IF(ROWS($S$11:S13)&lt;=COUNTIFS(Tbl_Members[Squad],$Q$2,Tbl_Members[Rank],$Q$11),INDEX(Tbl_Members[Gamertag],SMALL(IF(Tbl_Members[Squad]=$Q$2,IF(Tbl_Members[Rank]=$Q$11,ROW(Tbl_Members[Gamertag])-ROW('Manage Members'!$A$2)+1)),ROWS($S$11:S13))),""))</f>
        <v/>
      </c>
    </row>
    <row r="14" spans="2:22" x14ac:dyDescent="0.25">
      <c r="B14" s="2"/>
      <c r="E14" s="80"/>
      <c r="F14" s="81"/>
      <c r="G14" s="78" t="str">
        <f t="array" ref="G14">IF($F$11="","",IF(ROWS($G$11:G14)&lt;=COUNTIFS(Tbl_Members[Squad],$E$2,Tbl_Members[Rank],$E$11),INDEX(Tbl_Members[Gamertag],SMALL(IF(Tbl_Members[Squad]=$E$2,IF(Tbl_Members[Rank]=$E$11,ROW(Tbl_Members[Gamertag])-ROW('Manage Members'!$A$2)+1)),ROWS($G$11:G14))),""))</f>
        <v/>
      </c>
      <c r="I14" s="80"/>
      <c r="J14" s="81"/>
      <c r="K14" s="78" t="str">
        <f t="array" ref="K14">IF($J$11="","",IF(ROWS($K$11:K14)&lt;=COUNTIFS(Tbl_Members[Squad],$I$2,Tbl_Members[Rank],$I$11),INDEX(Tbl_Members[Gamertag],SMALL(IF(Tbl_Members[Squad]=$I$2,IF(Tbl_Members[Rank]=$I$11,ROW(Tbl_Members[Gamertag])-ROW('Manage Members'!$A$2)+1)),ROWS($K$11:K14))),""))</f>
        <v/>
      </c>
      <c r="M14" s="80"/>
      <c r="N14" s="81"/>
      <c r="O14" s="78" t="str">
        <f t="array" ref="O14">IF($N$11="","",IF(ROWS($O$11:O14)&lt;=COUNTIFS(Tbl_Members[Squad],$M$2,Tbl_Members[Rank],$M$11),INDEX(Tbl_Members[Gamertag],SMALL(IF(Tbl_Members[Squad]=$M$2,IF(Tbl_Members[Rank]=$M$11,ROW(Tbl_Members[Gamertag])-ROW('Manage Members'!$A$2)+1)),ROWS($O$11:O14))),""))</f>
        <v/>
      </c>
      <c r="Q14" s="80"/>
      <c r="R14" s="81"/>
      <c r="S14" s="78" t="str">
        <f t="array" ref="S14">IF($R$11="","",IF(ROWS($S$11:S14)&lt;=COUNTIFS(Tbl_Members[Squad],$Q$2,Tbl_Members[Rank],$Q$11),INDEX(Tbl_Members[Gamertag],SMALL(IF(Tbl_Members[Squad]=$Q$2,IF(Tbl_Members[Rank]=$Q$11,ROW(Tbl_Members[Gamertag])-ROW('Manage Members'!$A$2)+1)),ROWS($S$11:S14))),""))</f>
        <v/>
      </c>
    </row>
    <row r="15" spans="2:22" x14ac:dyDescent="0.25">
      <c r="B15" s="2"/>
      <c r="E15" s="82"/>
      <c r="F15" s="16"/>
      <c r="G15" s="83" t="str">
        <f t="array" ref="G15">IF($F$11="","",IF(ROWS($G$11:G15)&lt;=COUNTIFS(Tbl_Members[Squad],$E$2,Tbl_Members[Rank],$E$11),INDEX(Tbl_Members[Gamertag],SMALL(IF(Tbl_Members[Squad]=$E$2,IF(Tbl_Members[Rank]=$E$11,ROW(Tbl_Members[Gamertag])-ROW('Manage Members'!$A$2)+1)),ROWS($G$11:G15))),""))</f>
        <v/>
      </c>
      <c r="I15" s="82"/>
      <c r="J15" s="16"/>
      <c r="K15" s="83" t="str">
        <f t="array" ref="K15">IF($J$11="","",IF(ROWS($K$11:K15)&lt;=COUNTIFS(Tbl_Members[Squad],$I$2,Tbl_Members[Rank],$I$11),INDEX(Tbl_Members[Gamertag],SMALL(IF(Tbl_Members[Squad]=$I$2,IF(Tbl_Members[Rank]=$I$11,ROW(Tbl_Members[Gamertag])-ROW('Manage Members'!$A$2)+1)),ROWS($K$11:K15))),""))</f>
        <v/>
      </c>
      <c r="M15" s="82"/>
      <c r="N15" s="16"/>
      <c r="O15" s="83" t="str">
        <f t="array" ref="O15">IF($N$11="","",IF(ROWS($O$11:O15)&lt;=COUNTIFS(Tbl_Members[Squad],$M$2,Tbl_Members[Rank],$M$11),INDEX(Tbl_Members[Gamertag],SMALL(IF(Tbl_Members[Squad]=$M$2,IF(Tbl_Members[Rank]=$M$11,ROW(Tbl_Members[Gamertag])-ROW('Manage Members'!$A$2)+1)),ROWS($O$11:O15))),""))</f>
        <v/>
      </c>
      <c r="Q15" s="82"/>
      <c r="R15" s="16"/>
      <c r="S15" s="83" t="str">
        <f t="array" ref="S15">IF($R$11="","",IF(ROWS($S$11:S15)&lt;=COUNTIFS(Tbl_Members[Squad],$Q$2,Tbl_Members[Rank],$Q$11),INDEX(Tbl_Members[Gamertag],SMALL(IF(Tbl_Members[Squad]=$Q$2,IF(Tbl_Members[Rank]=$Q$11,ROW(Tbl_Members[Gamertag])-ROW('Manage Members'!$A$2)+1)),ROWS($S$11:S15))),""))</f>
        <v/>
      </c>
    </row>
    <row r="16" spans="2:22" x14ac:dyDescent="0.25">
      <c r="B16" s="2"/>
      <c r="E16" s="77" t="str">
        <f>IF($E$2="","",Rank3)</f>
        <v/>
      </c>
      <c r="F16" s="15" t="str">
        <f>IF($E$2="","",IF(COUNTIFS(Tbl_Members[Squad],$E$2,Tbl_Members[Rank],E16)=0,"",COUNTIFS(Tbl_Members[Squad],$E$2,Tbl_Members[Rank],E16)))</f>
        <v/>
      </c>
      <c r="G16" s="78" t="str">
        <f t="array" ref="G16">IF($F$16="","",IF(ROWS($G$16:G16)&lt;=COUNTIFS(Tbl_Members[Squad],$E$2,Tbl_Members[Rank],$E$16),INDEX(Tbl_Members[Gamertag],SMALL(IF(Tbl_Members[Squad]=$E$2,IF(Tbl_Members[Rank]=$E$16,ROW(Tbl_Members[Gamertag])-ROW('Manage Members'!$A$2)+1)),ROWS($G$16:G16))),""))</f>
        <v/>
      </c>
      <c r="I16" s="77" t="str">
        <f>IF($I$2="","",Rank3)</f>
        <v/>
      </c>
      <c r="J16" s="15" t="str">
        <f>IF($I$2="","",IF(COUNTIFS(Tbl_Members[Squad],$I$2,Tbl_Members[Rank],I16)=0,"",COUNTIFS(Tbl_Members[Squad],$I$2,Tbl_Members[Rank],I16)))</f>
        <v/>
      </c>
      <c r="K16" s="78" t="str">
        <f t="array" ref="K16">IF($J$16="","",IF(ROWS($K$16:K16)&lt;=COUNTIFS(Tbl_Members[Squad],$I$2,Tbl_Members[Rank],$I$16),INDEX(Tbl_Members[Gamertag],SMALL(IF(Tbl_Members[Squad]=$I$2,IF(Tbl_Members[Rank]=$I$16,ROW(Tbl_Members[Gamertag])-ROW('Manage Members'!$A$2)+1)),ROWS($K$16:K16))),""))</f>
        <v/>
      </c>
      <c r="M16" s="77" t="str">
        <f>IF($M$2="","",Rank3)</f>
        <v/>
      </c>
      <c r="N16" s="15" t="str">
        <f>IF($M$2="","",IF(COUNTIFS(Tbl_Members[Squad],$M$2,Tbl_Members[Rank],M16)=0,"",COUNTIFS(Tbl_Members[Squad],$M$2,Tbl_Members[Rank],M16)))</f>
        <v/>
      </c>
      <c r="O16" s="78" t="str">
        <f t="array" ref="O16">IF($N$16="","",IF(ROWS($O$16:O16)&lt;=COUNTIFS(Tbl_Members[Squad],$M$2,Tbl_Members[Rank],$M$16),INDEX(Tbl_Members[Gamertag],SMALL(IF(Tbl_Members[Squad]=$M$2,IF(Tbl_Members[Rank]=$M$16,ROW(Tbl_Members[Gamertag])-ROW('Manage Members'!$A$2)+1)),ROWS($O$16:O16))),""))</f>
        <v/>
      </c>
      <c r="Q16" s="77" t="str">
        <f>IF($Q$2="","",Rank3)</f>
        <v/>
      </c>
      <c r="R16" s="15" t="str">
        <f>IF($Q$2="","",IF(COUNTIFS(Tbl_Members[Squad],$Q$2,Tbl_Members[Rank],Q16)=0,"",COUNTIFS(Tbl_Members[Squad],$Q$2,Tbl_Members[Rank],Q16)))</f>
        <v/>
      </c>
      <c r="S16" s="78" t="str">
        <f t="array" ref="S16">IF($R$16="","",IF(ROWS($S$16:S16)&lt;=COUNTIFS(Tbl_Members[Squad],$Q$2,Tbl_Members[Rank],$Q$16),INDEX(Tbl_Members[Gamertag],SMALL(IF(Tbl_Members[Squad]=$Q$2,IF(Tbl_Members[Rank]=$Q$16,ROW(Tbl_Members[Gamertag])-ROW('Manage Members'!$A$2)+1)),ROWS($S$16:S16))),""))</f>
        <v/>
      </c>
    </row>
    <row r="17" spans="2:19" x14ac:dyDescent="0.25">
      <c r="B17" s="2"/>
      <c r="E17" s="80"/>
      <c r="F17" s="81"/>
      <c r="G17" s="78" t="str">
        <f t="array" ref="G17">IF($F$16="","",IF(ROWS($G$16:G17)&lt;=COUNTIFS(Tbl_Members[Squad],$E$2,Tbl_Members[Rank],$E$16),INDEX(Tbl_Members[Gamertag],SMALL(IF(Tbl_Members[Squad]=$E$2,IF(Tbl_Members[Rank]=$E$16,ROW(Tbl_Members[Gamertag])-ROW('Manage Members'!$A$2)+1)),ROWS($G$16:G17))),""))</f>
        <v/>
      </c>
      <c r="I17" s="80"/>
      <c r="J17" s="81"/>
      <c r="K17" s="78" t="str">
        <f t="array" ref="K17">IF($J$16="","",IF(ROWS($K$16:K17)&lt;=COUNTIFS(Tbl_Members[Squad],$I$2,Tbl_Members[Rank],$I$16),INDEX(Tbl_Members[Gamertag],SMALL(IF(Tbl_Members[Squad]=$I$2,IF(Tbl_Members[Rank]=$I$16,ROW(Tbl_Members[Gamertag])-ROW('Manage Members'!$A$2)+1)),ROWS($K$16:K17))),""))</f>
        <v/>
      </c>
      <c r="M17" s="80"/>
      <c r="N17" s="81"/>
      <c r="O17" s="78" t="str">
        <f t="array" ref="O17">IF($N$16="","",IF(ROWS($O$16:O17)&lt;=COUNTIFS(Tbl_Members[Squad],$M$2,Tbl_Members[Rank],$M$16),INDEX(Tbl_Members[Gamertag],SMALL(IF(Tbl_Members[Squad]=$M$2,IF(Tbl_Members[Rank]=$M$16,ROW(Tbl_Members[Gamertag])-ROW('Manage Members'!$A$2)+1)),ROWS($O$16:O17))),""))</f>
        <v/>
      </c>
      <c r="Q17" s="80"/>
      <c r="R17" s="81"/>
      <c r="S17" s="78" t="str">
        <f t="array" ref="S17">IF($R$16="","",IF(ROWS($S$16:S17)&lt;=COUNTIFS(Tbl_Members[Squad],$Q$2,Tbl_Members[Rank],$Q$16),INDEX(Tbl_Members[Gamertag],SMALL(IF(Tbl_Members[Squad]=$Q$2,IF(Tbl_Members[Rank]=$Q$16,ROW(Tbl_Members[Gamertag])-ROW('Manage Members'!$A$2)+1)),ROWS($S$16:S17))),""))</f>
        <v/>
      </c>
    </row>
    <row r="18" spans="2:19" x14ac:dyDescent="0.25">
      <c r="B18" s="2"/>
      <c r="E18" s="80"/>
      <c r="F18" s="81"/>
      <c r="G18" s="78" t="str">
        <f t="array" ref="G18">IF($F$16="","",IF(ROWS($G$16:G18)&lt;=COUNTIFS(Tbl_Members[Squad],$E$2,Tbl_Members[Rank],$E$16),INDEX(Tbl_Members[Gamertag],SMALL(IF(Tbl_Members[Squad]=$E$2,IF(Tbl_Members[Rank]=$E$16,ROW(Tbl_Members[Gamertag])-ROW('Manage Members'!$A$2)+1)),ROWS($G$16:G18))),""))</f>
        <v/>
      </c>
      <c r="I18" s="80"/>
      <c r="J18" s="81"/>
      <c r="K18" s="78" t="str">
        <f t="array" ref="K18">IF($J$16="","",IF(ROWS($K$16:K18)&lt;=COUNTIFS(Tbl_Members[Squad],$I$2,Tbl_Members[Rank],$I$16),INDEX(Tbl_Members[Gamertag],SMALL(IF(Tbl_Members[Squad]=$I$2,IF(Tbl_Members[Rank]=$I$16,ROW(Tbl_Members[Gamertag])-ROW('Manage Members'!$A$2)+1)),ROWS($K$16:K18))),""))</f>
        <v/>
      </c>
      <c r="M18" s="80"/>
      <c r="N18" s="81"/>
      <c r="O18" s="78" t="str">
        <f t="array" ref="O18">IF($N$16="","",IF(ROWS($O$16:O18)&lt;=COUNTIFS(Tbl_Members[Squad],$M$2,Tbl_Members[Rank],$M$16),INDEX(Tbl_Members[Gamertag],SMALL(IF(Tbl_Members[Squad]=$M$2,IF(Tbl_Members[Rank]=$M$16,ROW(Tbl_Members[Gamertag])-ROW('Manage Members'!$A$2)+1)),ROWS($O$16:O18))),""))</f>
        <v/>
      </c>
      <c r="Q18" s="80"/>
      <c r="R18" s="81"/>
      <c r="S18" s="78" t="str">
        <f t="array" ref="S18">IF($R$16="","",IF(ROWS($S$16:S18)&lt;=COUNTIFS(Tbl_Members[Squad],$Q$2,Tbl_Members[Rank],$Q$16),INDEX(Tbl_Members[Gamertag],SMALL(IF(Tbl_Members[Squad]=$Q$2,IF(Tbl_Members[Rank]=$Q$16,ROW(Tbl_Members[Gamertag])-ROW('Manage Members'!$A$2)+1)),ROWS($S$16:S18))),""))</f>
        <v/>
      </c>
    </row>
    <row r="19" spans="2:19" x14ac:dyDescent="0.25">
      <c r="B19" s="2"/>
      <c r="E19" s="82"/>
      <c r="F19" s="16"/>
      <c r="G19" s="83" t="str">
        <f t="array" ref="G19">IF($F$16="","",IF(ROWS($G$16:G19)&lt;=COUNTIFS(Tbl_Members[Squad],$E$2,Tbl_Members[Rank],$E$16),INDEX(Tbl_Members[Gamertag],SMALL(IF(Tbl_Members[Squad]=$E$2,IF(Tbl_Members[Rank]=$E$16,ROW(Tbl_Members[Gamertag])-ROW('Manage Members'!$A$2)+1)),ROWS($G$16:G19))),""))</f>
        <v/>
      </c>
      <c r="I19" s="82"/>
      <c r="J19" s="16"/>
      <c r="K19" s="83" t="str">
        <f t="array" ref="K19">IF($J$16="","",IF(ROWS($K$16:K19)&lt;=COUNTIFS(Tbl_Members[Squad],$I$2,Tbl_Members[Rank],$I$16),INDEX(Tbl_Members[Gamertag],SMALL(IF(Tbl_Members[Squad]=$I$2,IF(Tbl_Members[Rank]=$I$16,ROW(Tbl_Members[Gamertag])-ROW('Manage Members'!$A$2)+1)),ROWS($K$16:K19))),""))</f>
        <v/>
      </c>
      <c r="M19" s="82"/>
      <c r="N19" s="16"/>
      <c r="O19" s="83" t="str">
        <f t="array" ref="O19">IF($N$16="","",IF(ROWS($O$16:O19)&lt;=COUNTIFS(Tbl_Members[Squad],$M$2,Tbl_Members[Rank],$M$16),INDEX(Tbl_Members[Gamertag],SMALL(IF(Tbl_Members[Squad]=$M$2,IF(Tbl_Members[Rank]=$M$16,ROW(Tbl_Members[Gamertag])-ROW('Manage Members'!$A$2)+1)),ROWS($O$16:O19))),""))</f>
        <v/>
      </c>
      <c r="Q19" s="82"/>
      <c r="R19" s="16"/>
      <c r="S19" s="83" t="str">
        <f t="array" ref="S19">IF($R$16="","",IF(ROWS($S$16:S19)&lt;=COUNTIFS(Tbl_Members[Squad],$Q$2,Tbl_Members[Rank],$Q$16),INDEX(Tbl_Members[Gamertag],SMALL(IF(Tbl_Members[Squad]=$Q$2,IF(Tbl_Members[Rank]=$Q$16,ROW(Tbl_Members[Gamertag])-ROW('Manage Members'!$A$2)+1)),ROWS($S$16:S19))),""))</f>
        <v/>
      </c>
    </row>
    <row r="20" spans="2:19" x14ac:dyDescent="0.25">
      <c r="B20" s="2"/>
      <c r="E20" s="77" t="str">
        <f>IF($E$2="","",Rank2)</f>
        <v/>
      </c>
      <c r="F20" s="15" t="str">
        <f>IF($E$2="","",IF(COUNTIFS(Tbl_Members[Squad],$E$2,Tbl_Members[Rank],E20)=0,"",COUNTIFS(Tbl_Members[Squad],$E$2,Tbl_Members[Rank],E20)))</f>
        <v/>
      </c>
      <c r="G20" s="78" t="str">
        <f t="array" ref="G20">IF($F$20="","",IF(ROWS($G$20:G20)&lt;=COUNTIFS(Tbl_Members[Squad],$E$2,Tbl_Members[Rank],$E$20),INDEX(Tbl_Members[Gamertag],SMALL(IF(Tbl_Members[Squad]=$E$2,IF(Tbl_Members[Rank]=$E$20,ROW(Tbl_Members[Gamertag])-ROW('Manage Members'!$A$2)+1)),ROWS($G$20:G20))),""))</f>
        <v/>
      </c>
      <c r="I20" s="77" t="str">
        <f>IF($I$2="","",Rank2)</f>
        <v/>
      </c>
      <c r="J20" s="15" t="str">
        <f>IF($I$2="","",IF(COUNTIFS(Tbl_Members[Squad],$I$2,Tbl_Members[Rank],I20)=0,"",COUNTIFS(Tbl_Members[Squad],$I$2,Tbl_Members[Rank],I20)))</f>
        <v/>
      </c>
      <c r="K20" s="78" t="str">
        <f t="array" ref="K20">IF($J$20="","",IF(ROWS($K$20:K20)&lt;=COUNTIFS(Tbl_Members[Squad],$I$2,Tbl_Members[Rank],$I$20),INDEX(Tbl_Members[Gamertag],SMALL(IF(Tbl_Members[Squad]=$I$2,IF(Tbl_Members[Rank]=$I$20,ROW(Tbl_Members[Gamertag])-ROW('Manage Members'!$A$2)+1)),ROWS($K$20:K20))),""))</f>
        <v/>
      </c>
      <c r="M20" s="77" t="str">
        <f>IF($M$2="","",Rank2)</f>
        <v/>
      </c>
      <c r="N20" s="15" t="str">
        <f>IF($M$2="","",IF(COUNTIFS(Tbl_Members[Squad],$M$2,Tbl_Members[Rank],M20)=0,"",COUNTIFS(Tbl_Members[Squad],$M$2,Tbl_Members[Rank],M20)))</f>
        <v/>
      </c>
      <c r="O20" s="78" t="str">
        <f t="array" ref="O20">IF($N$20="","",IF(ROWS($O$20:O20)&lt;=COUNTIFS(Tbl_Members[Squad],$M$2,Tbl_Members[Rank],$M$20),INDEX(Tbl_Members[Gamertag],SMALL(IF(Tbl_Members[Squad]=$M$2,IF(Tbl_Members[Rank]=$M$20,ROW(Tbl_Members[Gamertag])-ROW('Manage Members'!$A$2)+1)),ROWS($O$20:O20))),""))</f>
        <v/>
      </c>
      <c r="Q20" s="77" t="str">
        <f>IF($Q$2="","",Rank2)</f>
        <v/>
      </c>
      <c r="R20" s="15" t="str">
        <f>IF($Q$2="","",IF(COUNTIFS(Tbl_Members[Squad],$Q$2,Tbl_Members[Rank],Q20)=0,"",COUNTIFS(Tbl_Members[Squad],$Q$2,Tbl_Members[Rank],Q20)))</f>
        <v/>
      </c>
      <c r="S20" s="78" t="str">
        <f t="array" ref="S20">IF($R$20="","",IF(ROWS($S$20:S20)&lt;=COUNTIFS(Tbl_Members[Squad],$Q$2,Tbl_Members[Rank],$Q$20),INDEX(Tbl_Members[Gamertag],SMALL(IF(Tbl_Members[Squad]=$Q$2,IF(Tbl_Members[Rank]=$Q$20,ROW(Tbl_Members[Gamertag])-ROW('Manage Members'!$A$2)+1)),ROWS($S$20:S20))),""))</f>
        <v/>
      </c>
    </row>
    <row r="21" spans="2:19" x14ac:dyDescent="0.25">
      <c r="B21" s="2"/>
      <c r="E21" s="80"/>
      <c r="F21" s="81"/>
      <c r="G21" s="78" t="str">
        <f t="array" ref="G21">IF($F$20="","",IF(ROWS($G$20:G21)&lt;=COUNTIFS(Tbl_Members[Squad],$E$2,Tbl_Members[Rank],$E$20),INDEX(Tbl_Members[Gamertag],SMALL(IF(Tbl_Members[Squad]=$E$2,IF(Tbl_Members[Rank]=$E$20,ROW(Tbl_Members[Gamertag])-ROW('Manage Members'!$A$2)+1)),ROWS($G$20:G21))),""))</f>
        <v/>
      </c>
      <c r="I21" s="80"/>
      <c r="J21" s="81"/>
      <c r="K21" s="78" t="str">
        <f t="array" ref="K21">IF($J$20="","",IF(ROWS($K$20:K21)&lt;=COUNTIFS(Tbl_Members[Squad],$I$2,Tbl_Members[Rank],$I$20),INDEX(Tbl_Members[Gamertag],SMALL(IF(Tbl_Members[Squad]=$I$2,IF(Tbl_Members[Rank]=$I$20,ROW(Tbl_Members[Gamertag])-ROW('Manage Members'!$A$2)+1)),ROWS($K$20:K21))),""))</f>
        <v/>
      </c>
      <c r="M21" s="80"/>
      <c r="N21" s="81"/>
      <c r="O21" s="78" t="str">
        <f t="array" ref="O21">IF($N$20="","",IF(ROWS($O$20:O21)&lt;=COUNTIFS(Tbl_Members[Squad],$M$2,Tbl_Members[Rank],$M$20),INDEX(Tbl_Members[Gamertag],SMALL(IF(Tbl_Members[Squad]=$M$2,IF(Tbl_Members[Rank]=$M$20,ROW(Tbl_Members[Gamertag])-ROW('Manage Members'!$A$2)+1)),ROWS($O$20:O21))),""))</f>
        <v/>
      </c>
      <c r="Q21" s="80"/>
      <c r="R21" s="81"/>
      <c r="S21" s="78" t="str">
        <f t="array" ref="S21">IF($R$20="","",IF(ROWS($S$20:S21)&lt;=COUNTIFS(Tbl_Members[Squad],$Q$2,Tbl_Members[Rank],$Q$20),INDEX(Tbl_Members[Gamertag],SMALL(IF(Tbl_Members[Squad]=$Q$2,IF(Tbl_Members[Rank]=$Q$20,ROW(Tbl_Members[Gamertag])-ROW('Manage Members'!$A$2)+1)),ROWS($S$20:S21))),""))</f>
        <v/>
      </c>
    </row>
    <row r="22" spans="2:19" x14ac:dyDescent="0.25">
      <c r="B22" s="2"/>
      <c r="E22" s="80"/>
      <c r="F22" s="81"/>
      <c r="G22" s="78" t="str">
        <f t="array" ref="G22">IF($F$20="","",IF(ROWS($G$20:G22)&lt;=COUNTIFS(Tbl_Members[Squad],$E$2,Tbl_Members[Rank],$E$20),INDEX(Tbl_Members[Gamertag],SMALL(IF(Tbl_Members[Squad]=$E$2,IF(Tbl_Members[Rank]=$E$20,ROW(Tbl_Members[Gamertag])-ROW('Manage Members'!$A$2)+1)),ROWS($G$20:G22))),""))</f>
        <v/>
      </c>
      <c r="I22" s="80"/>
      <c r="J22" s="81"/>
      <c r="K22" s="78" t="str">
        <f t="array" ref="K22">IF($J$20="","",IF(ROWS($K$20:K22)&lt;=COUNTIFS(Tbl_Members[Squad],$I$2,Tbl_Members[Rank],$I$20),INDEX(Tbl_Members[Gamertag],SMALL(IF(Tbl_Members[Squad]=$I$2,IF(Tbl_Members[Rank]=$I$20,ROW(Tbl_Members[Gamertag])-ROW('Manage Members'!$A$2)+1)),ROWS($K$20:K22))),""))</f>
        <v/>
      </c>
      <c r="M22" s="80"/>
      <c r="N22" s="81"/>
      <c r="O22" s="78" t="str">
        <f t="array" ref="O22">IF($N$20="","",IF(ROWS($O$20:O22)&lt;=COUNTIFS(Tbl_Members[Squad],$M$2,Tbl_Members[Rank],$M$20),INDEX(Tbl_Members[Gamertag],SMALL(IF(Tbl_Members[Squad]=$M$2,IF(Tbl_Members[Rank]=$M$20,ROW(Tbl_Members[Gamertag])-ROW('Manage Members'!$A$2)+1)),ROWS($O$20:O22))),""))</f>
        <v/>
      </c>
      <c r="Q22" s="80"/>
      <c r="R22" s="81"/>
      <c r="S22" s="78" t="str">
        <f t="array" ref="S22">IF($R$20="","",IF(ROWS($S$20:S22)&lt;=COUNTIFS(Tbl_Members[Squad],$Q$2,Tbl_Members[Rank],$Q$20),INDEX(Tbl_Members[Gamertag],SMALL(IF(Tbl_Members[Squad]=$Q$2,IF(Tbl_Members[Rank]=$Q$20,ROW(Tbl_Members[Gamertag])-ROW('Manage Members'!$A$2)+1)),ROWS($S$20:S22))),""))</f>
        <v/>
      </c>
    </row>
    <row r="23" spans="2:19" x14ac:dyDescent="0.25">
      <c r="B23" s="2"/>
      <c r="E23" s="80"/>
      <c r="F23" s="81"/>
      <c r="G23" s="78" t="str">
        <f t="array" ref="G23">IF($F$20="","",IF(ROWS($G$20:G23)&lt;=COUNTIFS(Tbl_Members[Squad],$E$2,Tbl_Members[Rank],$E$20),INDEX(Tbl_Members[Gamertag],SMALL(IF(Tbl_Members[Squad]=$E$2,IF(Tbl_Members[Rank]=$E$20,ROW(Tbl_Members[Gamertag])-ROW('Manage Members'!$A$2)+1)),ROWS($G$20:G23))),""))</f>
        <v/>
      </c>
      <c r="I23" s="80"/>
      <c r="J23" s="81"/>
      <c r="K23" s="78" t="str">
        <f t="array" ref="K23">IF($J$20="","",IF(ROWS($K$20:K23)&lt;=COUNTIFS(Tbl_Members[Squad],$I$2,Tbl_Members[Rank],$I$20),INDEX(Tbl_Members[Gamertag],SMALL(IF(Tbl_Members[Squad]=$I$2,IF(Tbl_Members[Rank]=$I$20,ROW(Tbl_Members[Gamertag])-ROW('Manage Members'!$A$2)+1)),ROWS($K$20:K23))),""))</f>
        <v/>
      </c>
      <c r="M23" s="80"/>
      <c r="N23" s="81"/>
      <c r="O23" s="78" t="str">
        <f t="array" ref="O23">IF($N$20="","",IF(ROWS($O$20:O23)&lt;=COUNTIFS(Tbl_Members[Squad],$M$2,Tbl_Members[Rank],$M$20),INDEX(Tbl_Members[Gamertag],SMALL(IF(Tbl_Members[Squad]=$M$2,IF(Tbl_Members[Rank]=$M$20,ROW(Tbl_Members[Gamertag])-ROW('Manage Members'!$A$2)+1)),ROWS($O$20:O23))),""))</f>
        <v/>
      </c>
      <c r="Q23" s="80"/>
      <c r="R23" s="81"/>
      <c r="S23" s="78" t="str">
        <f t="array" ref="S23">IF($R$20="","",IF(ROWS($S$20:S23)&lt;=COUNTIFS(Tbl_Members[Squad],$Q$2,Tbl_Members[Rank],$Q$20),INDEX(Tbl_Members[Gamertag],SMALL(IF(Tbl_Members[Squad]=$Q$2,IF(Tbl_Members[Rank]=$Q$20,ROW(Tbl_Members[Gamertag])-ROW('Manage Members'!$A$2)+1)),ROWS($S$20:S23))),""))</f>
        <v/>
      </c>
    </row>
    <row r="24" spans="2:19" x14ac:dyDescent="0.25">
      <c r="B24" s="2"/>
      <c r="E24" s="80"/>
      <c r="F24" s="81"/>
      <c r="G24" s="78" t="str">
        <f t="array" ref="G24">IF($F$20="","",IF(ROWS($G$20:G24)&lt;=COUNTIFS(Tbl_Members[Squad],$E$2,Tbl_Members[Rank],$E$20),INDEX(Tbl_Members[Gamertag],SMALL(IF(Tbl_Members[Squad]=$E$2,IF(Tbl_Members[Rank]=$E$20,ROW(Tbl_Members[Gamertag])-ROW('Manage Members'!$A$2)+1)),ROWS($G$20:G24))),""))</f>
        <v/>
      </c>
      <c r="I24" s="80"/>
      <c r="J24" s="81"/>
      <c r="K24" s="78" t="str">
        <f t="array" ref="K24">IF($J$20="","",IF(ROWS($K$20:K24)&lt;=COUNTIFS(Tbl_Members[Squad],$I$2,Tbl_Members[Rank],$I$20),INDEX(Tbl_Members[Gamertag],SMALL(IF(Tbl_Members[Squad]=$I$2,IF(Tbl_Members[Rank]=$I$20,ROW(Tbl_Members[Gamertag])-ROW('Manage Members'!$A$2)+1)),ROWS($K$20:K24))),""))</f>
        <v/>
      </c>
      <c r="M24" s="80"/>
      <c r="N24" s="81"/>
      <c r="O24" s="78" t="str">
        <f t="array" ref="O24">IF($N$20="","",IF(ROWS($O$20:O24)&lt;=COUNTIFS(Tbl_Members[Squad],$M$2,Tbl_Members[Rank],$M$20),INDEX(Tbl_Members[Gamertag],SMALL(IF(Tbl_Members[Squad]=$M$2,IF(Tbl_Members[Rank]=$M$20,ROW(Tbl_Members[Gamertag])-ROW('Manage Members'!$A$2)+1)),ROWS($O$20:O24))),""))</f>
        <v/>
      </c>
      <c r="Q24" s="80"/>
      <c r="R24" s="81"/>
      <c r="S24" s="78" t="str">
        <f t="array" ref="S24">IF($R$20="","",IF(ROWS($S$20:S24)&lt;=COUNTIFS(Tbl_Members[Squad],$Q$2,Tbl_Members[Rank],$Q$20),INDEX(Tbl_Members[Gamertag],SMALL(IF(Tbl_Members[Squad]=$Q$2,IF(Tbl_Members[Rank]=$Q$20,ROW(Tbl_Members[Gamertag])-ROW('Manage Members'!$A$2)+1)),ROWS($S$20:S24))),""))</f>
        <v/>
      </c>
    </row>
    <row r="25" spans="2:19" x14ac:dyDescent="0.25">
      <c r="B25" s="2"/>
      <c r="E25" s="80"/>
      <c r="F25" s="81"/>
      <c r="G25" s="78" t="str">
        <f t="array" ref="G25">IF($F$20="","",IF(ROWS($G$20:G25)&lt;=COUNTIFS(Tbl_Members[Squad],$E$2,Tbl_Members[Rank],$E$20),INDEX(Tbl_Members[Gamertag],SMALL(IF(Tbl_Members[Squad]=$E$2,IF(Tbl_Members[Rank]=$E$20,ROW(Tbl_Members[Gamertag])-ROW('Manage Members'!$A$2)+1)),ROWS($G$20:G25))),""))</f>
        <v/>
      </c>
      <c r="I25" s="80"/>
      <c r="J25" s="81"/>
      <c r="K25" s="78" t="str">
        <f t="array" ref="K25">IF($J$20="","",IF(ROWS($K$20:K25)&lt;=COUNTIFS(Tbl_Members[Squad],$I$2,Tbl_Members[Rank],$I$20),INDEX(Tbl_Members[Gamertag],SMALL(IF(Tbl_Members[Squad]=$I$2,IF(Tbl_Members[Rank]=$I$20,ROW(Tbl_Members[Gamertag])-ROW('Manage Members'!$A$2)+1)),ROWS($K$20:K25))),""))</f>
        <v/>
      </c>
      <c r="M25" s="80"/>
      <c r="N25" s="81"/>
      <c r="O25" s="78" t="str">
        <f t="array" ref="O25">IF($N$20="","",IF(ROWS($O$20:O25)&lt;=COUNTIFS(Tbl_Members[Squad],$M$2,Tbl_Members[Rank],$M$20),INDEX(Tbl_Members[Gamertag],SMALL(IF(Tbl_Members[Squad]=$M$2,IF(Tbl_Members[Rank]=$M$20,ROW(Tbl_Members[Gamertag])-ROW('Manage Members'!$A$2)+1)),ROWS($O$20:O25))),""))</f>
        <v/>
      </c>
      <c r="Q25" s="80"/>
      <c r="R25" s="81"/>
      <c r="S25" s="78" t="str">
        <f t="array" ref="S25">IF($R$20="","",IF(ROWS($S$20:S25)&lt;=COUNTIFS(Tbl_Members[Squad],$Q$2,Tbl_Members[Rank],$Q$20),INDEX(Tbl_Members[Gamertag],SMALL(IF(Tbl_Members[Squad]=$Q$2,IF(Tbl_Members[Rank]=$Q$20,ROW(Tbl_Members[Gamertag])-ROW('Manage Members'!$A$2)+1)),ROWS($S$20:S25))),""))</f>
        <v/>
      </c>
    </row>
    <row r="26" spans="2:19" x14ac:dyDescent="0.25">
      <c r="E26" s="80"/>
      <c r="F26" s="81"/>
      <c r="G26" s="78" t="str">
        <f t="array" ref="G26">IF($F$20="","",IF(ROWS($G$20:G26)&lt;=COUNTIFS(Tbl_Members[Squad],$E$2,Tbl_Members[Rank],$E$20),INDEX(Tbl_Members[Gamertag],SMALL(IF(Tbl_Members[Squad]=$E$2,IF(Tbl_Members[Rank]=$E$20,ROW(Tbl_Members[Gamertag])-ROW('Manage Members'!$A$2)+1)),ROWS($G$20:G26))),""))</f>
        <v/>
      </c>
      <c r="I26" s="80"/>
      <c r="J26" s="81"/>
      <c r="K26" s="78" t="str">
        <f t="array" ref="K26">IF($J$20="","",IF(ROWS($K$20:K26)&lt;=COUNTIFS(Tbl_Members[Squad],$I$2,Tbl_Members[Rank],$I$20),INDEX(Tbl_Members[Gamertag],SMALL(IF(Tbl_Members[Squad]=$I$2,IF(Tbl_Members[Rank]=$I$20,ROW(Tbl_Members[Gamertag])-ROW('Manage Members'!$A$2)+1)),ROWS($K$20:K26))),""))</f>
        <v/>
      </c>
      <c r="M26" s="80"/>
      <c r="N26" s="81"/>
      <c r="O26" s="78" t="str">
        <f t="array" ref="O26">IF($N$20="","",IF(ROWS($O$20:O26)&lt;=COUNTIFS(Tbl_Members[Squad],$M$2,Tbl_Members[Rank],$M$20),INDEX(Tbl_Members[Gamertag],SMALL(IF(Tbl_Members[Squad]=$M$2,IF(Tbl_Members[Rank]=$M$20,ROW(Tbl_Members[Gamertag])-ROW('Manage Members'!$A$2)+1)),ROWS($O$20:O26))),""))</f>
        <v/>
      </c>
      <c r="Q26" s="80"/>
      <c r="R26" s="81"/>
      <c r="S26" s="78" t="str">
        <f t="array" ref="S26">IF($R$20="","",IF(ROWS($S$20:S26)&lt;=COUNTIFS(Tbl_Members[Squad],$Q$2,Tbl_Members[Rank],$Q$20),INDEX(Tbl_Members[Gamertag],SMALL(IF(Tbl_Members[Squad]=$Q$2,IF(Tbl_Members[Rank]=$Q$20,ROW(Tbl_Members[Gamertag])-ROW('Manage Members'!$A$2)+1)),ROWS($S$20:S26))),""))</f>
        <v/>
      </c>
    </row>
    <row r="27" spans="2:19" ht="15.75" thickBot="1" x14ac:dyDescent="0.3">
      <c r="E27" s="80"/>
      <c r="F27" s="85"/>
      <c r="G27" s="78" t="str">
        <f t="array" ref="G27">IF($F$20="","",IF(ROWS($G$20:G27)&lt;=COUNTIFS(Tbl_Members[Squad],$E$2,Tbl_Members[Rank],$E$20),INDEX(Tbl_Members[Gamertag],SMALL(IF(Tbl_Members[Squad]=$E$2,IF(Tbl_Members[Rank]=$E$20,ROW(Tbl_Members[Gamertag])-ROW('Manage Members'!$A$2)+1)),ROWS($G$20:G27))),""))</f>
        <v/>
      </c>
      <c r="I27" s="80"/>
      <c r="J27" s="85"/>
      <c r="K27" s="78" t="str">
        <f t="array" ref="K27">IF($J$20="","",IF(ROWS($K$20:K27)&lt;=COUNTIFS(Tbl_Members[Squad],$I$2,Tbl_Members[Rank],$I$20),INDEX(Tbl_Members[Gamertag],SMALL(IF(Tbl_Members[Squad]=$I$2,IF(Tbl_Members[Rank]=$I$20,ROW(Tbl_Members[Gamertag])-ROW('Manage Members'!$A$2)+1)),ROWS($K$20:K27))),""))</f>
        <v/>
      </c>
      <c r="M27" s="80"/>
      <c r="N27" s="85"/>
      <c r="O27" s="78" t="str">
        <f t="array" ref="O27">IF($N$20="","",IF(ROWS($O$20:O27)&lt;=COUNTIFS(Tbl_Members[Squad],$M$2,Tbl_Members[Rank],$M$20),INDEX(Tbl_Members[Gamertag],SMALL(IF(Tbl_Members[Squad]=$M$2,IF(Tbl_Members[Rank]=$M$20,ROW(Tbl_Members[Gamertag])-ROW('Manage Members'!$A$2)+1)),ROWS($O$20:O27))),""))</f>
        <v/>
      </c>
      <c r="Q27" s="80"/>
      <c r="R27" s="85"/>
      <c r="S27" s="78" t="str">
        <f t="array" ref="S27">IF($R$20="","",IF(ROWS($S$20:S27)&lt;=COUNTIFS(Tbl_Members[Squad],$Q$2,Tbl_Members[Rank],$Q$20),INDEX(Tbl_Members[Gamertag],SMALL(IF(Tbl_Members[Squad]=$Q$2,IF(Tbl_Members[Rank]=$Q$20,ROW(Tbl_Members[Gamertag])-ROW('Manage Members'!$A$2)+1)),ROWS($S$20:S27))),""))</f>
        <v/>
      </c>
    </row>
    <row r="28" spans="2:19" x14ac:dyDescent="0.25">
      <c r="B28" s="86" t="s">
        <v>45</v>
      </c>
      <c r="C28" s="87"/>
      <c r="E28" s="80"/>
      <c r="F28" s="85"/>
      <c r="G28" s="78" t="str">
        <f t="array" ref="G28">IF($F$20="","",IF(ROWS($G$20:G28)&lt;=COUNTIFS(Tbl_Members[Squad],$E$2,Tbl_Members[Rank],$E$20),INDEX(Tbl_Members[Gamertag],SMALL(IF(Tbl_Members[Squad]=$E$2,IF(Tbl_Members[Rank]=$E$20,ROW(Tbl_Members[Gamertag])-ROW('Manage Members'!$A$2)+1)),ROWS($G$20:G28))),""))</f>
        <v/>
      </c>
      <c r="I28" s="80"/>
      <c r="J28" s="85"/>
      <c r="K28" s="78" t="str">
        <f t="array" ref="K28">IF($J$20="","",IF(ROWS($K$20:K28)&lt;=COUNTIFS(Tbl_Members[Squad],$I$2,Tbl_Members[Rank],$I$20),INDEX(Tbl_Members[Gamertag],SMALL(IF(Tbl_Members[Squad]=$I$2,IF(Tbl_Members[Rank]=$I$20,ROW(Tbl_Members[Gamertag])-ROW('Manage Members'!$A$2)+1)),ROWS($K$20:K28))),""))</f>
        <v/>
      </c>
      <c r="M28" s="80"/>
      <c r="N28" s="85"/>
      <c r="O28" s="78" t="str">
        <f t="array" ref="O28">IF($N$20="","",IF(ROWS($O$20:O28)&lt;=COUNTIFS(Tbl_Members[Squad],$M$2,Tbl_Members[Rank],$M$20),INDEX(Tbl_Members[Gamertag],SMALL(IF(Tbl_Members[Squad]=$M$2,IF(Tbl_Members[Rank]=$M$20,ROW(Tbl_Members[Gamertag])-ROW('Manage Members'!$A$2)+1)),ROWS($O$20:O28))),""))</f>
        <v/>
      </c>
      <c r="Q28" s="80"/>
      <c r="R28" s="85"/>
      <c r="S28" s="78" t="str">
        <f t="array" ref="S28">IF($R$20="","",IF(ROWS($S$20:S28)&lt;=COUNTIFS(Tbl_Members[Squad],$Q$2,Tbl_Members[Rank],$Q$20),INDEX(Tbl_Members[Gamertag],SMALL(IF(Tbl_Members[Squad]=$Q$2,IF(Tbl_Members[Rank]=$Q$20,ROW(Tbl_Members[Gamertag])-ROW('Manage Members'!$A$2)+1)),ROWS($S$20:S28))),""))</f>
        <v/>
      </c>
    </row>
    <row r="29" spans="2:19" x14ac:dyDescent="0.25">
      <c r="B29" s="88"/>
      <c r="C29" s="89"/>
      <c r="E29" s="82"/>
      <c r="F29" s="90"/>
      <c r="G29" s="83" t="str">
        <f t="array" ref="G29">IF($F$20="","",IF(ROWS($G$20:G29)&lt;=COUNTIFS(Tbl_Members[Squad],$E$2,Tbl_Members[Rank],$E$20),INDEX(Tbl_Members[Gamertag],SMALL(IF(Tbl_Members[Squad]=$E$2,IF(Tbl_Members[Rank]=$E$20,ROW(Tbl_Members[Gamertag])-ROW('Manage Members'!$A$2)+1)),ROWS($G$20:G29))),""))</f>
        <v/>
      </c>
      <c r="I29" s="82"/>
      <c r="J29" s="90"/>
      <c r="K29" s="83" t="str">
        <f t="array" ref="K29">IF($J$20="","",IF(ROWS($K$20:K29)&lt;=COUNTIFS(Tbl_Members[Squad],$I$2,Tbl_Members[Rank],$I$20),INDEX(Tbl_Members[Gamertag],SMALL(IF(Tbl_Members[Squad]=$I$2,IF(Tbl_Members[Rank]=$I$20,ROW(Tbl_Members[Gamertag])-ROW('Manage Members'!$A$2)+1)),ROWS($K$20:K29))),""))</f>
        <v/>
      </c>
      <c r="M29" s="82"/>
      <c r="N29" s="90"/>
      <c r="O29" s="83" t="str">
        <f t="array" ref="O29">IF($N$20="","",IF(ROWS($O$20:O29)&lt;=COUNTIFS(Tbl_Members[Squad],$M$2,Tbl_Members[Rank],$M$20),INDEX(Tbl_Members[Gamertag],SMALL(IF(Tbl_Members[Squad]=$M$2,IF(Tbl_Members[Rank]=$M$20,ROW(Tbl_Members[Gamertag])-ROW('Manage Members'!$A$2)+1)),ROWS($O$20:O29))),""))</f>
        <v/>
      </c>
      <c r="Q29" s="82"/>
      <c r="R29" s="90"/>
      <c r="S29" s="83" t="str">
        <f t="array" ref="S29">IF($R$20="","",IF(ROWS($S$20:S29)&lt;=COUNTIFS(Tbl_Members[Squad],$Q$2,Tbl_Members[Rank],$Q$20),INDEX(Tbl_Members[Gamertag],SMALL(IF(Tbl_Members[Squad]=$Q$2,IF(Tbl_Members[Rank]=$Q$20,ROW(Tbl_Members[Gamertag])-ROW('Manage Members'!$A$2)+1)),ROWS($S$20:S29))),""))</f>
        <v/>
      </c>
    </row>
    <row r="30" spans="2:19" x14ac:dyDescent="0.25">
      <c r="B30" s="88"/>
      <c r="C30" s="89"/>
      <c r="E30" s="77" t="str">
        <f>IF($E$2="","",Rank1)</f>
        <v/>
      </c>
      <c r="F30" s="15" t="str">
        <f>IF($E$2="","",IF(COUNTIFS(Tbl_Members[Squad],$E$2,Tbl_Members[Rank],E30)=0,"",COUNTIFS(Tbl_Members[Squad],$E$2,Tbl_Members[Rank],E30)))</f>
        <v/>
      </c>
      <c r="G30" s="78" t="str">
        <f t="array" ref="G30">IF($F$30="","",IF(ROWS($G$30:G30)&lt;=COUNTIFS(Tbl_Members[Squad],$E$2,Tbl_Members[Rank],$E$30),INDEX(Tbl_Members[Gamertag],SMALL(IF(Tbl_Members[Squad]=$E$2,IF(Tbl_Members[Rank]=$E$30,ROW(Tbl_Members[Gamertag])-ROW('Manage Members'!$A$2)+1)),ROWS($G$30:G30))),""))</f>
        <v/>
      </c>
      <c r="I30" s="77" t="str">
        <f>IF($I$2="","",Rank1)</f>
        <v/>
      </c>
      <c r="J30" s="15" t="str">
        <f>IF($I$2="","",IF(COUNTIFS(Tbl_Members[Squad],$I$2,Tbl_Members[Rank],I30)=0,"",COUNTIFS(Tbl_Members[Squad],$I$2,Tbl_Members[Rank],I30)))</f>
        <v/>
      </c>
      <c r="K30" s="78" t="str">
        <f t="array" ref="K30">IF($J$30="","",IF(ROWS($K$30:K30)&lt;=COUNTIFS(Tbl_Members[Squad],$I$2,Tbl_Members[Rank],$I$30),INDEX(Tbl_Members[Gamertag],SMALL(IF(Tbl_Members[Squad]=$I$2,IF(Tbl_Members[Rank]=$I$30,ROW(Tbl_Members[Gamertag])-ROW('Manage Members'!$A$2)+1)),ROWS($K$30:K30))),""))</f>
        <v/>
      </c>
      <c r="M30" s="77" t="str">
        <f>IF($M$2="","",Rank1)</f>
        <v/>
      </c>
      <c r="N30" s="15" t="str">
        <f>IF($M$2="","",IF(COUNTIFS(Tbl_Members[Squad],$M$2,Tbl_Members[Rank],M30)=0,"",COUNTIFS(Tbl_Members[Squad],$M$2,Tbl_Members[Rank],M30)))</f>
        <v/>
      </c>
      <c r="O30" s="78" t="str">
        <f t="array" ref="O30">IF($N$30="","",IF(ROWS($O$30:O30)&lt;=COUNTIFS(Tbl_Members[Squad],$M$2,Tbl_Members[Rank],$M$30),INDEX(Tbl_Members[Gamertag],SMALL(IF(Tbl_Members[Squad]=$M$2,IF(Tbl_Members[Rank]=$M$30,ROW(Tbl_Members[Gamertag])-ROW('Manage Members'!$A$2)+1)),ROWS($O$30:O30))),""))</f>
        <v/>
      </c>
      <c r="Q30" s="77" t="str">
        <f>IF($Q$2="","",Rank1)</f>
        <v/>
      </c>
      <c r="R30" s="15" t="str">
        <f>IF($Q$2="","",IF(COUNTIFS(Tbl_Members[Squad],$Q$2,Tbl_Members[Rank],Q30)=0,"",COUNTIFS(Tbl_Members[Squad],$Q$2,Tbl_Members[Rank],Q30)))</f>
        <v/>
      </c>
      <c r="S30" s="78" t="str">
        <f t="array" ref="S30">IF($R$30="","",IF(ROWS($S$30:S30)&lt;=COUNTIFS(Tbl_Members[Squad],$Q$2,Tbl_Members[Rank],$Q$30),INDEX(Tbl_Members[Gamertag],SMALL(IF(Tbl_Members[Squad]=$Q$2,IF(Tbl_Members[Rank]=$Q$30,ROW(Tbl_Members[Gamertag])-ROW('Manage Members'!$A$2)+1)),ROWS($S$30:S30))),""))</f>
        <v/>
      </c>
    </row>
    <row r="31" spans="2:19" x14ac:dyDescent="0.25">
      <c r="B31" s="88"/>
      <c r="C31" s="89"/>
      <c r="E31" s="80"/>
      <c r="F31" s="85"/>
      <c r="G31" s="78" t="str">
        <f t="array" ref="G31">IF($F$30="","",IF(ROWS($G$30:G31)&lt;=COUNTIFS(Tbl_Members[Squad],$E$2,Tbl_Members[Rank],$E$30),INDEX(Tbl_Members[Gamertag],SMALL(IF(Tbl_Members[Squad]=$E$2,IF(Tbl_Members[Rank]=$E$30,ROW(Tbl_Members[Gamertag])-ROW('Manage Members'!$A$2)+1)),ROWS($G$30:G31))),""))</f>
        <v/>
      </c>
      <c r="I31" s="80"/>
      <c r="J31" s="85"/>
      <c r="K31" s="78" t="str">
        <f t="array" ref="K31">IF($J$30="","",IF(ROWS($K$30:K31)&lt;=COUNTIFS(Tbl_Members[Squad],$I$2,Tbl_Members[Rank],$I$30),INDEX(Tbl_Members[Gamertag],SMALL(IF(Tbl_Members[Squad]=$I$2,IF(Tbl_Members[Rank]=$I$30,ROW(Tbl_Members[Gamertag])-ROW('Manage Members'!$A$2)+1)),ROWS($K$30:K31))),""))</f>
        <v/>
      </c>
      <c r="M31" s="80"/>
      <c r="N31" s="85"/>
      <c r="O31" s="78" t="str">
        <f t="array" ref="O31">IF($N$30="","",IF(ROWS($O$30:O31)&lt;=COUNTIFS(Tbl_Members[Squad],$M$2,Tbl_Members[Rank],$M$30),INDEX(Tbl_Members[Gamertag],SMALL(IF(Tbl_Members[Squad]=$M$2,IF(Tbl_Members[Rank]=$M$30,ROW(Tbl_Members[Gamertag])-ROW('Manage Members'!$A$2)+1)),ROWS($O$30:O31))),""))</f>
        <v/>
      </c>
      <c r="Q31" s="80"/>
      <c r="R31" s="85"/>
      <c r="S31" s="78" t="str">
        <f t="array" ref="S31">IF($R$30="","",IF(ROWS($S$30:S31)&lt;=COUNTIFS(Tbl_Members[Squad],$Q$2,Tbl_Members[Rank],$Q$30),INDEX(Tbl_Members[Gamertag],SMALL(IF(Tbl_Members[Squad]=$Q$2,IF(Tbl_Members[Rank]=$Q$30,ROW(Tbl_Members[Gamertag])-ROW('Manage Members'!$A$2)+1)),ROWS($S$30:S31))),""))</f>
        <v/>
      </c>
    </row>
    <row r="32" spans="2:19" x14ac:dyDescent="0.25">
      <c r="B32" s="88"/>
      <c r="C32" s="89"/>
      <c r="E32" s="80"/>
      <c r="F32" s="85"/>
      <c r="G32" s="78" t="str">
        <f t="array" ref="G32">IF($F$30="","",IF(ROWS($G$30:G32)&lt;=COUNTIFS(Tbl_Members[Squad],$E$2,Tbl_Members[Rank],$E$30),INDEX(Tbl_Members[Gamertag],SMALL(IF(Tbl_Members[Squad]=$E$2,IF(Tbl_Members[Rank]=$E$30,ROW(Tbl_Members[Gamertag])-ROW('Manage Members'!$A$2)+1)),ROWS($G$30:G32))),""))</f>
        <v/>
      </c>
      <c r="I32" s="80"/>
      <c r="J32" s="85"/>
      <c r="K32" s="78" t="str">
        <f t="array" ref="K32">IF($J$30="","",IF(ROWS($K$30:K32)&lt;=COUNTIFS(Tbl_Members[Squad],$I$2,Tbl_Members[Rank],$I$30),INDEX(Tbl_Members[Gamertag],SMALL(IF(Tbl_Members[Squad]=$I$2,IF(Tbl_Members[Rank]=$I$30,ROW(Tbl_Members[Gamertag])-ROW('Manage Members'!$A$2)+1)),ROWS($K$30:K32))),""))</f>
        <v/>
      </c>
      <c r="M32" s="80"/>
      <c r="N32" s="85"/>
      <c r="O32" s="78" t="str">
        <f t="array" ref="O32">IF($N$30="","",IF(ROWS($O$30:O32)&lt;=COUNTIFS(Tbl_Members[Squad],$M$2,Tbl_Members[Rank],$M$30),INDEX(Tbl_Members[Gamertag],SMALL(IF(Tbl_Members[Squad]=$M$2,IF(Tbl_Members[Rank]=$M$30,ROW(Tbl_Members[Gamertag])-ROW('Manage Members'!$A$2)+1)),ROWS($O$30:O32))),""))</f>
        <v/>
      </c>
      <c r="Q32" s="80"/>
      <c r="R32" s="85"/>
      <c r="S32" s="78" t="str">
        <f t="array" ref="S32">IF($R$30="","",IF(ROWS($S$30:S32)&lt;=COUNTIFS(Tbl_Members[Squad],$Q$2,Tbl_Members[Rank],$Q$30),INDEX(Tbl_Members[Gamertag],SMALL(IF(Tbl_Members[Squad]=$Q$2,IF(Tbl_Members[Rank]=$Q$30,ROW(Tbl_Members[Gamertag])-ROW('Manage Members'!$A$2)+1)),ROWS($S$30:S32))),""))</f>
        <v/>
      </c>
    </row>
    <row r="33" spans="2:19" x14ac:dyDescent="0.25">
      <c r="B33" s="88"/>
      <c r="C33" s="89"/>
      <c r="E33" s="80"/>
      <c r="F33" s="85"/>
      <c r="G33" s="78" t="str">
        <f t="array" ref="G33">IF($F$30="","",IF(ROWS($G$30:G33)&lt;=COUNTIFS(Tbl_Members[Squad],$E$2,Tbl_Members[Rank],$E$30),INDEX(Tbl_Members[Gamertag],SMALL(IF(Tbl_Members[Squad]=$E$2,IF(Tbl_Members[Rank]=$E$30,ROW(Tbl_Members[Gamertag])-ROW('Manage Members'!$A$2)+1)),ROWS($G$30:G33))),""))</f>
        <v/>
      </c>
      <c r="I33" s="80"/>
      <c r="J33" s="85"/>
      <c r="K33" s="78" t="str">
        <f t="array" ref="K33">IF($J$30="","",IF(ROWS($K$30:K33)&lt;=COUNTIFS(Tbl_Members[Squad],$I$2,Tbl_Members[Rank],$I$30),INDEX(Tbl_Members[Gamertag],SMALL(IF(Tbl_Members[Squad]=$I$2,IF(Tbl_Members[Rank]=$I$30,ROW(Tbl_Members[Gamertag])-ROW('Manage Members'!$A$2)+1)),ROWS($K$30:K33))),""))</f>
        <v/>
      </c>
      <c r="M33" s="80"/>
      <c r="N33" s="85"/>
      <c r="O33" s="78" t="str">
        <f t="array" ref="O33">IF($N$30="","",IF(ROWS($O$30:O33)&lt;=COUNTIFS(Tbl_Members[Squad],$M$2,Tbl_Members[Rank],$M$30),INDEX(Tbl_Members[Gamertag],SMALL(IF(Tbl_Members[Squad]=$M$2,IF(Tbl_Members[Rank]=$M$30,ROW(Tbl_Members[Gamertag])-ROW('Manage Members'!$A$2)+1)),ROWS($O$30:O33))),""))</f>
        <v/>
      </c>
      <c r="Q33" s="80"/>
      <c r="R33" s="85"/>
      <c r="S33" s="78" t="str">
        <f t="array" ref="S33">IF($R$30="","",IF(ROWS($S$30:S33)&lt;=COUNTIFS(Tbl_Members[Squad],$Q$2,Tbl_Members[Rank],$Q$30),INDEX(Tbl_Members[Gamertag],SMALL(IF(Tbl_Members[Squad]=$Q$2,IF(Tbl_Members[Rank]=$Q$30,ROW(Tbl_Members[Gamertag])-ROW('Manage Members'!$A$2)+1)),ROWS($S$30:S33))),""))</f>
        <v/>
      </c>
    </row>
    <row r="34" spans="2:19" x14ac:dyDescent="0.25">
      <c r="B34" s="88"/>
      <c r="C34" s="89"/>
      <c r="E34" s="80"/>
      <c r="F34" s="85"/>
      <c r="G34" s="78" t="str">
        <f t="array" ref="G34">IF($F$30="","",IF(ROWS($G$30:G34)&lt;=COUNTIFS(Tbl_Members[Squad],$E$2,Tbl_Members[Rank],$E$30),INDEX(Tbl_Members[Gamertag],SMALL(IF(Tbl_Members[Squad]=$E$2,IF(Tbl_Members[Rank]=$E$30,ROW(Tbl_Members[Gamertag])-ROW('Manage Members'!$A$2)+1)),ROWS($G$30:G34))),""))</f>
        <v/>
      </c>
      <c r="I34" s="80"/>
      <c r="J34" s="85"/>
      <c r="K34" s="78" t="str">
        <f t="array" ref="K34">IF($J$30="","",IF(ROWS($K$30:K34)&lt;=COUNTIFS(Tbl_Members[Squad],$I$2,Tbl_Members[Rank],$I$30),INDEX(Tbl_Members[Gamertag],SMALL(IF(Tbl_Members[Squad]=$I$2,IF(Tbl_Members[Rank]=$I$30,ROW(Tbl_Members[Gamertag])-ROW('Manage Members'!$A$2)+1)),ROWS($K$30:K34))),""))</f>
        <v/>
      </c>
      <c r="M34" s="80"/>
      <c r="N34" s="85"/>
      <c r="O34" s="78" t="str">
        <f t="array" ref="O34">IF($N$30="","",IF(ROWS($O$30:O34)&lt;=COUNTIFS(Tbl_Members[Squad],$M$2,Tbl_Members[Rank],$M$30),INDEX(Tbl_Members[Gamertag],SMALL(IF(Tbl_Members[Squad]=$M$2,IF(Tbl_Members[Rank]=$M$30,ROW(Tbl_Members[Gamertag])-ROW('Manage Members'!$A$2)+1)),ROWS($O$30:O34))),""))</f>
        <v/>
      </c>
      <c r="Q34" s="80"/>
      <c r="R34" s="85"/>
      <c r="S34" s="78" t="str">
        <f t="array" ref="S34">IF($R$30="","",IF(ROWS($S$30:S34)&lt;=COUNTIFS(Tbl_Members[Squad],$Q$2,Tbl_Members[Rank],$Q$30),INDEX(Tbl_Members[Gamertag],SMALL(IF(Tbl_Members[Squad]=$Q$2,IF(Tbl_Members[Rank]=$Q$30,ROW(Tbl_Members[Gamertag])-ROW('Manage Members'!$A$2)+1)),ROWS($S$30:S34))),""))</f>
        <v/>
      </c>
    </row>
    <row r="35" spans="2:19" x14ac:dyDescent="0.25">
      <c r="B35" s="88"/>
      <c r="C35" s="89"/>
      <c r="E35" s="80"/>
      <c r="F35" s="85"/>
      <c r="G35" s="78" t="str">
        <f t="array" ref="G35">IF($F$30="","",IF(ROWS($G$30:G35)&lt;=COUNTIFS(Tbl_Members[Squad],$E$2,Tbl_Members[Rank],$E$30),INDEX(Tbl_Members[Gamertag],SMALL(IF(Tbl_Members[Squad]=$E$2,IF(Tbl_Members[Rank]=$E$30,ROW(Tbl_Members[Gamertag])-ROW('Manage Members'!$A$2)+1)),ROWS($G$30:G35))),""))</f>
        <v/>
      </c>
      <c r="I35" s="80"/>
      <c r="J35" s="85"/>
      <c r="K35" s="78" t="str">
        <f t="array" ref="K35">IF($J$30="","",IF(ROWS($K$30:K35)&lt;=COUNTIFS(Tbl_Members[Squad],$I$2,Tbl_Members[Rank],$I$30),INDEX(Tbl_Members[Gamertag],SMALL(IF(Tbl_Members[Squad]=$I$2,IF(Tbl_Members[Rank]=$I$30,ROW(Tbl_Members[Gamertag])-ROW('Manage Members'!$A$2)+1)),ROWS($K$30:K35))),""))</f>
        <v/>
      </c>
      <c r="M35" s="80"/>
      <c r="N35" s="85"/>
      <c r="O35" s="78" t="str">
        <f t="array" ref="O35">IF($N$30="","",IF(ROWS($O$30:O35)&lt;=COUNTIFS(Tbl_Members[Squad],$M$2,Tbl_Members[Rank],$M$30),INDEX(Tbl_Members[Gamertag],SMALL(IF(Tbl_Members[Squad]=$M$2,IF(Tbl_Members[Rank]=$M$30,ROW(Tbl_Members[Gamertag])-ROW('Manage Members'!$A$2)+1)),ROWS($O$30:O35))),""))</f>
        <v/>
      </c>
      <c r="Q35" s="80"/>
      <c r="R35" s="85"/>
      <c r="S35" s="78" t="str">
        <f t="array" ref="S35">IF($R$30="","",IF(ROWS($S$30:S35)&lt;=COUNTIFS(Tbl_Members[Squad],$Q$2,Tbl_Members[Rank],$Q$30),INDEX(Tbl_Members[Gamertag],SMALL(IF(Tbl_Members[Squad]=$Q$2,IF(Tbl_Members[Rank]=$Q$30,ROW(Tbl_Members[Gamertag])-ROW('Manage Members'!$A$2)+1)),ROWS($S$30:S35))),""))</f>
        <v/>
      </c>
    </row>
    <row r="36" spans="2:19" x14ac:dyDescent="0.25">
      <c r="B36" s="88"/>
      <c r="C36" s="89"/>
      <c r="E36" s="80"/>
      <c r="F36" s="85"/>
      <c r="G36" s="78" t="str">
        <f t="array" ref="G36">IF($F$30="","",IF(ROWS($G$30:G36)&lt;=COUNTIFS(Tbl_Members[Squad],$E$2,Tbl_Members[Rank],$E$30),INDEX(Tbl_Members[Gamertag],SMALL(IF(Tbl_Members[Squad]=$E$2,IF(Tbl_Members[Rank]=$E$30,ROW(Tbl_Members[Gamertag])-ROW('Manage Members'!$A$2)+1)),ROWS($G$30:G36))),""))</f>
        <v/>
      </c>
      <c r="I36" s="80"/>
      <c r="J36" s="85"/>
      <c r="K36" s="78" t="str">
        <f t="array" ref="K36">IF($J$30="","",IF(ROWS($K$30:K36)&lt;=COUNTIFS(Tbl_Members[Squad],$I$2,Tbl_Members[Rank],$I$30),INDEX(Tbl_Members[Gamertag],SMALL(IF(Tbl_Members[Squad]=$I$2,IF(Tbl_Members[Rank]=$I$30,ROW(Tbl_Members[Gamertag])-ROW('Manage Members'!$A$2)+1)),ROWS($K$30:K36))),""))</f>
        <v/>
      </c>
      <c r="M36" s="80"/>
      <c r="N36" s="85"/>
      <c r="O36" s="78" t="str">
        <f t="array" ref="O36">IF($N$30="","",IF(ROWS($O$30:O36)&lt;=COUNTIFS(Tbl_Members[Squad],$M$2,Tbl_Members[Rank],$M$30),INDEX(Tbl_Members[Gamertag],SMALL(IF(Tbl_Members[Squad]=$M$2,IF(Tbl_Members[Rank]=$M$30,ROW(Tbl_Members[Gamertag])-ROW('Manage Members'!$A$2)+1)),ROWS($O$30:O36))),""))</f>
        <v/>
      </c>
      <c r="Q36" s="80"/>
      <c r="R36" s="85"/>
      <c r="S36" s="78" t="str">
        <f t="array" ref="S36">IF($R$30="","",IF(ROWS($S$30:S36)&lt;=COUNTIFS(Tbl_Members[Squad],$Q$2,Tbl_Members[Rank],$Q$30),INDEX(Tbl_Members[Gamertag],SMALL(IF(Tbl_Members[Squad]=$Q$2,IF(Tbl_Members[Rank]=$Q$30,ROW(Tbl_Members[Gamertag])-ROW('Manage Members'!$A$2)+1)),ROWS($S$30:S36))),""))</f>
        <v/>
      </c>
    </row>
    <row r="37" spans="2:19" x14ac:dyDescent="0.25">
      <c r="B37" s="88"/>
      <c r="C37" s="89"/>
      <c r="E37" s="80"/>
      <c r="F37" s="85"/>
      <c r="G37" s="78" t="str">
        <f t="array" ref="G37">IF($F$30="","",IF(ROWS($G$30:G37)&lt;=COUNTIFS(Tbl_Members[Squad],$E$2,Tbl_Members[Rank],$E$30),INDEX(Tbl_Members[Gamertag],SMALL(IF(Tbl_Members[Squad]=$E$2,IF(Tbl_Members[Rank]=$E$30,ROW(Tbl_Members[Gamertag])-ROW('Manage Members'!$A$2)+1)),ROWS($G$30:G37))),""))</f>
        <v/>
      </c>
      <c r="I37" s="80"/>
      <c r="J37" s="85"/>
      <c r="K37" s="78" t="str">
        <f t="array" ref="K37">IF($J$30="","",IF(ROWS($K$30:K37)&lt;=COUNTIFS(Tbl_Members[Squad],$I$2,Tbl_Members[Rank],$I$30),INDEX(Tbl_Members[Gamertag],SMALL(IF(Tbl_Members[Squad]=$I$2,IF(Tbl_Members[Rank]=$I$30,ROW(Tbl_Members[Gamertag])-ROW('Manage Members'!$A$2)+1)),ROWS($K$30:K37))),""))</f>
        <v/>
      </c>
      <c r="M37" s="80"/>
      <c r="N37" s="85"/>
      <c r="O37" s="78" t="str">
        <f t="array" ref="O37">IF($N$30="","",IF(ROWS($O$30:O37)&lt;=COUNTIFS(Tbl_Members[Squad],$M$2,Tbl_Members[Rank],$M$30),INDEX(Tbl_Members[Gamertag],SMALL(IF(Tbl_Members[Squad]=$M$2,IF(Tbl_Members[Rank]=$M$30,ROW(Tbl_Members[Gamertag])-ROW('Manage Members'!$A$2)+1)),ROWS($O$30:O37))),""))</f>
        <v/>
      </c>
      <c r="Q37" s="80"/>
      <c r="R37" s="85"/>
      <c r="S37" s="78" t="str">
        <f t="array" ref="S37">IF($R$30="","",IF(ROWS($S$30:S37)&lt;=COUNTIFS(Tbl_Members[Squad],$Q$2,Tbl_Members[Rank],$Q$30),INDEX(Tbl_Members[Gamertag],SMALL(IF(Tbl_Members[Squad]=$Q$2,IF(Tbl_Members[Rank]=$Q$30,ROW(Tbl_Members[Gamertag])-ROW('Manage Members'!$A$2)+1)),ROWS($S$30:S37))),""))</f>
        <v/>
      </c>
    </row>
    <row r="38" spans="2:19" ht="15.75" thickBot="1" x14ac:dyDescent="0.3">
      <c r="B38" s="91"/>
      <c r="C38" s="92"/>
      <c r="E38" s="93"/>
      <c r="F38" s="94"/>
      <c r="G38" s="95" t="str">
        <f t="array" ref="G38">IF($F$30="","",IF(ROWS($G$30:G38)&lt;=COUNTIFS(Tbl_Members[Squad],$E$2,Tbl_Members[Rank],$E$30),INDEX(Tbl_Members[Gamertag],SMALL(IF(Tbl_Members[Squad]=$E$2,IF(Tbl_Members[Rank]=$E$30,ROW(Tbl_Members[Gamertag])-ROW('Manage Members'!$A$2)+1)),ROWS($G$30:G38))),""))</f>
        <v/>
      </c>
      <c r="I38" s="93"/>
      <c r="J38" s="94"/>
      <c r="K38" s="95" t="str">
        <f t="array" ref="K38">IF($J$30="","",IF(ROWS($K$30:K38)&lt;=COUNTIFS(Tbl_Members[Squad],$I$2,Tbl_Members[Rank],$I$30),INDEX(Tbl_Members[Gamertag],SMALL(IF(Tbl_Members[Squad]=$I$2,IF(Tbl_Members[Rank]=$I$30,ROW(Tbl_Members[Gamertag])-ROW('Manage Members'!$A$2)+1)),ROWS($K$30:K38))),""))</f>
        <v/>
      </c>
      <c r="M38" s="93"/>
      <c r="N38" s="94"/>
      <c r="O38" s="95" t="str">
        <f t="array" ref="O38">IF($N$30="","",IF(ROWS($O$30:O38)&lt;=COUNTIFS(Tbl_Members[Squad],$M$2,Tbl_Members[Rank],$M$30),INDEX(Tbl_Members[Gamertag],SMALL(IF(Tbl_Members[Squad]=$M$2,IF(Tbl_Members[Rank]=$M$30,ROW(Tbl_Members[Gamertag])-ROW('Manage Members'!$A$2)+1)),ROWS($O$30:O38))),""))</f>
        <v/>
      </c>
      <c r="Q38" s="93"/>
      <c r="R38" s="94"/>
      <c r="S38" s="95" t="str">
        <f t="array" ref="S38">IF($R$30="","",IF(ROWS($S$30:S38)&lt;=COUNTIFS(Tbl_Members[Squad],$Q$2,Tbl_Members[Rank],$Q$30),INDEX(Tbl_Members[Gamertag],SMALL(IF(Tbl_Members[Squad]=$Q$2,IF(Tbl_Members[Rank]=$Q$30,ROW(Tbl_Members[Gamertag])-ROW('Manage Members'!$A$2)+1)),ROWS($S$30:S38))),""))</f>
        <v/>
      </c>
    </row>
  </sheetData>
  <sheetProtection algorithmName="SHA-512" hashValue="TMMoElzDgkM9Go9chNUPFNoH2iblUONpGwE0crQPtWpRjezRGkZ2JRBVXdIkiJwXQiXjo30x1BU326lk8osxew==" saltValue="R7TtPFzTMxXAEAf7jNqbfA==" spinCount="100000" sheet="1" objects="1" scenarios="1"/>
  <customSheetViews>
    <customSheetView guid="{910B280B-1D41-4475-992A-3EE03647ECB3}">
      <selection activeCell="C7" sqref="C7"/>
      <pageMargins left="0" right="0" top="0" bottom="0" header="0" footer="0"/>
    </customSheetView>
  </customSheetViews>
  <mergeCells count="6">
    <mergeCell ref="Q2:S3"/>
    <mergeCell ref="B28:C38"/>
    <mergeCell ref="B2:C2"/>
    <mergeCell ref="E2:G3"/>
    <mergeCell ref="I2:K3"/>
    <mergeCell ref="M2:O3"/>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K36"/>
  <sheetViews>
    <sheetView showGridLines="0" zoomScale="98" workbookViewId="0">
      <selection activeCell="B30" sqref="B30:C36"/>
    </sheetView>
  </sheetViews>
  <sheetFormatPr defaultColWidth="8.85546875" defaultRowHeight="15" x14ac:dyDescent="0.25"/>
  <cols>
    <col min="1" max="1" width="1.42578125" style="2" customWidth="1"/>
    <col min="2" max="2" width="30.140625" style="2" customWidth="1"/>
    <col min="3" max="3" width="23" style="2" customWidth="1"/>
    <col min="4" max="4" width="0.7109375" style="2" customWidth="1"/>
    <col min="5" max="7" width="14.7109375" style="2" customWidth="1"/>
    <col min="8" max="8" width="0.7109375" style="2" customWidth="1"/>
    <col min="9" max="11" width="14.7109375" style="2" customWidth="1"/>
    <col min="12" max="12" width="0.7109375" style="2" customWidth="1"/>
    <col min="13" max="15" width="14.7109375" style="2" customWidth="1"/>
    <col min="16" max="16" width="0.7109375" style="2" customWidth="1"/>
    <col min="17" max="19" width="14.7109375" style="2" customWidth="1"/>
    <col min="20" max="20" width="0.7109375" style="2" customWidth="1"/>
    <col min="21" max="21" width="10.42578125" style="2" customWidth="1"/>
    <col min="22" max="22" width="13.7109375" style="2" customWidth="1"/>
    <col min="23" max="23" width="12.28515625" style="2" bestFit="1" customWidth="1"/>
    <col min="24" max="24" width="13.7109375" style="2" customWidth="1"/>
    <col min="25" max="25" width="10.42578125" style="2" customWidth="1"/>
    <col min="26" max="26" width="13.7109375" style="2" customWidth="1"/>
    <col min="27" max="27" width="10.42578125" style="2" customWidth="1"/>
    <col min="28" max="28" width="13.7109375" style="2" customWidth="1"/>
    <col min="29" max="29" width="10.42578125" style="2" customWidth="1"/>
    <col min="30" max="30" width="13.7109375" style="2" customWidth="1"/>
    <col min="31" max="31" width="2.85546875" style="2" customWidth="1"/>
    <col min="32" max="32" width="11.28515625" style="2" customWidth="1"/>
    <col min="33" max="33" width="17.7109375" style="2" customWidth="1"/>
    <col min="34" max="34" width="2.85546875" style="2" customWidth="1"/>
    <col min="35" max="36" width="19.140625" style="2" customWidth="1"/>
    <col min="37" max="37" width="14.7109375" style="2" customWidth="1"/>
    <col min="38" max="38" width="11.42578125" style="2" customWidth="1"/>
    <col min="39" max="39" width="14.7109375" style="2" customWidth="1"/>
    <col min="40" max="40" width="11.42578125" style="2" customWidth="1"/>
    <col min="41" max="41" width="14.7109375" style="2" customWidth="1"/>
    <col min="42" max="42" width="11.42578125" style="2" customWidth="1"/>
    <col min="43" max="43" width="14.7109375" style="2" customWidth="1"/>
    <col min="44" max="44" width="11.42578125" style="2" customWidth="1"/>
    <col min="45" max="45" width="14.7109375" style="2" customWidth="1"/>
    <col min="46" max="46" width="9.140625" style="2" customWidth="1"/>
    <col min="47" max="47" width="12.140625" style="2" customWidth="1"/>
    <col min="48" max="48" width="11.28515625" style="2" customWidth="1"/>
    <col min="49" max="53" width="9.7109375" style="2" customWidth="1"/>
    <col min="54" max="54" width="7.28515625" style="2" customWidth="1"/>
    <col min="55" max="55" width="9.7109375" style="2" customWidth="1"/>
    <col min="56" max="56" width="11.28515625" style="2" customWidth="1"/>
    <col min="57" max="59" width="15.85546875" style="2" bestFit="1" customWidth="1"/>
    <col min="60" max="60" width="10" style="2" bestFit="1" customWidth="1"/>
    <col min="61" max="62" width="14.42578125" style="2" bestFit="1" customWidth="1"/>
    <col min="63" max="63" width="11.85546875" style="2" bestFit="1" customWidth="1"/>
    <col min="64" max="71" width="18" style="2" bestFit="1" customWidth="1"/>
    <col min="72" max="72" width="8.85546875" style="2" customWidth="1"/>
    <col min="73" max="73" width="12" style="2" bestFit="1" customWidth="1"/>
    <col min="74" max="74" width="11.28515625" style="2" bestFit="1" customWidth="1"/>
    <col min="75" max="84" width="18" style="2" bestFit="1" customWidth="1"/>
    <col min="85" max="85" width="10.42578125" style="2" bestFit="1" customWidth="1"/>
    <col min="86" max="88" width="17.7109375" style="2" bestFit="1" customWidth="1"/>
    <col min="89" max="89" width="15.140625" style="2" bestFit="1" customWidth="1"/>
    <col min="90" max="90" width="8.85546875" style="2"/>
    <col min="91" max="91" width="12.140625" style="2" bestFit="1" customWidth="1"/>
    <col min="92" max="92" width="11.28515625" style="2" bestFit="1" customWidth="1"/>
    <col min="93" max="16384" width="8.85546875" style="2"/>
  </cols>
  <sheetData>
    <row r="1" spans="2:37" ht="15.75" thickBot="1" x14ac:dyDescent="0.3"/>
    <row r="2" spans="2:37" ht="15" customHeight="1" x14ac:dyDescent="0.25">
      <c r="B2" s="99" t="s">
        <v>46</v>
      </c>
      <c r="C2" s="33">
        <f>COUNTA(Tbl_Members[Gamertag])</f>
        <v>0</v>
      </c>
      <c r="E2" s="100" t="s">
        <v>47</v>
      </c>
      <c r="F2" s="101"/>
      <c r="G2" s="102" t="str">
        <f ca="1">CONCATENATE(SUMPRODUCT(--(TEXT(Tbl_Members[Last Promotion],"mmyyyy")=TEXT(TODAY(),"mmyyyy")))," member(s)")</f>
        <v>0 member(s)</v>
      </c>
      <c r="I2" s="103" t="s">
        <v>48</v>
      </c>
      <c r="J2" s="101"/>
      <c r="K2" s="102" t="str">
        <f ca="1">CONCATENATE(SUMPRODUCT(--(TEXT(Tbl_Members[Date Recruited],"mmyyyy")=TEXT(TODAY(),"mmyyyy")))," member(s)")</f>
        <v>0 member(s)</v>
      </c>
      <c r="L2" s="104"/>
      <c r="M2" s="100" t="s">
        <v>49</v>
      </c>
      <c r="N2" s="101"/>
      <c r="O2" s="102" t="str">
        <f ca="1">CONCATENATE(SUMPRODUCT(--(TEXT(Tbl_Transfers_Removals[Date Removed or Transferred],"MMYYYY")=TEXT(TODAY(),"MMYYYY")),--(Tbl_Transfers_Removals[Removal or Transfer]="Removal"))," member(s)")</f>
        <v>0 member(s)</v>
      </c>
      <c r="Q2" s="100" t="s">
        <v>50</v>
      </c>
      <c r="R2" s="101"/>
      <c r="S2" s="102" t="str">
        <f ca="1">CONCATENATE(SUMPRODUCT(--(TEXT(Tbl_Transfers_Removals[Date Removed or Transferred],"MMYYYY")=TEXT(TODAY(),"MMYYYY")),--(Tbl_Transfers_Removals[Removal or Transfer]="Transfer In"))," member(s)")</f>
        <v>0 member(s)</v>
      </c>
      <c r="U2" s="100" t="s">
        <v>51</v>
      </c>
      <c r="V2" s="101"/>
      <c r="W2" s="102" t="str">
        <f ca="1">CONCATENATE(SUMPRODUCT(--(TEXT(Tbl_Transfers_Removals[Date Removed or Transferred],"MMYYYY")=TEXT(TODAY(),"MMYYYY")),--(Tbl_Transfers_Removals[Removal or Transfer]="Transfer Out"))," member(s)")</f>
        <v>0 member(s)</v>
      </c>
    </row>
    <row r="3" spans="2:37" x14ac:dyDescent="0.25">
      <c r="B3" s="99" t="s">
        <v>52</v>
      </c>
      <c r="C3" s="33">
        <f>COUNTIF(Tbl_Members[Rank],Rank_Misc)</f>
        <v>0</v>
      </c>
      <c r="E3" s="105"/>
      <c r="F3" s="4" t="str">
        <f t="array" aca="1" ref="F3" ca="1">IF(ROWS(F$3:F3)&lt;=SUMPRODUCT(--(TEXT(Tbl_Members[Last Promotion],"mmyyyy")=TEXT(TODAY(),"mmyyyy"))),INDEX(Tbl_Members[Gamertag],SMALL(IF(--(TEXT(Tbl_Members[Last Promotion],"mmyyyy")=TEXT(TODAY(),"mmyyyy")),ROW(Tbl_Members[Gamertag])-ROW('Manage Members'!$A$2)+1),ROWS(F$3:F3))),"")</f>
        <v/>
      </c>
      <c r="G3" s="106"/>
      <c r="I3" s="107"/>
      <c r="J3" s="4" t="str">
        <f t="array" aca="1" ref="J3" ca="1">IF(ROWS(J$3:J3)&lt;=SUMPRODUCT(--(TEXT(Tbl_Members[Date Recruited],"mmyyyy")=TEXT(TODAY(),"mmyyyy"))),INDEX(Tbl_Members[Gamertag],SMALL(IF(--(TEXT(Tbl_Members[Date Recruited],"mmyyyy")=TEXT(TODAY(),"mmyyyy")),ROW(Tbl_Members[Gamertag])-ROW('Manage Members'!$A$2)+1),ROWS(J$3:J3))),"")</f>
        <v/>
      </c>
      <c r="K3" s="106"/>
      <c r="M3" s="105"/>
      <c r="N3" s="4" t="str">
        <f t="array" aca="1" ref="N3" ca="1">IFERROR(IF(ROWS(N$3:N3)&lt;=SUMPRODUCT(--(TEXT(Tbl_Transfers_Removals[Date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f>
        <v/>
      </c>
      <c r="O3" s="106"/>
      <c r="Q3" s="105"/>
      <c r="R3" s="4" t="str">
        <f t="array" aca="1" ref="R3" ca="1">IFERROR(IF(ROWS(R$3:R3)&lt;=SUMPRODUCT(--(TEXT(Tbl_Transfers_Removals[Date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f>
        <v/>
      </c>
      <c r="S3" s="106"/>
      <c r="U3" s="105"/>
      <c r="V3" s="4" t="str">
        <f t="array" aca="1" ref="V3" ca="1">IFERROR(IF(ROWS(V$3:V3)&lt;=SUMPRODUCT(--(TEXT(Tbl_Transfers_Removals[Date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f>
        <v/>
      </c>
      <c r="W3" s="106"/>
      <c r="AI3" s="4"/>
      <c r="AJ3" s="4"/>
      <c r="AK3" s="4"/>
    </row>
    <row r="4" spans="2:37" x14ac:dyDescent="0.25">
      <c r="B4" s="99" t="s">
        <v>53</v>
      </c>
      <c r="C4" s="33">
        <f>COUNTIF(Tbl_Members[Rank],Rank_Secondary)</f>
        <v>0</v>
      </c>
      <c r="E4" s="105"/>
      <c r="F4" s="4" t="str">
        <f t="array" aca="1" ref="F4" ca="1">IF(ROWS(F$3:F4)&lt;=SUMPRODUCT(--(TEXT(Tbl_Members[Last Promotion],"mmyyyy")=TEXT(TODAY(),"mmyyyy"))),INDEX(Tbl_Members[Gamertag],SMALL(IF(--(TEXT(Tbl_Members[Last Promotion],"mmyyyy")=TEXT(TODAY(),"mmyyyy")),ROW(Tbl_Members[Gamertag])-ROW('Manage Members'!$A$2)+1),ROWS(F$3:F4))),"")</f>
        <v/>
      </c>
      <c r="G4" s="106"/>
      <c r="I4" s="107"/>
      <c r="J4" s="4" t="str">
        <f t="array" aca="1" ref="J4" ca="1">IF(ROWS(J$3:J4)&lt;=SUMPRODUCT(--(TEXT(Tbl_Members[Date Recruited],"mmyyyy")=TEXT(TODAY(),"mmyyyy"))),INDEX(Tbl_Members[Gamertag],SMALL(IF(--(TEXT(Tbl_Members[Date Recruited],"mmyyyy")=TEXT(TODAY(),"mmyyyy")),ROW(Tbl_Members[Gamertag])-ROW('Manage Members'!$A$2)+1),ROWS(J$3:J4))),"")</f>
        <v/>
      </c>
      <c r="K4" s="106"/>
      <c r="M4" s="105"/>
      <c r="N4" s="4" t="str">
        <f t="array" aca="1" ref="N4" ca="1">IFERROR(IF(ROWS(N$3:N4)&lt;=SUMPRODUCT(--(TEXT(Tbl_Transfers_Removals[Date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Removals'!$A$2)+1)),ROWS(N$3:N4))),""),"")</f>
        <v/>
      </c>
      <c r="O4" s="106"/>
      <c r="Q4" s="105"/>
      <c r="R4" s="4" t="str">
        <f t="array" aca="1" ref="R4" ca="1">IFERROR(IF(ROWS(R$3:R4)&lt;=SUMPRODUCT(--(TEXT(Tbl_Transfers_Removals[Date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Removals'!$A$2)+1)),ROWS(R$3:R4))),""),"")</f>
        <v/>
      </c>
      <c r="S4" s="106"/>
      <c r="U4" s="105"/>
      <c r="V4" s="4" t="str">
        <f t="array" aca="1" ref="V4" ca="1">IFERROR(IF(ROWS(V$3:V4)&lt;=SUMPRODUCT(--(TEXT(Tbl_Transfers_Removals[Date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Removals'!$A$2)+1)),ROWS(V$3:V4))),""),"")</f>
        <v/>
      </c>
      <c r="W4" s="106"/>
      <c r="AF4" s="108"/>
      <c r="AG4" s="104"/>
      <c r="AI4" s="4"/>
      <c r="AJ4" s="4"/>
      <c r="AK4" s="4"/>
    </row>
    <row r="5" spans="2:37" x14ac:dyDescent="0.25">
      <c r="B5" s="99" t="s">
        <v>54</v>
      </c>
      <c r="C5" s="33">
        <f>COUNTIFS(Tbl_Members[Rank],"&lt;&gt;"&amp;Rank_Misc,Tbl_Members[Rank],"&lt;&gt;"&amp;Rank_Secondary,Tbl_Members[Rank],"&lt;&gt;"&amp;"")</f>
        <v>0</v>
      </c>
      <c r="E5" s="105"/>
      <c r="F5" s="4" t="str">
        <f t="array" aca="1" ref="F5" ca="1">IF(ROWS(F$3:F5)&lt;=SUMPRODUCT(--(TEXT(Tbl_Members[Last Promotion],"mmyyyy")=TEXT(TODAY(),"mmyyyy"))),INDEX(Tbl_Members[Gamertag],SMALL(IF(--(TEXT(Tbl_Members[Last Promotion],"mmyyyy")=TEXT(TODAY(),"mmyyyy")),ROW(Tbl_Members[Gamertag])-ROW('Manage Members'!$A$2)+1),ROWS(F$3:F5))),"")</f>
        <v/>
      </c>
      <c r="G5" s="106"/>
      <c r="I5" s="107"/>
      <c r="J5" s="4" t="str">
        <f t="array" aca="1" ref="J5" ca="1">IF(ROWS(J$3:J5)&lt;=SUMPRODUCT(--(TEXT(Tbl_Members[Date Recruited],"mmyyyy")=TEXT(TODAY(),"mmyyyy"))),INDEX(Tbl_Members[Gamertag],SMALL(IF(--(TEXT(Tbl_Members[Date Recruited],"mmyyyy")=TEXT(TODAY(),"mmyyyy")),ROW(Tbl_Members[Gamertag])-ROW('Manage Members'!$A$2)+1),ROWS(J$3:J5))),"")</f>
        <v/>
      </c>
      <c r="K5" s="106"/>
      <c r="M5" s="105"/>
      <c r="N5" s="4" t="str">
        <f t="array" aca="1" ref="N5" ca="1">IFERROR(IF(ROWS(N$3:N5)&lt;=SUMPRODUCT(--(TEXT(Tbl_Transfers_Removals[Date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Removals'!$A$2)+1)),ROWS(N$3:N5))),""),"")</f>
        <v/>
      </c>
      <c r="O5" s="106"/>
      <c r="Q5" s="105"/>
      <c r="R5" s="4" t="str">
        <f t="array" aca="1" ref="R5" ca="1">IFERROR(IF(ROWS(R$3:R5)&lt;=SUMPRODUCT(--(TEXT(Tbl_Transfers_Removals[Date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Removals'!$A$2)+1)),ROWS(R$3:R5))),""),"")</f>
        <v/>
      </c>
      <c r="S5" s="106"/>
      <c r="U5" s="105"/>
      <c r="V5" s="4" t="str">
        <f t="array" aca="1" ref="V5" ca="1">IFERROR(IF(ROWS(V$3:V5)&lt;=SUMPRODUCT(--(TEXT(Tbl_Transfers_Removals[Date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Removals'!$A$2)+1)),ROWS(V$3:V5))),""),"")</f>
        <v/>
      </c>
      <c r="W5" s="106"/>
      <c r="AF5" s="108"/>
      <c r="AG5" s="104"/>
      <c r="AI5" s="4"/>
      <c r="AJ5" s="4"/>
      <c r="AK5" s="4"/>
    </row>
    <row r="6" spans="2:37" x14ac:dyDescent="0.25">
      <c r="B6" s="99" t="s">
        <v>112</v>
      </c>
      <c r="C6" s="33">
        <f>COUNTIF(Tbl_Members[Rank],Rank7)</f>
        <v>0</v>
      </c>
      <c r="E6" s="105"/>
      <c r="F6" s="4" t="str">
        <f t="array" aca="1" ref="F6" ca="1">IF(ROWS(F$3:F6)&lt;=SUMPRODUCT(--(TEXT(Tbl_Members[Last Promotion],"mmyyyy")=TEXT(TODAY(),"mmyyyy"))),INDEX(Tbl_Members[Gamertag],SMALL(IF(--(TEXT(Tbl_Members[Last Promotion],"mmyyyy")=TEXT(TODAY(),"mmyyyy")),ROW(Tbl_Members[Gamertag])-ROW('Manage Members'!$A$2)+1),ROWS(F$3:F6))),"")</f>
        <v/>
      </c>
      <c r="G6" s="106"/>
      <c r="I6" s="105"/>
      <c r="J6" s="4" t="str">
        <f t="array" aca="1" ref="J6" ca="1">IF(ROWS(J$3:J6)&lt;=SUMPRODUCT(--(TEXT(Tbl_Members[Date Recruited],"mmyyyy")=TEXT(TODAY(),"mmyyyy"))),INDEX(Tbl_Members[Gamertag],SMALL(IF(--(TEXT(Tbl_Members[Date Recruited],"mmyyyy")=TEXT(TODAY(),"mmyyyy")),ROW(Tbl_Members[Gamertag])-ROW('Manage Members'!$A$2)+1),ROWS(J$3:J6))),"")</f>
        <v/>
      </c>
      <c r="K6" s="106"/>
      <c r="M6" s="105"/>
      <c r="N6" s="4" t="str">
        <f t="array" aca="1" ref="N6" ca="1">IFERROR(IF(ROWS(N$3:N6)&lt;=SUMPRODUCT(--(TEXT(Tbl_Transfers_Removals[Date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Removals'!$A$2)+1)),ROWS(N$3:N6))),""),"")</f>
        <v/>
      </c>
      <c r="O6" s="106"/>
      <c r="Q6" s="105"/>
      <c r="R6" s="4" t="str">
        <f t="array" aca="1" ref="R6" ca="1">IFERROR(IF(ROWS(R$3:R6)&lt;=SUMPRODUCT(--(TEXT(Tbl_Transfers_Removals[Date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Removals'!$A$2)+1)),ROWS(R$3:R6))),""),"")</f>
        <v/>
      </c>
      <c r="S6" s="106"/>
      <c r="U6" s="105"/>
      <c r="V6" s="4" t="str">
        <f t="array" aca="1" ref="V6" ca="1">IFERROR(IF(ROWS(V$3:V6)&lt;=SUMPRODUCT(--(TEXT(Tbl_Transfers_Removals[Date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Removals'!$A$2)+1)),ROWS(V$3:V6))),""),"")</f>
        <v/>
      </c>
      <c r="W6" s="106"/>
      <c r="AF6" s="108"/>
      <c r="AG6" s="104"/>
      <c r="AI6" s="4"/>
      <c r="AJ6" s="4"/>
      <c r="AK6" s="4"/>
    </row>
    <row r="7" spans="2:37" x14ac:dyDescent="0.25">
      <c r="B7" s="99" t="s">
        <v>113</v>
      </c>
      <c r="C7" s="33">
        <f>COUNTIF(Tbl_Members[Rank],Rank6)</f>
        <v>0</v>
      </c>
      <c r="E7" s="105"/>
      <c r="F7" s="4" t="str">
        <f t="array" aca="1" ref="F7" ca="1">IF(ROWS(F$3:F7)&lt;=SUMPRODUCT(--(TEXT(Tbl_Members[Last Promotion],"mmyyyy")=TEXT(TODAY(),"mmyyyy"))),INDEX(Tbl_Members[Gamertag],SMALL(IF(--(TEXT(Tbl_Members[Last Promotion],"mmyyyy")=TEXT(TODAY(),"mmyyyy")),ROW(Tbl_Members[Gamertag])-ROW('Manage Members'!$A$2)+1),ROWS(F$3:F7))),"")</f>
        <v/>
      </c>
      <c r="G7" s="106"/>
      <c r="I7" s="105"/>
      <c r="J7" s="4" t="str">
        <f t="array" aca="1" ref="J7" ca="1">IF(ROWS(J$3:J7)&lt;=SUMPRODUCT(--(TEXT(Tbl_Members[Date Recruited],"mmyyyy")=TEXT(TODAY(),"mmyyyy"))),INDEX(Tbl_Members[Gamertag],SMALL(IF(--(TEXT(Tbl_Members[Date Recruited],"mmyyyy")=TEXT(TODAY(),"mmyyyy")),ROW(Tbl_Members[Gamertag])-ROW('Manage Members'!$A$2)+1),ROWS(J$3:J7))),"")</f>
        <v/>
      </c>
      <c r="K7" s="106"/>
      <c r="M7" s="105"/>
      <c r="N7" s="4" t="str">
        <f t="array" aca="1" ref="N7" ca="1">IFERROR(IF(ROWS(N$3:N7)&lt;=SUMPRODUCT(--(TEXT(Tbl_Transfers_Removals[Date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Removals'!$A$2)+1)),ROWS(N$3:N7))),""),"")</f>
        <v/>
      </c>
      <c r="O7" s="106"/>
      <c r="Q7" s="105"/>
      <c r="R7" s="4" t="str">
        <f t="array" aca="1" ref="R7" ca="1">IFERROR(IF(ROWS(R$3:R7)&lt;=SUMPRODUCT(--(TEXT(Tbl_Transfers_Removals[Date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Removals'!$A$2)+1)),ROWS(R$3:R7))),""),"")</f>
        <v/>
      </c>
      <c r="S7" s="106"/>
      <c r="U7" s="105"/>
      <c r="V7" s="4" t="str">
        <f t="array" aca="1" ref="V7" ca="1">IFERROR(IF(ROWS(V$3:V7)&lt;=SUMPRODUCT(--(TEXT(Tbl_Transfers_Removals[Date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Removals'!$A$2)+1)),ROWS(V$3:V7))),""),"")</f>
        <v/>
      </c>
      <c r="W7" s="106"/>
      <c r="AF7" s="108"/>
      <c r="AG7" s="104"/>
      <c r="AI7" s="4"/>
      <c r="AJ7" s="4"/>
      <c r="AK7" s="4"/>
    </row>
    <row r="8" spans="2:37" x14ac:dyDescent="0.25">
      <c r="B8" s="99" t="s">
        <v>114</v>
      </c>
      <c r="C8" s="33">
        <f>COUNTIF(Tbl_Members[Rank],Rank5)</f>
        <v>0</v>
      </c>
      <c r="E8" s="105"/>
      <c r="F8" s="4" t="str">
        <f t="array" aca="1" ref="F8" ca="1">IF(ROWS(F$3:F8)&lt;=SUMPRODUCT(--(TEXT(Tbl_Members[Last Promotion],"mmyyyy")=TEXT(TODAY(),"mmyyyy"))),INDEX(Tbl_Members[Gamertag],SMALL(IF(--(TEXT(Tbl_Members[Last Promotion],"mmyyyy")=TEXT(TODAY(),"mmyyyy")),ROW(Tbl_Members[Gamertag])-ROW('Manage Members'!$A$2)+1),ROWS(F$3:F8))),"")</f>
        <v/>
      </c>
      <c r="G8" s="106"/>
      <c r="I8" s="105"/>
      <c r="J8" s="4" t="str">
        <f t="array" aca="1" ref="J8" ca="1">IF(ROWS(J$3:J8)&lt;=SUMPRODUCT(--(TEXT(Tbl_Members[Date Recruited],"mmyyyy")=TEXT(TODAY(),"mmyyyy"))),INDEX(Tbl_Members[Gamertag],SMALL(IF(--(TEXT(Tbl_Members[Date Recruited],"mmyyyy")=TEXT(TODAY(),"mmyyyy")),ROW(Tbl_Members[Gamertag])-ROW('Manage Members'!$A$2)+1),ROWS(J$3:J8))),"")</f>
        <v/>
      </c>
      <c r="K8" s="106"/>
      <c r="M8" s="105"/>
      <c r="N8" s="4" t="str">
        <f t="array" aca="1" ref="N8" ca="1">IFERROR(IF(ROWS(N$3:N8)&lt;=SUMPRODUCT(--(TEXT(Tbl_Transfers_Removals[Date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Removals'!$A$2)+1)),ROWS(N$3:N8))),""),"")</f>
        <v/>
      </c>
      <c r="O8" s="106"/>
      <c r="Q8" s="105"/>
      <c r="R8" s="4" t="str">
        <f t="array" aca="1" ref="R8" ca="1">IFERROR(IF(ROWS(R$3:R8)&lt;=SUMPRODUCT(--(TEXT(Tbl_Transfers_Removals[Date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Removals'!$A$2)+1)),ROWS(R$3:R8))),""),"")</f>
        <v/>
      </c>
      <c r="S8" s="106"/>
      <c r="U8" s="105"/>
      <c r="V8" s="4" t="str">
        <f t="array" aca="1" ref="V8" ca="1">IFERROR(IF(ROWS(V$3:V8)&lt;=SUMPRODUCT(--(TEXT(Tbl_Transfers_Removals[Date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Removals'!$A$2)+1)),ROWS(V$3:V8))),""),"")</f>
        <v/>
      </c>
      <c r="W8" s="106"/>
      <c r="AF8" s="108"/>
      <c r="AG8" s="104"/>
      <c r="AI8" s="4"/>
      <c r="AJ8" s="4"/>
      <c r="AK8" s="4"/>
    </row>
    <row r="9" spans="2:37" x14ac:dyDescent="0.25">
      <c r="B9" s="99" t="s">
        <v>115</v>
      </c>
      <c r="C9" s="33">
        <f>COUNTIF(Tbl_Members[Rank],Rank4)</f>
        <v>0</v>
      </c>
      <c r="E9" s="105"/>
      <c r="F9" s="4" t="str">
        <f t="array" aca="1" ref="F9" ca="1">IF(ROWS(F$3:F9)&lt;=SUMPRODUCT(--(TEXT(Tbl_Members[Last Promotion],"mmyyyy")=TEXT(TODAY(),"mmyyyy"))),INDEX(Tbl_Members[Gamertag],SMALL(IF(--(TEXT(Tbl_Members[Last Promotion],"mmyyyy")=TEXT(TODAY(),"mmyyyy")),ROW(Tbl_Members[Gamertag])-ROW('Manage Members'!$A$2)+1),ROWS(F$3:F9))),"")</f>
        <v/>
      </c>
      <c r="G9" s="106"/>
      <c r="I9" s="105"/>
      <c r="J9" s="4" t="str">
        <f t="array" aca="1" ref="J9" ca="1">IF(ROWS(J$3:J9)&lt;=SUMPRODUCT(--(TEXT(Tbl_Members[Date Recruited],"mmyyyy")=TEXT(TODAY(),"mmyyyy"))),INDEX(Tbl_Members[Gamertag],SMALL(IF(--(TEXT(Tbl_Members[Date Recruited],"mmyyyy")=TEXT(TODAY(),"mmyyyy")),ROW(Tbl_Members[Gamertag])-ROW('Manage Members'!$A$2)+1),ROWS(J$3:J9))),"")</f>
        <v/>
      </c>
      <c r="K9" s="106"/>
      <c r="M9" s="105"/>
      <c r="N9" s="4" t="str">
        <f t="array" aca="1" ref="N9" ca="1">IFERROR(IF(ROWS(N$3:N9)&lt;=SUMPRODUCT(--(TEXT(Tbl_Transfers_Removals[Date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Removals'!$A$2)+1)),ROWS(N$3:N9))),""),"")</f>
        <v/>
      </c>
      <c r="O9" s="106"/>
      <c r="Q9" s="105"/>
      <c r="R9" s="4" t="str">
        <f t="array" aca="1" ref="R9" ca="1">IFERROR(IF(ROWS(R$3:R9)&lt;=SUMPRODUCT(--(TEXT(Tbl_Transfers_Removals[Date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Removals'!$A$2)+1)),ROWS(R$3:R9))),""),"")</f>
        <v/>
      </c>
      <c r="S9" s="106"/>
      <c r="U9" s="105"/>
      <c r="V9" s="4" t="str">
        <f t="array" aca="1" ref="V9" ca="1">IFERROR(IF(ROWS(V$3:V9)&lt;=SUMPRODUCT(--(TEXT(Tbl_Transfers_Removals[Date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Removals'!$A$2)+1)),ROWS(V$3:V9))),""),"")</f>
        <v/>
      </c>
      <c r="W9" s="106"/>
      <c r="AF9" s="108"/>
      <c r="AG9" s="104"/>
      <c r="AI9" s="4"/>
      <c r="AJ9" s="4"/>
      <c r="AK9" s="4"/>
    </row>
    <row r="10" spans="2:37" x14ac:dyDescent="0.25">
      <c r="B10" s="99" t="s">
        <v>116</v>
      </c>
      <c r="C10" s="33">
        <f>COUNTIF(Tbl_Members[Rank],Rank3)</f>
        <v>0</v>
      </c>
      <c r="E10" s="105"/>
      <c r="F10" s="4" t="str">
        <f t="array" aca="1" ref="F10" ca="1">IF(ROWS(F$3:F10)&lt;=SUMPRODUCT(--(TEXT(Tbl_Members[Last Promotion],"mmyyyy")=TEXT(TODAY(),"mmyyyy"))),INDEX(Tbl_Members[Gamertag],SMALL(IF(--(TEXT(Tbl_Members[Last Promotion],"mmyyyy")=TEXT(TODAY(),"mmyyyy")),ROW(Tbl_Members[Gamertag])-ROW('Manage Members'!$A$2)+1),ROWS(F$3:F10))),"")</f>
        <v/>
      </c>
      <c r="G10" s="106"/>
      <c r="I10" s="105"/>
      <c r="J10" s="4" t="str">
        <f t="array" aca="1" ref="J10" ca="1">IF(ROWS(J$3:J10)&lt;=SUMPRODUCT(--(TEXT(Tbl_Members[Date Recruited],"mmyyyy")=TEXT(TODAY(),"mmyyyy"))),INDEX(Tbl_Members[Gamertag],SMALL(IF(--(TEXT(Tbl_Members[Date Recruited],"mmyyyy")=TEXT(TODAY(),"mmyyyy")),ROW(Tbl_Members[Gamertag])-ROW('Manage Members'!$A$2)+1),ROWS(J$3:J10))),"")</f>
        <v/>
      </c>
      <c r="K10" s="106"/>
      <c r="M10" s="105"/>
      <c r="N10" s="4" t="str">
        <f t="array" aca="1" ref="N10" ca="1">IFERROR(IF(ROWS(N$3:N10)&lt;=SUMPRODUCT(--(TEXT(Tbl_Transfers_Removals[Date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Removals'!$A$2)+1)),ROWS(N$3:N10))),""),"")</f>
        <v/>
      </c>
      <c r="O10" s="106"/>
      <c r="Q10" s="105"/>
      <c r="R10" s="4" t="str">
        <f t="array" aca="1" ref="R10" ca="1">IFERROR(IF(ROWS(R$3:R10)&lt;=SUMPRODUCT(--(TEXT(Tbl_Transfers_Removals[Date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Removals'!$A$2)+1)),ROWS(R$3:R10))),""),"")</f>
        <v/>
      </c>
      <c r="S10" s="106"/>
      <c r="U10" s="105"/>
      <c r="V10" s="4" t="str">
        <f t="array" aca="1" ref="V10" ca="1">IFERROR(IF(ROWS(V$3:V10)&lt;=SUMPRODUCT(--(TEXT(Tbl_Transfers_Removals[Date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Removals'!$A$2)+1)),ROWS(V$3:V10))),""),"")</f>
        <v/>
      </c>
      <c r="W10" s="106"/>
      <c r="AF10" s="108"/>
      <c r="AG10" s="104"/>
      <c r="AI10" s="4"/>
      <c r="AJ10" s="4"/>
      <c r="AK10" s="4"/>
    </row>
    <row r="11" spans="2:37" x14ac:dyDescent="0.25">
      <c r="B11" s="99" t="s">
        <v>117</v>
      </c>
      <c r="C11" s="33">
        <f>COUNTIF(Tbl_Members[Rank],Rank2)</f>
        <v>0</v>
      </c>
      <c r="E11" s="105"/>
      <c r="F11" s="4" t="str">
        <f t="array" aca="1" ref="F11" ca="1">IF(ROWS(F$3:F11)&lt;=SUMPRODUCT(--(TEXT(Tbl_Members[Last Promotion],"mmyyyy")=TEXT(TODAY(),"mmyyyy"))),INDEX(Tbl_Members[Gamertag],SMALL(IF(--(TEXT(Tbl_Members[Last Promotion],"mmyyyy")=TEXT(TODAY(),"mmyyyy")),ROW(Tbl_Members[Gamertag])-ROW('Manage Members'!$A$2)+1),ROWS(F$3:F11))),"")</f>
        <v/>
      </c>
      <c r="G11" s="106"/>
      <c r="I11" s="105"/>
      <c r="J11" s="4" t="str">
        <f t="array" aca="1" ref="J11" ca="1">IF(ROWS(J$3:J11)&lt;=SUMPRODUCT(--(TEXT(Tbl_Members[Date Recruited],"mmyyyy")=TEXT(TODAY(),"mmyyyy"))),INDEX(Tbl_Members[Gamertag],SMALL(IF(--(TEXT(Tbl_Members[Date Recruited],"mmyyyy")=TEXT(TODAY(),"mmyyyy")),ROW(Tbl_Members[Gamertag])-ROW('Manage Members'!$A$2)+1),ROWS(J$3:J11))),"")</f>
        <v/>
      </c>
      <c r="K11" s="106"/>
      <c r="M11" s="105"/>
      <c r="N11" s="4" t="str">
        <f t="array" aca="1" ref="N11" ca="1">IFERROR(IF(ROWS(N$3:N11)&lt;=SUMPRODUCT(--(TEXT(Tbl_Transfers_Removals[Date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Removals'!$A$2)+1)),ROWS(N$3:N11))),""),"")</f>
        <v/>
      </c>
      <c r="O11" s="106"/>
      <c r="Q11" s="105"/>
      <c r="R11" s="4" t="str">
        <f t="array" aca="1" ref="R11" ca="1">IFERROR(IF(ROWS(R$3:R11)&lt;=SUMPRODUCT(--(TEXT(Tbl_Transfers_Removals[Date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Removals'!$A$2)+1)),ROWS(R$3:R11))),""),"")</f>
        <v/>
      </c>
      <c r="S11" s="106"/>
      <c r="U11" s="105"/>
      <c r="V11" s="4" t="str">
        <f t="array" aca="1" ref="V11" ca="1">IFERROR(IF(ROWS(V$3:V11)&lt;=SUMPRODUCT(--(TEXT(Tbl_Transfers_Removals[Date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Removals'!$A$2)+1)),ROWS(V$3:V11))),""),"")</f>
        <v/>
      </c>
      <c r="W11" s="106"/>
      <c r="AF11" s="108"/>
      <c r="AG11" s="104"/>
      <c r="AI11" s="4"/>
      <c r="AJ11" s="4"/>
      <c r="AK11" s="4"/>
    </row>
    <row r="12" spans="2:37" x14ac:dyDescent="0.25">
      <c r="B12" s="99" t="s">
        <v>118</v>
      </c>
      <c r="C12" s="33">
        <f>COUNTIF(Tbl_Members[Rank],Rank1)</f>
        <v>0</v>
      </c>
      <c r="E12" s="105"/>
      <c r="F12" s="4" t="str">
        <f t="array" aca="1" ref="F12" ca="1">IF(ROWS(F$3:F12)&lt;=SUMPRODUCT(--(TEXT(Tbl_Members[Last Promotion],"mmyyyy")=TEXT(TODAY(),"mmyyyy"))),INDEX(Tbl_Members[Gamertag],SMALL(IF(--(TEXT(Tbl_Members[Last Promotion],"mmyyyy")=TEXT(TODAY(),"mmyyyy")),ROW(Tbl_Members[Gamertag])-ROW('Manage Members'!$A$2)+1),ROWS(F$3:F12))),"")</f>
        <v/>
      </c>
      <c r="G12" s="106"/>
      <c r="I12" s="105"/>
      <c r="J12" s="4" t="str">
        <f t="array" aca="1" ref="J12" ca="1">IF(ROWS(J$3:J12)&lt;=SUMPRODUCT(--(TEXT(Tbl_Members[Date Recruited],"mmyyyy")=TEXT(TODAY(),"mmyyyy"))),INDEX(Tbl_Members[Gamertag],SMALL(IF(--(TEXT(Tbl_Members[Date Recruited],"mmyyyy")=TEXT(TODAY(),"mmyyyy")),ROW(Tbl_Members[Gamertag])-ROW('Manage Members'!$A$2)+1),ROWS(J$3:J12))),"")</f>
        <v/>
      </c>
      <c r="K12" s="106"/>
      <c r="M12" s="105"/>
      <c r="N12" s="4" t="str">
        <f t="array" aca="1" ref="N12" ca="1">IFERROR(IF(ROWS(N$3:N12)&lt;=SUMPRODUCT(--(TEXT(Tbl_Transfers_Removals[Date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Removals'!$A$2)+1)),ROWS(N$3:N12))),""),"")</f>
        <v/>
      </c>
      <c r="O12" s="106"/>
      <c r="Q12" s="105"/>
      <c r="R12" s="4" t="str">
        <f t="array" aca="1" ref="R12" ca="1">IFERROR(IF(ROWS(R$3:R12)&lt;=SUMPRODUCT(--(TEXT(Tbl_Transfers_Removals[Date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Removals'!$A$2)+1)),ROWS(R$3:R12))),""),"")</f>
        <v/>
      </c>
      <c r="S12" s="106"/>
      <c r="U12" s="105"/>
      <c r="V12" s="4" t="str">
        <f t="array" aca="1" ref="V12" ca="1">IFERROR(IF(ROWS(V$3:V12)&lt;=SUMPRODUCT(--(TEXT(Tbl_Transfers_Removals[Date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Removals'!$A$2)+1)),ROWS(V$3:V12))),""),"")</f>
        <v/>
      </c>
      <c r="W12" s="106"/>
      <c r="AF12" s="108"/>
      <c r="AG12" s="104"/>
      <c r="AI12" s="4"/>
      <c r="AJ12" s="4"/>
      <c r="AK12" s="4"/>
    </row>
    <row r="13" spans="2:37" x14ac:dyDescent="0.25">
      <c r="B13" s="109"/>
      <c r="C13" s="45"/>
      <c r="E13" s="105"/>
      <c r="F13" s="4" t="str">
        <f t="array" aca="1" ref="F13" ca="1">IF(ROWS(F$3:F13)&lt;=SUMPRODUCT(--(TEXT(Tbl_Members[Last Promotion],"mmyyyy")=TEXT(TODAY(),"mmyyyy"))),INDEX(Tbl_Members[Gamertag],SMALL(IF(--(TEXT(Tbl_Members[Last Promotion],"mmyyyy")=TEXT(TODAY(),"mmyyyy")),ROW(Tbl_Members[Gamertag])-ROW('Manage Members'!$A$2)+1),ROWS(F$3:F13))),"")</f>
        <v/>
      </c>
      <c r="G13" s="106"/>
      <c r="I13" s="105"/>
      <c r="J13" s="4" t="str">
        <f t="array" aca="1" ref="J13" ca="1">IF(ROWS(J$3:J13)&lt;=SUMPRODUCT(--(TEXT(Tbl_Members[Date Recruited],"mmyyyy")=TEXT(TODAY(),"mmyyyy"))),INDEX(Tbl_Members[Gamertag],SMALL(IF(--(TEXT(Tbl_Members[Date Recruited],"mmyyyy")=TEXT(TODAY(),"mmyyyy")),ROW(Tbl_Members[Gamertag])-ROW('Manage Members'!$A$2)+1),ROWS(J$3:J13))),"")</f>
        <v/>
      </c>
      <c r="K13" s="106"/>
      <c r="M13" s="105"/>
      <c r="N13" s="4" t="str">
        <f t="array" aca="1" ref="N13" ca="1">IFERROR(IF(ROWS(N$3:N13)&lt;=SUMPRODUCT(--(TEXT(Tbl_Transfers_Removals[Date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Removals'!$A$2)+1)),ROWS(N$3:N13))),""),"")</f>
        <v/>
      </c>
      <c r="O13" s="106"/>
      <c r="Q13" s="105"/>
      <c r="R13" s="4" t="str">
        <f t="array" aca="1" ref="R13" ca="1">IFERROR(IF(ROWS(R$3:R13)&lt;=SUMPRODUCT(--(TEXT(Tbl_Transfers_Removals[Date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Removals'!$A$2)+1)),ROWS(R$3:R13))),""),"")</f>
        <v/>
      </c>
      <c r="S13" s="106"/>
      <c r="U13" s="105"/>
      <c r="V13" s="4" t="str">
        <f t="array" aca="1" ref="V13" ca="1">IFERROR(IF(ROWS(V$3:V13)&lt;=SUMPRODUCT(--(TEXT(Tbl_Transfers_Removals[Date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Removals'!$A$2)+1)),ROWS(V$3:V13))),""),"")</f>
        <v/>
      </c>
      <c r="W13" s="106"/>
      <c r="AF13" s="108"/>
      <c r="AG13" s="104"/>
      <c r="AI13" s="4"/>
      <c r="AJ13" s="4"/>
      <c r="AK13" s="4"/>
    </row>
    <row r="14" spans="2:37" x14ac:dyDescent="0.25">
      <c r="C14" s="108"/>
      <c r="E14" s="105"/>
      <c r="F14" s="4" t="str">
        <f t="array" aca="1" ref="F14" ca="1">IF(ROWS(F$3:F14)&lt;=SUMPRODUCT(--(TEXT(Tbl_Members[Last Promotion],"mmyyyy")=TEXT(TODAY(),"mmyyyy"))),INDEX(Tbl_Members[Gamertag],SMALL(IF(--(TEXT(Tbl_Members[Last Promotion],"mmyyyy")=TEXT(TODAY(),"mmyyyy")),ROW(Tbl_Members[Gamertag])-ROW('Manage Members'!$A$2)+1),ROWS(F$3:F14))),"")</f>
        <v/>
      </c>
      <c r="G14" s="106"/>
      <c r="I14" s="105"/>
      <c r="J14" s="4" t="str">
        <f t="array" aca="1" ref="J14" ca="1">IF(ROWS(J$3:J14)&lt;=SUMPRODUCT(--(TEXT(Tbl_Members[Date Recruited],"mmyyyy")=TEXT(TODAY(),"mmyyyy"))),INDEX(Tbl_Members[Gamertag],SMALL(IF(--(TEXT(Tbl_Members[Date Recruited],"mmyyyy")=TEXT(TODAY(),"mmyyyy")),ROW(Tbl_Members[Gamertag])-ROW('Manage Members'!$A$2)+1),ROWS(J$3:J14))),"")</f>
        <v/>
      </c>
      <c r="K14" s="106"/>
      <c r="M14" s="105"/>
      <c r="N14" s="4" t="str">
        <f t="array" aca="1" ref="N14" ca="1">IFERROR(IF(ROWS(N$3:N14)&lt;=SUMPRODUCT(--(TEXT(Tbl_Transfers_Removals[Date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Removals'!$A$2)+1)),ROWS(N$3:N14))),""),"")</f>
        <v/>
      </c>
      <c r="O14" s="106"/>
      <c r="Q14" s="105"/>
      <c r="R14" s="4" t="str">
        <f t="array" aca="1" ref="R14" ca="1">IFERROR(IF(ROWS(R$3:R14)&lt;=SUMPRODUCT(--(TEXT(Tbl_Transfers_Removals[Date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Removals'!$A$2)+1)),ROWS(R$3:R14))),""),"")</f>
        <v/>
      </c>
      <c r="S14" s="106"/>
      <c r="U14" s="105"/>
      <c r="V14" s="4" t="str">
        <f t="array" aca="1" ref="V14" ca="1">IFERROR(IF(ROWS(V$3:V14)&lt;=SUMPRODUCT(--(TEXT(Tbl_Transfers_Removals[Date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Removals'!$A$2)+1)),ROWS(V$3:V14))),""),"")</f>
        <v/>
      </c>
      <c r="W14" s="106"/>
    </row>
    <row r="15" spans="2:37" x14ac:dyDescent="0.25">
      <c r="C15" s="110"/>
      <c r="E15" s="105"/>
      <c r="F15" s="4" t="str">
        <f t="array" aca="1" ref="F15" ca="1">IF(ROWS(F$3:F15)&lt;=SUMPRODUCT(--(TEXT(Tbl_Members[Last Promotion],"mmyyyy")=TEXT(TODAY(),"mmyyyy"))),INDEX(Tbl_Members[Gamertag],SMALL(IF(--(TEXT(Tbl_Members[Last Promotion],"mmyyyy")=TEXT(TODAY(),"mmyyyy")),ROW(Tbl_Members[Gamertag])-ROW('Manage Members'!$A$2)+1),ROWS(F$3:F15))),"")</f>
        <v/>
      </c>
      <c r="G15" s="106"/>
      <c r="I15" s="105"/>
      <c r="J15" s="4" t="str">
        <f t="array" aca="1" ref="J15" ca="1">IF(ROWS(J$3:J15)&lt;=SUMPRODUCT(--(TEXT(Tbl_Members[Date Recruited],"mmyyyy")=TEXT(TODAY(),"mmyyyy"))),INDEX(Tbl_Members[Gamertag],SMALL(IF(--(TEXT(Tbl_Members[Date Recruited],"mmyyyy")=TEXT(TODAY(),"mmyyyy")),ROW(Tbl_Members[Gamertag])-ROW('Manage Members'!$A$2)+1),ROWS(J$3:J15))),"")</f>
        <v/>
      </c>
      <c r="K15" s="106"/>
      <c r="M15" s="105"/>
      <c r="N15" s="4" t="str">
        <f t="array" aca="1" ref="N15" ca="1">IFERROR(IF(ROWS(N$3:N15)&lt;=SUMPRODUCT(--(TEXT(Tbl_Transfers_Removals[Date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Removals'!$A$2)+1)),ROWS(N$3:N15))),""),"")</f>
        <v/>
      </c>
      <c r="O15" s="106"/>
      <c r="Q15" s="105"/>
      <c r="R15" s="4" t="str">
        <f t="array" aca="1" ref="R15" ca="1">IFERROR(IF(ROWS(R$3:R15)&lt;=SUMPRODUCT(--(TEXT(Tbl_Transfers_Removals[Date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Removals'!$A$2)+1)),ROWS(R$3:R15))),""),"")</f>
        <v/>
      </c>
      <c r="S15" s="106"/>
      <c r="U15" s="105"/>
      <c r="V15" s="4" t="str">
        <f t="array" aca="1" ref="V15" ca="1">IFERROR(IF(ROWS(V$3:V15)&lt;=SUMPRODUCT(--(TEXT(Tbl_Transfers_Removals[Date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Removals'!$A$2)+1)),ROWS(V$3:V15))),""),"")</f>
        <v/>
      </c>
      <c r="W15" s="106"/>
    </row>
    <row r="16" spans="2:37" x14ac:dyDescent="0.25">
      <c r="E16" s="105"/>
      <c r="F16" s="4" t="str">
        <f t="array" aca="1" ref="F16" ca="1">IF(ROWS(F$3:F16)&lt;=SUMPRODUCT(--(TEXT(Tbl_Members[Last Promotion],"mmyyyy")=TEXT(TODAY(),"mmyyyy"))),INDEX(Tbl_Members[Gamertag],SMALL(IF(--(TEXT(Tbl_Members[Last Promotion],"mmyyyy")=TEXT(TODAY(),"mmyyyy")),ROW(Tbl_Members[Gamertag])-ROW('Manage Members'!$A$2)+1),ROWS(F$3:F16))),"")</f>
        <v/>
      </c>
      <c r="G16" s="106"/>
      <c r="I16" s="105"/>
      <c r="J16" s="4" t="str">
        <f t="array" aca="1" ref="J16" ca="1">IF(ROWS(J$3:J16)&lt;=SUMPRODUCT(--(TEXT(Tbl_Members[Date Recruited],"mmyyyy")=TEXT(TODAY(),"mmyyyy"))),INDEX(Tbl_Members[Gamertag],SMALL(IF(--(TEXT(Tbl_Members[Date Recruited],"mmyyyy")=TEXT(TODAY(),"mmyyyy")),ROW(Tbl_Members[Gamertag])-ROW('Manage Members'!$A$2)+1),ROWS(J$3:J16))),"")</f>
        <v/>
      </c>
      <c r="K16" s="106"/>
      <c r="M16" s="105"/>
      <c r="N16" s="4" t="str">
        <f t="array" aca="1" ref="N16" ca="1">IFERROR(IF(ROWS(N$3:N16)&lt;=SUMPRODUCT(--(TEXT(Tbl_Transfers_Removals[Date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Removals'!$A$2)+1)),ROWS(N$3:N16))),""),"")</f>
        <v/>
      </c>
      <c r="O16" s="106"/>
      <c r="Q16" s="105"/>
      <c r="R16" s="4" t="str">
        <f t="array" aca="1" ref="R16" ca="1">IFERROR(IF(ROWS(R$3:R16)&lt;=SUMPRODUCT(--(TEXT(Tbl_Transfers_Removals[Date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Removals'!$A$2)+1)),ROWS(R$3:R16))),""),"")</f>
        <v/>
      </c>
      <c r="S16" s="106"/>
      <c r="U16" s="105"/>
      <c r="V16" s="4" t="str">
        <f t="array" aca="1" ref="V16" ca="1">IFERROR(IF(ROWS(V$3:V16)&lt;=SUMPRODUCT(--(TEXT(Tbl_Transfers_Removals[Date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Removals'!$A$2)+1)),ROWS(V$3:V16))),""),"")</f>
        <v/>
      </c>
      <c r="W16" s="106"/>
    </row>
    <row r="17" spans="2:23" x14ac:dyDescent="0.25">
      <c r="E17" s="105"/>
      <c r="F17" s="4" t="str">
        <f t="array" aca="1" ref="F17" ca="1">IF(ROWS(F$3:F17)&lt;=SUMPRODUCT(--(TEXT(Tbl_Members[Last Promotion],"mmyyyy")=TEXT(TODAY(),"mmyyyy"))),INDEX(Tbl_Members[Gamertag],SMALL(IF(--(TEXT(Tbl_Members[Last Promotion],"mmyyyy")=TEXT(TODAY(),"mmyyyy")),ROW(Tbl_Members[Gamertag])-ROW('Manage Members'!$A$2)+1),ROWS(F$3:F17))),"")</f>
        <v/>
      </c>
      <c r="G17" s="106"/>
      <c r="I17" s="105"/>
      <c r="J17" s="4" t="str">
        <f t="array" aca="1" ref="J17" ca="1">IF(ROWS(J$3:J17)&lt;=SUMPRODUCT(--(TEXT(Tbl_Members[Date Recruited],"mmyyyy")=TEXT(TODAY(),"mmyyyy"))),INDEX(Tbl_Members[Gamertag],SMALL(IF(--(TEXT(Tbl_Members[Date Recruited],"mmyyyy")=TEXT(TODAY(),"mmyyyy")),ROW(Tbl_Members[Gamertag])-ROW('Manage Members'!$A$2)+1),ROWS(J$3:J17))),"")</f>
        <v/>
      </c>
      <c r="K17" s="106"/>
      <c r="M17" s="105"/>
      <c r="N17" s="4" t="str">
        <f t="array" aca="1" ref="N17" ca="1">IFERROR(IF(ROWS(N$3:N17)&lt;=SUMPRODUCT(--(TEXT(Tbl_Transfers_Removals[Date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Removals'!$A$2)+1)),ROWS(N$3:N17))),""),"")</f>
        <v/>
      </c>
      <c r="O17" s="106"/>
      <c r="Q17" s="105"/>
      <c r="R17" s="4" t="str">
        <f t="array" aca="1" ref="R17" ca="1">IFERROR(IF(ROWS(R$3:R17)&lt;=SUMPRODUCT(--(TEXT(Tbl_Transfers_Removals[Date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Removals'!$A$2)+1)),ROWS(R$3:R17))),""),"")</f>
        <v/>
      </c>
      <c r="S17" s="106"/>
      <c r="U17" s="105"/>
      <c r="V17" s="4" t="str">
        <f t="array" aca="1" ref="V17" ca="1">IFERROR(IF(ROWS(V$3:V17)&lt;=SUMPRODUCT(--(TEXT(Tbl_Transfers_Removals[Date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Removals'!$A$2)+1)),ROWS(V$3:V17))),""),"")</f>
        <v/>
      </c>
      <c r="W17" s="106"/>
    </row>
    <row r="18" spans="2:23" x14ac:dyDescent="0.25">
      <c r="E18" s="105"/>
      <c r="F18" s="4" t="str">
        <f t="array" aca="1" ref="F18" ca="1">IF(ROWS(F$3:F18)&lt;=SUMPRODUCT(--(TEXT(Tbl_Members[Last Promotion],"mmyyyy")=TEXT(TODAY(),"mmyyyy"))),INDEX(Tbl_Members[Gamertag],SMALL(IF(--(TEXT(Tbl_Members[Last Promotion],"mmyyyy")=TEXT(TODAY(),"mmyyyy")),ROW(Tbl_Members[Gamertag])-ROW('Manage Members'!$A$2)+1),ROWS(F$3:F18))),"")</f>
        <v/>
      </c>
      <c r="G18" s="106"/>
      <c r="I18" s="105"/>
      <c r="J18" s="4" t="str">
        <f t="array" aca="1" ref="J18" ca="1">IF(ROWS(J$3:J18)&lt;=SUMPRODUCT(--(TEXT(Tbl_Members[Date Recruited],"mmyyyy")=TEXT(TODAY(),"mmyyyy"))),INDEX(Tbl_Members[Gamertag],SMALL(IF(--(TEXT(Tbl_Members[Date Recruited],"mmyyyy")=TEXT(TODAY(),"mmyyyy")),ROW(Tbl_Members[Gamertag])-ROW('Manage Members'!$A$2)+1),ROWS(J$3:J18))),"")</f>
        <v/>
      </c>
      <c r="K18" s="106"/>
      <c r="M18" s="105"/>
      <c r="N18" s="4" t="str">
        <f t="array" aca="1" ref="N18" ca="1">IFERROR(IF(ROWS(N$3:N18)&lt;=SUMPRODUCT(--(TEXT(Tbl_Transfers_Removals[Date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Removals'!$A$2)+1)),ROWS(N$3:N18))),""),"")</f>
        <v/>
      </c>
      <c r="O18" s="106"/>
      <c r="Q18" s="105"/>
      <c r="R18" s="4" t="str">
        <f t="array" aca="1" ref="R18" ca="1">IFERROR(IF(ROWS(R$3:R18)&lt;=SUMPRODUCT(--(TEXT(Tbl_Transfers_Removals[Date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Removals'!$A$2)+1)),ROWS(R$3:R18))),""),"")</f>
        <v/>
      </c>
      <c r="S18" s="106"/>
      <c r="U18" s="105"/>
      <c r="V18" s="4" t="str">
        <f t="array" aca="1" ref="V18" ca="1">IFERROR(IF(ROWS(V$3:V18)&lt;=SUMPRODUCT(--(TEXT(Tbl_Transfers_Removals[Date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Removals'!$A$2)+1)),ROWS(V$3:V18))),""),"")</f>
        <v/>
      </c>
      <c r="W18" s="106"/>
    </row>
    <row r="19" spans="2:23" x14ac:dyDescent="0.25">
      <c r="E19" s="105"/>
      <c r="F19" s="4" t="str">
        <f t="array" aca="1" ref="F19" ca="1">IF(ROWS(F$3:F19)&lt;=SUMPRODUCT(--(TEXT(Tbl_Members[Last Promotion],"mmyyyy")=TEXT(TODAY(),"mmyyyy"))),INDEX(Tbl_Members[Gamertag],SMALL(IF(--(TEXT(Tbl_Members[Last Promotion],"mmyyyy")=TEXT(TODAY(),"mmyyyy")),ROW(Tbl_Members[Gamertag])-ROW('Manage Members'!$A$2)+1),ROWS(F$3:F19))),"")</f>
        <v/>
      </c>
      <c r="G19" s="106"/>
      <c r="I19" s="105"/>
      <c r="J19" s="4" t="str">
        <f t="array" aca="1" ref="J19" ca="1">IF(ROWS(J$3:J19)&lt;=SUMPRODUCT(--(TEXT(Tbl_Members[Date Recruited],"mmyyyy")=TEXT(TODAY(),"mmyyyy"))),INDEX(Tbl_Members[Gamertag],SMALL(IF(--(TEXT(Tbl_Members[Date Recruited],"mmyyyy")=TEXT(TODAY(),"mmyyyy")),ROW(Tbl_Members[Gamertag])-ROW('Manage Members'!$A$2)+1),ROWS(J$3:J19))),"")</f>
        <v/>
      </c>
      <c r="K19" s="106"/>
      <c r="M19" s="105"/>
      <c r="N19" s="4" t="str">
        <f t="array" aca="1" ref="N19" ca="1">IFERROR(IF(ROWS(N$3:N19)&lt;=SUMPRODUCT(--(TEXT(Tbl_Transfers_Removals[Date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Removals'!$A$2)+1)),ROWS(N$3:N19))),""),"")</f>
        <v/>
      </c>
      <c r="O19" s="106"/>
      <c r="Q19" s="105"/>
      <c r="R19" s="4" t="str">
        <f t="array" aca="1" ref="R19" ca="1">IFERROR(IF(ROWS(R$3:R19)&lt;=SUMPRODUCT(--(TEXT(Tbl_Transfers_Removals[Date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Removals'!$A$2)+1)),ROWS(R$3:R19))),""),"")</f>
        <v/>
      </c>
      <c r="S19" s="106"/>
      <c r="U19" s="105"/>
      <c r="V19" s="4" t="str">
        <f t="array" aca="1" ref="V19" ca="1">IFERROR(IF(ROWS(V$3:V19)&lt;=SUMPRODUCT(--(TEXT(Tbl_Transfers_Removals[Date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Removals'!$A$2)+1)),ROWS(V$3:V19))),""),"")</f>
        <v/>
      </c>
      <c r="W19" s="106"/>
    </row>
    <row r="20" spans="2:23" x14ac:dyDescent="0.25">
      <c r="E20" s="105"/>
      <c r="F20" s="4" t="str">
        <f t="array" aca="1" ref="F20" ca="1">IF(ROWS(F$3:F20)&lt;=SUMPRODUCT(--(TEXT(Tbl_Members[Last Promotion],"mmyyyy")=TEXT(TODAY(),"mmyyyy"))),INDEX(Tbl_Members[Gamertag],SMALL(IF(--(TEXT(Tbl_Members[Last Promotion],"mmyyyy")=TEXT(TODAY(),"mmyyyy")),ROW(Tbl_Members[Gamertag])-ROW('Manage Members'!$A$2)+1),ROWS(F$3:F20))),"")</f>
        <v/>
      </c>
      <c r="G20" s="106"/>
      <c r="I20" s="105"/>
      <c r="J20" s="4" t="str">
        <f t="array" aca="1" ref="J20" ca="1">IF(ROWS(J$3:J20)&lt;=SUMPRODUCT(--(TEXT(Tbl_Members[Date Recruited],"mmyyyy")=TEXT(TODAY(),"mmyyyy"))),INDEX(Tbl_Members[Gamertag],SMALL(IF(--(TEXT(Tbl_Members[Date Recruited],"mmyyyy")=TEXT(TODAY(),"mmyyyy")),ROW(Tbl_Members[Gamertag])-ROW('Manage Members'!$A$2)+1),ROWS(J$3:J20))),"")</f>
        <v/>
      </c>
      <c r="K20" s="106"/>
      <c r="M20" s="105"/>
      <c r="N20" s="4" t="str">
        <f t="array" aca="1" ref="N20" ca="1">IFERROR(IF(ROWS(N$3:N20)&lt;=SUMPRODUCT(--(TEXT(Tbl_Transfers_Removals[Date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Removals'!$A$2)+1)),ROWS(N$3:N20))),""),"")</f>
        <v/>
      </c>
      <c r="O20" s="106"/>
      <c r="Q20" s="105"/>
      <c r="R20" s="4" t="str">
        <f t="array" aca="1" ref="R20" ca="1">IFERROR(IF(ROWS(R$3:R20)&lt;=SUMPRODUCT(--(TEXT(Tbl_Transfers_Removals[Date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Removals'!$A$2)+1)),ROWS(R$3:R20))),""),"")</f>
        <v/>
      </c>
      <c r="S20" s="106"/>
      <c r="U20" s="105"/>
      <c r="V20" s="4" t="str">
        <f t="array" aca="1" ref="V20" ca="1">IFERROR(IF(ROWS(V$3:V20)&lt;=SUMPRODUCT(--(TEXT(Tbl_Transfers_Removals[Date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Removals'!$A$2)+1)),ROWS(V$3:V20))),""),"")</f>
        <v/>
      </c>
      <c r="W20" s="106"/>
    </row>
    <row r="21" spans="2:23" x14ac:dyDescent="0.25">
      <c r="E21" s="105"/>
      <c r="F21" s="4" t="str">
        <f t="array" aca="1" ref="F21" ca="1">IF(ROWS(F$3:F21)&lt;=SUMPRODUCT(--(TEXT(Tbl_Members[Last Promotion],"mmyyyy")=TEXT(TODAY(),"mmyyyy"))),INDEX(Tbl_Members[Gamertag],SMALL(IF(--(TEXT(Tbl_Members[Last Promotion],"mmyyyy")=TEXT(TODAY(),"mmyyyy")),ROW(Tbl_Members[Gamertag])-ROW('Manage Members'!$A$2)+1),ROWS(F$3:F21))),"")</f>
        <v/>
      </c>
      <c r="G21" s="106"/>
      <c r="I21" s="105"/>
      <c r="J21" s="4" t="str">
        <f t="array" aca="1" ref="J21" ca="1">IF(ROWS(J$3:J21)&lt;=SUMPRODUCT(--(TEXT(Tbl_Members[Date Recruited],"mmyyyy")=TEXT(TODAY(),"mmyyyy"))),INDEX(Tbl_Members[Gamertag],SMALL(IF(--(TEXT(Tbl_Members[Date Recruited],"mmyyyy")=TEXT(TODAY(),"mmyyyy")),ROW(Tbl_Members[Gamertag])-ROW('Manage Members'!$A$2)+1),ROWS(J$3:J21))),"")</f>
        <v/>
      </c>
      <c r="K21" s="106"/>
      <c r="M21" s="105"/>
      <c r="N21" s="4" t="str">
        <f t="array" aca="1" ref="N21" ca="1">IFERROR(IF(ROWS(N$3:N21)&lt;=SUMPRODUCT(--(TEXT(Tbl_Transfers_Removals[Date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Removals'!$A$2)+1)),ROWS(N$3:N21))),""),"")</f>
        <v/>
      </c>
      <c r="O21" s="106"/>
      <c r="Q21" s="105"/>
      <c r="R21" s="4" t="str">
        <f t="array" aca="1" ref="R21" ca="1">IFERROR(IF(ROWS(R$3:R21)&lt;=SUMPRODUCT(--(TEXT(Tbl_Transfers_Removals[Date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Removals'!$A$2)+1)),ROWS(R$3:R21))),""),"")</f>
        <v/>
      </c>
      <c r="S21" s="106"/>
      <c r="U21" s="105"/>
      <c r="V21" s="4" t="str">
        <f t="array" aca="1" ref="V21" ca="1">IFERROR(IF(ROWS(V$3:V21)&lt;=SUMPRODUCT(--(TEXT(Tbl_Transfers_Removals[Date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Removals'!$A$2)+1)),ROWS(V$3:V21))),""),"")</f>
        <v/>
      </c>
      <c r="W21" s="106"/>
    </row>
    <row r="22" spans="2:23" x14ac:dyDescent="0.25">
      <c r="E22" s="105"/>
      <c r="F22" s="4" t="str">
        <f t="array" aca="1" ref="F22" ca="1">IF(ROWS(F$3:F22)&lt;=SUMPRODUCT(--(TEXT(Tbl_Members[Last Promotion],"mmyyyy")=TEXT(TODAY(),"mmyyyy"))),INDEX(Tbl_Members[Gamertag],SMALL(IF(--(TEXT(Tbl_Members[Last Promotion],"mmyyyy")=TEXT(TODAY(),"mmyyyy")),ROW(Tbl_Members[Gamertag])-ROW('Manage Members'!$A$2)+1),ROWS(F$3:F22))),"")</f>
        <v/>
      </c>
      <c r="G22" s="106"/>
      <c r="I22" s="105"/>
      <c r="J22" s="4" t="str">
        <f t="array" aca="1" ref="J22" ca="1">IF(ROWS(J$3:J22)&lt;=SUMPRODUCT(--(TEXT(Tbl_Members[Date Recruited],"mmyyyy")=TEXT(TODAY(),"mmyyyy"))),INDEX(Tbl_Members[Gamertag],SMALL(IF(--(TEXT(Tbl_Members[Date Recruited],"mmyyyy")=TEXT(TODAY(),"mmyyyy")),ROW(Tbl_Members[Gamertag])-ROW('Manage Members'!$A$2)+1),ROWS(J$3:J22))),"")</f>
        <v/>
      </c>
      <c r="K22" s="106"/>
      <c r="M22" s="105"/>
      <c r="N22" s="4" t="str">
        <f t="array" aca="1" ref="N22" ca="1">IFERROR(IF(ROWS(N$3:N22)&lt;=SUMPRODUCT(--(TEXT(Tbl_Transfers_Removals[Date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Removals'!$A$2)+1)),ROWS(N$3:N22))),""),"")</f>
        <v/>
      </c>
      <c r="O22" s="106"/>
      <c r="Q22" s="105"/>
      <c r="R22" s="4" t="str">
        <f t="array" aca="1" ref="R22" ca="1">IFERROR(IF(ROWS(R$3:R22)&lt;=SUMPRODUCT(--(TEXT(Tbl_Transfers_Removals[Date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Removals'!$A$2)+1)),ROWS(R$3:R22))),""),"")</f>
        <v/>
      </c>
      <c r="S22" s="106"/>
      <c r="U22" s="105"/>
      <c r="V22" s="4" t="str">
        <f t="array" aca="1" ref="V22" ca="1">IFERROR(IF(ROWS(V$3:V22)&lt;=SUMPRODUCT(--(TEXT(Tbl_Transfers_Removals[Date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Removals'!$A$2)+1)),ROWS(V$3:V22))),""),"")</f>
        <v/>
      </c>
      <c r="W22" s="106"/>
    </row>
    <row r="23" spans="2:23" x14ac:dyDescent="0.25">
      <c r="E23" s="105"/>
      <c r="F23" s="4" t="str">
        <f t="array" aca="1" ref="F23" ca="1">IF(ROWS(F$3:F23)&lt;=SUMPRODUCT(--(TEXT(Tbl_Members[Last Promotion],"mmyyyy")=TEXT(TODAY(),"mmyyyy"))),INDEX(Tbl_Members[Gamertag],SMALL(IF(--(TEXT(Tbl_Members[Last Promotion],"mmyyyy")=TEXT(TODAY(),"mmyyyy")),ROW(Tbl_Members[Gamertag])-ROW('Manage Members'!$A$2)+1),ROWS(F$3:F23))),"")</f>
        <v/>
      </c>
      <c r="G23" s="106"/>
      <c r="I23" s="105"/>
      <c r="J23" s="4" t="str">
        <f t="array" aca="1" ref="J23" ca="1">IF(ROWS(J$3:J23)&lt;=SUMPRODUCT(--(TEXT(Tbl_Members[Date Recruited],"mmyyyy")=TEXT(TODAY(),"mmyyyy"))),INDEX(Tbl_Members[Gamertag],SMALL(IF(--(TEXT(Tbl_Members[Date Recruited],"mmyyyy")=TEXT(TODAY(),"mmyyyy")),ROW(Tbl_Members[Gamertag])-ROW('Manage Members'!$A$2)+1),ROWS(J$3:J23))),"")</f>
        <v/>
      </c>
      <c r="K23" s="106"/>
      <c r="M23" s="105"/>
      <c r="N23" s="4" t="str">
        <f t="array" aca="1" ref="N23" ca="1">IFERROR(IF(ROWS(N$3:N23)&lt;=SUMPRODUCT(--(TEXT(Tbl_Transfers_Removals[Date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Removals'!$A$2)+1)),ROWS(N$3:N23))),""),"")</f>
        <v/>
      </c>
      <c r="O23" s="106"/>
      <c r="Q23" s="105"/>
      <c r="R23" s="4" t="str">
        <f t="array" aca="1" ref="R23" ca="1">IFERROR(IF(ROWS(R$3:R23)&lt;=SUMPRODUCT(--(TEXT(Tbl_Transfers_Removals[Date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Removals'!$A$2)+1)),ROWS(R$3:R23))),""),"")</f>
        <v/>
      </c>
      <c r="S23" s="106"/>
      <c r="U23" s="105"/>
      <c r="V23" s="4" t="str">
        <f t="array" aca="1" ref="V23" ca="1">IFERROR(IF(ROWS(V$3:V23)&lt;=SUMPRODUCT(--(TEXT(Tbl_Transfers_Removals[Date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Removals'!$A$2)+1)),ROWS(V$3:V23))),""),"")</f>
        <v/>
      </c>
      <c r="W23" s="106"/>
    </row>
    <row r="24" spans="2:23" x14ac:dyDescent="0.25">
      <c r="E24" s="105"/>
      <c r="F24" s="4" t="str">
        <f t="array" aca="1" ref="F24" ca="1">IF(ROWS(F$3:F24)&lt;=SUMPRODUCT(--(TEXT(Tbl_Members[Last Promotion],"mmyyyy")=TEXT(TODAY(),"mmyyyy"))),INDEX(Tbl_Members[Gamertag],SMALL(IF(--(TEXT(Tbl_Members[Last Promotion],"mmyyyy")=TEXT(TODAY(),"mmyyyy")),ROW(Tbl_Members[Gamertag])-ROW('Manage Members'!$A$2)+1),ROWS(F$3:F24))),"")</f>
        <v/>
      </c>
      <c r="G24" s="106"/>
      <c r="I24" s="105"/>
      <c r="J24" s="4" t="str">
        <f t="array" aca="1" ref="J24" ca="1">IF(ROWS(J$3:J24)&lt;=SUMPRODUCT(--(TEXT(Tbl_Members[Date Recruited],"mmyyyy")=TEXT(TODAY(),"mmyyyy"))),INDEX(Tbl_Members[Gamertag],SMALL(IF(--(TEXT(Tbl_Members[Date Recruited],"mmyyyy")=TEXT(TODAY(),"mmyyyy")),ROW(Tbl_Members[Gamertag])-ROW('Manage Members'!$A$2)+1),ROWS(J$3:J24))),"")</f>
        <v/>
      </c>
      <c r="K24" s="106"/>
      <c r="M24" s="105"/>
      <c r="N24" s="4" t="str">
        <f t="array" aca="1" ref="N24" ca="1">IFERROR(IF(ROWS(N$3:N24)&lt;=SUMPRODUCT(--(TEXT(Tbl_Transfers_Removals[Date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Removals'!$A$2)+1)),ROWS(N$3:N24))),""),"")</f>
        <v/>
      </c>
      <c r="O24" s="106"/>
      <c r="Q24" s="105"/>
      <c r="R24" s="4" t="str">
        <f t="array" aca="1" ref="R24" ca="1">IFERROR(IF(ROWS(R$3:R24)&lt;=SUMPRODUCT(--(TEXT(Tbl_Transfers_Removals[Date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Removals'!$A$2)+1)),ROWS(R$3:R24))),""),"")</f>
        <v/>
      </c>
      <c r="S24" s="106"/>
      <c r="U24" s="105"/>
      <c r="V24" s="4" t="str">
        <f t="array" aca="1" ref="V24" ca="1">IFERROR(IF(ROWS(V$3:V24)&lt;=SUMPRODUCT(--(TEXT(Tbl_Transfers_Removals[Date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Removals'!$A$2)+1)),ROWS(V$3:V24))),""),"")</f>
        <v/>
      </c>
      <c r="W24" s="106"/>
    </row>
    <row r="25" spans="2:23" x14ac:dyDescent="0.25">
      <c r="E25" s="105"/>
      <c r="F25" s="4" t="str">
        <f t="array" aca="1" ref="F25" ca="1">IF(ROWS(F$3:F25)&lt;=SUMPRODUCT(--(TEXT(Tbl_Members[Last Promotion],"mmyyyy")=TEXT(TODAY(),"mmyyyy"))),INDEX(Tbl_Members[Gamertag],SMALL(IF(--(TEXT(Tbl_Members[Last Promotion],"mmyyyy")=TEXT(TODAY(),"mmyyyy")),ROW(Tbl_Members[Gamertag])-ROW('Manage Members'!$A$2)+1),ROWS(F$3:F25))),"")</f>
        <v/>
      </c>
      <c r="G25" s="106"/>
      <c r="I25" s="105"/>
      <c r="J25" s="4" t="str">
        <f t="array" aca="1" ref="J25" ca="1">IF(ROWS(J$3:J25)&lt;=SUMPRODUCT(--(TEXT(Tbl_Members[Date Recruited],"mmyyyy")=TEXT(TODAY(),"mmyyyy"))),INDEX(Tbl_Members[Gamertag],SMALL(IF(--(TEXT(Tbl_Members[Date Recruited],"mmyyyy")=TEXT(TODAY(),"mmyyyy")),ROW(Tbl_Members[Gamertag])-ROW('Manage Members'!$A$2)+1),ROWS(J$3:J25))),"")</f>
        <v/>
      </c>
      <c r="K25" s="106"/>
      <c r="M25" s="105"/>
      <c r="N25" s="4" t="str">
        <f t="array" aca="1" ref="N25" ca="1">IFERROR(IF(ROWS(N$3:N25)&lt;=SUMPRODUCT(--(TEXT(Tbl_Transfers_Removals[Date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Removals'!$A$2)+1)),ROWS(N$3:N25))),""),"")</f>
        <v/>
      </c>
      <c r="O25" s="106"/>
      <c r="Q25" s="105"/>
      <c r="R25" s="4" t="str">
        <f t="array" aca="1" ref="R25" ca="1">IFERROR(IF(ROWS(R$3:R25)&lt;=SUMPRODUCT(--(TEXT(Tbl_Transfers_Removals[Date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Removals'!$A$2)+1)),ROWS(R$3:R25))),""),"")</f>
        <v/>
      </c>
      <c r="S25" s="106"/>
      <c r="U25" s="105"/>
      <c r="V25" s="4" t="str">
        <f t="array" aca="1" ref="V25" ca="1">IFERROR(IF(ROWS(V$3:V25)&lt;=SUMPRODUCT(--(TEXT(Tbl_Transfers_Removals[Date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Removals'!$A$2)+1)),ROWS(V$3:V25))),""),"")</f>
        <v/>
      </c>
      <c r="W25" s="106"/>
    </row>
    <row r="26" spans="2:23" x14ac:dyDescent="0.25">
      <c r="E26" s="105"/>
      <c r="F26" s="4" t="str">
        <f t="array" aca="1" ref="F26" ca="1">IF(ROWS(F$3:F26)&lt;=SUMPRODUCT(--(TEXT(Tbl_Members[Last Promotion],"mmyyyy")=TEXT(TODAY(),"mmyyyy"))),INDEX(Tbl_Members[Gamertag],SMALL(IF(--(TEXT(Tbl_Members[Last Promotion],"mmyyyy")=TEXT(TODAY(),"mmyyyy")),ROW(Tbl_Members[Gamertag])-ROW('Manage Members'!$A$2)+1),ROWS(F$3:F26))),"")</f>
        <v/>
      </c>
      <c r="G26" s="106"/>
      <c r="I26" s="105"/>
      <c r="J26" s="4" t="str">
        <f t="array" aca="1" ref="J26" ca="1">IF(ROWS(J$3:J26)&lt;=SUMPRODUCT(--(TEXT(Tbl_Members[Date Recruited],"mmyyyy")=TEXT(TODAY(),"mmyyyy"))),INDEX(Tbl_Members[Gamertag],SMALL(IF(--(TEXT(Tbl_Members[Date Recruited],"mmyyyy")=TEXT(TODAY(),"mmyyyy")),ROW(Tbl_Members[Gamertag])-ROW('Manage Members'!$A$2)+1),ROWS(J$3:J26))),"")</f>
        <v/>
      </c>
      <c r="K26" s="106"/>
      <c r="M26" s="105"/>
      <c r="N26" s="4" t="str">
        <f t="array" aca="1" ref="N26" ca="1">IFERROR(IF(ROWS(N$3:N26)&lt;=SUMPRODUCT(--(TEXT(Tbl_Transfers_Removals[Date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Removals'!$A$2)+1)),ROWS(N$3:N26))),""),"")</f>
        <v/>
      </c>
      <c r="O26" s="106"/>
      <c r="Q26" s="105"/>
      <c r="R26" s="4" t="str">
        <f t="array" aca="1" ref="R26" ca="1">IFERROR(IF(ROWS(R$3:R26)&lt;=SUMPRODUCT(--(TEXT(Tbl_Transfers_Removals[Date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Removals'!$A$2)+1)),ROWS(R$3:R26))),""),"")</f>
        <v/>
      </c>
      <c r="S26" s="106"/>
      <c r="U26" s="105"/>
      <c r="V26" s="4" t="str">
        <f t="array" aca="1" ref="V26" ca="1">IFERROR(IF(ROWS(V$3:V26)&lt;=SUMPRODUCT(--(TEXT(Tbl_Transfers_Removals[Date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Removals'!$A$2)+1)),ROWS(V$3:V26))),""),"")</f>
        <v/>
      </c>
      <c r="W26" s="106"/>
    </row>
    <row r="27" spans="2:23" x14ac:dyDescent="0.25">
      <c r="E27" s="105"/>
      <c r="F27" s="4" t="str">
        <f t="array" aca="1" ref="F27" ca="1">IF(ROWS(F$3:F27)&lt;=SUMPRODUCT(--(TEXT(Tbl_Members[Last Promotion],"mmyyyy")=TEXT(TODAY(),"mmyyyy"))),INDEX(Tbl_Members[Gamertag],SMALL(IF(--(TEXT(Tbl_Members[Last Promotion],"mmyyyy")=TEXT(TODAY(),"mmyyyy")),ROW(Tbl_Members[Gamertag])-ROW('Manage Members'!$A$2)+1),ROWS(F$3:F27))),"")</f>
        <v/>
      </c>
      <c r="G27" s="106"/>
      <c r="I27" s="105"/>
      <c r="J27" s="4" t="str">
        <f t="array" aca="1" ref="J27" ca="1">IF(ROWS(J$3:J27)&lt;=SUMPRODUCT(--(TEXT(Tbl_Members[Date Recruited],"mmyyyy")=TEXT(TODAY(),"mmyyyy"))),INDEX(Tbl_Members[Gamertag],SMALL(IF(--(TEXT(Tbl_Members[Date Recruited],"mmyyyy")=TEXT(TODAY(),"mmyyyy")),ROW(Tbl_Members[Gamertag])-ROW('Manage Members'!$A$2)+1),ROWS(J$3:J27))),"")</f>
        <v/>
      </c>
      <c r="K27" s="106"/>
      <c r="M27" s="105"/>
      <c r="N27" s="4" t="str">
        <f t="array" aca="1" ref="N27" ca="1">IFERROR(IF(ROWS(N$3:N27)&lt;=SUMPRODUCT(--(TEXT(Tbl_Transfers_Removals[Date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Removals'!$A$2)+1)),ROWS(N$3:N27))),""),"")</f>
        <v/>
      </c>
      <c r="O27" s="106"/>
      <c r="Q27" s="105"/>
      <c r="R27" s="4" t="str">
        <f t="array" aca="1" ref="R27" ca="1">IFERROR(IF(ROWS(R$3:R27)&lt;=SUMPRODUCT(--(TEXT(Tbl_Transfers_Removals[Date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Removals'!$A$2)+1)),ROWS(R$3:R27))),""),"")</f>
        <v/>
      </c>
      <c r="S27" s="106"/>
      <c r="U27" s="105"/>
      <c r="V27" s="4" t="str">
        <f t="array" aca="1" ref="V27" ca="1">IFERROR(IF(ROWS(V$3:V27)&lt;=SUMPRODUCT(--(TEXT(Tbl_Transfers_Removals[Date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Removals'!$A$2)+1)),ROWS(V$3:V27))),""),"")</f>
        <v/>
      </c>
      <c r="W27" s="106"/>
    </row>
    <row r="28" spans="2:23" x14ac:dyDescent="0.25">
      <c r="E28" s="105"/>
      <c r="F28" s="4" t="str">
        <f t="array" aca="1" ref="F28" ca="1">IF(ROWS(F$3:F28)&lt;=SUMPRODUCT(--(TEXT(Tbl_Members[Last Promotion],"mmyyyy")=TEXT(TODAY(),"mmyyyy"))),INDEX(Tbl_Members[Gamertag],SMALL(IF(--(TEXT(Tbl_Members[Last Promotion],"mmyyyy")=TEXT(TODAY(),"mmyyyy")),ROW(Tbl_Members[Gamertag])-ROW('Manage Members'!$A$2)+1),ROWS(F$3:F28))),"")</f>
        <v/>
      </c>
      <c r="G28" s="106"/>
      <c r="I28" s="105"/>
      <c r="J28" s="4" t="str">
        <f t="array" aca="1" ref="J28" ca="1">IF(ROWS(J$3:J28)&lt;=SUMPRODUCT(--(TEXT(Tbl_Members[Date Recruited],"mmyyyy")=TEXT(TODAY(),"mmyyyy"))),INDEX(Tbl_Members[Gamertag],SMALL(IF(--(TEXT(Tbl_Members[Date Recruited],"mmyyyy")=TEXT(TODAY(),"mmyyyy")),ROW(Tbl_Members[Gamertag])-ROW('Manage Members'!$A$2)+1),ROWS(J$3:J28))),"")</f>
        <v/>
      </c>
      <c r="K28" s="106"/>
      <c r="M28" s="105"/>
      <c r="N28" s="4" t="str">
        <f t="array" aca="1" ref="N28" ca="1">IFERROR(IF(ROWS(N$3:N28)&lt;=SUMPRODUCT(--(TEXT(Tbl_Transfers_Removals[Date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Removals'!$A$2)+1)),ROWS(N$3:N28))),""),"")</f>
        <v/>
      </c>
      <c r="O28" s="106"/>
      <c r="Q28" s="105"/>
      <c r="R28" s="4" t="str">
        <f t="array" aca="1" ref="R28" ca="1">IFERROR(IF(ROWS(R$3:R28)&lt;=SUMPRODUCT(--(TEXT(Tbl_Transfers_Removals[Date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Removals'!$A$2)+1)),ROWS(R$3:R28))),""),"")</f>
        <v/>
      </c>
      <c r="S28" s="106"/>
      <c r="U28" s="105"/>
      <c r="V28" s="4" t="str">
        <f t="array" aca="1" ref="V28" ca="1">IFERROR(IF(ROWS(V$3:V28)&lt;=SUMPRODUCT(--(TEXT(Tbl_Transfers_Removals[Date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Removals'!$A$2)+1)),ROWS(V$3:V28))),""),"")</f>
        <v/>
      </c>
      <c r="W28" s="106"/>
    </row>
    <row r="29" spans="2:23" ht="15.75" thickBot="1" x14ac:dyDescent="0.3">
      <c r="E29" s="105"/>
      <c r="F29" s="4" t="str">
        <f t="array" aca="1" ref="F29" ca="1">IF(ROWS(F$3:F29)&lt;=SUMPRODUCT(--(TEXT(Tbl_Members[Last Promotion],"mmyyyy")=TEXT(TODAY(),"mmyyyy"))),INDEX(Tbl_Members[Gamertag],SMALL(IF(--(TEXT(Tbl_Members[Last Promotion],"mmyyyy")=TEXT(TODAY(),"mmyyyy")),ROW(Tbl_Members[Gamertag])-ROW('Manage Members'!$A$2)+1),ROWS(F$3:F29))),"")</f>
        <v/>
      </c>
      <c r="G29" s="106"/>
      <c r="I29" s="105"/>
      <c r="J29" s="4" t="str">
        <f t="array" aca="1" ref="J29" ca="1">IF(ROWS(J$3:J29)&lt;=SUMPRODUCT(--(TEXT(Tbl_Members[Date Recruited],"mmyyyy")=TEXT(TODAY(),"mmyyyy"))),INDEX(Tbl_Members[Gamertag],SMALL(IF(--(TEXT(Tbl_Members[Date Recruited],"mmyyyy")=TEXT(TODAY(),"mmyyyy")),ROW(Tbl_Members[Gamertag])-ROW('Manage Members'!$A$2)+1),ROWS(J$3:J29))),"")</f>
        <v/>
      </c>
      <c r="K29" s="106"/>
      <c r="M29" s="105"/>
      <c r="N29" s="4" t="str">
        <f t="array" aca="1" ref="N29" ca="1">IFERROR(IF(ROWS(N$3:N29)&lt;=SUMPRODUCT(--(TEXT(Tbl_Transfers_Removals[Date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Removals'!$A$2)+1)),ROWS(N$3:N29))),""),"")</f>
        <v/>
      </c>
      <c r="O29" s="106"/>
      <c r="Q29" s="105"/>
      <c r="R29" s="4" t="str">
        <f t="array" aca="1" ref="R29" ca="1">IFERROR(IF(ROWS(R$3:R29)&lt;=SUMPRODUCT(--(TEXT(Tbl_Transfers_Removals[Date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Removals'!$A$2)+1)),ROWS(R$3:R29))),""),"")</f>
        <v/>
      </c>
      <c r="S29" s="106"/>
      <c r="U29" s="105"/>
      <c r="V29" s="4" t="str">
        <f t="array" aca="1" ref="V29" ca="1">IFERROR(IF(ROWS(V$3:V29)&lt;=SUMPRODUCT(--(TEXT(Tbl_Transfers_Removals[Date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Removals'!$A$2)+1)),ROWS(V$3:V29))),""),"")</f>
        <v/>
      </c>
      <c r="W29" s="106"/>
    </row>
    <row r="30" spans="2:23" x14ac:dyDescent="0.25">
      <c r="B30" s="86" t="s">
        <v>55</v>
      </c>
      <c r="C30" s="111"/>
      <c r="E30" s="105"/>
      <c r="F30" s="4" t="str">
        <f t="array" aca="1" ref="F30" ca="1">IF(ROWS(F$3:F30)&lt;=SUMPRODUCT(--(TEXT(Tbl_Members[Last Promotion],"mmyyyy")=TEXT(TODAY(),"mmyyyy"))),INDEX(Tbl_Members[Gamertag],SMALL(IF(--(TEXT(Tbl_Members[Last Promotion],"mmyyyy")=TEXT(TODAY(),"mmyyyy")),ROW(Tbl_Members[Gamertag])-ROW('Manage Members'!$A$2)+1),ROWS(F$3:F30))),"")</f>
        <v/>
      </c>
      <c r="G30" s="106"/>
      <c r="I30" s="105"/>
      <c r="J30" s="4" t="str">
        <f t="array" aca="1" ref="J30" ca="1">IF(ROWS(J$3:J30)&lt;=SUMPRODUCT(--(TEXT(Tbl_Members[Date Recruited],"mmyyyy")=TEXT(TODAY(),"mmyyyy"))),INDEX(Tbl_Members[Gamertag],SMALL(IF(--(TEXT(Tbl_Members[Date Recruited],"mmyyyy")=TEXT(TODAY(),"mmyyyy")),ROW(Tbl_Members[Gamertag])-ROW('Manage Members'!$A$2)+1),ROWS(J$3:J30))),"")</f>
        <v/>
      </c>
      <c r="K30" s="106"/>
      <c r="M30" s="105"/>
      <c r="N30" s="4" t="str">
        <f t="array" aca="1" ref="N30" ca="1">IFERROR(IF(ROWS(N$3:N30)&lt;=SUMPRODUCT(--(TEXT(Tbl_Transfers_Removals[Date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Removals'!$A$2)+1)),ROWS(N$3:N30))),""),"")</f>
        <v/>
      </c>
      <c r="O30" s="106"/>
      <c r="Q30" s="105"/>
      <c r="R30" s="4" t="str">
        <f t="array" aca="1" ref="R30" ca="1">IFERROR(IF(ROWS(R$3:R30)&lt;=SUMPRODUCT(--(TEXT(Tbl_Transfers_Removals[Date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Removals'!$A$2)+1)),ROWS(R$3:R30))),""),"")</f>
        <v/>
      </c>
      <c r="S30" s="106"/>
      <c r="U30" s="105"/>
      <c r="V30" s="4" t="str">
        <f t="array" aca="1" ref="V30" ca="1">IFERROR(IF(ROWS(V$3:V30)&lt;=SUMPRODUCT(--(TEXT(Tbl_Transfers_Removals[Date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Removals'!$A$2)+1)),ROWS(V$3:V30))),""),"")</f>
        <v/>
      </c>
      <c r="W30" s="106"/>
    </row>
    <row r="31" spans="2:23" x14ac:dyDescent="0.25">
      <c r="B31" s="112"/>
      <c r="C31" s="113"/>
      <c r="E31" s="105"/>
      <c r="F31" s="4" t="str">
        <f t="array" aca="1" ref="F31" ca="1">IF(ROWS(F$3:F31)&lt;=SUMPRODUCT(--(TEXT(Tbl_Members[Last Promotion],"mmyyyy")=TEXT(TODAY(),"mmyyyy"))),INDEX(Tbl_Members[Gamertag],SMALL(IF(--(TEXT(Tbl_Members[Last Promotion],"mmyyyy")=TEXT(TODAY(),"mmyyyy")),ROW(Tbl_Members[Gamertag])-ROW('Manage Members'!$A$2)+1),ROWS(F$3:F31))),"")</f>
        <v/>
      </c>
      <c r="G31" s="106"/>
      <c r="I31" s="105"/>
      <c r="J31" s="4" t="str">
        <f t="array" aca="1" ref="J31" ca="1">IF(ROWS(J$3:J31)&lt;=SUMPRODUCT(--(TEXT(Tbl_Members[Date Recruited],"mmyyyy")=TEXT(TODAY(),"mmyyyy"))),INDEX(Tbl_Members[Gamertag],SMALL(IF(--(TEXT(Tbl_Members[Date Recruited],"mmyyyy")=TEXT(TODAY(),"mmyyyy")),ROW(Tbl_Members[Gamertag])-ROW('Manage Members'!$A$2)+1),ROWS(J$3:J31))),"")</f>
        <v/>
      </c>
      <c r="K31" s="106"/>
      <c r="M31" s="105"/>
      <c r="N31" s="4" t="str">
        <f t="array" aca="1" ref="N31" ca="1">IFERROR(IF(ROWS(N$3:N31)&lt;=SUMPRODUCT(--(TEXT(Tbl_Transfers_Removals[Date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Removals'!$A$2)+1)),ROWS(N$3:N31))),""),"")</f>
        <v/>
      </c>
      <c r="O31" s="106"/>
      <c r="Q31" s="105"/>
      <c r="R31" s="4" t="str">
        <f t="array" aca="1" ref="R31" ca="1">IFERROR(IF(ROWS(R$3:R31)&lt;=SUMPRODUCT(--(TEXT(Tbl_Transfers_Removals[Date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Removals'!$A$2)+1)),ROWS(R$3:R31))),""),"")</f>
        <v/>
      </c>
      <c r="S31" s="106"/>
      <c r="U31" s="105"/>
      <c r="V31" s="4" t="str">
        <f t="array" aca="1" ref="V31" ca="1">IFERROR(IF(ROWS(V$3:V31)&lt;=SUMPRODUCT(--(TEXT(Tbl_Transfers_Removals[Date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Removals'!$A$2)+1)),ROWS(V$3:V31))),""),"")</f>
        <v/>
      </c>
      <c r="W31" s="106"/>
    </row>
    <row r="32" spans="2:23" x14ac:dyDescent="0.25">
      <c r="B32" s="112"/>
      <c r="C32" s="113"/>
      <c r="E32" s="105"/>
      <c r="F32" s="4" t="str">
        <f t="array" aca="1" ref="F32" ca="1">IF(ROWS(F$3:F32)&lt;=SUMPRODUCT(--(TEXT(Tbl_Members[Last Promotion],"mmyyyy")=TEXT(TODAY(),"mmyyyy"))),INDEX(Tbl_Members[Gamertag],SMALL(IF(--(TEXT(Tbl_Members[Last Promotion],"mmyyyy")=TEXT(TODAY(),"mmyyyy")),ROW(Tbl_Members[Gamertag])-ROW('Manage Members'!$A$2)+1),ROWS(F$3:F32))),"")</f>
        <v/>
      </c>
      <c r="G32" s="106"/>
      <c r="I32" s="105"/>
      <c r="J32" s="4" t="str">
        <f t="array" aca="1" ref="J32" ca="1">IF(ROWS(J$3:J32)&lt;=SUMPRODUCT(--(TEXT(Tbl_Members[Date Recruited],"mmyyyy")=TEXT(TODAY(),"mmyyyy"))),INDEX(Tbl_Members[Gamertag],SMALL(IF(--(TEXT(Tbl_Members[Date Recruited],"mmyyyy")=TEXT(TODAY(),"mmyyyy")),ROW(Tbl_Members[Gamertag])-ROW('Manage Members'!$A$2)+1),ROWS(J$3:J32))),"")</f>
        <v/>
      </c>
      <c r="K32" s="106"/>
      <c r="M32" s="105"/>
      <c r="N32" s="4" t="str">
        <f t="array" aca="1" ref="N32" ca="1">IFERROR(IF(ROWS(N$3:N32)&lt;=SUMPRODUCT(--(TEXT(Tbl_Transfers_Removals[Date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Removals'!$A$2)+1)),ROWS(N$3:N32))),""),"")</f>
        <v/>
      </c>
      <c r="O32" s="106"/>
      <c r="Q32" s="105"/>
      <c r="R32" s="4" t="str">
        <f t="array" aca="1" ref="R32" ca="1">IFERROR(IF(ROWS(R$3:R32)&lt;=SUMPRODUCT(--(TEXT(Tbl_Transfers_Removals[Date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Removals'!$A$2)+1)),ROWS(R$3:R32))),""),"")</f>
        <v/>
      </c>
      <c r="S32" s="106"/>
      <c r="U32" s="105"/>
      <c r="V32" s="4" t="str">
        <f t="array" aca="1" ref="V32" ca="1">IFERROR(IF(ROWS(V$3:V32)&lt;=SUMPRODUCT(--(TEXT(Tbl_Transfers_Removals[Date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Removals'!$A$2)+1)),ROWS(V$3:V32))),""),"")</f>
        <v/>
      </c>
      <c r="W32" s="106"/>
    </row>
    <row r="33" spans="2:23" x14ac:dyDescent="0.25">
      <c r="B33" s="112"/>
      <c r="C33" s="113"/>
      <c r="E33" s="105"/>
      <c r="F33" s="4" t="str">
        <f t="array" aca="1" ref="F33" ca="1">IF(ROWS(F$3:F33)&lt;=SUMPRODUCT(--(TEXT(Tbl_Members[Last Promotion],"mmyyyy")=TEXT(TODAY(),"mmyyyy"))),INDEX(Tbl_Members[Gamertag],SMALL(IF(--(TEXT(Tbl_Members[Last Promotion],"mmyyyy")=TEXT(TODAY(),"mmyyyy")),ROW(Tbl_Members[Gamertag])-ROW('Manage Members'!$A$2)+1),ROWS(F$3:F33))),"")</f>
        <v/>
      </c>
      <c r="G33" s="106"/>
      <c r="I33" s="105"/>
      <c r="J33" s="4" t="str">
        <f t="array" aca="1" ref="J33" ca="1">IF(ROWS(J$3:J33)&lt;=SUMPRODUCT(--(TEXT(Tbl_Members[Date Recruited],"mmyyyy")=TEXT(TODAY(),"mmyyyy"))),INDEX(Tbl_Members[Gamertag],SMALL(IF(--(TEXT(Tbl_Members[Date Recruited],"mmyyyy")=TEXT(TODAY(),"mmyyyy")),ROW(Tbl_Members[Gamertag])-ROW('Manage Members'!$A$2)+1),ROWS(J$3:J33))),"")</f>
        <v/>
      </c>
      <c r="K33" s="106"/>
      <c r="M33" s="105"/>
      <c r="N33" s="4" t="str">
        <f t="array" aca="1" ref="N33" ca="1">IFERROR(IF(ROWS(N$3:N33)&lt;=SUMPRODUCT(--(TEXT(Tbl_Transfers_Removals[Date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Removals'!$A$2)+1)),ROWS(N$3:N33))),""),"")</f>
        <v/>
      </c>
      <c r="O33" s="106"/>
      <c r="Q33" s="105"/>
      <c r="R33" s="4" t="str">
        <f t="array" aca="1" ref="R33" ca="1">IFERROR(IF(ROWS(R$3:R33)&lt;=SUMPRODUCT(--(TEXT(Tbl_Transfers_Removals[Date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Removals'!$A$2)+1)),ROWS(R$3:R33))),""),"")</f>
        <v/>
      </c>
      <c r="S33" s="106"/>
      <c r="U33" s="105"/>
      <c r="V33" s="4" t="str">
        <f t="array" aca="1" ref="V33" ca="1">IFERROR(IF(ROWS(V$3:V33)&lt;=SUMPRODUCT(--(TEXT(Tbl_Transfers_Removals[Date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Removals'!$A$2)+1)),ROWS(V$3:V33))),""),"")</f>
        <v/>
      </c>
      <c r="W33" s="106"/>
    </row>
    <row r="34" spans="2:23" x14ac:dyDescent="0.25">
      <c r="B34" s="112"/>
      <c r="C34" s="113"/>
      <c r="E34" s="105"/>
      <c r="F34" s="4" t="str">
        <f t="array" aca="1" ref="F34" ca="1">IF(ROWS(F$3:F34)&lt;=SUMPRODUCT(--(TEXT(Tbl_Members[Last Promotion],"mmyyyy")=TEXT(TODAY(),"mmyyyy"))),INDEX(Tbl_Members[Gamertag],SMALL(IF(--(TEXT(Tbl_Members[Last Promotion],"mmyyyy")=TEXT(TODAY(),"mmyyyy")),ROW(Tbl_Members[Gamertag])-ROW('Manage Members'!$A$2)+1),ROWS(F$3:F34))),"")</f>
        <v/>
      </c>
      <c r="G34" s="106"/>
      <c r="I34" s="105"/>
      <c r="J34" s="4" t="str">
        <f t="array" aca="1" ref="J34" ca="1">IF(ROWS(J$3:J34)&lt;=SUMPRODUCT(--(TEXT(Tbl_Members[Date Recruited],"mmyyyy")=TEXT(TODAY(),"mmyyyy"))),INDEX(Tbl_Members[Gamertag],SMALL(IF(--(TEXT(Tbl_Members[Date Recruited],"mmyyyy")=TEXT(TODAY(),"mmyyyy")),ROW(Tbl_Members[Gamertag])-ROW('Manage Members'!$A$2)+1),ROWS(J$3:J34))),"")</f>
        <v/>
      </c>
      <c r="K34" s="106"/>
      <c r="M34" s="105"/>
      <c r="N34" s="4" t="str">
        <f t="array" aca="1" ref="N34" ca="1">IFERROR(IF(ROWS(N$3:N34)&lt;=SUMPRODUCT(--(TEXT(Tbl_Transfers_Removals[Date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Removals'!$A$2)+1)),ROWS(N$3:N34))),""),"")</f>
        <v/>
      </c>
      <c r="O34" s="106"/>
      <c r="Q34" s="105"/>
      <c r="R34" s="4" t="str">
        <f t="array" aca="1" ref="R34" ca="1">IFERROR(IF(ROWS(R$3:R34)&lt;=SUMPRODUCT(--(TEXT(Tbl_Transfers_Removals[Date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Removals'!$A$2)+1)),ROWS(R$3:R34))),""),"")</f>
        <v/>
      </c>
      <c r="S34" s="106"/>
      <c r="U34" s="105"/>
      <c r="V34" s="4" t="str">
        <f t="array" aca="1" ref="V34" ca="1">IFERROR(IF(ROWS(V$3:V34)&lt;=SUMPRODUCT(--(TEXT(Tbl_Transfers_Removals[Date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Removals'!$A$2)+1)),ROWS(V$3:V34))),""),"")</f>
        <v/>
      </c>
      <c r="W34" s="106"/>
    </row>
    <row r="35" spans="2:23" x14ac:dyDescent="0.25">
      <c r="B35" s="112"/>
      <c r="C35" s="113"/>
      <c r="E35" s="105"/>
      <c r="F35" s="4" t="str">
        <f t="array" aca="1" ref="F35" ca="1">IF(ROWS(F$3:F35)&lt;=SUMPRODUCT(--(TEXT(Tbl_Members[Last Promotion],"mmyyyy")=TEXT(TODAY(),"mmyyyy"))),INDEX(Tbl_Members[Gamertag],SMALL(IF(--(TEXT(Tbl_Members[Last Promotion],"mmyyyy")=TEXT(TODAY(),"mmyyyy")),ROW(Tbl_Members[Gamertag])-ROW('Manage Members'!$A$2)+1),ROWS(F$3:F35))),"")</f>
        <v/>
      </c>
      <c r="G35" s="106"/>
      <c r="I35" s="105"/>
      <c r="J35" s="4" t="str">
        <f t="array" aca="1" ref="J35" ca="1">IF(ROWS(J$3:J35)&lt;=SUMPRODUCT(--(TEXT(Tbl_Members[Date Recruited],"mmyyyy")=TEXT(TODAY(),"mmyyyy"))),INDEX(Tbl_Members[Gamertag],SMALL(IF(--(TEXT(Tbl_Members[Date Recruited],"mmyyyy")=TEXT(TODAY(),"mmyyyy")),ROW(Tbl_Members[Gamertag])-ROW('Manage Members'!$A$2)+1),ROWS(J$3:J35))),"")</f>
        <v/>
      </c>
      <c r="K35" s="106"/>
      <c r="M35" s="105"/>
      <c r="N35" s="4" t="str">
        <f t="array" aca="1" ref="N35" ca="1">IFERROR(IF(ROWS(N$3:N35)&lt;=SUMPRODUCT(--(TEXT(Tbl_Transfers_Removals[Date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Removals'!$A$2)+1)),ROWS(N$3:N35))),""),"")</f>
        <v/>
      </c>
      <c r="O35" s="106"/>
      <c r="Q35" s="105"/>
      <c r="R35" s="4" t="str">
        <f t="array" aca="1" ref="R35" ca="1">IFERROR(IF(ROWS(R$3:R35)&lt;=SUMPRODUCT(--(TEXT(Tbl_Transfers_Removals[Date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Removals'!$A$2)+1)),ROWS(R$3:R35))),""),"")</f>
        <v/>
      </c>
      <c r="S35" s="106"/>
      <c r="U35" s="105"/>
      <c r="V35" s="4" t="str">
        <f t="array" aca="1" ref="V35" ca="1">IFERROR(IF(ROWS(V$3:V35)&lt;=SUMPRODUCT(--(TEXT(Tbl_Transfers_Removals[Date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Removals'!$A$2)+1)),ROWS(V$3:V35))),""),"")</f>
        <v/>
      </c>
      <c r="W35" s="106"/>
    </row>
    <row r="36" spans="2:23" ht="15.75" thickBot="1" x14ac:dyDescent="0.3">
      <c r="B36" s="114"/>
      <c r="C36" s="115"/>
      <c r="E36" s="116"/>
      <c r="F36" s="117" t="str">
        <f t="array" aca="1" ref="F36" ca="1">IF(ROWS(F$3:F36)&lt;=SUMPRODUCT(--(TEXT(Tbl_Members[Last Promotion],"mmyyyy")=TEXT(TODAY(),"mmyyyy"))),INDEX(Tbl_Members[Gamertag],SMALL(IF(--(TEXT(Tbl_Members[Last Promotion],"mmyyyy")=TEXT(TODAY(),"mmyyyy")),ROW(Tbl_Members[Gamertag])-ROW('Manage Members'!$A$2)+1),ROWS(F$3:F36))),"")</f>
        <v/>
      </c>
      <c r="G36" s="118"/>
      <c r="I36" s="116"/>
      <c r="J36" s="117" t="str">
        <f t="array" aca="1" ref="J36" ca="1">IF(ROWS(J$3:J36)&lt;=SUMPRODUCT(--(TEXT(Tbl_Members[Date Recruited],"mmyyyy")=TEXT(TODAY(),"mmyyyy"))),INDEX(Tbl_Members[Gamertag],SMALL(IF(--(TEXT(Tbl_Members[Date Recruited],"mmyyyy")=TEXT(TODAY(),"mmyyyy")),ROW(Tbl_Members[Gamertag])-ROW('Manage Members'!$A$2)+1),ROWS(J$3:J36))),"")</f>
        <v/>
      </c>
      <c r="K36" s="118"/>
      <c r="M36" s="116"/>
      <c r="N36" s="117" t="str">
        <f t="array" aca="1" ref="N36" ca="1">IFERROR(IF(ROWS(N$3:N36)&lt;=SUMPRODUCT(--(TEXT(Tbl_Transfers_Removals[Date Removed or Transferred],"MMYYYY")=TEXT(TODAY(),"MMYYYY"))),INDEX(Tbl_Transfers_Removals[Gamertag],SMALL(IF(--(TEXT(Tbl_Transfers_Removals[Date Removed or Transferred],"MMYYYY")=TEXT(TODAY(),"MMYYYY")),IF(--(Tbl_Transfers_Removals[Removal or Transfer]="Removal"),ROW(Tbl_Transfers_Removals[Gamertag])-ROW('Transfers &amp; Removals'!$A$2)+1)),ROWS(N$3:N36))),""),"")</f>
        <v/>
      </c>
      <c r="O36" s="118"/>
      <c r="Q36" s="116"/>
      <c r="R36" s="117" t="str">
        <f t="array" aca="1" ref="R36" ca="1">IFERROR(IF(ROWS(R$3:R36)&lt;=SUMPRODUCT(--(TEXT(Tbl_Transfers_Removals[Date Removed or Transferred],"MMYYYY")=TEXT(TODAY(),"MMYYYY"))),INDEX(Tbl_Transfers_Removals[Gamertag],SMALL(IF(--(TEXT(Tbl_Transfers_Removals[Date Removed or Transferred],"MMYYYY")=TEXT(TODAY(),"MMYYYY")),IF(--(Tbl_Transfers_Removals[Removal or Transfer]="Transfer In"),ROW(Tbl_Transfers_Removals[Gamertag])-ROW('Transfers &amp; Removals'!$A$2)+1)),ROWS(R$3:R36))),""),"")</f>
        <v/>
      </c>
      <c r="S36" s="118"/>
      <c r="U36" s="116"/>
      <c r="V36" s="117" t="str">
        <f t="array" aca="1" ref="V36" ca="1">IFERROR(IF(ROWS(V$3:V36)&lt;=SUMPRODUCT(--(TEXT(Tbl_Transfers_Removals[Date Removed or Transferred],"MMYYYY")=TEXT(TODAY(),"MMYYYY"))),INDEX(Tbl_Transfers_Removals[Gamertag],SMALL(IF(--(TEXT(Tbl_Transfers_Removals[Date Removed or Transferred],"MMYYYY")=TEXT(TODAY(),"MMYYYY")),IF(--(Tbl_Transfers_Removals[Removal or Transfer]="Transfer Out"),ROW(Tbl_Transfers_Removals[Gamertag])-ROW('Transfers &amp; Removals'!$A$2)+1)),ROWS(V$3:V36))),""),"")</f>
        <v/>
      </c>
      <c r="W36" s="118"/>
    </row>
  </sheetData>
  <sheetProtection algorithmName="SHA-512" hashValue="D3zcvbZOCOxOBPAIl221HhxTZ+E86l6xFfRB9Xo8GTqZQ2gpaIakQNoFS8QsVF4gqj5gw3rMYxbih5pVEy0SWg==" saltValue="CWo4OWMmaajlXoL/eA5Eeg==" spinCount="100000" sheet="1" objects="1" scenarios="1"/>
  <customSheetViews>
    <customSheetView guid="{910B280B-1D41-4475-992A-3EE03647ECB3}" scale="98" hiddenColumns="1">
      <pageMargins left="0" right="0" top="0" bottom="0" header="0" footer="0"/>
      <pageSetup orientation="portrait" r:id="rId1"/>
    </customSheetView>
  </customSheetViews>
  <mergeCells count="1">
    <mergeCell ref="B30:C36"/>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120"/>
  <sheetViews>
    <sheetView workbookViewId="0">
      <pane xSplit="1" topLeftCell="B1" activePane="topRight" state="frozen"/>
      <selection pane="topRight" activeCell="A2" sqref="A2"/>
    </sheetView>
  </sheetViews>
  <sheetFormatPr defaultColWidth="8.85546875" defaultRowHeight="30" customHeight="1" x14ac:dyDescent="0.25"/>
  <cols>
    <col min="1" max="1" width="29.42578125" style="40" customWidth="1"/>
    <col min="2" max="2" width="9.85546875" style="40" customWidth="1"/>
    <col min="3" max="3" width="19" style="36" bestFit="1" customWidth="1"/>
    <col min="4" max="4" width="15" style="36" bestFit="1" customWidth="1"/>
    <col min="5" max="5" width="18.85546875" style="36" bestFit="1" customWidth="1"/>
    <col min="6" max="6" width="8.42578125" style="40" customWidth="1"/>
    <col min="7" max="7" width="18.28515625" style="36" customWidth="1"/>
    <col min="8" max="8" width="13.85546875" style="2" customWidth="1"/>
    <col min="9" max="9" width="21.42578125" style="40" bestFit="1" customWidth="1"/>
    <col min="10" max="10" width="46.42578125" style="40" customWidth="1"/>
    <col min="11" max="11" width="20.28515625" style="104" customWidth="1"/>
    <col min="12" max="12" width="19.28515625" style="40" bestFit="1" customWidth="1"/>
    <col min="13" max="13" width="38.5703125" style="40" customWidth="1"/>
    <col min="14" max="14" width="36.42578125" style="40" customWidth="1"/>
    <col min="15" max="15" width="12.5703125" style="40" bestFit="1" customWidth="1"/>
    <col min="16" max="16" width="13.42578125" style="40" bestFit="1" customWidth="1"/>
    <col min="17" max="17" width="13.42578125" style="2" bestFit="1" customWidth="1"/>
    <col min="18" max="18" width="9.140625" style="2" customWidth="1"/>
    <col min="19" max="16384" width="8.85546875" style="2"/>
  </cols>
  <sheetData>
    <row r="1" spans="1:16" s="33" customFormat="1" ht="30" customHeight="1" x14ac:dyDescent="0.25">
      <c r="A1" s="119" t="s">
        <v>0</v>
      </c>
      <c r="B1" s="119" t="s">
        <v>1</v>
      </c>
      <c r="C1" s="27" t="s">
        <v>2</v>
      </c>
      <c r="D1" s="27" t="s">
        <v>4</v>
      </c>
      <c r="E1" s="27" t="s">
        <v>6</v>
      </c>
      <c r="F1" s="119" t="s">
        <v>8</v>
      </c>
      <c r="G1" s="27" t="s">
        <v>30</v>
      </c>
      <c r="H1" s="119" t="s">
        <v>31</v>
      </c>
      <c r="I1" s="119" t="s">
        <v>32</v>
      </c>
      <c r="J1" s="119" t="s">
        <v>33</v>
      </c>
      <c r="K1" s="119" t="s">
        <v>34</v>
      </c>
      <c r="L1" s="119" t="s">
        <v>35</v>
      </c>
      <c r="M1" s="119" t="s">
        <v>19</v>
      </c>
      <c r="N1" s="119" t="s">
        <v>36</v>
      </c>
      <c r="O1" s="120" t="s">
        <v>37</v>
      </c>
    </row>
    <row r="2" spans="1:16" ht="30" customHeight="1" x14ac:dyDescent="0.25">
      <c r="A2" s="122"/>
      <c r="B2" s="50"/>
      <c r="C2" s="49"/>
      <c r="D2" s="49"/>
      <c r="E2" s="49"/>
      <c r="F2" s="123"/>
      <c r="G2" s="124"/>
      <c r="H2" s="123"/>
      <c r="I2" s="123" t="str">
        <f>IF(OR(Tbl_Transfers_Removals[[#This Row],[Removal or Transfer]]="Removal",Tbl_Transfers_Removals[[#This Row],[Removal or Transfer]]="Transfer Out"),'Forum Rosters'!$C$1,"")</f>
        <v/>
      </c>
      <c r="J2" s="123"/>
      <c r="K2" s="123"/>
      <c r="L2" s="123"/>
      <c r="M2" s="123"/>
      <c r="N2" s="125"/>
      <c r="O2" s="126"/>
      <c r="P2" s="2"/>
    </row>
    <row r="3" spans="1:16" s="121" customFormat="1" ht="30" customHeight="1" x14ac:dyDescent="0.25">
      <c r="A3" s="127"/>
      <c r="B3" s="128"/>
      <c r="C3" s="49"/>
      <c r="D3" s="129"/>
      <c r="E3" s="129"/>
      <c r="F3" s="123"/>
      <c r="G3" s="130"/>
      <c r="H3" s="131"/>
      <c r="I3" s="123" t="str">
        <f>IF(OR(Tbl_Transfers_Removals[[#This Row],[Removal or Transfer]]="Removal",Tbl_Transfers_Removals[[#This Row],[Removal or Transfer]]="Transfer Out"),'Forum Rosters'!$C$1,"")</f>
        <v/>
      </c>
      <c r="J3" s="123"/>
      <c r="K3" s="132"/>
      <c r="L3" s="132"/>
      <c r="M3" s="131"/>
      <c r="N3" s="133"/>
      <c r="O3" s="126"/>
    </row>
    <row r="4" spans="1:16" ht="30" customHeight="1" x14ac:dyDescent="0.25">
      <c r="A4" s="122"/>
      <c r="B4" s="50"/>
      <c r="C4" s="49"/>
      <c r="D4" s="49"/>
      <c r="E4" s="49"/>
      <c r="F4" s="123"/>
      <c r="G4" s="124"/>
      <c r="H4" s="123"/>
      <c r="I4" s="123" t="str">
        <f>IF(OR(Tbl_Transfers_Removals[[#This Row],[Removal or Transfer]]="Removal",Tbl_Transfers_Removals[[#This Row],[Removal or Transfer]]="Transfer Out"),'Forum Rosters'!$C$1,"")</f>
        <v/>
      </c>
      <c r="J4" s="123"/>
      <c r="K4" s="123"/>
      <c r="L4" s="123"/>
      <c r="M4" s="123"/>
      <c r="N4" s="125"/>
      <c r="O4" s="126"/>
      <c r="P4" s="2"/>
    </row>
    <row r="5" spans="1:16" s="121" customFormat="1" ht="30" customHeight="1" x14ac:dyDescent="0.25">
      <c r="A5" s="47"/>
      <c r="B5" s="128"/>
      <c r="C5" s="49"/>
      <c r="D5" s="129"/>
      <c r="E5" s="129"/>
      <c r="F5" s="123"/>
      <c r="G5" s="130"/>
      <c r="H5" s="131"/>
      <c r="I5" s="123" t="str">
        <f>IF(OR(Tbl_Transfers_Removals[[#This Row],[Removal or Transfer]]="Removal",Tbl_Transfers_Removals[[#This Row],[Removal or Transfer]]="Transfer Out"),'Forum Rosters'!$C$1,"")</f>
        <v/>
      </c>
      <c r="J5" s="123"/>
      <c r="K5" s="123"/>
      <c r="L5" s="123"/>
      <c r="M5" s="131"/>
      <c r="N5" s="133"/>
      <c r="O5" s="126"/>
    </row>
    <row r="6" spans="1:16" ht="30" customHeight="1" x14ac:dyDescent="0.25">
      <c r="A6" s="47"/>
      <c r="B6" s="50"/>
      <c r="C6" s="49"/>
      <c r="D6" s="49"/>
      <c r="E6" s="49"/>
      <c r="F6" s="123"/>
      <c r="G6" s="124"/>
      <c r="H6" s="123"/>
      <c r="I6" s="123" t="str">
        <f>IF(OR(Tbl_Transfers_Removals[[#This Row],[Removal or Transfer]]="Removal",Tbl_Transfers_Removals[[#This Row],[Removal or Transfer]]="Transfer Out"),'Forum Rosters'!$C$1,"")</f>
        <v/>
      </c>
      <c r="J6" s="123"/>
      <c r="K6" s="123"/>
      <c r="L6" s="123"/>
      <c r="M6" s="123"/>
      <c r="N6" s="125"/>
      <c r="O6" s="126"/>
      <c r="P6" s="2"/>
    </row>
    <row r="7" spans="1:16" s="121" customFormat="1" ht="30" customHeight="1" x14ac:dyDescent="0.25">
      <c r="A7" s="47"/>
      <c r="B7" s="128"/>
      <c r="C7" s="49"/>
      <c r="D7" s="129"/>
      <c r="E7" s="129"/>
      <c r="F7" s="123"/>
      <c r="G7" s="130"/>
      <c r="H7" s="131"/>
      <c r="I7" s="123" t="str">
        <f>IF(OR(Tbl_Transfers_Removals[[#This Row],[Removal or Transfer]]="Removal",Tbl_Transfers_Removals[[#This Row],[Removal or Transfer]]="Transfer Out"),'Forum Rosters'!$C$1,"")</f>
        <v/>
      </c>
      <c r="J7" s="123"/>
      <c r="K7" s="123"/>
      <c r="L7" s="123"/>
      <c r="M7" s="131"/>
      <c r="N7" s="133"/>
      <c r="O7" s="126"/>
    </row>
    <row r="8" spans="1:16" ht="30" customHeight="1" x14ac:dyDescent="0.25">
      <c r="A8" s="47"/>
      <c r="B8" s="50"/>
      <c r="C8" s="49"/>
      <c r="D8" s="49"/>
      <c r="E8" s="49"/>
      <c r="F8" s="123"/>
      <c r="G8" s="124"/>
      <c r="H8" s="123"/>
      <c r="I8" s="123" t="str">
        <f>IF(OR(Tbl_Transfers_Removals[[#This Row],[Removal or Transfer]]="Removal",Tbl_Transfers_Removals[[#This Row],[Removal or Transfer]]="Transfer Out"),'Forum Rosters'!$C$1,"")</f>
        <v/>
      </c>
      <c r="J8" s="123"/>
      <c r="K8" s="123"/>
      <c r="L8" s="123"/>
      <c r="M8" s="123"/>
      <c r="N8" s="125"/>
      <c r="O8" s="126"/>
      <c r="P8" s="2"/>
    </row>
    <row r="9" spans="1:16" s="121" customFormat="1" ht="30" customHeight="1" x14ac:dyDescent="0.25">
      <c r="A9" s="47"/>
      <c r="B9" s="128"/>
      <c r="C9" s="49"/>
      <c r="D9" s="129"/>
      <c r="E9" s="129"/>
      <c r="F9" s="123"/>
      <c r="G9" s="130"/>
      <c r="H9" s="131"/>
      <c r="I9" s="123" t="str">
        <f>IF(OR(Tbl_Transfers_Removals[[#This Row],[Removal or Transfer]]="Removal",Tbl_Transfers_Removals[[#This Row],[Removal or Transfer]]="Transfer Out"),'Forum Rosters'!$C$1,"")</f>
        <v/>
      </c>
      <c r="J9" s="123"/>
      <c r="K9" s="123"/>
      <c r="L9" s="123"/>
      <c r="M9" s="131"/>
      <c r="N9" s="133"/>
      <c r="O9" s="126"/>
    </row>
    <row r="10" spans="1:16" ht="30" customHeight="1" x14ac:dyDescent="0.25">
      <c r="A10" s="47"/>
      <c r="B10" s="50"/>
      <c r="C10" s="49"/>
      <c r="D10" s="49"/>
      <c r="E10" s="49"/>
      <c r="F10" s="123"/>
      <c r="G10" s="124"/>
      <c r="H10" s="123"/>
      <c r="I10" s="123" t="str">
        <f>IF(OR(Tbl_Transfers_Removals[[#This Row],[Removal or Transfer]]="Removal",Tbl_Transfers_Removals[[#This Row],[Removal or Transfer]]="Transfer Out"),'Forum Rosters'!$C$1,"")</f>
        <v/>
      </c>
      <c r="J10" s="123"/>
      <c r="K10" s="123"/>
      <c r="L10" s="123"/>
      <c r="M10" s="123"/>
      <c r="N10" s="125"/>
      <c r="O10" s="126"/>
      <c r="P10" s="2"/>
    </row>
    <row r="11" spans="1:16" s="121" customFormat="1" ht="30" customHeight="1" x14ac:dyDescent="0.25">
      <c r="A11" s="47"/>
      <c r="B11" s="128"/>
      <c r="C11" s="49"/>
      <c r="D11" s="129"/>
      <c r="E11" s="129"/>
      <c r="F11" s="123"/>
      <c r="G11" s="130"/>
      <c r="H11" s="131"/>
      <c r="I11" s="123" t="str">
        <f>IF(OR(Tbl_Transfers_Removals[[#This Row],[Removal or Transfer]]="Removal",Tbl_Transfers_Removals[[#This Row],[Removal or Transfer]]="Transfer Out"),'Forum Rosters'!$C$1,"")</f>
        <v/>
      </c>
      <c r="J11" s="123"/>
      <c r="K11" s="123"/>
      <c r="L11" s="123"/>
      <c r="M11" s="131"/>
      <c r="N11" s="133"/>
      <c r="O11" s="126"/>
    </row>
    <row r="12" spans="1:16" ht="30" customHeight="1" x14ac:dyDescent="0.25">
      <c r="A12" s="47"/>
      <c r="B12" s="50"/>
      <c r="C12" s="49"/>
      <c r="D12" s="49"/>
      <c r="E12" s="49"/>
      <c r="F12" s="123"/>
      <c r="G12" s="124"/>
      <c r="H12" s="123"/>
      <c r="I12" s="123" t="str">
        <f>IF(OR(Tbl_Transfers_Removals[[#This Row],[Removal or Transfer]]="Removal",Tbl_Transfers_Removals[[#This Row],[Removal or Transfer]]="Transfer Out"),'Forum Rosters'!$C$1,"")</f>
        <v/>
      </c>
      <c r="J12" s="123"/>
      <c r="K12" s="123"/>
      <c r="L12" s="123"/>
      <c r="M12" s="123"/>
      <c r="N12" s="125"/>
      <c r="O12" s="126"/>
      <c r="P12" s="2"/>
    </row>
    <row r="13" spans="1:16" s="121" customFormat="1" ht="30" customHeight="1" x14ac:dyDescent="0.25">
      <c r="A13" s="47"/>
      <c r="B13" s="128"/>
      <c r="C13" s="49"/>
      <c r="D13" s="129"/>
      <c r="E13" s="129"/>
      <c r="F13" s="123"/>
      <c r="G13" s="130"/>
      <c r="H13" s="131"/>
      <c r="I13" s="123" t="str">
        <f>IF(OR(Tbl_Transfers_Removals[[#This Row],[Removal or Transfer]]="Removal",Tbl_Transfers_Removals[[#This Row],[Removal or Transfer]]="Transfer Out"),'Forum Rosters'!$C$1,"")</f>
        <v/>
      </c>
      <c r="J13" s="123"/>
      <c r="K13" s="123"/>
      <c r="L13" s="123"/>
      <c r="M13" s="131"/>
      <c r="N13" s="133"/>
      <c r="O13" s="126"/>
    </row>
    <row r="14" spans="1:16" ht="30" customHeight="1" x14ac:dyDescent="0.25">
      <c r="A14" s="47"/>
      <c r="B14" s="50"/>
      <c r="C14" s="49"/>
      <c r="D14" s="49"/>
      <c r="E14" s="49"/>
      <c r="F14" s="123"/>
      <c r="G14" s="124"/>
      <c r="H14" s="123"/>
      <c r="I14" s="123" t="str">
        <f>IF(OR(Tbl_Transfers_Removals[[#This Row],[Removal or Transfer]]="Removal",Tbl_Transfers_Removals[[#This Row],[Removal or Transfer]]="Transfer Out"),'Forum Rosters'!$C$1,"")</f>
        <v/>
      </c>
      <c r="J14" s="123"/>
      <c r="K14" s="123"/>
      <c r="L14" s="123"/>
      <c r="M14" s="123"/>
      <c r="N14" s="125"/>
      <c r="O14" s="126"/>
      <c r="P14" s="2"/>
    </row>
    <row r="15" spans="1:16" s="121" customFormat="1" ht="30" customHeight="1" x14ac:dyDescent="0.25">
      <c r="A15" s="47"/>
      <c r="B15" s="128"/>
      <c r="C15" s="49"/>
      <c r="D15" s="129"/>
      <c r="E15" s="129"/>
      <c r="F15" s="123"/>
      <c r="G15" s="130"/>
      <c r="H15" s="131"/>
      <c r="I15" s="123" t="str">
        <f>IF(OR(Tbl_Transfers_Removals[[#This Row],[Removal or Transfer]]="Removal",Tbl_Transfers_Removals[[#This Row],[Removal or Transfer]]="Transfer Out"),'Forum Rosters'!$C$1,"")</f>
        <v/>
      </c>
      <c r="J15" s="123"/>
      <c r="K15" s="123"/>
      <c r="L15" s="123"/>
      <c r="M15" s="131"/>
      <c r="N15" s="133"/>
      <c r="O15" s="126"/>
    </row>
    <row r="16" spans="1:16" ht="30" customHeight="1" x14ac:dyDescent="0.25">
      <c r="A16" s="47"/>
      <c r="B16" s="50"/>
      <c r="C16" s="49"/>
      <c r="D16" s="49"/>
      <c r="E16" s="49"/>
      <c r="F16" s="123"/>
      <c r="G16" s="124"/>
      <c r="H16" s="123"/>
      <c r="I16" s="123" t="str">
        <f>IF(OR(Tbl_Transfers_Removals[[#This Row],[Removal or Transfer]]="Removal",Tbl_Transfers_Removals[[#This Row],[Removal or Transfer]]="Transfer Out"),'Forum Rosters'!$C$1,"")</f>
        <v/>
      </c>
      <c r="J16" s="123"/>
      <c r="K16" s="123"/>
      <c r="L16" s="123"/>
      <c r="M16" s="123"/>
      <c r="N16" s="125"/>
      <c r="O16" s="126"/>
      <c r="P16" s="2"/>
    </row>
    <row r="17" spans="1:16" s="121" customFormat="1" ht="30" customHeight="1" x14ac:dyDescent="0.25">
      <c r="A17" s="47"/>
      <c r="B17" s="128"/>
      <c r="C17" s="49"/>
      <c r="D17" s="129"/>
      <c r="E17" s="129"/>
      <c r="F17" s="123"/>
      <c r="G17" s="130"/>
      <c r="H17" s="131"/>
      <c r="I17" s="123" t="str">
        <f>IF(OR(Tbl_Transfers_Removals[[#This Row],[Removal or Transfer]]="Removal",Tbl_Transfers_Removals[[#This Row],[Removal or Transfer]]="Transfer Out"),'Forum Rosters'!$C$1,"")</f>
        <v/>
      </c>
      <c r="J17" s="123"/>
      <c r="K17" s="123"/>
      <c r="L17" s="123"/>
      <c r="M17" s="131"/>
      <c r="N17" s="133"/>
      <c r="O17" s="126"/>
    </row>
    <row r="18" spans="1:16" ht="30" customHeight="1" x14ac:dyDescent="0.25">
      <c r="A18" s="47"/>
      <c r="B18" s="50"/>
      <c r="C18" s="49"/>
      <c r="D18" s="49"/>
      <c r="E18" s="49"/>
      <c r="F18" s="123"/>
      <c r="G18" s="124"/>
      <c r="H18" s="123"/>
      <c r="I18" s="123" t="str">
        <f>IF(OR(Tbl_Transfers_Removals[[#This Row],[Removal or Transfer]]="Removal",Tbl_Transfers_Removals[[#This Row],[Removal or Transfer]]="Transfer Out"),'Forum Rosters'!$C$1,"")</f>
        <v/>
      </c>
      <c r="J18" s="123"/>
      <c r="K18" s="123"/>
      <c r="L18" s="123"/>
      <c r="M18" s="123"/>
      <c r="N18" s="125"/>
      <c r="O18" s="126"/>
      <c r="P18" s="2"/>
    </row>
    <row r="19" spans="1:16" s="121" customFormat="1" ht="30" customHeight="1" x14ac:dyDescent="0.25">
      <c r="A19" s="47"/>
      <c r="B19" s="128"/>
      <c r="C19" s="49"/>
      <c r="D19" s="129"/>
      <c r="E19" s="129"/>
      <c r="F19" s="123"/>
      <c r="G19" s="130"/>
      <c r="H19" s="131"/>
      <c r="I19" s="123" t="str">
        <f>IF(OR(Tbl_Transfers_Removals[[#This Row],[Removal or Transfer]]="Removal",Tbl_Transfers_Removals[[#This Row],[Removal or Transfer]]="Transfer Out"),'Forum Rosters'!$C$1,"")</f>
        <v/>
      </c>
      <c r="J19" s="123"/>
      <c r="K19" s="123"/>
      <c r="L19" s="123"/>
      <c r="M19" s="131"/>
      <c r="N19" s="133"/>
      <c r="O19" s="126"/>
    </row>
    <row r="20" spans="1:16" ht="30" customHeight="1" x14ac:dyDescent="0.25">
      <c r="A20" s="47"/>
      <c r="B20" s="50"/>
      <c r="C20" s="49"/>
      <c r="D20" s="49"/>
      <c r="E20" s="49"/>
      <c r="F20" s="123"/>
      <c r="G20" s="124"/>
      <c r="H20" s="123"/>
      <c r="I20" s="123" t="str">
        <f>IF(OR(Tbl_Transfers_Removals[[#This Row],[Removal or Transfer]]="Removal",Tbl_Transfers_Removals[[#This Row],[Removal or Transfer]]="Transfer Out"),'Forum Rosters'!$C$1,"")</f>
        <v/>
      </c>
      <c r="J20" s="123"/>
      <c r="K20" s="123"/>
      <c r="L20" s="123"/>
      <c r="M20" s="123"/>
      <c r="N20" s="125"/>
      <c r="O20" s="126"/>
      <c r="P20" s="2"/>
    </row>
    <row r="21" spans="1:16" s="121" customFormat="1" ht="30" customHeight="1" x14ac:dyDescent="0.25">
      <c r="A21" s="47"/>
      <c r="B21" s="128"/>
      <c r="C21" s="49"/>
      <c r="D21" s="129"/>
      <c r="E21" s="129"/>
      <c r="F21" s="123"/>
      <c r="G21" s="130"/>
      <c r="H21" s="131"/>
      <c r="I21" s="123" t="str">
        <f>IF(OR(Tbl_Transfers_Removals[[#This Row],[Removal or Transfer]]="Removal",Tbl_Transfers_Removals[[#This Row],[Removal or Transfer]]="Transfer Out"),'Forum Rosters'!$C$1,"")</f>
        <v/>
      </c>
      <c r="J21" s="123"/>
      <c r="K21" s="123"/>
      <c r="L21" s="123"/>
      <c r="M21" s="131"/>
      <c r="N21" s="133"/>
      <c r="O21" s="126"/>
    </row>
    <row r="22" spans="1:16" ht="30" customHeight="1" x14ac:dyDescent="0.25">
      <c r="A22" s="47"/>
      <c r="B22" s="50"/>
      <c r="C22" s="49"/>
      <c r="D22" s="49"/>
      <c r="E22" s="49"/>
      <c r="F22" s="123"/>
      <c r="G22" s="124"/>
      <c r="H22" s="123"/>
      <c r="I22" s="123" t="str">
        <f>IF(OR(Tbl_Transfers_Removals[[#This Row],[Removal or Transfer]]="Removal",Tbl_Transfers_Removals[[#This Row],[Removal or Transfer]]="Transfer Out"),'Forum Rosters'!$C$1,"")</f>
        <v/>
      </c>
      <c r="J22" s="123"/>
      <c r="K22" s="123"/>
      <c r="L22" s="123"/>
      <c r="M22" s="123"/>
      <c r="N22" s="125"/>
      <c r="O22" s="126"/>
      <c r="P22" s="2"/>
    </row>
    <row r="23" spans="1:16" s="121" customFormat="1" ht="30" customHeight="1" x14ac:dyDescent="0.25">
      <c r="A23" s="47"/>
      <c r="B23" s="128"/>
      <c r="C23" s="49"/>
      <c r="D23" s="129"/>
      <c r="E23" s="129"/>
      <c r="F23" s="123"/>
      <c r="G23" s="130"/>
      <c r="H23" s="131"/>
      <c r="I23" s="123" t="str">
        <f>IF(OR(Tbl_Transfers_Removals[[#This Row],[Removal or Transfer]]="Removal",Tbl_Transfers_Removals[[#This Row],[Removal or Transfer]]="Transfer Out"),'Forum Rosters'!$C$1,"")</f>
        <v/>
      </c>
      <c r="J23" s="123"/>
      <c r="K23" s="123"/>
      <c r="L23" s="123"/>
      <c r="M23" s="131"/>
      <c r="N23" s="133"/>
      <c r="O23" s="126"/>
    </row>
    <row r="24" spans="1:16" ht="30" customHeight="1" x14ac:dyDescent="0.25">
      <c r="A24" s="47"/>
      <c r="B24" s="50"/>
      <c r="C24" s="49"/>
      <c r="D24" s="49"/>
      <c r="E24" s="49"/>
      <c r="F24" s="123"/>
      <c r="G24" s="124"/>
      <c r="H24" s="123"/>
      <c r="I24" s="123" t="str">
        <f>IF(OR(Tbl_Transfers_Removals[[#This Row],[Removal or Transfer]]="Removal",Tbl_Transfers_Removals[[#This Row],[Removal or Transfer]]="Transfer Out"),'Forum Rosters'!$C$1,"")</f>
        <v/>
      </c>
      <c r="J24" s="123"/>
      <c r="K24" s="123"/>
      <c r="L24" s="123"/>
      <c r="M24" s="123"/>
      <c r="N24" s="125"/>
      <c r="O24" s="126"/>
      <c r="P24" s="2"/>
    </row>
    <row r="25" spans="1:16" s="121" customFormat="1" ht="30" customHeight="1" x14ac:dyDescent="0.25">
      <c r="A25" s="47"/>
      <c r="B25" s="128"/>
      <c r="C25" s="49"/>
      <c r="D25" s="129"/>
      <c r="E25" s="129"/>
      <c r="F25" s="123"/>
      <c r="G25" s="130"/>
      <c r="H25" s="131"/>
      <c r="I25" s="123" t="str">
        <f>IF(OR(Tbl_Transfers_Removals[[#This Row],[Removal or Transfer]]="Removal",Tbl_Transfers_Removals[[#This Row],[Removal or Transfer]]="Transfer Out"),'Forum Rosters'!$C$1,"")</f>
        <v/>
      </c>
      <c r="J25" s="123"/>
      <c r="K25" s="123"/>
      <c r="L25" s="123"/>
      <c r="M25" s="131"/>
      <c r="N25" s="133"/>
      <c r="O25" s="126"/>
    </row>
    <row r="26" spans="1:16" ht="30" customHeight="1" x14ac:dyDescent="0.25">
      <c r="A26" s="47"/>
      <c r="B26" s="50"/>
      <c r="C26" s="49"/>
      <c r="D26" s="49"/>
      <c r="E26" s="49"/>
      <c r="F26" s="123"/>
      <c r="G26" s="124"/>
      <c r="H26" s="123"/>
      <c r="I26" s="123" t="str">
        <f>IF(OR(Tbl_Transfers_Removals[[#This Row],[Removal or Transfer]]="Removal",Tbl_Transfers_Removals[[#This Row],[Removal or Transfer]]="Transfer Out"),'Forum Rosters'!$C$1,"")</f>
        <v/>
      </c>
      <c r="J26" s="123"/>
      <c r="K26" s="123"/>
      <c r="L26" s="123"/>
      <c r="M26" s="123"/>
      <c r="N26" s="125"/>
      <c r="O26" s="126"/>
      <c r="P26" s="2"/>
    </row>
    <row r="27" spans="1:16" s="121" customFormat="1" ht="30" customHeight="1" x14ac:dyDescent="0.25">
      <c r="A27" s="47"/>
      <c r="B27" s="128"/>
      <c r="C27" s="49"/>
      <c r="D27" s="129"/>
      <c r="E27" s="129"/>
      <c r="F27" s="123"/>
      <c r="G27" s="130"/>
      <c r="H27" s="131"/>
      <c r="I27" s="123" t="str">
        <f>IF(OR(Tbl_Transfers_Removals[[#This Row],[Removal or Transfer]]="Removal",Tbl_Transfers_Removals[[#This Row],[Removal or Transfer]]="Transfer Out"),'Forum Rosters'!$C$1,"")</f>
        <v/>
      </c>
      <c r="J27" s="123"/>
      <c r="K27" s="123"/>
      <c r="L27" s="123"/>
      <c r="M27" s="131"/>
      <c r="N27" s="133"/>
      <c r="O27" s="126"/>
    </row>
    <row r="28" spans="1:16" ht="30" customHeight="1" x14ac:dyDescent="0.25">
      <c r="A28" s="47"/>
      <c r="B28" s="50"/>
      <c r="C28" s="49"/>
      <c r="D28" s="49"/>
      <c r="E28" s="49"/>
      <c r="F28" s="123"/>
      <c r="G28" s="124"/>
      <c r="H28" s="123"/>
      <c r="I28" s="123" t="str">
        <f>IF(OR(Tbl_Transfers_Removals[[#This Row],[Removal or Transfer]]="Removal",Tbl_Transfers_Removals[[#This Row],[Removal or Transfer]]="Transfer Out"),'Forum Rosters'!$C$1,"")</f>
        <v/>
      </c>
      <c r="J28" s="123"/>
      <c r="K28" s="123"/>
      <c r="L28" s="123"/>
      <c r="M28" s="123"/>
      <c r="N28" s="125"/>
      <c r="O28" s="126"/>
      <c r="P28" s="2"/>
    </row>
    <row r="29" spans="1:16" s="121" customFormat="1" ht="30" customHeight="1" x14ac:dyDescent="0.25">
      <c r="A29" s="47"/>
      <c r="B29" s="128"/>
      <c r="C29" s="49"/>
      <c r="D29" s="129"/>
      <c r="E29" s="129"/>
      <c r="F29" s="123"/>
      <c r="G29" s="130"/>
      <c r="H29" s="131"/>
      <c r="I29" s="123" t="str">
        <f>IF(OR(Tbl_Transfers_Removals[[#This Row],[Removal or Transfer]]="Removal",Tbl_Transfers_Removals[[#This Row],[Removal or Transfer]]="Transfer Out"),'Forum Rosters'!$C$1,"")</f>
        <v/>
      </c>
      <c r="J29" s="123"/>
      <c r="K29" s="123"/>
      <c r="L29" s="123"/>
      <c r="M29" s="131"/>
      <c r="N29" s="133"/>
      <c r="O29" s="126"/>
    </row>
    <row r="30" spans="1:16" ht="30" customHeight="1" x14ac:dyDescent="0.25">
      <c r="A30" s="47"/>
      <c r="B30" s="50"/>
      <c r="C30" s="49"/>
      <c r="D30" s="49"/>
      <c r="E30" s="49"/>
      <c r="F30" s="123"/>
      <c r="G30" s="124"/>
      <c r="H30" s="123"/>
      <c r="I30" s="123" t="str">
        <f>IF(OR(Tbl_Transfers_Removals[[#This Row],[Removal or Transfer]]="Removal",Tbl_Transfers_Removals[[#This Row],[Removal or Transfer]]="Transfer Out"),'Forum Rosters'!$C$1,"")</f>
        <v/>
      </c>
      <c r="J30" s="123"/>
      <c r="K30" s="123"/>
      <c r="L30" s="123"/>
      <c r="M30" s="123"/>
      <c r="N30" s="125"/>
      <c r="O30" s="126"/>
      <c r="P30" s="2"/>
    </row>
    <row r="31" spans="1:16" s="121" customFormat="1" ht="30" customHeight="1" x14ac:dyDescent="0.25">
      <c r="A31" s="47"/>
      <c r="B31" s="128"/>
      <c r="C31" s="49"/>
      <c r="D31" s="129"/>
      <c r="E31" s="129"/>
      <c r="F31" s="123"/>
      <c r="G31" s="130"/>
      <c r="H31" s="131"/>
      <c r="I31" s="123" t="str">
        <f>IF(OR(Tbl_Transfers_Removals[[#This Row],[Removal or Transfer]]="Removal",Tbl_Transfers_Removals[[#This Row],[Removal or Transfer]]="Transfer Out"),'Forum Rosters'!$C$1,"")</f>
        <v/>
      </c>
      <c r="J31" s="123"/>
      <c r="K31" s="123"/>
      <c r="L31" s="123"/>
      <c r="M31" s="131"/>
      <c r="N31" s="133"/>
      <c r="O31" s="126"/>
    </row>
    <row r="32" spans="1:16" ht="30" customHeight="1" x14ac:dyDescent="0.25">
      <c r="A32" s="47"/>
      <c r="B32" s="123"/>
      <c r="C32" s="49"/>
      <c r="D32" s="124"/>
      <c r="E32" s="124"/>
      <c r="F32" s="123"/>
      <c r="G32" s="124"/>
      <c r="H32" s="123"/>
      <c r="I32" s="123" t="str">
        <f>IF(OR(Tbl_Transfers_Removals[[#This Row],[Removal or Transfer]]="Removal",Tbl_Transfers_Removals[[#This Row],[Removal or Transfer]]="Transfer Out"),'Forum Rosters'!$C$1,"")</f>
        <v/>
      </c>
      <c r="J32" s="123"/>
      <c r="K32" s="123"/>
      <c r="L32" s="123"/>
      <c r="M32" s="123"/>
      <c r="N32" s="125"/>
      <c r="O32" s="126"/>
      <c r="P32" s="2"/>
    </row>
    <row r="33" spans="1:16" s="121" customFormat="1" ht="30" customHeight="1" x14ac:dyDescent="0.25">
      <c r="A33" s="133"/>
      <c r="B33" s="132"/>
      <c r="C33" s="49"/>
      <c r="D33" s="134"/>
      <c r="E33" s="134"/>
      <c r="F33" s="123"/>
      <c r="G33" s="130"/>
      <c r="H33" s="132"/>
      <c r="I33" s="123" t="str">
        <f>IF(OR(Tbl_Transfers_Removals[[#This Row],[Removal or Transfer]]="Removal",Tbl_Transfers_Removals[[#This Row],[Removal or Transfer]]="Transfer Out"),'Forum Rosters'!$C$1,"")</f>
        <v/>
      </c>
      <c r="J33" s="132"/>
      <c r="K33" s="132"/>
      <c r="L33" s="132"/>
      <c r="M33" s="131"/>
      <c r="N33" s="133"/>
      <c r="O33" s="135"/>
    </row>
    <row r="34" spans="1:16" ht="30" customHeight="1" x14ac:dyDescent="0.25">
      <c r="A34" s="125"/>
      <c r="B34" s="123"/>
      <c r="C34" s="49"/>
      <c r="D34" s="124"/>
      <c r="E34" s="124"/>
      <c r="F34" s="123"/>
      <c r="G34" s="124"/>
      <c r="H34" s="123"/>
      <c r="I34" s="123" t="str">
        <f>IF(OR(Tbl_Transfers_Removals[[#This Row],[Removal or Transfer]]="Removal",Tbl_Transfers_Removals[[#This Row],[Removal or Transfer]]="Transfer Out"),'Forum Rosters'!$C$1,"")</f>
        <v/>
      </c>
      <c r="J34" s="123"/>
      <c r="K34" s="123"/>
      <c r="L34" s="123"/>
      <c r="M34" s="123"/>
      <c r="N34" s="125"/>
      <c r="O34" s="126"/>
      <c r="P34" s="2"/>
    </row>
    <row r="35" spans="1:16" s="121" customFormat="1" ht="30" customHeight="1" x14ac:dyDescent="0.25">
      <c r="A35" s="133"/>
      <c r="B35" s="132"/>
      <c r="C35" s="49"/>
      <c r="D35" s="134"/>
      <c r="E35" s="134"/>
      <c r="F35" s="123"/>
      <c r="G35" s="134"/>
      <c r="H35" s="132"/>
      <c r="I35" s="123" t="str">
        <f>IF(OR(Tbl_Transfers_Removals[[#This Row],[Removal or Transfer]]="Removal",Tbl_Transfers_Removals[[#This Row],[Removal or Transfer]]="Transfer Out"),'Forum Rosters'!$C$1,"")</f>
        <v/>
      </c>
      <c r="J35" s="132"/>
      <c r="K35" s="132"/>
      <c r="L35" s="132"/>
      <c r="M35" s="132"/>
      <c r="N35" s="133"/>
      <c r="O35" s="135"/>
    </row>
    <row r="36" spans="1:16" ht="30" customHeight="1" x14ac:dyDescent="0.25">
      <c r="A36" s="125"/>
      <c r="B36" s="123"/>
      <c r="C36" s="49"/>
      <c r="D36" s="124"/>
      <c r="E36" s="124"/>
      <c r="F36" s="123"/>
      <c r="G36" s="124"/>
      <c r="H36" s="123"/>
      <c r="I36" s="123" t="str">
        <f>IF(OR(Tbl_Transfers_Removals[[#This Row],[Removal or Transfer]]="Removal",Tbl_Transfers_Removals[[#This Row],[Removal or Transfer]]="Transfer Out"),'Forum Rosters'!$C$1,"")</f>
        <v/>
      </c>
      <c r="J36" s="123"/>
      <c r="K36" s="123"/>
      <c r="L36" s="123"/>
      <c r="M36" s="123"/>
      <c r="N36" s="125"/>
      <c r="O36" s="126"/>
      <c r="P36" s="2"/>
    </row>
    <row r="37" spans="1:16" s="121" customFormat="1" ht="30" customHeight="1" x14ac:dyDescent="0.25">
      <c r="A37" s="133"/>
      <c r="B37" s="132"/>
      <c r="C37" s="49"/>
      <c r="D37" s="134"/>
      <c r="E37" s="134"/>
      <c r="F37" s="123"/>
      <c r="G37" s="134"/>
      <c r="H37" s="132"/>
      <c r="I37" s="123" t="str">
        <f>IF(OR(Tbl_Transfers_Removals[[#This Row],[Removal or Transfer]]="Removal",Tbl_Transfers_Removals[[#This Row],[Removal or Transfer]]="Transfer Out"),'Forum Rosters'!$C$1,"")</f>
        <v/>
      </c>
      <c r="J37" s="132"/>
      <c r="K37" s="132"/>
      <c r="L37" s="132"/>
      <c r="M37" s="132"/>
      <c r="N37" s="133"/>
      <c r="O37" s="135"/>
    </row>
    <row r="38" spans="1:16" ht="30" customHeight="1" x14ac:dyDescent="0.25">
      <c r="A38" s="125"/>
      <c r="B38" s="123"/>
      <c r="C38" s="49"/>
      <c r="D38" s="124"/>
      <c r="E38" s="124"/>
      <c r="F38" s="123"/>
      <c r="G38" s="124"/>
      <c r="H38" s="123"/>
      <c r="I38" s="123" t="str">
        <f>IF(OR(Tbl_Transfers_Removals[[#This Row],[Removal or Transfer]]="Removal",Tbl_Transfers_Removals[[#This Row],[Removal or Transfer]]="Transfer Out"),'Forum Rosters'!$C$1,"")</f>
        <v/>
      </c>
      <c r="J38" s="123"/>
      <c r="K38" s="123"/>
      <c r="L38" s="123"/>
      <c r="M38" s="123"/>
      <c r="N38" s="125"/>
      <c r="O38" s="126"/>
      <c r="P38" s="2"/>
    </row>
    <row r="39" spans="1:16" s="121" customFormat="1" ht="30" customHeight="1" x14ac:dyDescent="0.25">
      <c r="A39" s="133"/>
      <c r="B39" s="132"/>
      <c r="C39" s="49"/>
      <c r="D39" s="134"/>
      <c r="E39" s="134"/>
      <c r="F39" s="123"/>
      <c r="G39" s="134"/>
      <c r="H39" s="132"/>
      <c r="I39" s="123" t="str">
        <f>IF(OR(Tbl_Transfers_Removals[[#This Row],[Removal or Transfer]]="Removal",Tbl_Transfers_Removals[[#This Row],[Removal or Transfer]]="Transfer Out"),'Forum Rosters'!$C$1,"")</f>
        <v/>
      </c>
      <c r="J39" s="132"/>
      <c r="K39" s="132"/>
      <c r="L39" s="132"/>
      <c r="M39" s="132"/>
      <c r="N39" s="133"/>
      <c r="O39" s="135"/>
    </row>
    <row r="40" spans="1:16" ht="30" customHeight="1" x14ac:dyDescent="0.25">
      <c r="A40" s="125"/>
      <c r="B40" s="123"/>
      <c r="C40" s="49"/>
      <c r="D40" s="124"/>
      <c r="E40" s="124"/>
      <c r="F40" s="123"/>
      <c r="G40" s="124"/>
      <c r="H40" s="123"/>
      <c r="I40" s="123" t="str">
        <f>IF(OR(Tbl_Transfers_Removals[[#This Row],[Removal or Transfer]]="Removal",Tbl_Transfers_Removals[[#This Row],[Removal or Transfer]]="Transfer Out"),'Forum Rosters'!$C$1,"")</f>
        <v/>
      </c>
      <c r="J40" s="123"/>
      <c r="K40" s="123"/>
      <c r="L40" s="123"/>
      <c r="M40" s="123"/>
      <c r="N40" s="125"/>
      <c r="O40" s="126"/>
      <c r="P40" s="2"/>
    </row>
    <row r="41" spans="1:16" s="121" customFormat="1" ht="30" customHeight="1" x14ac:dyDescent="0.25">
      <c r="A41" s="133"/>
      <c r="B41" s="132"/>
      <c r="C41" s="49"/>
      <c r="D41" s="134"/>
      <c r="E41" s="134"/>
      <c r="F41" s="123"/>
      <c r="G41" s="134"/>
      <c r="H41" s="132"/>
      <c r="I41" s="123" t="str">
        <f>IF(OR(Tbl_Transfers_Removals[[#This Row],[Removal or Transfer]]="Removal",Tbl_Transfers_Removals[[#This Row],[Removal or Transfer]]="Transfer Out"),'Forum Rosters'!$C$1,"")</f>
        <v/>
      </c>
      <c r="J41" s="132"/>
      <c r="K41" s="132"/>
      <c r="L41" s="132"/>
      <c r="M41" s="132"/>
      <c r="N41" s="133"/>
      <c r="O41" s="135"/>
    </row>
    <row r="42" spans="1:16" ht="30" customHeight="1" x14ac:dyDescent="0.25">
      <c r="A42" s="125"/>
      <c r="B42" s="123"/>
      <c r="C42" s="49"/>
      <c r="D42" s="124"/>
      <c r="E42" s="124"/>
      <c r="F42" s="123"/>
      <c r="G42" s="124"/>
      <c r="H42" s="123"/>
      <c r="I42" s="123" t="str">
        <f>IF(OR(Tbl_Transfers_Removals[[#This Row],[Removal or Transfer]]="Removal",Tbl_Transfers_Removals[[#This Row],[Removal or Transfer]]="Transfer Out"),'Forum Rosters'!$C$1,"")</f>
        <v/>
      </c>
      <c r="J42" s="123"/>
      <c r="K42" s="123"/>
      <c r="L42" s="123"/>
      <c r="M42" s="123"/>
      <c r="N42" s="125"/>
      <c r="O42" s="126"/>
      <c r="P42" s="2"/>
    </row>
    <row r="43" spans="1:16" s="121" customFormat="1" ht="30" customHeight="1" x14ac:dyDescent="0.25">
      <c r="A43" s="133"/>
      <c r="B43" s="132"/>
      <c r="C43" s="49"/>
      <c r="D43" s="134"/>
      <c r="E43" s="134"/>
      <c r="F43" s="123"/>
      <c r="G43" s="134"/>
      <c r="H43" s="132"/>
      <c r="I43" s="123" t="str">
        <f>IF(OR(Tbl_Transfers_Removals[[#This Row],[Removal or Transfer]]="Removal",Tbl_Transfers_Removals[[#This Row],[Removal or Transfer]]="Transfer Out"),'Forum Rosters'!$C$1,"")</f>
        <v/>
      </c>
      <c r="J43" s="132"/>
      <c r="K43" s="132"/>
      <c r="L43" s="132"/>
      <c r="M43" s="132"/>
      <c r="N43" s="133"/>
      <c r="O43" s="135"/>
    </row>
    <row r="44" spans="1:16" ht="30" customHeight="1" x14ac:dyDescent="0.25">
      <c r="A44" s="125"/>
      <c r="B44" s="123"/>
      <c r="C44" s="49"/>
      <c r="D44" s="124"/>
      <c r="E44" s="124"/>
      <c r="F44" s="123"/>
      <c r="G44" s="124"/>
      <c r="H44" s="123"/>
      <c r="I44" s="123" t="str">
        <f>IF(OR(Tbl_Transfers_Removals[[#This Row],[Removal or Transfer]]="Removal",Tbl_Transfers_Removals[[#This Row],[Removal or Transfer]]="Transfer Out"),'Forum Rosters'!$C$1,"")</f>
        <v/>
      </c>
      <c r="J44" s="123"/>
      <c r="K44" s="123"/>
      <c r="L44" s="123"/>
      <c r="M44" s="123"/>
      <c r="N44" s="125"/>
      <c r="O44" s="126"/>
      <c r="P44" s="2"/>
    </row>
    <row r="45" spans="1:16" s="121" customFormat="1" ht="30" customHeight="1" x14ac:dyDescent="0.25">
      <c r="A45" s="133"/>
      <c r="B45" s="132"/>
      <c r="C45" s="49"/>
      <c r="D45" s="134"/>
      <c r="E45" s="134"/>
      <c r="F45" s="123"/>
      <c r="G45" s="134"/>
      <c r="H45" s="132"/>
      <c r="I45" s="123" t="str">
        <f>IF(OR(Tbl_Transfers_Removals[[#This Row],[Removal or Transfer]]="Removal",Tbl_Transfers_Removals[[#This Row],[Removal or Transfer]]="Transfer Out"),'Forum Rosters'!$C$1,"")</f>
        <v/>
      </c>
      <c r="J45" s="132"/>
      <c r="K45" s="132"/>
      <c r="L45" s="132"/>
      <c r="M45" s="132"/>
      <c r="N45" s="133"/>
      <c r="O45" s="135"/>
    </row>
    <row r="46" spans="1:16" ht="30" customHeight="1" x14ac:dyDescent="0.25">
      <c r="A46" s="125"/>
      <c r="B46" s="123"/>
      <c r="C46" s="49"/>
      <c r="D46" s="124"/>
      <c r="E46" s="124"/>
      <c r="F46" s="123"/>
      <c r="G46" s="124"/>
      <c r="H46" s="123"/>
      <c r="I46" s="123" t="str">
        <f>IF(OR(Tbl_Transfers_Removals[[#This Row],[Removal or Transfer]]="Removal",Tbl_Transfers_Removals[[#This Row],[Removal or Transfer]]="Transfer Out"),'Forum Rosters'!$C$1,"")</f>
        <v/>
      </c>
      <c r="J46" s="123"/>
      <c r="K46" s="123"/>
      <c r="L46" s="123"/>
      <c r="M46" s="123"/>
      <c r="N46" s="125"/>
      <c r="O46" s="126"/>
      <c r="P46" s="2"/>
    </row>
    <row r="47" spans="1:16" s="121" customFormat="1" ht="30" customHeight="1" x14ac:dyDescent="0.25">
      <c r="A47" s="133"/>
      <c r="B47" s="132"/>
      <c r="C47" s="49"/>
      <c r="D47" s="134"/>
      <c r="E47" s="134"/>
      <c r="F47" s="123"/>
      <c r="G47" s="134"/>
      <c r="H47" s="132"/>
      <c r="I47" s="123" t="str">
        <f>IF(OR(Tbl_Transfers_Removals[[#This Row],[Removal or Transfer]]="Removal",Tbl_Transfers_Removals[[#This Row],[Removal or Transfer]]="Transfer Out"),'Forum Rosters'!$C$1,"")</f>
        <v/>
      </c>
      <c r="J47" s="132"/>
      <c r="K47" s="132"/>
      <c r="L47" s="132"/>
      <c r="M47" s="132"/>
      <c r="N47" s="133"/>
      <c r="O47" s="135"/>
    </row>
    <row r="48" spans="1:16" ht="30" customHeight="1" x14ac:dyDescent="0.25">
      <c r="A48" s="125"/>
      <c r="B48" s="123"/>
      <c r="C48" s="49"/>
      <c r="D48" s="124"/>
      <c r="E48" s="124"/>
      <c r="F48" s="123"/>
      <c r="G48" s="124"/>
      <c r="H48" s="123"/>
      <c r="I48" s="123" t="str">
        <f>IF(OR(Tbl_Transfers_Removals[[#This Row],[Removal or Transfer]]="Removal",Tbl_Transfers_Removals[[#This Row],[Removal or Transfer]]="Transfer Out"),'Forum Rosters'!$C$1,"")</f>
        <v/>
      </c>
      <c r="J48" s="123"/>
      <c r="K48" s="123"/>
      <c r="L48" s="123"/>
      <c r="M48" s="123"/>
      <c r="N48" s="125"/>
      <c r="O48" s="126"/>
      <c r="P48" s="2"/>
    </row>
    <row r="49" spans="1:16" s="121" customFormat="1" ht="30" customHeight="1" x14ac:dyDescent="0.25">
      <c r="A49" s="133"/>
      <c r="B49" s="132"/>
      <c r="C49" s="49"/>
      <c r="D49" s="134"/>
      <c r="E49" s="134"/>
      <c r="F49" s="123"/>
      <c r="G49" s="134"/>
      <c r="H49" s="132"/>
      <c r="I49" s="123" t="str">
        <f>IF(OR(Tbl_Transfers_Removals[[#This Row],[Removal or Transfer]]="Removal",Tbl_Transfers_Removals[[#This Row],[Removal or Transfer]]="Transfer Out"),'Forum Rosters'!$C$1,"")</f>
        <v/>
      </c>
      <c r="J49" s="132"/>
      <c r="K49" s="132"/>
      <c r="L49" s="132"/>
      <c r="M49" s="132"/>
      <c r="N49" s="133"/>
      <c r="O49" s="135"/>
    </row>
    <row r="50" spans="1:16" ht="30" customHeight="1" x14ac:dyDescent="0.25">
      <c r="A50" s="125"/>
      <c r="B50" s="123"/>
      <c r="C50" s="49"/>
      <c r="D50" s="124"/>
      <c r="E50" s="124"/>
      <c r="F50" s="123"/>
      <c r="G50" s="124"/>
      <c r="H50" s="123"/>
      <c r="I50" s="123" t="str">
        <f>IF(OR(Tbl_Transfers_Removals[[#This Row],[Removal or Transfer]]="Removal",Tbl_Transfers_Removals[[#This Row],[Removal or Transfer]]="Transfer Out"),'Forum Rosters'!$C$1,"")</f>
        <v/>
      </c>
      <c r="J50" s="123"/>
      <c r="K50" s="123"/>
      <c r="L50" s="123"/>
      <c r="M50" s="123"/>
      <c r="N50" s="125"/>
      <c r="O50" s="126"/>
      <c r="P50" s="2"/>
    </row>
    <row r="51" spans="1:16" s="121" customFormat="1" ht="30" customHeight="1" x14ac:dyDescent="0.25">
      <c r="A51" s="133"/>
      <c r="B51" s="132"/>
      <c r="C51" s="49"/>
      <c r="D51" s="134"/>
      <c r="E51" s="134"/>
      <c r="F51" s="123"/>
      <c r="G51" s="134"/>
      <c r="H51" s="132"/>
      <c r="I51" s="123" t="str">
        <f>IF(OR(Tbl_Transfers_Removals[[#This Row],[Removal or Transfer]]="Removal",Tbl_Transfers_Removals[[#This Row],[Removal or Transfer]]="Transfer Out"),'Forum Rosters'!$C$1,"")</f>
        <v/>
      </c>
      <c r="J51" s="132"/>
      <c r="K51" s="132"/>
      <c r="L51" s="132"/>
      <c r="M51" s="132"/>
      <c r="N51" s="133"/>
      <c r="O51" s="135"/>
    </row>
    <row r="52" spans="1:16" ht="30" customHeight="1" x14ac:dyDescent="0.25">
      <c r="A52" s="125"/>
      <c r="B52" s="123"/>
      <c r="C52" s="49"/>
      <c r="D52" s="124"/>
      <c r="E52" s="124"/>
      <c r="F52" s="123"/>
      <c r="G52" s="124"/>
      <c r="H52" s="123"/>
      <c r="I52" s="123" t="str">
        <f>IF(OR(Tbl_Transfers_Removals[[#This Row],[Removal or Transfer]]="Removal",Tbl_Transfers_Removals[[#This Row],[Removal or Transfer]]="Transfer Out"),'Forum Rosters'!$C$1,"")</f>
        <v/>
      </c>
      <c r="J52" s="123"/>
      <c r="K52" s="123"/>
      <c r="L52" s="123"/>
      <c r="M52" s="123"/>
      <c r="N52" s="125"/>
      <c r="O52" s="126"/>
      <c r="P52" s="2"/>
    </row>
    <row r="53" spans="1:16" s="121" customFormat="1" ht="30" customHeight="1" x14ac:dyDescent="0.25">
      <c r="A53" s="133"/>
      <c r="B53" s="132"/>
      <c r="C53" s="49"/>
      <c r="D53" s="134"/>
      <c r="E53" s="134"/>
      <c r="F53" s="123"/>
      <c r="G53" s="134"/>
      <c r="H53" s="132"/>
      <c r="I53" s="123" t="str">
        <f>IF(OR(Tbl_Transfers_Removals[[#This Row],[Removal or Transfer]]="Removal",Tbl_Transfers_Removals[[#This Row],[Removal or Transfer]]="Transfer Out"),'Forum Rosters'!$C$1,"")</f>
        <v/>
      </c>
      <c r="J53" s="132"/>
      <c r="K53" s="132"/>
      <c r="L53" s="132"/>
      <c r="M53" s="132"/>
      <c r="N53" s="133"/>
      <c r="O53" s="135"/>
    </row>
    <row r="54" spans="1:16" ht="30" customHeight="1" x14ac:dyDescent="0.25">
      <c r="A54" s="125"/>
      <c r="B54" s="123"/>
      <c r="C54" s="49"/>
      <c r="D54" s="124"/>
      <c r="E54" s="124"/>
      <c r="F54" s="123"/>
      <c r="G54" s="124"/>
      <c r="H54" s="123"/>
      <c r="I54" s="123" t="str">
        <f>IF(OR(Tbl_Transfers_Removals[[#This Row],[Removal or Transfer]]="Removal",Tbl_Transfers_Removals[[#This Row],[Removal or Transfer]]="Transfer Out"),'Forum Rosters'!$C$1,"")</f>
        <v/>
      </c>
      <c r="J54" s="123"/>
      <c r="K54" s="123"/>
      <c r="L54" s="123"/>
      <c r="M54" s="123"/>
      <c r="N54" s="125"/>
      <c r="O54" s="126"/>
      <c r="P54" s="2"/>
    </row>
    <row r="55" spans="1:16" s="121" customFormat="1" ht="30" customHeight="1" x14ac:dyDescent="0.25">
      <c r="A55" s="133"/>
      <c r="B55" s="132"/>
      <c r="C55" s="49"/>
      <c r="D55" s="134"/>
      <c r="E55" s="134"/>
      <c r="F55" s="123"/>
      <c r="G55" s="134"/>
      <c r="H55" s="132"/>
      <c r="I55" s="123" t="str">
        <f>IF(OR(Tbl_Transfers_Removals[[#This Row],[Removal or Transfer]]="Removal",Tbl_Transfers_Removals[[#This Row],[Removal or Transfer]]="Transfer Out"),'Forum Rosters'!$C$1,"")</f>
        <v/>
      </c>
      <c r="J55" s="132"/>
      <c r="K55" s="132"/>
      <c r="L55" s="132"/>
      <c r="M55" s="132"/>
      <c r="N55" s="133"/>
      <c r="O55" s="135"/>
    </row>
    <row r="56" spans="1:16" ht="30" customHeight="1" x14ac:dyDescent="0.25">
      <c r="A56" s="125"/>
      <c r="B56" s="123"/>
      <c r="C56" s="49"/>
      <c r="D56" s="124"/>
      <c r="E56" s="124"/>
      <c r="F56" s="123"/>
      <c r="G56" s="124"/>
      <c r="H56" s="123"/>
      <c r="I56" s="123" t="str">
        <f>IF(OR(Tbl_Transfers_Removals[[#This Row],[Removal or Transfer]]="Removal",Tbl_Transfers_Removals[[#This Row],[Removal or Transfer]]="Transfer Out"),'Forum Rosters'!$C$1,"")</f>
        <v/>
      </c>
      <c r="J56" s="123"/>
      <c r="K56" s="123"/>
      <c r="L56" s="123"/>
      <c r="M56" s="123"/>
      <c r="N56" s="125"/>
      <c r="O56" s="126"/>
      <c r="P56" s="2"/>
    </row>
    <row r="57" spans="1:16" s="121" customFormat="1" ht="30" customHeight="1" x14ac:dyDescent="0.25">
      <c r="A57" s="133"/>
      <c r="B57" s="132"/>
      <c r="C57" s="49"/>
      <c r="D57" s="134"/>
      <c r="E57" s="134"/>
      <c r="F57" s="123"/>
      <c r="G57" s="134"/>
      <c r="H57" s="132"/>
      <c r="I57" s="123" t="str">
        <f>IF(OR(Tbl_Transfers_Removals[[#This Row],[Removal or Transfer]]="Removal",Tbl_Transfers_Removals[[#This Row],[Removal or Transfer]]="Transfer Out"),'Forum Rosters'!$C$1,"")</f>
        <v/>
      </c>
      <c r="J57" s="132"/>
      <c r="K57" s="132"/>
      <c r="L57" s="132"/>
      <c r="M57" s="132"/>
      <c r="N57" s="133"/>
      <c r="O57" s="135"/>
    </row>
    <row r="58" spans="1:16" ht="30" customHeight="1" x14ac:dyDescent="0.25">
      <c r="A58" s="125"/>
      <c r="B58" s="123"/>
      <c r="C58" s="49"/>
      <c r="D58" s="124"/>
      <c r="E58" s="124"/>
      <c r="F58" s="123"/>
      <c r="G58" s="124"/>
      <c r="H58" s="123"/>
      <c r="I58" s="123" t="str">
        <f>IF(OR(Tbl_Transfers_Removals[[#This Row],[Removal or Transfer]]="Removal",Tbl_Transfers_Removals[[#This Row],[Removal or Transfer]]="Transfer Out"),'Forum Rosters'!$C$1,"")</f>
        <v/>
      </c>
      <c r="J58" s="123"/>
      <c r="K58" s="123"/>
      <c r="L58" s="123"/>
      <c r="M58" s="123"/>
      <c r="N58" s="125"/>
      <c r="O58" s="126"/>
      <c r="P58" s="2"/>
    </row>
    <row r="59" spans="1:16" s="121" customFormat="1" ht="30" customHeight="1" x14ac:dyDescent="0.25">
      <c r="A59" s="133"/>
      <c r="B59" s="132"/>
      <c r="C59" s="49"/>
      <c r="D59" s="134"/>
      <c r="E59" s="134"/>
      <c r="F59" s="123"/>
      <c r="G59" s="134"/>
      <c r="H59" s="132"/>
      <c r="I59" s="123" t="str">
        <f>IF(OR(Tbl_Transfers_Removals[[#This Row],[Removal or Transfer]]="Removal",Tbl_Transfers_Removals[[#This Row],[Removal or Transfer]]="Transfer Out"),'Forum Rosters'!$C$1,"")</f>
        <v/>
      </c>
      <c r="J59" s="132"/>
      <c r="K59" s="132"/>
      <c r="L59" s="132"/>
      <c r="M59" s="132"/>
      <c r="N59" s="133"/>
      <c r="O59" s="135"/>
    </row>
    <row r="60" spans="1:16" ht="30" customHeight="1" x14ac:dyDescent="0.25">
      <c r="A60" s="125"/>
      <c r="B60" s="123"/>
      <c r="C60" s="49"/>
      <c r="D60" s="124"/>
      <c r="E60" s="124"/>
      <c r="F60" s="123"/>
      <c r="G60" s="124"/>
      <c r="H60" s="123"/>
      <c r="I60" s="123" t="str">
        <f>IF(OR(Tbl_Transfers_Removals[[#This Row],[Removal or Transfer]]="Removal",Tbl_Transfers_Removals[[#This Row],[Removal or Transfer]]="Transfer Out"),'Forum Rosters'!$C$1,"")</f>
        <v/>
      </c>
      <c r="J60" s="123"/>
      <c r="K60" s="123"/>
      <c r="L60" s="123"/>
      <c r="M60" s="123"/>
      <c r="N60" s="125"/>
      <c r="O60" s="126"/>
      <c r="P60" s="2"/>
    </row>
    <row r="61" spans="1:16" s="121" customFormat="1" ht="30" customHeight="1" x14ac:dyDescent="0.25">
      <c r="A61" s="133"/>
      <c r="B61" s="132"/>
      <c r="C61" s="49"/>
      <c r="D61" s="134"/>
      <c r="E61" s="134"/>
      <c r="F61" s="123"/>
      <c r="G61" s="134"/>
      <c r="H61" s="132"/>
      <c r="I61" s="123" t="str">
        <f>IF(OR(Tbl_Transfers_Removals[[#This Row],[Removal or Transfer]]="Removal",Tbl_Transfers_Removals[[#This Row],[Removal or Transfer]]="Transfer Out"),'Forum Rosters'!$C$1,"")</f>
        <v/>
      </c>
      <c r="J61" s="132"/>
      <c r="K61" s="132"/>
      <c r="L61" s="132"/>
      <c r="M61" s="132"/>
      <c r="N61" s="133"/>
      <c r="O61" s="135"/>
    </row>
    <row r="62" spans="1:16" ht="30" customHeight="1" x14ac:dyDescent="0.25">
      <c r="A62" s="125"/>
      <c r="B62" s="123"/>
      <c r="C62" s="49"/>
      <c r="D62" s="124"/>
      <c r="E62" s="124"/>
      <c r="F62" s="123"/>
      <c r="G62" s="124"/>
      <c r="H62" s="123"/>
      <c r="I62" s="123" t="str">
        <f>IF(OR(Tbl_Transfers_Removals[[#This Row],[Removal or Transfer]]="Removal",Tbl_Transfers_Removals[[#This Row],[Removal or Transfer]]="Transfer Out"),'Forum Rosters'!$C$1,"")</f>
        <v/>
      </c>
      <c r="J62" s="123"/>
      <c r="K62" s="123"/>
      <c r="L62" s="123"/>
      <c r="M62" s="123"/>
      <c r="N62" s="125"/>
      <c r="O62" s="126"/>
      <c r="P62" s="2"/>
    </row>
    <row r="63" spans="1:16" s="121" customFormat="1" ht="30" customHeight="1" x14ac:dyDescent="0.25">
      <c r="A63" s="133"/>
      <c r="B63" s="132"/>
      <c r="C63" s="49"/>
      <c r="D63" s="134"/>
      <c r="E63" s="134"/>
      <c r="F63" s="123"/>
      <c r="G63" s="134"/>
      <c r="H63" s="132"/>
      <c r="I63" s="123" t="str">
        <f>IF(OR(Tbl_Transfers_Removals[[#This Row],[Removal or Transfer]]="Removal",Tbl_Transfers_Removals[[#This Row],[Removal or Transfer]]="Transfer Out"),'Forum Rosters'!$C$1,"")</f>
        <v/>
      </c>
      <c r="J63" s="132"/>
      <c r="K63" s="132"/>
      <c r="L63" s="132"/>
      <c r="M63" s="132"/>
      <c r="N63" s="133"/>
      <c r="O63" s="135"/>
    </row>
    <row r="64" spans="1:16" ht="30" customHeight="1" x14ac:dyDescent="0.25">
      <c r="A64" s="125"/>
      <c r="B64" s="123"/>
      <c r="C64" s="49"/>
      <c r="D64" s="124"/>
      <c r="E64" s="124"/>
      <c r="F64" s="123"/>
      <c r="G64" s="124"/>
      <c r="H64" s="123"/>
      <c r="I64" s="123" t="str">
        <f>IF(OR(Tbl_Transfers_Removals[[#This Row],[Removal or Transfer]]="Removal",Tbl_Transfers_Removals[[#This Row],[Removal or Transfer]]="Transfer Out"),'Forum Rosters'!$C$1,"")</f>
        <v/>
      </c>
      <c r="J64" s="123"/>
      <c r="K64" s="123"/>
      <c r="L64" s="123"/>
      <c r="M64" s="123"/>
      <c r="N64" s="125"/>
      <c r="O64" s="126"/>
      <c r="P64" s="2"/>
    </row>
    <row r="65" spans="1:16" s="121" customFormat="1" ht="30" customHeight="1" x14ac:dyDescent="0.25">
      <c r="A65" s="133"/>
      <c r="B65" s="132"/>
      <c r="C65" s="49"/>
      <c r="D65" s="134"/>
      <c r="E65" s="134"/>
      <c r="F65" s="123"/>
      <c r="G65" s="134"/>
      <c r="H65" s="132"/>
      <c r="I65" s="123" t="str">
        <f>IF(OR(Tbl_Transfers_Removals[[#This Row],[Removal or Transfer]]="Removal",Tbl_Transfers_Removals[[#This Row],[Removal or Transfer]]="Transfer Out"),'Forum Rosters'!$C$1,"")</f>
        <v/>
      </c>
      <c r="J65" s="132"/>
      <c r="K65" s="132"/>
      <c r="L65" s="132"/>
      <c r="M65" s="132"/>
      <c r="N65" s="133"/>
      <c r="O65" s="135"/>
    </row>
    <row r="66" spans="1:16" ht="30" customHeight="1" x14ac:dyDescent="0.25">
      <c r="A66" s="125"/>
      <c r="B66" s="123"/>
      <c r="C66" s="49"/>
      <c r="D66" s="124"/>
      <c r="E66" s="124"/>
      <c r="F66" s="123"/>
      <c r="G66" s="124"/>
      <c r="H66" s="123"/>
      <c r="I66" s="123" t="str">
        <f>IF(OR(Tbl_Transfers_Removals[[#This Row],[Removal or Transfer]]="Removal",Tbl_Transfers_Removals[[#This Row],[Removal or Transfer]]="Transfer Out"),'Forum Rosters'!$C$1,"")</f>
        <v/>
      </c>
      <c r="J66" s="123"/>
      <c r="K66" s="123"/>
      <c r="L66" s="123"/>
      <c r="M66" s="123"/>
      <c r="N66" s="125"/>
      <c r="O66" s="126"/>
      <c r="P66" s="2"/>
    </row>
    <row r="67" spans="1:16" s="121" customFormat="1" ht="30" customHeight="1" x14ac:dyDescent="0.25">
      <c r="A67" s="133"/>
      <c r="B67" s="132"/>
      <c r="C67" s="49"/>
      <c r="D67" s="134"/>
      <c r="E67" s="134"/>
      <c r="F67" s="123"/>
      <c r="G67" s="134"/>
      <c r="H67" s="132"/>
      <c r="I67" s="123" t="str">
        <f>IF(OR(Tbl_Transfers_Removals[[#This Row],[Removal or Transfer]]="Removal",Tbl_Transfers_Removals[[#This Row],[Removal or Transfer]]="Transfer Out"),'Forum Rosters'!$C$1,"")</f>
        <v/>
      </c>
      <c r="J67" s="132"/>
      <c r="K67" s="132"/>
      <c r="L67" s="132"/>
      <c r="M67" s="132"/>
      <c r="N67" s="133"/>
      <c r="O67" s="135"/>
    </row>
    <row r="68" spans="1:16" ht="30" customHeight="1" x14ac:dyDescent="0.25">
      <c r="A68" s="125"/>
      <c r="B68" s="123"/>
      <c r="C68" s="49"/>
      <c r="D68" s="124"/>
      <c r="E68" s="124"/>
      <c r="F68" s="123"/>
      <c r="G68" s="124"/>
      <c r="H68" s="123"/>
      <c r="I68" s="123" t="str">
        <f>IF(OR(Tbl_Transfers_Removals[[#This Row],[Removal or Transfer]]="Removal",Tbl_Transfers_Removals[[#This Row],[Removal or Transfer]]="Transfer Out"),'Forum Rosters'!$C$1,"")</f>
        <v/>
      </c>
      <c r="J68" s="123"/>
      <c r="K68" s="123"/>
      <c r="L68" s="123"/>
      <c r="M68" s="123"/>
      <c r="N68" s="125"/>
      <c r="O68" s="126"/>
      <c r="P68" s="2"/>
    </row>
    <row r="69" spans="1:16" s="121" customFormat="1" ht="30" customHeight="1" x14ac:dyDescent="0.25">
      <c r="A69" s="133"/>
      <c r="B69" s="132"/>
      <c r="C69" s="49"/>
      <c r="D69" s="134"/>
      <c r="E69" s="134"/>
      <c r="F69" s="123"/>
      <c r="G69" s="134"/>
      <c r="H69" s="132"/>
      <c r="I69" s="123" t="str">
        <f>IF(OR(Tbl_Transfers_Removals[[#This Row],[Removal or Transfer]]="Removal",Tbl_Transfers_Removals[[#This Row],[Removal or Transfer]]="Transfer Out"),'Forum Rosters'!$C$1,"")</f>
        <v/>
      </c>
      <c r="J69" s="132"/>
      <c r="K69" s="132"/>
      <c r="L69" s="132"/>
      <c r="M69" s="132"/>
      <c r="N69" s="133"/>
      <c r="O69" s="135"/>
    </row>
    <row r="70" spans="1:16" ht="30" customHeight="1" x14ac:dyDescent="0.25">
      <c r="A70" s="125"/>
      <c r="B70" s="123"/>
      <c r="C70" s="49"/>
      <c r="D70" s="124"/>
      <c r="E70" s="124"/>
      <c r="F70" s="123"/>
      <c r="G70" s="124"/>
      <c r="H70" s="123"/>
      <c r="I70" s="123" t="str">
        <f>IF(OR(Tbl_Transfers_Removals[[#This Row],[Removal or Transfer]]="Removal",Tbl_Transfers_Removals[[#This Row],[Removal or Transfer]]="Transfer Out"),'Forum Rosters'!$C$1,"")</f>
        <v/>
      </c>
      <c r="J70" s="123"/>
      <c r="K70" s="123"/>
      <c r="L70" s="123"/>
      <c r="M70" s="123"/>
      <c r="N70" s="125"/>
      <c r="O70" s="126"/>
      <c r="P70" s="2"/>
    </row>
    <row r="71" spans="1:16" s="121" customFormat="1" ht="30" customHeight="1" x14ac:dyDescent="0.25">
      <c r="A71" s="133"/>
      <c r="B71" s="132"/>
      <c r="C71" s="49"/>
      <c r="D71" s="134"/>
      <c r="E71" s="134"/>
      <c r="F71" s="123"/>
      <c r="G71" s="134"/>
      <c r="H71" s="132"/>
      <c r="I71" s="123" t="str">
        <f>IF(OR(Tbl_Transfers_Removals[[#This Row],[Removal or Transfer]]="Removal",Tbl_Transfers_Removals[[#This Row],[Removal or Transfer]]="Transfer Out"),'Forum Rosters'!$C$1,"")</f>
        <v/>
      </c>
      <c r="J71" s="132"/>
      <c r="K71" s="132"/>
      <c r="L71" s="132"/>
      <c r="M71" s="132"/>
      <c r="N71" s="133"/>
      <c r="O71" s="135"/>
    </row>
    <row r="72" spans="1:16" ht="30" customHeight="1" x14ac:dyDescent="0.25">
      <c r="A72" s="125"/>
      <c r="B72" s="123"/>
      <c r="C72" s="49"/>
      <c r="D72" s="124"/>
      <c r="E72" s="124"/>
      <c r="F72" s="123"/>
      <c r="G72" s="124"/>
      <c r="H72" s="123"/>
      <c r="I72" s="123" t="str">
        <f>IF(OR(Tbl_Transfers_Removals[[#This Row],[Removal or Transfer]]="Removal",Tbl_Transfers_Removals[[#This Row],[Removal or Transfer]]="Transfer Out"),'Forum Rosters'!$C$1,"")</f>
        <v/>
      </c>
      <c r="J72" s="123"/>
      <c r="K72" s="123"/>
      <c r="L72" s="123"/>
      <c r="M72" s="123"/>
      <c r="N72" s="125"/>
      <c r="O72" s="126"/>
      <c r="P72" s="2"/>
    </row>
    <row r="73" spans="1:16" s="121" customFormat="1" ht="30" customHeight="1" x14ac:dyDescent="0.25">
      <c r="A73" s="133"/>
      <c r="B73" s="132"/>
      <c r="C73" s="49"/>
      <c r="D73" s="134"/>
      <c r="E73" s="134"/>
      <c r="F73" s="123"/>
      <c r="G73" s="134"/>
      <c r="H73" s="132"/>
      <c r="I73" s="123" t="str">
        <f>IF(OR(Tbl_Transfers_Removals[[#This Row],[Removal or Transfer]]="Removal",Tbl_Transfers_Removals[[#This Row],[Removal or Transfer]]="Transfer Out"),'Forum Rosters'!$C$1,"")</f>
        <v/>
      </c>
      <c r="J73" s="132"/>
      <c r="K73" s="132"/>
      <c r="L73" s="132"/>
      <c r="M73" s="132"/>
      <c r="N73" s="133"/>
      <c r="O73" s="135"/>
    </row>
    <row r="74" spans="1:16" ht="30" customHeight="1" x14ac:dyDescent="0.25">
      <c r="A74" s="125"/>
      <c r="B74" s="123"/>
      <c r="C74" s="49"/>
      <c r="D74" s="124"/>
      <c r="E74" s="124"/>
      <c r="F74" s="123"/>
      <c r="G74" s="124"/>
      <c r="H74" s="123"/>
      <c r="I74" s="123" t="str">
        <f>IF(OR(Tbl_Transfers_Removals[[#This Row],[Removal or Transfer]]="Removal",Tbl_Transfers_Removals[[#This Row],[Removal or Transfer]]="Transfer Out"),'Forum Rosters'!$C$1,"")</f>
        <v/>
      </c>
      <c r="J74" s="123"/>
      <c r="K74" s="123"/>
      <c r="L74" s="123"/>
      <c r="M74" s="123"/>
      <c r="N74" s="125"/>
      <c r="O74" s="126"/>
      <c r="P74" s="2"/>
    </row>
    <row r="75" spans="1:16" s="121" customFormat="1" ht="30" customHeight="1" x14ac:dyDescent="0.25">
      <c r="A75" s="133"/>
      <c r="B75" s="132"/>
      <c r="C75" s="49"/>
      <c r="D75" s="134"/>
      <c r="E75" s="134"/>
      <c r="F75" s="123"/>
      <c r="G75" s="134"/>
      <c r="H75" s="132"/>
      <c r="I75" s="123" t="str">
        <f>IF(OR(Tbl_Transfers_Removals[[#This Row],[Removal or Transfer]]="Removal",Tbl_Transfers_Removals[[#This Row],[Removal or Transfer]]="Transfer Out"),'Forum Rosters'!$C$1,"")</f>
        <v/>
      </c>
      <c r="J75" s="132"/>
      <c r="K75" s="132"/>
      <c r="L75" s="132"/>
      <c r="M75" s="132"/>
      <c r="N75" s="133"/>
      <c r="O75" s="135"/>
    </row>
    <row r="76" spans="1:16" ht="30" customHeight="1" x14ac:dyDescent="0.25">
      <c r="A76" s="125"/>
      <c r="B76" s="123"/>
      <c r="C76" s="49"/>
      <c r="D76" s="124"/>
      <c r="E76" s="124"/>
      <c r="F76" s="123"/>
      <c r="G76" s="124"/>
      <c r="H76" s="123"/>
      <c r="I76" s="123" t="str">
        <f>IF(OR(Tbl_Transfers_Removals[[#This Row],[Removal or Transfer]]="Removal",Tbl_Transfers_Removals[[#This Row],[Removal or Transfer]]="Transfer Out"),'Forum Rosters'!$C$1,"")</f>
        <v/>
      </c>
      <c r="J76" s="123"/>
      <c r="K76" s="123"/>
      <c r="L76" s="123"/>
      <c r="M76" s="123"/>
      <c r="N76" s="125"/>
      <c r="O76" s="126"/>
      <c r="P76" s="2"/>
    </row>
    <row r="77" spans="1:16" s="121" customFormat="1" ht="30" customHeight="1" x14ac:dyDescent="0.25">
      <c r="A77" s="133"/>
      <c r="B77" s="132"/>
      <c r="C77" s="49"/>
      <c r="D77" s="134"/>
      <c r="E77" s="134"/>
      <c r="F77" s="123"/>
      <c r="G77" s="134"/>
      <c r="H77" s="132"/>
      <c r="I77" s="123" t="str">
        <f>IF(OR(Tbl_Transfers_Removals[[#This Row],[Removal or Transfer]]="Removal",Tbl_Transfers_Removals[[#This Row],[Removal or Transfer]]="Transfer Out"),'Forum Rosters'!$C$1,"")</f>
        <v/>
      </c>
      <c r="J77" s="132"/>
      <c r="K77" s="132"/>
      <c r="L77" s="132"/>
      <c r="M77" s="132"/>
      <c r="N77" s="133"/>
      <c r="O77" s="135"/>
    </row>
    <row r="78" spans="1:16" ht="30" customHeight="1" x14ac:dyDescent="0.25">
      <c r="A78" s="125"/>
      <c r="B78" s="123"/>
      <c r="C78" s="49"/>
      <c r="D78" s="124"/>
      <c r="E78" s="124"/>
      <c r="F78" s="123"/>
      <c r="G78" s="124"/>
      <c r="H78" s="123"/>
      <c r="I78" s="123" t="str">
        <f>IF(OR(Tbl_Transfers_Removals[[#This Row],[Removal or Transfer]]="Removal",Tbl_Transfers_Removals[[#This Row],[Removal or Transfer]]="Transfer Out"),'Forum Rosters'!$C$1,"")</f>
        <v/>
      </c>
      <c r="J78" s="123"/>
      <c r="K78" s="123"/>
      <c r="L78" s="123"/>
      <c r="M78" s="123"/>
      <c r="N78" s="125"/>
      <c r="O78" s="126"/>
      <c r="P78" s="2"/>
    </row>
    <row r="79" spans="1:16" s="121" customFormat="1" ht="30" customHeight="1" x14ac:dyDescent="0.25">
      <c r="A79" s="133"/>
      <c r="B79" s="132"/>
      <c r="C79" s="49"/>
      <c r="D79" s="134"/>
      <c r="E79" s="134"/>
      <c r="F79" s="123"/>
      <c r="G79" s="134"/>
      <c r="H79" s="132"/>
      <c r="I79" s="123" t="str">
        <f>IF(OR(Tbl_Transfers_Removals[[#This Row],[Removal or Transfer]]="Removal",Tbl_Transfers_Removals[[#This Row],[Removal or Transfer]]="Transfer Out"),'Forum Rosters'!$C$1,"")</f>
        <v/>
      </c>
      <c r="J79" s="132"/>
      <c r="K79" s="132"/>
      <c r="L79" s="132"/>
      <c r="M79" s="132"/>
      <c r="N79" s="133"/>
      <c r="O79" s="135"/>
    </row>
    <row r="80" spans="1:16" ht="30" customHeight="1" x14ac:dyDescent="0.25">
      <c r="A80" s="125"/>
      <c r="B80" s="123"/>
      <c r="C80" s="49"/>
      <c r="D80" s="124"/>
      <c r="E80" s="124"/>
      <c r="F80" s="123"/>
      <c r="G80" s="124"/>
      <c r="H80" s="123"/>
      <c r="I80" s="123" t="str">
        <f>IF(OR(Tbl_Transfers_Removals[[#This Row],[Removal or Transfer]]="Removal",Tbl_Transfers_Removals[[#This Row],[Removal or Transfer]]="Transfer Out"),'Forum Rosters'!$C$1,"")</f>
        <v/>
      </c>
      <c r="J80" s="123"/>
      <c r="K80" s="123"/>
      <c r="L80" s="123"/>
      <c r="M80" s="123"/>
      <c r="N80" s="125"/>
      <c r="O80" s="126"/>
      <c r="P80" s="2"/>
    </row>
    <row r="81" spans="1:16" s="121" customFormat="1" ht="30" customHeight="1" x14ac:dyDescent="0.25">
      <c r="A81" s="133"/>
      <c r="B81" s="132"/>
      <c r="C81" s="49"/>
      <c r="D81" s="134"/>
      <c r="E81" s="134"/>
      <c r="F81" s="123"/>
      <c r="G81" s="134"/>
      <c r="H81" s="132"/>
      <c r="I81" s="123" t="str">
        <f>IF(OR(Tbl_Transfers_Removals[[#This Row],[Removal or Transfer]]="Removal",Tbl_Transfers_Removals[[#This Row],[Removal or Transfer]]="Transfer Out"),'Forum Rosters'!$C$1,"")</f>
        <v/>
      </c>
      <c r="J81" s="132"/>
      <c r="K81" s="132"/>
      <c r="L81" s="132"/>
      <c r="M81" s="132"/>
      <c r="N81" s="133"/>
      <c r="O81" s="135"/>
    </row>
    <row r="82" spans="1:16" ht="30" customHeight="1" x14ac:dyDescent="0.25">
      <c r="A82" s="125"/>
      <c r="B82" s="123"/>
      <c r="C82" s="49"/>
      <c r="D82" s="124"/>
      <c r="E82" s="124"/>
      <c r="F82" s="123"/>
      <c r="G82" s="124"/>
      <c r="H82" s="123"/>
      <c r="I82" s="123" t="str">
        <f>IF(OR(Tbl_Transfers_Removals[[#This Row],[Removal or Transfer]]="Removal",Tbl_Transfers_Removals[[#This Row],[Removal or Transfer]]="Transfer Out"),'Forum Rosters'!$C$1,"")</f>
        <v/>
      </c>
      <c r="J82" s="123"/>
      <c r="K82" s="123"/>
      <c r="L82" s="123"/>
      <c r="M82" s="123"/>
      <c r="N82" s="125"/>
      <c r="O82" s="126"/>
      <c r="P82" s="2"/>
    </row>
    <row r="83" spans="1:16" s="121" customFormat="1" ht="30" customHeight="1" x14ac:dyDescent="0.25">
      <c r="A83" s="133"/>
      <c r="B83" s="132"/>
      <c r="C83" s="49"/>
      <c r="D83" s="134"/>
      <c r="E83" s="134"/>
      <c r="F83" s="123"/>
      <c r="G83" s="134"/>
      <c r="H83" s="132"/>
      <c r="I83" s="123" t="str">
        <f>IF(OR(Tbl_Transfers_Removals[[#This Row],[Removal or Transfer]]="Removal",Tbl_Transfers_Removals[[#This Row],[Removal or Transfer]]="Transfer Out"),'Forum Rosters'!$C$1,"")</f>
        <v/>
      </c>
      <c r="J83" s="132"/>
      <c r="K83" s="132"/>
      <c r="L83" s="132"/>
      <c r="M83" s="132"/>
      <c r="N83" s="133"/>
      <c r="O83" s="135"/>
    </row>
    <row r="84" spans="1:16" ht="30" customHeight="1" x14ac:dyDescent="0.25">
      <c r="A84" s="125"/>
      <c r="B84" s="123"/>
      <c r="C84" s="49"/>
      <c r="D84" s="124"/>
      <c r="E84" s="124"/>
      <c r="F84" s="123"/>
      <c r="G84" s="124"/>
      <c r="H84" s="123"/>
      <c r="I84" s="123" t="str">
        <f>IF(OR(Tbl_Transfers_Removals[[#This Row],[Removal or Transfer]]="Removal",Tbl_Transfers_Removals[[#This Row],[Removal or Transfer]]="Transfer Out"),'Forum Rosters'!$C$1,"")</f>
        <v/>
      </c>
      <c r="J84" s="123"/>
      <c r="K84" s="123"/>
      <c r="L84" s="123"/>
      <c r="M84" s="123"/>
      <c r="N84" s="125"/>
      <c r="O84" s="126"/>
      <c r="P84" s="2"/>
    </row>
    <row r="85" spans="1:16" s="121" customFormat="1" ht="30" customHeight="1" x14ac:dyDescent="0.25">
      <c r="A85" s="133"/>
      <c r="B85" s="132"/>
      <c r="C85" s="49"/>
      <c r="D85" s="134"/>
      <c r="E85" s="134"/>
      <c r="F85" s="123"/>
      <c r="G85" s="134"/>
      <c r="H85" s="132"/>
      <c r="I85" s="123" t="str">
        <f>IF(OR(Tbl_Transfers_Removals[[#This Row],[Removal or Transfer]]="Removal",Tbl_Transfers_Removals[[#This Row],[Removal or Transfer]]="Transfer Out"),'Forum Rosters'!$C$1,"")</f>
        <v/>
      </c>
      <c r="J85" s="132"/>
      <c r="K85" s="132"/>
      <c r="L85" s="132"/>
      <c r="M85" s="132"/>
      <c r="N85" s="133"/>
      <c r="O85" s="135"/>
    </row>
    <row r="86" spans="1:16" ht="30" customHeight="1" x14ac:dyDescent="0.25">
      <c r="A86" s="125"/>
      <c r="B86" s="123"/>
      <c r="C86" s="49"/>
      <c r="D86" s="124"/>
      <c r="E86" s="124"/>
      <c r="F86" s="123"/>
      <c r="G86" s="124"/>
      <c r="H86" s="123"/>
      <c r="I86" s="123" t="str">
        <f>IF(OR(Tbl_Transfers_Removals[[#This Row],[Removal or Transfer]]="Removal",Tbl_Transfers_Removals[[#This Row],[Removal or Transfer]]="Transfer Out"),'Forum Rosters'!$C$1,"")</f>
        <v/>
      </c>
      <c r="J86" s="123"/>
      <c r="K86" s="123"/>
      <c r="L86" s="123"/>
      <c r="M86" s="123"/>
      <c r="N86" s="125"/>
      <c r="O86" s="126"/>
      <c r="P86" s="2"/>
    </row>
    <row r="87" spans="1:16" s="121" customFormat="1" ht="30" customHeight="1" x14ac:dyDescent="0.25">
      <c r="A87" s="133"/>
      <c r="B87" s="132"/>
      <c r="C87" s="49"/>
      <c r="D87" s="134"/>
      <c r="E87" s="134"/>
      <c r="F87" s="123"/>
      <c r="G87" s="134"/>
      <c r="H87" s="132"/>
      <c r="I87" s="123" t="str">
        <f>IF(OR(Tbl_Transfers_Removals[[#This Row],[Removal or Transfer]]="Removal",Tbl_Transfers_Removals[[#This Row],[Removal or Transfer]]="Transfer Out"),'Forum Rosters'!$C$1,"")</f>
        <v/>
      </c>
      <c r="J87" s="132"/>
      <c r="K87" s="132"/>
      <c r="L87" s="132"/>
      <c r="M87" s="132"/>
      <c r="N87" s="133"/>
      <c r="O87" s="135"/>
    </row>
    <row r="88" spans="1:16" ht="30" customHeight="1" x14ac:dyDescent="0.25">
      <c r="A88" s="125"/>
      <c r="B88" s="123"/>
      <c r="C88" s="49"/>
      <c r="D88" s="124"/>
      <c r="E88" s="124"/>
      <c r="F88" s="123"/>
      <c r="G88" s="124"/>
      <c r="H88" s="123"/>
      <c r="I88" s="123" t="str">
        <f>IF(OR(Tbl_Transfers_Removals[[#This Row],[Removal or Transfer]]="Removal",Tbl_Transfers_Removals[[#This Row],[Removal or Transfer]]="Transfer Out"),'Forum Rosters'!$C$1,"")</f>
        <v/>
      </c>
      <c r="J88" s="123"/>
      <c r="K88" s="123"/>
      <c r="L88" s="123"/>
      <c r="M88" s="123"/>
      <c r="N88" s="125"/>
      <c r="O88" s="126"/>
      <c r="P88" s="2"/>
    </row>
    <row r="89" spans="1:16" s="121" customFormat="1" ht="30" customHeight="1" x14ac:dyDescent="0.25">
      <c r="A89" s="133"/>
      <c r="B89" s="132"/>
      <c r="C89" s="49"/>
      <c r="D89" s="134"/>
      <c r="E89" s="134"/>
      <c r="F89" s="123"/>
      <c r="G89" s="134"/>
      <c r="H89" s="132"/>
      <c r="I89" s="123" t="str">
        <f>IF(OR(Tbl_Transfers_Removals[[#This Row],[Removal or Transfer]]="Removal",Tbl_Transfers_Removals[[#This Row],[Removal or Transfer]]="Transfer Out"),'Forum Rosters'!$C$1,"")</f>
        <v/>
      </c>
      <c r="J89" s="132"/>
      <c r="K89" s="132"/>
      <c r="L89" s="132"/>
      <c r="M89" s="132"/>
      <c r="N89" s="133"/>
      <c r="O89" s="135"/>
    </row>
    <row r="90" spans="1:16" ht="30" customHeight="1" x14ac:dyDescent="0.25">
      <c r="A90" s="125"/>
      <c r="B90" s="123"/>
      <c r="C90" s="49"/>
      <c r="D90" s="124"/>
      <c r="E90" s="124"/>
      <c r="F90" s="123"/>
      <c r="G90" s="124"/>
      <c r="H90" s="123"/>
      <c r="I90" s="123" t="str">
        <f>IF(OR(Tbl_Transfers_Removals[[#This Row],[Removal or Transfer]]="Removal",Tbl_Transfers_Removals[[#This Row],[Removal or Transfer]]="Transfer Out"),'Forum Rosters'!$C$1,"")</f>
        <v/>
      </c>
      <c r="J90" s="123"/>
      <c r="K90" s="123"/>
      <c r="L90" s="123"/>
      <c r="M90" s="123"/>
      <c r="N90" s="125"/>
      <c r="O90" s="126"/>
      <c r="P90" s="2"/>
    </row>
    <row r="91" spans="1:16" s="121" customFormat="1" ht="30" customHeight="1" x14ac:dyDescent="0.25">
      <c r="A91" s="133"/>
      <c r="B91" s="132"/>
      <c r="C91" s="49"/>
      <c r="D91" s="134"/>
      <c r="E91" s="134"/>
      <c r="F91" s="123"/>
      <c r="G91" s="134"/>
      <c r="H91" s="132"/>
      <c r="I91" s="123" t="str">
        <f>IF(OR(Tbl_Transfers_Removals[[#This Row],[Removal or Transfer]]="Removal",Tbl_Transfers_Removals[[#This Row],[Removal or Transfer]]="Transfer Out"),'Forum Rosters'!$C$1,"")</f>
        <v/>
      </c>
      <c r="J91" s="132"/>
      <c r="K91" s="132"/>
      <c r="L91" s="132"/>
      <c r="M91" s="132"/>
      <c r="N91" s="133"/>
      <c r="O91" s="135"/>
    </row>
    <row r="92" spans="1:16" ht="30" customHeight="1" x14ac:dyDescent="0.25">
      <c r="A92" s="125"/>
      <c r="B92" s="123"/>
      <c r="C92" s="49"/>
      <c r="D92" s="124"/>
      <c r="E92" s="124"/>
      <c r="F92" s="123"/>
      <c r="G92" s="124"/>
      <c r="H92" s="123"/>
      <c r="I92" s="123" t="str">
        <f>IF(OR(Tbl_Transfers_Removals[[#This Row],[Removal or Transfer]]="Removal",Tbl_Transfers_Removals[[#This Row],[Removal or Transfer]]="Transfer Out"),'Forum Rosters'!$C$1,"")</f>
        <v/>
      </c>
      <c r="J92" s="123"/>
      <c r="K92" s="123"/>
      <c r="L92" s="123"/>
      <c r="M92" s="123"/>
      <c r="N92" s="125"/>
      <c r="O92" s="126"/>
      <c r="P92" s="2"/>
    </row>
    <row r="93" spans="1:16" s="121" customFormat="1" ht="30" customHeight="1" x14ac:dyDescent="0.25">
      <c r="A93" s="133"/>
      <c r="B93" s="132"/>
      <c r="C93" s="49"/>
      <c r="D93" s="134"/>
      <c r="E93" s="134"/>
      <c r="F93" s="123"/>
      <c r="G93" s="134"/>
      <c r="H93" s="132"/>
      <c r="I93" s="123" t="str">
        <f>IF(OR(Tbl_Transfers_Removals[[#This Row],[Removal or Transfer]]="Removal",Tbl_Transfers_Removals[[#This Row],[Removal or Transfer]]="Transfer Out"),'Forum Rosters'!$C$1,"")</f>
        <v/>
      </c>
      <c r="J93" s="132"/>
      <c r="K93" s="132"/>
      <c r="L93" s="132"/>
      <c r="M93" s="132"/>
      <c r="N93" s="133"/>
      <c r="O93" s="135"/>
    </row>
    <row r="94" spans="1:16" ht="30" customHeight="1" x14ac:dyDescent="0.25">
      <c r="A94" s="125"/>
      <c r="B94" s="123"/>
      <c r="C94" s="49"/>
      <c r="D94" s="124"/>
      <c r="E94" s="124"/>
      <c r="F94" s="123"/>
      <c r="G94" s="124"/>
      <c r="H94" s="123"/>
      <c r="I94" s="123" t="str">
        <f>IF(OR(Tbl_Transfers_Removals[[#This Row],[Removal or Transfer]]="Removal",Tbl_Transfers_Removals[[#This Row],[Removal or Transfer]]="Transfer Out"),'Forum Rosters'!$C$1,"")</f>
        <v/>
      </c>
      <c r="J94" s="123"/>
      <c r="K94" s="123"/>
      <c r="L94" s="123"/>
      <c r="M94" s="123"/>
      <c r="N94" s="125"/>
      <c r="O94" s="126"/>
      <c r="P94" s="2"/>
    </row>
    <row r="95" spans="1:16" s="121" customFormat="1" ht="30" customHeight="1" x14ac:dyDescent="0.25">
      <c r="A95" s="133"/>
      <c r="B95" s="132"/>
      <c r="C95" s="49"/>
      <c r="D95" s="134"/>
      <c r="E95" s="134"/>
      <c r="F95" s="123"/>
      <c r="G95" s="134"/>
      <c r="H95" s="132"/>
      <c r="I95" s="123" t="str">
        <f>IF(OR(Tbl_Transfers_Removals[[#This Row],[Removal or Transfer]]="Removal",Tbl_Transfers_Removals[[#This Row],[Removal or Transfer]]="Transfer Out"),'Forum Rosters'!$C$1,"")</f>
        <v/>
      </c>
      <c r="J95" s="132"/>
      <c r="K95" s="132"/>
      <c r="L95" s="132"/>
      <c r="M95" s="132"/>
      <c r="N95" s="133"/>
      <c r="O95" s="135"/>
    </row>
    <row r="96" spans="1:16" ht="30" customHeight="1" x14ac:dyDescent="0.25">
      <c r="A96" s="125"/>
      <c r="B96" s="123"/>
      <c r="C96" s="49"/>
      <c r="D96" s="124"/>
      <c r="E96" s="124"/>
      <c r="F96" s="123"/>
      <c r="G96" s="124"/>
      <c r="H96" s="123"/>
      <c r="I96" s="123" t="str">
        <f>IF(OR(Tbl_Transfers_Removals[[#This Row],[Removal or Transfer]]="Removal",Tbl_Transfers_Removals[[#This Row],[Removal or Transfer]]="Transfer Out"),'Forum Rosters'!$C$1,"")</f>
        <v/>
      </c>
      <c r="J96" s="123"/>
      <c r="K96" s="123"/>
      <c r="L96" s="123"/>
      <c r="M96" s="123"/>
      <c r="N96" s="125"/>
      <c r="O96" s="126"/>
      <c r="P96" s="2"/>
    </row>
    <row r="97" spans="1:16" s="121" customFormat="1" ht="30" customHeight="1" x14ac:dyDescent="0.25">
      <c r="A97" s="133"/>
      <c r="B97" s="132"/>
      <c r="C97" s="49"/>
      <c r="D97" s="134"/>
      <c r="E97" s="134"/>
      <c r="F97" s="123"/>
      <c r="G97" s="134"/>
      <c r="H97" s="132"/>
      <c r="I97" s="123" t="str">
        <f>IF(OR(Tbl_Transfers_Removals[[#This Row],[Removal or Transfer]]="Removal",Tbl_Transfers_Removals[[#This Row],[Removal or Transfer]]="Transfer Out"),'Forum Rosters'!$C$1,"")</f>
        <v/>
      </c>
      <c r="J97" s="132"/>
      <c r="K97" s="132"/>
      <c r="L97" s="132"/>
      <c r="M97" s="132"/>
      <c r="N97" s="133"/>
      <c r="O97" s="135"/>
    </row>
    <row r="98" spans="1:16" ht="30" customHeight="1" x14ac:dyDescent="0.25">
      <c r="A98" s="125"/>
      <c r="B98" s="123"/>
      <c r="C98" s="49"/>
      <c r="D98" s="124"/>
      <c r="E98" s="124"/>
      <c r="F98" s="123"/>
      <c r="G98" s="124"/>
      <c r="H98" s="123"/>
      <c r="I98" s="123" t="str">
        <f>IF(OR(Tbl_Transfers_Removals[[#This Row],[Removal or Transfer]]="Removal",Tbl_Transfers_Removals[[#This Row],[Removal or Transfer]]="Transfer Out"),'Forum Rosters'!$C$1,"")</f>
        <v/>
      </c>
      <c r="J98" s="123"/>
      <c r="K98" s="123"/>
      <c r="L98" s="123"/>
      <c r="M98" s="123"/>
      <c r="N98" s="125"/>
      <c r="O98" s="126"/>
      <c r="P98" s="2"/>
    </row>
    <row r="99" spans="1:16" s="121" customFormat="1" ht="30" customHeight="1" x14ac:dyDescent="0.25">
      <c r="A99" s="133"/>
      <c r="B99" s="132"/>
      <c r="C99" s="49"/>
      <c r="D99" s="134"/>
      <c r="E99" s="134"/>
      <c r="F99" s="123"/>
      <c r="G99" s="134"/>
      <c r="H99" s="132"/>
      <c r="I99" s="123" t="str">
        <f>IF(OR(Tbl_Transfers_Removals[[#This Row],[Removal or Transfer]]="Removal",Tbl_Transfers_Removals[[#This Row],[Removal or Transfer]]="Transfer Out"),'Forum Rosters'!$C$1,"")</f>
        <v/>
      </c>
      <c r="J99" s="132"/>
      <c r="K99" s="132"/>
      <c r="L99" s="132"/>
      <c r="M99" s="132"/>
      <c r="N99" s="133"/>
      <c r="O99" s="135"/>
    </row>
    <row r="100" spans="1:16" ht="30" customHeight="1" x14ac:dyDescent="0.25">
      <c r="A100" s="125"/>
      <c r="B100" s="123"/>
      <c r="C100" s="49"/>
      <c r="D100" s="124"/>
      <c r="E100" s="124"/>
      <c r="F100" s="123"/>
      <c r="G100" s="124"/>
      <c r="H100" s="123"/>
      <c r="I100" s="123" t="str">
        <f>IF(OR(Tbl_Transfers_Removals[[#This Row],[Removal or Transfer]]="Removal",Tbl_Transfers_Removals[[#This Row],[Removal or Transfer]]="Transfer Out"),'Forum Rosters'!$C$1,"")</f>
        <v/>
      </c>
      <c r="J100" s="123"/>
      <c r="K100" s="123"/>
      <c r="L100" s="123"/>
      <c r="M100" s="123"/>
      <c r="N100" s="125"/>
      <c r="O100" s="126"/>
      <c r="P100" s="2"/>
    </row>
    <row r="101" spans="1:16" s="121" customFormat="1" ht="30" customHeight="1" x14ac:dyDescent="0.25">
      <c r="A101" s="133"/>
      <c r="B101" s="132"/>
      <c r="C101" s="49"/>
      <c r="D101" s="134"/>
      <c r="E101" s="134"/>
      <c r="F101" s="123"/>
      <c r="G101" s="134"/>
      <c r="H101" s="132"/>
      <c r="I101" s="123" t="str">
        <f>IF(OR(Tbl_Transfers_Removals[[#This Row],[Removal or Transfer]]="Removal",Tbl_Transfers_Removals[[#This Row],[Removal or Transfer]]="Transfer Out"),'Forum Rosters'!$C$1,"")</f>
        <v/>
      </c>
      <c r="J101" s="132"/>
      <c r="K101" s="132"/>
      <c r="L101" s="132"/>
      <c r="M101" s="132"/>
      <c r="N101" s="133"/>
      <c r="O101" s="135"/>
    </row>
    <row r="102" spans="1:16" ht="30" customHeight="1" x14ac:dyDescent="0.25">
      <c r="A102" s="125"/>
      <c r="B102" s="123"/>
      <c r="C102" s="49"/>
      <c r="D102" s="124"/>
      <c r="E102" s="124"/>
      <c r="F102" s="123"/>
      <c r="G102" s="124"/>
      <c r="H102" s="123"/>
      <c r="I102" s="123" t="str">
        <f>IF(OR(Tbl_Transfers_Removals[[#This Row],[Removal or Transfer]]="Removal",Tbl_Transfers_Removals[[#This Row],[Removal or Transfer]]="Transfer Out"),'Forum Rosters'!$C$1,"")</f>
        <v/>
      </c>
      <c r="J102" s="123"/>
      <c r="K102" s="123"/>
      <c r="L102" s="123"/>
      <c r="M102" s="123"/>
      <c r="N102" s="125"/>
      <c r="O102" s="126"/>
      <c r="P102" s="2"/>
    </row>
    <row r="103" spans="1:16" s="121" customFormat="1" ht="30" customHeight="1" x14ac:dyDescent="0.25">
      <c r="A103" s="133"/>
      <c r="B103" s="132"/>
      <c r="C103" s="49"/>
      <c r="D103" s="134"/>
      <c r="E103" s="134"/>
      <c r="F103" s="123"/>
      <c r="G103" s="134"/>
      <c r="H103" s="132"/>
      <c r="I103" s="123" t="str">
        <f>IF(OR(Tbl_Transfers_Removals[[#This Row],[Removal or Transfer]]="Removal",Tbl_Transfers_Removals[[#This Row],[Removal or Transfer]]="Transfer Out"),'Forum Rosters'!$C$1,"")</f>
        <v/>
      </c>
      <c r="J103" s="132"/>
      <c r="K103" s="132"/>
      <c r="L103" s="132"/>
      <c r="M103" s="132"/>
      <c r="N103" s="133"/>
      <c r="O103" s="135"/>
    </row>
    <row r="104" spans="1:16" ht="30" customHeight="1" x14ac:dyDescent="0.25">
      <c r="A104" s="125"/>
      <c r="B104" s="123"/>
      <c r="C104" s="49"/>
      <c r="D104" s="124"/>
      <c r="E104" s="124"/>
      <c r="F104" s="123"/>
      <c r="G104" s="124"/>
      <c r="H104" s="123"/>
      <c r="I104" s="123" t="str">
        <f>IF(OR(Tbl_Transfers_Removals[[#This Row],[Removal or Transfer]]="Removal",Tbl_Transfers_Removals[[#This Row],[Removal or Transfer]]="Transfer Out"),'Forum Rosters'!$C$1,"")</f>
        <v/>
      </c>
      <c r="J104" s="123"/>
      <c r="K104" s="123"/>
      <c r="L104" s="123"/>
      <c r="M104" s="123"/>
      <c r="N104" s="125"/>
      <c r="O104" s="126"/>
      <c r="P104" s="2"/>
    </row>
    <row r="105" spans="1:16" s="121" customFormat="1" ht="30" customHeight="1" x14ac:dyDescent="0.25">
      <c r="A105" s="133"/>
      <c r="B105" s="132"/>
      <c r="C105" s="49"/>
      <c r="D105" s="134"/>
      <c r="E105" s="134"/>
      <c r="F105" s="123"/>
      <c r="G105" s="134"/>
      <c r="H105" s="132"/>
      <c r="I105" s="123" t="str">
        <f>IF(OR(Tbl_Transfers_Removals[[#This Row],[Removal or Transfer]]="Removal",Tbl_Transfers_Removals[[#This Row],[Removal or Transfer]]="Transfer Out"),'Forum Rosters'!$C$1,"")</f>
        <v/>
      </c>
      <c r="J105" s="132"/>
      <c r="K105" s="132"/>
      <c r="L105" s="132"/>
      <c r="M105" s="132"/>
      <c r="N105" s="133"/>
      <c r="O105" s="135"/>
    </row>
    <row r="106" spans="1:16" ht="30" customHeight="1" x14ac:dyDescent="0.25">
      <c r="A106" s="125"/>
      <c r="B106" s="123"/>
      <c r="C106" s="49"/>
      <c r="D106" s="124"/>
      <c r="E106" s="124"/>
      <c r="F106" s="123"/>
      <c r="G106" s="124"/>
      <c r="H106" s="123"/>
      <c r="I106" s="123" t="str">
        <f>IF(OR(Tbl_Transfers_Removals[[#This Row],[Removal or Transfer]]="Removal",Tbl_Transfers_Removals[[#This Row],[Removal or Transfer]]="Transfer Out"),'Forum Rosters'!$C$1,"")</f>
        <v/>
      </c>
      <c r="J106" s="123"/>
      <c r="K106" s="123"/>
      <c r="L106" s="123"/>
      <c r="M106" s="123"/>
      <c r="N106" s="125"/>
      <c r="O106" s="126"/>
      <c r="P106" s="2"/>
    </row>
    <row r="107" spans="1:16" s="121" customFormat="1" ht="30" customHeight="1" x14ac:dyDescent="0.25">
      <c r="A107" s="133"/>
      <c r="B107" s="132"/>
      <c r="C107" s="49"/>
      <c r="D107" s="134"/>
      <c r="E107" s="134"/>
      <c r="F107" s="123"/>
      <c r="G107" s="134"/>
      <c r="H107" s="132"/>
      <c r="I107" s="123" t="str">
        <f>IF(OR(Tbl_Transfers_Removals[[#This Row],[Removal or Transfer]]="Removal",Tbl_Transfers_Removals[[#This Row],[Removal or Transfer]]="Transfer Out"),'Forum Rosters'!$C$1,"")</f>
        <v/>
      </c>
      <c r="J107" s="132"/>
      <c r="K107" s="132"/>
      <c r="L107" s="132"/>
      <c r="M107" s="132"/>
      <c r="N107" s="133"/>
      <c r="O107" s="135"/>
    </row>
    <row r="108" spans="1:16" ht="30" customHeight="1" x14ac:dyDescent="0.25">
      <c r="A108" s="125"/>
      <c r="B108" s="123"/>
      <c r="C108" s="49"/>
      <c r="D108" s="124"/>
      <c r="E108" s="124"/>
      <c r="F108" s="123"/>
      <c r="G108" s="124"/>
      <c r="H108" s="123"/>
      <c r="I108" s="123" t="str">
        <f>IF(OR(Tbl_Transfers_Removals[[#This Row],[Removal or Transfer]]="Removal",Tbl_Transfers_Removals[[#This Row],[Removal or Transfer]]="Transfer Out"),'Forum Rosters'!$C$1,"")</f>
        <v/>
      </c>
      <c r="J108" s="123"/>
      <c r="K108" s="123"/>
      <c r="L108" s="123"/>
      <c r="M108" s="123"/>
      <c r="N108" s="125"/>
      <c r="O108" s="126"/>
      <c r="P108" s="2"/>
    </row>
    <row r="109" spans="1:16" s="121" customFormat="1" ht="30" customHeight="1" x14ac:dyDescent="0.25">
      <c r="A109" s="133"/>
      <c r="B109" s="132"/>
      <c r="C109" s="49"/>
      <c r="D109" s="134"/>
      <c r="E109" s="134"/>
      <c r="F109" s="123"/>
      <c r="G109" s="134"/>
      <c r="H109" s="132"/>
      <c r="I109" s="123" t="str">
        <f>IF(OR(Tbl_Transfers_Removals[[#This Row],[Removal or Transfer]]="Removal",Tbl_Transfers_Removals[[#This Row],[Removal or Transfer]]="Transfer Out"),'Forum Rosters'!$C$1,"")</f>
        <v/>
      </c>
      <c r="J109" s="132"/>
      <c r="K109" s="132"/>
      <c r="L109" s="132"/>
      <c r="M109" s="132"/>
      <c r="N109" s="133"/>
      <c r="O109" s="135"/>
    </row>
    <row r="110" spans="1:16" ht="30" customHeight="1" x14ac:dyDescent="0.25">
      <c r="A110" s="125"/>
      <c r="B110" s="123"/>
      <c r="C110" s="49"/>
      <c r="D110" s="124"/>
      <c r="E110" s="124"/>
      <c r="F110" s="123"/>
      <c r="G110" s="124"/>
      <c r="H110" s="123"/>
      <c r="I110" s="123" t="str">
        <f>IF(OR(Tbl_Transfers_Removals[[#This Row],[Removal or Transfer]]="Removal",Tbl_Transfers_Removals[[#This Row],[Removal or Transfer]]="Transfer Out"),'Forum Rosters'!$C$1,"")</f>
        <v/>
      </c>
      <c r="J110" s="123"/>
      <c r="K110" s="123"/>
      <c r="L110" s="123"/>
      <c r="M110" s="123"/>
      <c r="N110" s="125"/>
      <c r="O110" s="126"/>
      <c r="P110" s="2"/>
    </row>
    <row r="111" spans="1:16" s="121" customFormat="1" ht="30" customHeight="1" x14ac:dyDescent="0.25">
      <c r="A111" s="133"/>
      <c r="B111" s="132"/>
      <c r="C111" s="49"/>
      <c r="D111" s="134"/>
      <c r="E111" s="134"/>
      <c r="F111" s="123"/>
      <c r="G111" s="134"/>
      <c r="H111" s="132"/>
      <c r="I111" s="123" t="str">
        <f>IF(OR(Tbl_Transfers_Removals[[#This Row],[Removal or Transfer]]="Removal",Tbl_Transfers_Removals[[#This Row],[Removal or Transfer]]="Transfer Out"),'Forum Rosters'!$C$1,"")</f>
        <v/>
      </c>
      <c r="J111" s="132"/>
      <c r="K111" s="132"/>
      <c r="L111" s="132"/>
      <c r="M111" s="132"/>
      <c r="N111" s="133"/>
      <c r="O111" s="135"/>
    </row>
    <row r="112" spans="1:16" ht="30" customHeight="1" x14ac:dyDescent="0.25">
      <c r="A112" s="125"/>
      <c r="B112" s="123"/>
      <c r="C112" s="49"/>
      <c r="D112" s="124"/>
      <c r="E112" s="124"/>
      <c r="F112" s="123"/>
      <c r="G112" s="124"/>
      <c r="H112" s="123"/>
      <c r="I112" s="123" t="str">
        <f>IF(OR(Tbl_Transfers_Removals[[#This Row],[Removal or Transfer]]="Removal",Tbl_Transfers_Removals[[#This Row],[Removal or Transfer]]="Transfer Out"),'Forum Rosters'!$C$1,"")</f>
        <v/>
      </c>
      <c r="J112" s="123"/>
      <c r="K112" s="123"/>
      <c r="L112" s="123"/>
      <c r="M112" s="123"/>
      <c r="N112" s="125"/>
      <c r="O112" s="126"/>
      <c r="P112" s="2"/>
    </row>
    <row r="113" spans="1:16" s="121" customFormat="1" ht="30" customHeight="1" x14ac:dyDescent="0.25">
      <c r="A113" s="133"/>
      <c r="B113" s="132"/>
      <c r="C113" s="49"/>
      <c r="D113" s="134"/>
      <c r="E113" s="134"/>
      <c r="F113" s="123"/>
      <c r="G113" s="134"/>
      <c r="H113" s="132"/>
      <c r="I113" s="123" t="str">
        <f>IF(OR(Tbl_Transfers_Removals[[#This Row],[Removal or Transfer]]="Removal",Tbl_Transfers_Removals[[#This Row],[Removal or Transfer]]="Transfer Out"),'Forum Rosters'!$C$1,"")</f>
        <v/>
      </c>
      <c r="J113" s="132"/>
      <c r="K113" s="132"/>
      <c r="L113" s="132"/>
      <c r="M113" s="132"/>
      <c r="N113" s="133"/>
      <c r="O113" s="135"/>
    </row>
    <row r="114" spans="1:16" ht="30" customHeight="1" x14ac:dyDescent="0.25">
      <c r="A114" s="125"/>
      <c r="B114" s="123"/>
      <c r="C114" s="49"/>
      <c r="D114" s="124"/>
      <c r="E114" s="124"/>
      <c r="F114" s="123"/>
      <c r="G114" s="124"/>
      <c r="H114" s="123"/>
      <c r="I114" s="123" t="str">
        <f>IF(OR(Tbl_Transfers_Removals[[#This Row],[Removal or Transfer]]="Removal",Tbl_Transfers_Removals[[#This Row],[Removal or Transfer]]="Transfer Out"),'Forum Rosters'!$C$1,"")</f>
        <v/>
      </c>
      <c r="J114" s="123"/>
      <c r="K114" s="123"/>
      <c r="L114" s="123"/>
      <c r="M114" s="123"/>
      <c r="N114" s="125"/>
      <c r="O114" s="126"/>
      <c r="P114" s="2"/>
    </row>
    <row r="115" spans="1:16" s="121" customFormat="1" ht="30" customHeight="1" x14ac:dyDescent="0.25">
      <c r="A115" s="133"/>
      <c r="B115" s="132"/>
      <c r="C115" s="49"/>
      <c r="D115" s="134"/>
      <c r="E115" s="134"/>
      <c r="F115" s="123"/>
      <c r="G115" s="134"/>
      <c r="H115" s="132"/>
      <c r="I115" s="123" t="str">
        <f>IF(OR(Tbl_Transfers_Removals[[#This Row],[Removal or Transfer]]="Removal",Tbl_Transfers_Removals[[#This Row],[Removal or Transfer]]="Transfer Out"),'Forum Rosters'!$C$1,"")</f>
        <v/>
      </c>
      <c r="J115" s="132"/>
      <c r="K115" s="132"/>
      <c r="L115" s="132"/>
      <c r="M115" s="132"/>
      <c r="N115" s="133"/>
      <c r="O115" s="135"/>
    </row>
    <row r="116" spans="1:16" ht="30" customHeight="1" x14ac:dyDescent="0.25">
      <c r="A116" s="125"/>
      <c r="B116" s="123"/>
      <c r="C116" s="49"/>
      <c r="D116" s="124"/>
      <c r="E116" s="124"/>
      <c r="F116" s="123"/>
      <c r="G116" s="124"/>
      <c r="H116" s="123"/>
      <c r="I116" s="123" t="str">
        <f>IF(OR(Tbl_Transfers_Removals[[#This Row],[Removal or Transfer]]="Removal",Tbl_Transfers_Removals[[#This Row],[Removal or Transfer]]="Transfer Out"),'Forum Rosters'!$C$1,"")</f>
        <v/>
      </c>
      <c r="J116" s="123"/>
      <c r="K116" s="123"/>
      <c r="L116" s="123"/>
      <c r="M116" s="123"/>
      <c r="N116" s="125"/>
      <c r="O116" s="126"/>
      <c r="P116" s="2"/>
    </row>
    <row r="117" spans="1:16" s="121" customFormat="1" ht="30" customHeight="1" x14ac:dyDescent="0.25">
      <c r="A117" s="133"/>
      <c r="B117" s="132"/>
      <c r="C117" s="49"/>
      <c r="D117" s="134"/>
      <c r="E117" s="134"/>
      <c r="F117" s="123"/>
      <c r="G117" s="134"/>
      <c r="H117" s="132"/>
      <c r="I117" s="123" t="str">
        <f>IF(OR(Tbl_Transfers_Removals[[#This Row],[Removal or Transfer]]="Removal",Tbl_Transfers_Removals[[#This Row],[Removal or Transfer]]="Transfer Out"),'Forum Rosters'!$C$1,"")</f>
        <v/>
      </c>
      <c r="J117" s="132"/>
      <c r="K117" s="132"/>
      <c r="L117" s="132"/>
      <c r="M117" s="132"/>
      <c r="N117" s="133"/>
      <c r="O117" s="135"/>
    </row>
    <row r="118" spans="1:16" ht="30" customHeight="1" x14ac:dyDescent="0.25">
      <c r="A118" s="125"/>
      <c r="B118" s="123"/>
      <c r="C118" s="49"/>
      <c r="D118" s="124"/>
      <c r="E118" s="124"/>
      <c r="F118" s="123"/>
      <c r="G118" s="124"/>
      <c r="H118" s="123"/>
      <c r="I118" s="123" t="str">
        <f>IF(OR(Tbl_Transfers_Removals[[#This Row],[Removal or Transfer]]="Removal",Tbl_Transfers_Removals[[#This Row],[Removal or Transfer]]="Transfer Out"),'Forum Rosters'!$C$1,"")</f>
        <v/>
      </c>
      <c r="J118" s="123"/>
      <c r="K118" s="123"/>
      <c r="L118" s="123"/>
      <c r="M118" s="123"/>
      <c r="N118" s="125"/>
      <c r="O118" s="126"/>
      <c r="P118" s="2"/>
    </row>
    <row r="119" spans="1:16" s="121" customFormat="1" ht="30" customHeight="1" x14ac:dyDescent="0.25">
      <c r="A119" s="133"/>
      <c r="B119" s="132"/>
      <c r="C119" s="49"/>
      <c r="D119" s="134"/>
      <c r="E119" s="134"/>
      <c r="F119" s="123"/>
      <c r="G119" s="134"/>
      <c r="H119" s="132"/>
      <c r="I119" s="123" t="str">
        <f>IF(OR(Tbl_Transfers_Removals[[#This Row],[Removal or Transfer]]="Removal",Tbl_Transfers_Removals[[#This Row],[Removal or Transfer]]="Transfer Out"),'Forum Rosters'!$C$1,"")</f>
        <v/>
      </c>
      <c r="J119" s="132"/>
      <c r="K119" s="132"/>
      <c r="L119" s="132"/>
      <c r="M119" s="132"/>
      <c r="N119" s="133"/>
      <c r="O119" s="135"/>
    </row>
    <row r="120" spans="1:16" ht="30" customHeight="1" x14ac:dyDescent="0.25">
      <c r="A120" s="125"/>
      <c r="B120" s="123"/>
      <c r="C120" s="49"/>
      <c r="D120" s="124"/>
      <c r="E120" s="124"/>
      <c r="F120" s="123"/>
      <c r="G120" s="124"/>
      <c r="H120" s="123"/>
      <c r="I120" s="123" t="str">
        <f>IF(OR(Tbl_Transfers_Removals[[#This Row],[Removal or Transfer]]="Removal",Tbl_Transfers_Removals[[#This Row],[Removal or Transfer]]="Transfer Out"),'Forum Rosters'!$C$1,"")</f>
        <v/>
      </c>
      <c r="J120" s="123"/>
      <c r="K120" s="123"/>
      <c r="L120" s="123"/>
      <c r="M120" s="123"/>
      <c r="N120" s="125"/>
      <c r="O120" s="126"/>
      <c r="P120" s="2"/>
    </row>
  </sheetData>
  <sheetProtection algorithmName="SHA-512" hashValue="uD1fZ5fEed+oDcyu3r+0a3REYj8z7XGt8D87kbCvLarlR6ThKvPzwYimaDEY5GPvg8oF8mgNW23OoRczFmvVZw==" saltValue="YqX2LuS7MIST97h47nBTfQ==" spinCount="100000" sheet="1" objects="1" scenarios="1"/>
  <customSheetViews>
    <customSheetView guid="{910B280B-1D41-4475-992A-3EE03647ECB3}" showAutoFilter="1">
      <selection activeCell="A2" sqref="A2"/>
      <pageMargins left="0" right="0" top="0" bottom="0" header="0" footer="0"/>
      <autoFilter ref="A1:K1">
        <sortState ref="A2:K2">
          <sortCondition ref="G1"/>
        </sortState>
      </autoFilter>
    </customSheetView>
  </customSheetViews>
  <conditionalFormatting sqref="B1:E1 B2:B30 B32:B120 D32:E120">
    <cfRule type="cellIs" dxfId="69" priority="82" stopIfTrue="1" operator="equal">
      <formula>"1 Rct"</formula>
    </cfRule>
    <cfRule type="cellIs" dxfId="68" priority="83" stopIfTrue="1" operator="equal">
      <formula>"2 Pvt"</formula>
    </cfRule>
    <cfRule type="cellIs" dxfId="67" priority="84" stopIfTrue="1" operator="equal">
      <formula>"3 Cpl"</formula>
    </cfRule>
    <cfRule type="cellIs" dxfId="66" priority="85" stopIfTrue="1" operator="equal">
      <formula>"4 Sgt"</formula>
    </cfRule>
    <cfRule type="cellIs" dxfId="65" priority="86" stopIfTrue="1" operator="equal">
      <formula>"5 MSgt"</formula>
    </cfRule>
    <cfRule type="cellIs" dxfId="64" priority="87" stopIfTrue="1" operator="equal">
      <formula>"6 Lt"</formula>
    </cfRule>
    <cfRule type="cellIs" dxfId="63" priority="88" stopIfTrue="1" operator="equal">
      <formula>"7 Cmd"</formula>
    </cfRule>
    <cfRule type="cellIs" dxfId="62" priority="89" stopIfTrue="1" operator="equal">
      <formula>"Secondary"</formula>
    </cfRule>
    <cfRule type="cellIs" dxfId="61" priority="90" stopIfTrue="1" operator="equal">
      <formula>"MISC"</formula>
    </cfRule>
  </conditionalFormatting>
  <conditionalFormatting sqref="B31">
    <cfRule type="cellIs" dxfId="60" priority="38" stopIfTrue="1" operator="equal">
      <formula>"1 Rct"</formula>
    </cfRule>
    <cfRule type="cellIs" dxfId="59" priority="39" stopIfTrue="1" operator="equal">
      <formula>"2 Pvt"</formula>
    </cfRule>
    <cfRule type="cellIs" dxfId="58" priority="40" stopIfTrue="1" operator="equal">
      <formula>"3 Cpl"</formula>
    </cfRule>
    <cfRule type="cellIs" dxfId="57" priority="41" stopIfTrue="1" operator="equal">
      <formula>"4 Sgt"</formula>
    </cfRule>
    <cfRule type="cellIs" dxfId="56" priority="42" stopIfTrue="1" operator="equal">
      <formula>"5 MSgt"</formula>
    </cfRule>
    <cfRule type="cellIs" dxfId="55" priority="43" stopIfTrue="1" operator="equal">
      <formula>"6 Lt"</formula>
    </cfRule>
    <cfRule type="cellIs" dxfId="54" priority="44" stopIfTrue="1" operator="equal">
      <formula>"7 Cmd"</formula>
    </cfRule>
    <cfRule type="cellIs" dxfId="53" priority="45" stopIfTrue="1" operator="equal">
      <formula>"Secondary"</formula>
    </cfRule>
    <cfRule type="cellIs" dxfId="52" priority="46" stopIfTrue="1" operator="equal">
      <formula>"MISC"</formula>
    </cfRule>
  </conditionalFormatting>
  <dataValidations count="5">
    <dataValidation operator="greaterThanOrEqual" allowBlank="1" showInputMessage="1" showErrorMessage="1" sqref="J1:K1 J33:J120"/>
    <dataValidation type="list" allowBlank="1" showInputMessage="1" showErrorMessage="1" sqref="L2:L120">
      <formula1>Tag_Removal</formula1>
    </dataValidation>
    <dataValidation type="list" allowBlank="1" showInputMessage="1" showErrorMessage="1" sqref="I121:I1048576 H1:H120">
      <formula1>Type_Of_Transfer</formula1>
    </dataValidation>
    <dataValidation type="list" allowBlank="1" showInputMessage="1" showErrorMessage="1" sqref="F2:F1048576">
      <formula1>Squads</formula1>
    </dataValidation>
    <dataValidation type="list" allowBlank="1" showInputMessage="1" showErrorMessage="1" sqref="B1:B1048576">
      <formula1>Rank_List</formula1>
    </dataValidation>
  </dataValidations>
  <pageMargins left="0.7" right="0.7" top="0.75" bottom="0.75" header="0.3" footer="0.3"/>
  <pageSetup orientation="portrait" horizontalDpi="1200" verticalDpi="1200" r:id="rId1"/>
  <ignoredErrors>
    <ignoredError sqref="B1:B1048576" listDataValidation="1"/>
    <ignoredError sqref="I2:I120" unlockedFormula="1"/>
  </ignoredErrors>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Logic!$B$3:$B$12</xm:f>
          </x14:formula1>
          <xm:sqref>D36:E120</xm:sqref>
        </x14:dataValidation>
        <x14:dataValidation type="list" allowBlank="1" showInputMessage="1" showErrorMessage="1">
          <x14:formula1>
            <xm:f>Logic!$F$3:$F$5</xm:f>
          </x14:formula1>
          <xm:sqref>N2:N120</xm:sqref>
        </x14:dataValidation>
        <x14:dataValidation type="list" operator="greaterThanOrEqual" allowBlank="1" showInputMessage="1" showErrorMessage="1">
          <x14:formula1>
            <xm:f>Logic!$H$3:$H$6</xm:f>
          </x14:formula1>
          <xm:sqref>K2:K120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V179"/>
  <sheetViews>
    <sheetView showGridLines="0" zoomScale="99" workbookViewId="0">
      <selection activeCell="C1" sqref="C1"/>
    </sheetView>
  </sheetViews>
  <sheetFormatPr defaultColWidth="8.85546875" defaultRowHeight="15" x14ac:dyDescent="0.25"/>
  <cols>
    <col min="1" max="1" width="28.28515625" style="34" customWidth="1"/>
    <col min="2" max="2" width="16.42578125" style="34" customWidth="1"/>
    <col min="3" max="3" width="23" style="34" customWidth="1"/>
    <col min="4" max="5" width="3" style="34" customWidth="1"/>
    <col min="6" max="6" width="9.140625" style="138" customWidth="1"/>
    <col min="7" max="10" width="9.140625" style="139" customWidth="1"/>
    <col min="11" max="11" width="8.85546875" style="139"/>
    <col min="12" max="12" width="3" style="139" customWidth="1"/>
    <col min="13" max="22" width="8.85546875" style="139"/>
    <col min="23" max="16384" width="8.85546875" style="34"/>
  </cols>
  <sheetData>
    <row r="1" spans="1:12" ht="30" customHeight="1" thickBot="1" x14ac:dyDescent="0.3">
      <c r="A1" s="136"/>
      <c r="B1" s="136" t="s">
        <v>56</v>
      </c>
      <c r="C1" s="145"/>
      <c r="D1" s="38"/>
      <c r="E1" s="137"/>
      <c r="G1" s="146"/>
      <c r="H1" s="146"/>
      <c r="I1" s="146"/>
      <c r="J1" s="44"/>
      <c r="K1" s="44"/>
      <c r="L1" s="44"/>
    </row>
    <row r="2" spans="1:12" ht="7.5" customHeight="1" thickTop="1" x14ac:dyDescent="0.25">
      <c r="A2" s="140"/>
      <c r="E2" s="141"/>
    </row>
    <row r="3" spans="1:12" x14ac:dyDescent="0.25">
      <c r="A3" s="34" t="str">
        <f>CONCATENATE("[b][u][color=blue]",C1, " Roster[/color][/u][/b]")</f>
        <v>[b][u][color=blue] Roster[/color][/u][/b]</v>
      </c>
      <c r="E3" s="141"/>
      <c r="F3" s="138" t="str">
        <f>CONCATENATE("[b][u][color=blue]",$G$1, " Squad Roster[/color][/u][/b]")</f>
        <v>[b][u][color=blue] Squad Roster[/color][/u][/b]</v>
      </c>
    </row>
    <row r="4" spans="1:12" x14ac:dyDescent="0.25">
      <c r="E4" s="141"/>
    </row>
    <row r="5" spans="1:12" x14ac:dyDescent="0.25">
      <c r="A5" s="34" t="str">
        <f ca="1">CONCATENATE("[b][u][color=blue]Last updated ",TEXT(TODAY(),"mm/dd/yyyy"),"[/color][/u][/b]")</f>
        <v>[b][u][color=blue]Last updated 09/12/2016[/color][/u][/b]</v>
      </c>
      <c r="D5" s="142"/>
      <c r="E5" s="143"/>
      <c r="F5" s="138" t="str">
        <f ca="1">CONCATENATE("[b][u][color=blue]Last updated ",TEXT(TODAY(),"mm/dd/yyyy"),"[/color][/u][/b]")</f>
        <v>[b][u][color=blue]Last updated 09/12/2016[/color][/u][/b]</v>
      </c>
    </row>
    <row r="6" spans="1:12" x14ac:dyDescent="0.25">
      <c r="E6" s="141"/>
    </row>
    <row r="7" spans="1:12" x14ac:dyDescent="0.25">
      <c r="A7" s="34" t="str">
        <f>CONCATENATE("[b][u][color=blue]Total Tags - ",COUNTA(Tbl_Members[Gamertag]),"[/color][/u][/b]")</f>
        <v>[b][u][color=blue]Total Tags - 0[/color][/u][/b]</v>
      </c>
      <c r="E7" s="141"/>
      <c r="F7" s="138" t="str">
        <f>CONCATENATE("[b][u][color=blue]Total Members - ",COUNTIF(Tbl_Members[Squad],$G$1),"[/color][/u][/b]")</f>
        <v>[b][u][color=blue]Total Members - 0[/color][/u][/b]</v>
      </c>
    </row>
    <row r="8" spans="1:12" x14ac:dyDescent="0.25">
      <c r="E8" s="141"/>
    </row>
    <row r="9" spans="1:12" x14ac:dyDescent="0.25">
      <c r="A9" s="34" t="str">
        <f>CONCATENATE("[b][u][color=blue]Misc Tags - ",COUNTIF(Tbl_Members[Rank],Rank_Misc)+COUNTIF(Tbl_Members[Rank],Rank_Secondary),"[/color][/u][/b]")</f>
        <v>[b][u][color=blue]Misc Tags - 0[/color][/u][/b]</v>
      </c>
      <c r="E9" s="141"/>
    </row>
    <row r="10" spans="1:12" x14ac:dyDescent="0.25">
      <c r="E10" s="141"/>
    </row>
    <row r="11" spans="1:12" x14ac:dyDescent="0.25">
      <c r="A11" s="139" t="str">
        <f t="array" ref="A11">IF(ROWS($A$11:A11)&lt;=COUNTIF(Tbl_Members[Rank],Rank_Misc),INDEX(Tbl_Members[Gamertag],SMALL(IF(Tbl_Members[Rank]=Rank_Misc,ROW(Tbl_Members[Gamertag])-ROW('Manage Members'!$A$2)+1),ROWS($A$11:A11))),"")</f>
        <v/>
      </c>
      <c r="B11" s="34" t="s">
        <v>57</v>
      </c>
      <c r="E11" s="141"/>
    </row>
    <row r="12" spans="1:12" x14ac:dyDescent="0.25">
      <c r="A12" s="139" t="str">
        <f t="array" ref="A12">IF(ROWS($A$11:A12)&lt;=COUNTIF(Tbl_Members[Rank],Rank_Misc),INDEX(Tbl_Members[Gamertag],SMALL(IF(Tbl_Members[Rank]=Rank_Misc,ROW(Tbl_Members[Gamertag])-ROW('Manage Members'!$A$2)+1),ROWS($A$11:A12))),"")</f>
        <v/>
      </c>
      <c r="E12" s="141"/>
    </row>
    <row r="13" spans="1:12" x14ac:dyDescent="0.25">
      <c r="A13" s="139" t="str">
        <f t="array" ref="A13">IF(ROWS($A$11:A13)&lt;=COUNTIF(Tbl_Members[Rank],Rank_Misc),INDEX(Tbl_Members[Gamertag],SMALL(IF(Tbl_Members[Rank]=Rank_Misc,ROW(Tbl_Members[Gamertag])-ROW('Manage Members'!$A$2)+1),ROWS($A$11:A13))),"")</f>
        <v/>
      </c>
      <c r="E13" s="141"/>
    </row>
    <row r="14" spans="1:12" x14ac:dyDescent="0.25">
      <c r="A14" s="139" t="str">
        <f t="array" ref="A14">IF(ROWS($A$11:A14)&lt;=COUNTIF(Tbl_Members[Rank],Rank_Misc),INDEX(Tbl_Members[Gamertag],SMALL(IF(Tbl_Members[Rank]=Rank_Misc,ROW(Tbl_Members[Gamertag])-ROW('Manage Members'!$A$2)+1),ROWS($A$11:A14))),"")</f>
        <v/>
      </c>
      <c r="E14" s="141"/>
    </row>
    <row r="15" spans="1:12" x14ac:dyDescent="0.25">
      <c r="A15" s="139" t="str">
        <f t="array" ref="A15">IF(ROWS($A$11:A15)&lt;=COUNTIF(Tbl_Members[Rank],Rank_Misc),INDEX(Tbl_Members[Gamertag],SMALL(IF(Tbl_Members[Rank]=Rank_Misc,ROW(Tbl_Members[Gamertag])-ROW('Manage Members'!$A$2)+1),ROWS($A$11:A15))),"")</f>
        <v/>
      </c>
      <c r="E15" s="141"/>
    </row>
    <row r="16" spans="1:12" x14ac:dyDescent="0.25">
      <c r="A16" s="139" t="str">
        <f t="array" ref="A16">IF(ROWS($A$11:A16)&lt;=COUNTIF(Tbl_Members[Rank],Rank_Misc),INDEX(Tbl_Members[Gamertag],SMALL(IF(Tbl_Members[Rank]=Rank_Misc,ROW(Tbl_Members[Gamertag])-ROW('Manage Members'!$A$2)+1),ROWS($A$11:A16))),"")</f>
        <v/>
      </c>
      <c r="E16" s="141"/>
    </row>
    <row r="17" spans="1:6" x14ac:dyDescent="0.25">
      <c r="E17" s="141"/>
    </row>
    <row r="18" spans="1:6" x14ac:dyDescent="0.25">
      <c r="A18" s="34" t="str">
        <f>CONCATENATE("[b][u][color=blue]Total Members - ",COUNTA(Tbl_Members[Rank])-COUNTIF(Tbl_Members[Rank],Rank_Misc)-COUNTIF(Tbl_Members[Rank],Rank_Secondary),"[/color][/u][/b]")</f>
        <v>[b][u][color=blue]Total Members - 0[/color][/u][/b]</v>
      </c>
      <c r="E18" s="141"/>
    </row>
    <row r="19" spans="1:6" x14ac:dyDescent="0.25">
      <c r="E19" s="141"/>
    </row>
    <row r="20" spans="1:6" x14ac:dyDescent="0.25">
      <c r="A20" s="34" t="str">
        <f>CONCATENATE("[b][u][color=blue]DoG7 Commanders - ",COUNTIF(Tbl_Members[Rank],Rank7),"[/color][/u][/b]")</f>
        <v>[b][u][color=blue]DoG7 Commanders - 0[/color][/u][/b]</v>
      </c>
      <c r="E20" s="141"/>
    </row>
    <row r="21" spans="1:6" x14ac:dyDescent="0.25">
      <c r="E21" s="141"/>
    </row>
    <row r="22" spans="1:6" x14ac:dyDescent="0.25">
      <c r="A22" s="139" t="str">
        <f t="array" ref="A22">IF(ROWS($A$22:A22)&lt;=COUNTIF(Tbl_Members[Rank],Rank7),INDEX(Tbl_Members[Gamertag],SMALL(IF(Tbl_Members[Rank]=Rank7,ROW(Tbl_Members[Gamertag])-ROW('Manage Members'!$A$2)+1),ROWS($A$22:A22))),"")</f>
        <v/>
      </c>
      <c r="B22" s="34" t="s">
        <v>58</v>
      </c>
      <c r="E22" s="141"/>
    </row>
    <row r="23" spans="1:6" x14ac:dyDescent="0.25">
      <c r="A23" s="139" t="str">
        <f t="array" ref="A23">IF(ROWS($A$22:A23)&lt;=COUNTIF(Tbl_Members[Rank],Rank7),INDEX(Tbl_Members[Gamertag],SMALL(IF(Tbl_Members[Rank]=Rank7,ROW(Tbl_Members[Gamertag])-ROW('Manage Members'!$A$2)+1),ROWS($A$22:A23))),"")</f>
        <v/>
      </c>
      <c r="E23" s="141"/>
    </row>
    <row r="24" spans="1:6" x14ac:dyDescent="0.25">
      <c r="E24" s="141"/>
    </row>
    <row r="25" spans="1:6" x14ac:dyDescent="0.25">
      <c r="A25" s="34" t="str">
        <f>CONCATENATE("[b][u][color=blue]DoG6 Lieutenants - ",COUNTIF(Tbl_Members[Rank],Rank6),"[/color][/u][/b]")</f>
        <v>[b][u][color=blue]DoG6 Lieutenants - 0[/color][/u][/b]</v>
      </c>
      <c r="E25" s="141"/>
      <c r="F25" s="138" t="str">
        <f>CONCATENATE("[b][u][color=blue]DoG6 Lieutenants - ",COUNTIFS(Tbl_Members[Squad],$G$1,Tbl_Members[Rank],Rank6),"[/color][/u][/b]")</f>
        <v>[b][u][color=blue]DoG6 Lieutenants - 0[/color][/u][/b]</v>
      </c>
    </row>
    <row r="26" spans="1:6" x14ac:dyDescent="0.25">
      <c r="E26" s="141"/>
    </row>
    <row r="27" spans="1:6" x14ac:dyDescent="0.25">
      <c r="A27" s="139" t="str">
        <f t="array" ref="A27">IF(ROWS($A$27:A27)&lt;=COUNTIF(Tbl_Members[Rank],Rank6),INDEX(Tbl_Members[Gamertag],SMALL(IF(Tbl_Members[Rank]=Rank6,ROW(Tbl_Members[Gamertag])-ROW('Manage Members'!$A$2)+1),ROWS($A$27:A27))),"")</f>
        <v/>
      </c>
      <c r="B27" s="34" t="s">
        <v>59</v>
      </c>
      <c r="E27" s="141"/>
      <c r="F27" s="138" t="str">
        <f t="array" ref="F27">IF(ROWS($F$27:F27)&lt;=COUNTIFS(Tbl_Members[Squad],$G$1,Tbl_Members[Rank],Rank6),INDEX(Tbl_Members[Gamertag],SMALL(IF(Tbl_Members[Squad]=$G$1,IF(Tbl_Members[Rank]=Rank6,ROW(Tbl_Members[Gamertag])-ROW('Manage Members'!$A$2)+1)),ROWS($F$27:F27))),"")</f>
        <v/>
      </c>
    </row>
    <row r="28" spans="1:6" x14ac:dyDescent="0.25">
      <c r="A28" s="139" t="str">
        <f t="array" ref="A28">IF(ROWS($A$27:A28)&lt;=COUNTIF(Tbl_Members[Rank],Rank6),INDEX(Tbl_Members[Gamertag],SMALL(IF(Tbl_Members[Rank]=Rank6,ROW(Tbl_Members[Gamertag])-ROW('Manage Members'!$A$2)+1),ROWS($A$27:A28))),"")</f>
        <v/>
      </c>
      <c r="E28" s="141"/>
      <c r="F28" s="138" t="str">
        <f t="array" ref="F28">IF(ROWS($F$27:F28)&lt;=COUNTIFS(Tbl_Members[Squad],$G$1,Tbl_Members[Rank],Rank6),INDEX(Tbl_Members[Gamertag],SMALL(IF(Tbl_Members[Squad]=$G$1,IF(Tbl_Members[Rank]=Rank6,ROW(Tbl_Members[Gamertag])-ROW('Manage Members'!$A$2)+1)),ROWS($F$27:F28))),"")</f>
        <v/>
      </c>
    </row>
    <row r="29" spans="1:6" x14ac:dyDescent="0.25">
      <c r="A29" s="139" t="str">
        <f t="array" ref="A29">IF(ROWS($A$27:A29)&lt;=COUNTIF(Tbl_Members[Rank],Rank6),INDEX(Tbl_Members[Gamertag],SMALL(IF(Tbl_Members[Rank]=Rank6,ROW(Tbl_Members[Gamertag])-ROW('Manage Members'!$A$2)+1),ROWS($A$27:A29))),"")</f>
        <v/>
      </c>
      <c r="E29" s="141"/>
      <c r="F29" s="138" t="str">
        <f t="array" ref="F29">IF(ROWS($F$27:F29)&lt;=COUNTIFS(Tbl_Members[Squad],$G$1,Tbl_Members[Rank],Rank6),INDEX(Tbl_Members[Gamertag],SMALL(IF(Tbl_Members[Squad]=$G$1,IF(Tbl_Members[Rank]=Rank6,ROW(Tbl_Members[Gamertag])-ROW('Manage Members'!$A$2)+1)),ROWS($F$27:F29))),"")</f>
        <v/>
      </c>
    </row>
    <row r="30" spans="1:6" x14ac:dyDescent="0.25">
      <c r="A30" s="139" t="str">
        <f t="array" ref="A30">IF(ROWS($A$27:A30)&lt;=COUNTIF(Tbl_Members[Rank],Rank6),INDEX(Tbl_Members[Gamertag],SMALL(IF(Tbl_Members[Rank]=Rank6,ROW(Tbl_Members[Gamertag])-ROW('Manage Members'!$A$2)+1),ROWS($A$27:A30))),"")</f>
        <v/>
      </c>
      <c r="E30" s="141"/>
      <c r="F30" s="138" t="str">
        <f t="array" ref="F30">IF(ROWS($F$27:F30)&lt;=COUNTIFS(Tbl_Members[Squad],$G$1,Tbl_Members[Rank],Rank6),INDEX(Tbl_Members[Gamertag],SMALL(IF(Tbl_Members[Squad]=$G$1,IF(Tbl_Members[Rank]=Rank6,ROW(Tbl_Members[Gamertag])-ROW('Manage Members'!$A$2)+1)),ROWS($F$27:F30))),"")</f>
        <v/>
      </c>
    </row>
    <row r="31" spans="1:6" x14ac:dyDescent="0.25">
      <c r="A31" s="139" t="str">
        <f t="array" ref="A31">IF(ROWS($A$27:A31)&lt;=COUNTIF(Tbl_Members[Rank],Rank6),INDEX(Tbl_Members[Gamertag],SMALL(IF(Tbl_Members[Rank]=Rank6,ROW(Tbl_Members[Gamertag])-ROW('Manage Members'!$A$2)+1),ROWS($A$27:A31))),"")</f>
        <v/>
      </c>
      <c r="E31" s="141"/>
      <c r="F31" s="138" t="str">
        <f t="array" ref="F31">IF(ROWS($F$27:F31)&lt;=COUNTIFS(Tbl_Members[Squad],$G$1,Tbl_Members[Rank],Rank6),INDEX(Tbl_Members[Gamertag],SMALL(IF(Tbl_Members[Squad]=$G$1,IF(Tbl_Members[Rank]=Rank6,ROW(Tbl_Members[Gamertag])-ROW('Manage Members'!$A$2)+1)),ROWS($F$27:F31))),"")</f>
        <v/>
      </c>
    </row>
    <row r="32" spans="1:6" x14ac:dyDescent="0.25">
      <c r="A32" s="139" t="str">
        <f t="array" ref="A32">IF(ROWS($A$27:A32)&lt;=COUNTIF(Tbl_Members[Rank],Rank6),INDEX(Tbl_Members[Gamertag],SMALL(IF(Tbl_Members[Rank]=Rank6,ROW(Tbl_Members[Gamertag])-ROW('Manage Members'!$A$2)+1),ROWS($A$27:A32))),"")</f>
        <v/>
      </c>
      <c r="E32" s="141"/>
      <c r="F32" s="138" t="str">
        <f t="array" ref="F32">IF(ROWS($F$27:F32)&lt;=COUNTIFS(Tbl_Members[Squad],$G$1,Tbl_Members[Rank],Rank6),INDEX(Tbl_Members[Gamertag],SMALL(IF(Tbl_Members[Squad]=$G$1,IF(Tbl_Members[Rank]=Rank6,ROW(Tbl_Members[Gamertag])-ROW('Manage Members'!$A$2)+1)),ROWS($F$27:F32))),"")</f>
        <v/>
      </c>
    </row>
    <row r="33" spans="1:6" x14ac:dyDescent="0.25">
      <c r="A33" s="139" t="str">
        <f t="array" ref="A33">IF(ROWS($A$27:A33)&lt;=COUNTIF(Tbl_Members[Rank],Rank6),INDEX(Tbl_Members[Gamertag],SMALL(IF(Tbl_Members[Rank]=Rank6,ROW(Tbl_Members[Gamertag])-ROW('Manage Members'!$A$2)+1),ROWS($A$27:A33))),"")</f>
        <v/>
      </c>
      <c r="E33" s="141"/>
      <c r="F33" s="138" t="str">
        <f t="array" ref="F33">IF(ROWS($F$27:F33)&lt;=COUNTIFS(Tbl_Members[Squad],$G$1,Tbl_Members[Rank],Rank6),INDEX(Tbl_Members[Gamertag],SMALL(IF(Tbl_Members[Squad]=$G$1,IF(Tbl_Members[Rank]=Rank6,ROW(Tbl_Members[Gamertag])-ROW('Manage Members'!$A$2)+1)),ROWS($F$27:F33))),"")</f>
        <v/>
      </c>
    </row>
    <row r="34" spans="1:6" x14ac:dyDescent="0.25">
      <c r="A34" s="139" t="str">
        <f t="array" ref="A34">IF(ROWS($A$27:A34)&lt;=COUNTIF(Tbl_Members[Rank],Rank6),INDEX(Tbl_Members[Gamertag],SMALL(IF(Tbl_Members[Rank]=Rank6,ROW(Tbl_Members[Gamertag])-ROW('Manage Members'!$A$2)+1),ROWS($A$27:A34))),"")</f>
        <v/>
      </c>
      <c r="E34" s="141"/>
      <c r="F34" s="138" t="str">
        <f t="array" ref="F34">IF(ROWS($F$27:F34)&lt;=COUNTIFS(Tbl_Members[Squad],$G$1,Tbl_Members[Rank],Rank6),INDEX(Tbl_Members[Gamertag],SMALL(IF(Tbl_Members[Squad]=$G$1,IF(Tbl_Members[Rank]=Rank6,ROW(Tbl_Members[Gamertag])-ROW('Manage Members'!$A$2)+1)),ROWS($F$27:F34))),"")</f>
        <v/>
      </c>
    </row>
    <row r="35" spans="1:6" x14ac:dyDescent="0.25">
      <c r="A35" s="139" t="str">
        <f t="array" ref="A35">IF(ROWS($A$27:A35)&lt;=COUNTIF(Tbl_Members[Rank],Rank6),INDEX(Tbl_Members[Gamertag],SMALL(IF(Tbl_Members[Rank]=Rank6,ROW(Tbl_Members[Gamertag])-ROW('Manage Members'!$A$2)+1),ROWS($A$27:A35))),"")</f>
        <v/>
      </c>
      <c r="E35" s="141"/>
      <c r="F35" s="138" t="str">
        <f t="array" ref="F35">IF(ROWS($F$27:F35)&lt;=COUNTIFS(Tbl_Members[Squad],$G$1,Tbl_Members[Rank],Rank6),INDEX(Tbl_Members[Gamertag],SMALL(IF(Tbl_Members[Squad]=$G$1,IF(Tbl_Members[Rank]=Rank6,ROW(Tbl_Members[Gamertag])-ROW('Manage Members'!$A$2)+1)),ROWS($F$27:F35))),"")</f>
        <v/>
      </c>
    </row>
    <row r="36" spans="1:6" x14ac:dyDescent="0.25">
      <c r="A36" s="139" t="str">
        <f t="array" ref="A36">IF(ROWS($A$27:A36)&lt;=COUNTIF(Tbl_Members[Rank],Rank6),INDEX(Tbl_Members[Gamertag],SMALL(IF(Tbl_Members[Rank]=Rank6,ROW(Tbl_Members[Gamertag])-ROW('Manage Members'!$A$2)+1),ROWS($A$27:A36))),"")</f>
        <v/>
      </c>
      <c r="E36" s="141"/>
      <c r="F36" s="138" t="str">
        <f t="array" ref="F36">IF(ROWS($F$27:F36)&lt;=COUNTIFS(Tbl_Members[Squad],$G$1,Tbl_Members[Rank],Rank6),INDEX(Tbl_Members[Gamertag],SMALL(IF(Tbl_Members[Squad]=$G$1,IF(Tbl_Members[Rank]=Rank6,ROW(Tbl_Members[Gamertag])-ROW('Manage Members'!$A$2)+1)),ROWS($F$27:F36))),"")</f>
        <v/>
      </c>
    </row>
    <row r="37" spans="1:6" x14ac:dyDescent="0.25">
      <c r="A37" s="139" t="str">
        <f t="array" ref="A37">IF(ROWS($A$27:A37)&lt;=COUNTIF(Tbl_Members[Rank],Rank6),INDEX(Tbl_Members[Gamertag],SMALL(IF(Tbl_Members[Rank]=Rank6,ROW(Tbl_Members[Gamertag])-ROW('Manage Members'!$A$2)+1),ROWS($A$27:A37))),"")</f>
        <v/>
      </c>
      <c r="E37" s="141"/>
      <c r="F37" s="138" t="str">
        <f t="array" ref="F37">IF(ROWS($F$27:F37)&lt;=COUNTIFS(Tbl_Members[Squad],$G$1,Tbl_Members[Rank],Rank6),INDEX(Tbl_Members[Gamertag],SMALL(IF(Tbl_Members[Squad]=$G$1,IF(Tbl_Members[Rank]=Rank6,ROW(Tbl_Members[Gamertag])-ROW('Manage Members'!$A$2)+1)),ROWS($F$27:F37))),"")</f>
        <v/>
      </c>
    </row>
    <row r="38" spans="1:6" x14ac:dyDescent="0.25">
      <c r="A38" s="139" t="str">
        <f t="array" ref="A38">IF(ROWS($A$27:A38)&lt;=COUNTIF(Tbl_Members[Rank],Rank6),INDEX(Tbl_Members[Gamertag],SMALL(IF(Tbl_Members[Rank]=Rank6,ROW(Tbl_Members[Gamertag])-ROW('Manage Members'!$A$2)+1),ROWS($A$27:A38))),"")</f>
        <v/>
      </c>
      <c r="E38" s="141"/>
      <c r="F38" s="138" t="str">
        <f t="array" ref="F38">IF(ROWS($F$27:F38)&lt;=COUNTIFS(Tbl_Members[Squad],$G$1,Tbl_Members[Rank],Rank6),INDEX(Tbl_Members[Gamertag],SMALL(IF(Tbl_Members[Squad]=$G$1,IF(Tbl_Members[Rank]=Rank6,ROW(Tbl_Members[Gamertag])-ROW('Manage Members'!$A$2)+1)),ROWS($F$27:F38))),"")</f>
        <v/>
      </c>
    </row>
    <row r="39" spans="1:6" x14ac:dyDescent="0.25">
      <c r="E39" s="141"/>
    </row>
    <row r="40" spans="1:6" x14ac:dyDescent="0.25">
      <c r="A40" s="34" t="str">
        <f>CONCATENATE("[b][u][color=blue]DoG5 Master Sergeants - ",COUNTIF(Tbl_Members[Rank],Rank5),"[/color][/u][/b]")</f>
        <v>[b][u][color=blue]DoG5 Master Sergeants - 0[/color][/u][/b]</v>
      </c>
      <c r="E40" s="141"/>
      <c r="F40" s="144" t="str">
        <f>CONCATENATE("[b][u][color=blue]DoG5 Master Sergeants - ",COUNTIFS(Tbl_Members[Squad],$G$1,Tbl_Members[Rank],Rank5),"[/color][/u][/b]")</f>
        <v>[b][u][color=blue]DoG5 Master Sergeants - 0[/color][/u][/b]</v>
      </c>
    </row>
    <row r="41" spans="1:6" x14ac:dyDescent="0.25">
      <c r="E41" s="141"/>
    </row>
    <row r="42" spans="1:6" x14ac:dyDescent="0.25">
      <c r="A42" s="139" t="str">
        <f t="array" ref="A42">IF(ROWS($A$42:A42)&lt;=COUNTIF(Tbl_Members[Rank],Rank5),INDEX(Tbl_Members[Gamertag],SMALL(IF(Tbl_Members[Rank]=Rank5,ROW(Tbl_Members[Gamertag])-ROW('Manage Members'!$A$2)+1),ROWS($A$42:A42))),"")</f>
        <v/>
      </c>
      <c r="B42" s="34" t="s">
        <v>60</v>
      </c>
      <c r="E42" s="141"/>
      <c r="F42" s="138" t="str">
        <f t="array" ref="F42">IF(ROWS($F$42:F42)&lt;=COUNTIFS(Tbl_Members[Squad],$G$1,Tbl_Members[Rank],Rank5),INDEX(Tbl_Members[Gamertag],SMALL(IF(Tbl_Members[Squad]=$G$1,IF(Tbl_Members[Rank]=Rank5,ROW(Tbl_Members[Gamertag])-ROW('Manage Members'!$A$2)+1)),ROWS($F$42:F42))),"")</f>
        <v/>
      </c>
    </row>
    <row r="43" spans="1:6" x14ac:dyDescent="0.25">
      <c r="A43" s="139" t="str">
        <f t="array" ref="A43">IF(ROWS($A$42:A43)&lt;=COUNTIF(Tbl_Members[Rank],Rank5),INDEX(Tbl_Members[Gamertag],SMALL(IF(Tbl_Members[Rank]=Rank5,ROW(Tbl_Members[Gamertag])-ROW('Manage Members'!$A$2)+1),ROWS($A$42:A43))),"")</f>
        <v/>
      </c>
      <c r="E43" s="141"/>
      <c r="F43" s="138" t="str">
        <f t="array" ref="F43">IF(ROWS($F$42:F43)&lt;=COUNTIFS(Tbl_Members[Squad],$G$1,Tbl_Members[Rank],Rank5),INDEX(Tbl_Members[Gamertag],SMALL(IF(Tbl_Members[Squad]=$G$1,IF(Tbl_Members[Rank]=Rank5,ROW(Tbl_Members[Gamertag])-ROW('Manage Members'!$A$2)+1)),ROWS($F$42:F43))),"")</f>
        <v/>
      </c>
    </row>
    <row r="44" spans="1:6" x14ac:dyDescent="0.25">
      <c r="A44" s="139" t="str">
        <f t="array" ref="A44">IF(ROWS($A$42:A44)&lt;=COUNTIF(Tbl_Members[Rank],Rank5),INDEX(Tbl_Members[Gamertag],SMALL(IF(Tbl_Members[Rank]=Rank5,ROW(Tbl_Members[Gamertag])-ROW('Manage Members'!$A$2)+1),ROWS($A$42:A44))),"")</f>
        <v/>
      </c>
      <c r="E44" s="141"/>
      <c r="F44" s="138" t="str">
        <f t="array" ref="F44">IF(ROWS($F$42:F44)&lt;=COUNTIFS(Tbl_Members[Squad],$G$1,Tbl_Members[Rank],Rank5),INDEX(Tbl_Members[Gamertag],SMALL(IF(Tbl_Members[Squad]=$G$1,IF(Tbl_Members[Rank]=Rank5,ROW(Tbl_Members[Gamertag])-ROW('Manage Members'!$A$2)+1)),ROWS($F$42:F44))),"")</f>
        <v/>
      </c>
    </row>
    <row r="45" spans="1:6" x14ac:dyDescent="0.25">
      <c r="A45" s="139" t="str">
        <f t="array" ref="A45">IF(ROWS($A$42:A45)&lt;=COUNTIF(Tbl_Members[Rank],Rank5),INDEX(Tbl_Members[Gamertag],SMALL(IF(Tbl_Members[Rank]=Rank5,ROW(Tbl_Members[Gamertag])-ROW('Manage Members'!$A$2)+1),ROWS($A$42:A45))),"")</f>
        <v/>
      </c>
      <c r="E45" s="141"/>
      <c r="F45" s="138" t="str">
        <f t="array" ref="F45">IF(ROWS($F$42:F45)&lt;=COUNTIFS(Tbl_Members[Squad],$G$1,Tbl_Members[Rank],Rank5),INDEX(Tbl_Members[Gamertag],SMALL(IF(Tbl_Members[Squad]=$G$1,IF(Tbl_Members[Rank]=Rank5,ROW(Tbl_Members[Gamertag])-ROW('Manage Members'!$A$2)+1)),ROWS($F$42:F45))),"")</f>
        <v/>
      </c>
    </row>
    <row r="46" spans="1:6" x14ac:dyDescent="0.25">
      <c r="E46" s="141"/>
    </row>
    <row r="47" spans="1:6" x14ac:dyDescent="0.25">
      <c r="A47" s="34" t="str">
        <f>CONCATENATE("[b][u][color=blue]DoG4 Sergeants - ",COUNTIF(Tbl_Members[Rank],Rank4),"[/color][/u][/b]")</f>
        <v>[b][u][color=blue]DoG4 Sergeants - 0[/color][/u][/b]</v>
      </c>
      <c r="E47" s="141"/>
      <c r="F47" s="144" t="str">
        <f>CONCATENATE("[b][u][color=blue]DoG4 Sergeants - ",COUNTIFS(Tbl_Members[Squad],$G$1,Tbl_Members[Rank],Rank4),"[/color][/u][/b]")</f>
        <v>[b][u][color=blue]DoG4 Sergeants - 0[/color][/u][/b]</v>
      </c>
    </row>
    <row r="48" spans="1:6" x14ac:dyDescent="0.25">
      <c r="E48" s="141"/>
    </row>
    <row r="49" spans="1:6" x14ac:dyDescent="0.25">
      <c r="A49" s="139" t="str">
        <f t="array" ref="A49">IF(ROWS($A$49:A49)&lt;=COUNTIF(Tbl_Members[Rank],Rank4),INDEX(Tbl_Members[Gamertag],SMALL(IF(Tbl_Members[Rank]=Rank4,ROW(Tbl_Members[Gamertag])-ROW('Manage Members'!$A$2)+1),ROWS($A$49:A49))),"")</f>
        <v/>
      </c>
      <c r="B49" s="34" t="s">
        <v>61</v>
      </c>
      <c r="E49" s="141"/>
      <c r="F49" s="138" t="str">
        <f t="array" ref="F49">IF(ROWS($F$49:F49)&lt;=COUNTIFS(Tbl_Members[Squad],$G$1,Tbl_Members[Rank],Rank4),INDEX(Tbl_Members[Gamertag],SMALL(IF(Tbl_Members[Squad]=$G$1,IF(Tbl_Members[Rank]=Rank4,ROW(Tbl_Members[Gamertag])-ROW('Manage Members'!$A$2)+1)),ROWS($F$49:F49))),"")</f>
        <v/>
      </c>
    </row>
    <row r="50" spans="1:6" x14ac:dyDescent="0.25">
      <c r="A50" s="139" t="str">
        <f t="array" ref="A50">IF(ROWS($A$49:A50)&lt;=COUNTIF(Tbl_Members[Rank],Rank4),INDEX(Tbl_Members[Gamertag],SMALL(IF(Tbl_Members[Rank]=Rank4,ROW(Tbl_Members[Gamertag])-ROW('Manage Members'!$A$2)+1),ROWS($A$49:A50))),"")</f>
        <v/>
      </c>
      <c r="E50" s="141"/>
      <c r="F50" s="138" t="str">
        <f t="array" ref="F50">IF(ROWS($F$49:F50)&lt;=COUNTIFS(Tbl_Members[Squad],$G$1,Tbl_Members[Rank],Rank4),INDEX(Tbl_Members[Gamertag],SMALL(IF(Tbl_Members[Squad]=$G$1,IF(Tbl_Members[Rank]=Rank4,ROW(Tbl_Members[Gamertag])-ROW('Manage Members'!$A$2)+1)),ROWS($F$49:F50))),"")</f>
        <v/>
      </c>
    </row>
    <row r="51" spans="1:6" x14ac:dyDescent="0.25">
      <c r="A51" s="139" t="str">
        <f t="array" ref="A51">IF(ROWS($A$49:A51)&lt;=COUNTIF(Tbl_Members[Rank],Rank4),INDEX(Tbl_Members[Gamertag],SMALL(IF(Tbl_Members[Rank]=Rank4,ROW(Tbl_Members[Gamertag])-ROW('Manage Members'!$A$2)+1),ROWS($A$49:A51))),"")</f>
        <v/>
      </c>
      <c r="E51" s="141"/>
      <c r="F51" s="138" t="str">
        <f t="array" ref="F51">IF(ROWS($F$49:F51)&lt;=COUNTIFS(Tbl_Members[Squad],$G$1,Tbl_Members[Rank],Rank4),INDEX(Tbl_Members[Gamertag],SMALL(IF(Tbl_Members[Squad]=$G$1,IF(Tbl_Members[Rank]=Rank4,ROW(Tbl_Members[Gamertag])-ROW('Manage Members'!$A$2)+1)),ROWS($F$49:F51))),"")</f>
        <v/>
      </c>
    </row>
    <row r="52" spans="1:6" x14ac:dyDescent="0.25">
      <c r="A52" s="139" t="str">
        <f t="array" ref="A52">IF(ROWS($A$49:A52)&lt;=COUNTIF(Tbl_Members[Rank],Rank4),INDEX(Tbl_Members[Gamertag],SMALL(IF(Tbl_Members[Rank]=Rank4,ROW(Tbl_Members[Gamertag])-ROW('Manage Members'!$A$2)+1),ROWS($A$49:A52))),"")</f>
        <v/>
      </c>
      <c r="E52" s="141"/>
      <c r="F52" s="138" t="str">
        <f t="array" ref="F52">IF(ROWS($F$49:F52)&lt;=COUNTIFS(Tbl_Members[Squad],$G$1,Tbl_Members[Rank],Rank4),INDEX(Tbl_Members[Gamertag],SMALL(IF(Tbl_Members[Squad]=$G$1,IF(Tbl_Members[Rank]=Rank4,ROW(Tbl_Members[Gamertag])-ROW('Manage Members'!$A$2)+1)),ROWS($F$49:F52))),"")</f>
        <v/>
      </c>
    </row>
    <row r="53" spans="1:6" x14ac:dyDescent="0.25">
      <c r="A53" s="139" t="str">
        <f t="array" ref="A53">IF(ROWS($A$49:A53)&lt;=COUNTIF(Tbl_Members[Rank],Rank4),INDEX(Tbl_Members[Gamertag],SMALL(IF(Tbl_Members[Rank]=Rank4,ROW(Tbl_Members[Gamertag])-ROW('Manage Members'!$A$2)+1),ROWS($A$49:A53))),"")</f>
        <v/>
      </c>
      <c r="E53" s="141"/>
      <c r="F53" s="138" t="str">
        <f t="array" ref="F53">IF(ROWS($F$49:F53)&lt;=COUNTIFS(Tbl_Members[Squad],$G$1,Tbl_Members[Rank],Rank4),INDEX(Tbl_Members[Gamertag],SMALL(IF(Tbl_Members[Squad]=$G$1,IF(Tbl_Members[Rank]=Rank4,ROW(Tbl_Members[Gamertag])-ROW('Manage Members'!$A$2)+1)),ROWS($F$49:F53))),"")</f>
        <v/>
      </c>
    </row>
    <row r="54" spans="1:6" x14ac:dyDescent="0.25">
      <c r="A54" s="139" t="str">
        <f t="array" ref="A54">IF(ROWS($A$49:A54)&lt;=COUNTIF(Tbl_Members[Rank],Rank4),INDEX(Tbl_Members[Gamertag],SMALL(IF(Tbl_Members[Rank]=Rank4,ROW(Tbl_Members[Gamertag])-ROW('Manage Members'!$A$2)+1),ROWS($A$49:A54))),"")</f>
        <v/>
      </c>
      <c r="E54" s="141"/>
      <c r="F54" s="138" t="str">
        <f t="array" ref="F54">IF(ROWS($F$49:F54)&lt;=COUNTIFS(Tbl_Members[Squad],$G$1,Tbl_Members[Rank],Rank4),INDEX(Tbl_Members[Gamertag],SMALL(IF(Tbl_Members[Squad]=$G$1,IF(Tbl_Members[Rank]=Rank4,ROW(Tbl_Members[Gamertag])-ROW('Manage Members'!$A$2)+1)),ROWS($F$49:F54))),"")</f>
        <v/>
      </c>
    </row>
    <row r="55" spans="1:6" x14ac:dyDescent="0.25">
      <c r="A55" s="139" t="str">
        <f t="array" ref="A55">IF(ROWS($A$49:A55)&lt;=COUNTIF(Tbl_Members[Rank],Rank4),INDEX(Tbl_Members[Gamertag],SMALL(IF(Tbl_Members[Rank]=Rank4,ROW(Tbl_Members[Gamertag])-ROW('Manage Members'!$A$2)+1),ROWS($A$49:A55))),"")</f>
        <v/>
      </c>
      <c r="E55" s="141"/>
      <c r="F55" s="138" t="str">
        <f t="array" ref="F55">IF(ROWS($F$49:F55)&lt;=COUNTIFS(Tbl_Members[Squad],$G$1,Tbl_Members[Rank],Rank4),INDEX(Tbl_Members[Gamertag],SMALL(IF(Tbl_Members[Squad]=$G$1,IF(Tbl_Members[Rank]=Rank4,ROW(Tbl_Members[Gamertag])-ROW('Manage Members'!$A$2)+1)),ROWS($F$49:F55))),"")</f>
        <v/>
      </c>
    </row>
    <row r="56" spans="1:6" x14ac:dyDescent="0.25">
      <c r="A56" s="139" t="str">
        <f t="array" ref="A56">IF(ROWS($A$49:A56)&lt;=COUNTIF(Tbl_Members[Rank],Rank4),INDEX(Tbl_Members[Gamertag],SMALL(IF(Tbl_Members[Rank]=Rank4,ROW(Tbl_Members[Gamertag])-ROW('Manage Members'!$A$2)+1),ROWS($A$49:A56))),"")</f>
        <v/>
      </c>
      <c r="E56" s="141"/>
      <c r="F56" s="138" t="str">
        <f t="array" ref="F56">IF(ROWS($F$49:F56)&lt;=COUNTIFS(Tbl_Members[Squad],$G$1,Tbl_Members[Rank],Rank4),INDEX(Tbl_Members[Gamertag],SMALL(IF(Tbl_Members[Squad]=$G$1,IF(Tbl_Members[Rank]=Rank4,ROW(Tbl_Members[Gamertag])-ROW('Manage Members'!$A$2)+1)),ROWS($F$49:F56))),"")</f>
        <v/>
      </c>
    </row>
    <row r="57" spans="1:6" x14ac:dyDescent="0.25">
      <c r="A57" s="139" t="str">
        <f t="array" ref="A57">IF(ROWS($A$49:A57)&lt;=COUNTIF(Tbl_Members[Rank],Rank4),INDEX(Tbl_Members[Gamertag],SMALL(IF(Tbl_Members[Rank]=Rank4,ROW(Tbl_Members[Gamertag])-ROW('Manage Members'!$A$2)+1),ROWS($A$49:A57))),"")</f>
        <v/>
      </c>
      <c r="E57" s="141"/>
      <c r="F57" s="138" t="str">
        <f t="array" ref="F57">IF(ROWS($F$49:F57)&lt;=COUNTIFS(Tbl_Members[Squad],$G$1,Tbl_Members[Rank],Rank4),INDEX(Tbl_Members[Gamertag],SMALL(IF(Tbl_Members[Squad]=$G$1,IF(Tbl_Members[Rank]=Rank4,ROW(Tbl_Members[Gamertag])-ROW('Manage Members'!$A$2)+1)),ROWS($F$49:F57))),"")</f>
        <v/>
      </c>
    </row>
    <row r="58" spans="1:6" x14ac:dyDescent="0.25">
      <c r="A58" s="139" t="str">
        <f t="array" ref="A58">IF(ROWS($A$49:A58)&lt;=COUNTIF(Tbl_Members[Rank],Rank4),INDEX(Tbl_Members[Gamertag],SMALL(IF(Tbl_Members[Rank]=Rank4,ROW(Tbl_Members[Gamertag])-ROW('Manage Members'!$A$2)+1),ROWS($A$49:A58))),"")</f>
        <v/>
      </c>
      <c r="E58" s="141"/>
      <c r="F58" s="138" t="str">
        <f t="array" ref="F58">IF(ROWS($F$49:F58)&lt;=COUNTIFS(Tbl_Members[Squad],$G$1,Tbl_Members[Rank],Rank4),INDEX(Tbl_Members[Gamertag],SMALL(IF(Tbl_Members[Squad]=$G$1,IF(Tbl_Members[Rank]=Rank4,ROW(Tbl_Members[Gamertag])-ROW('Manage Members'!$A$2)+1)),ROWS($F$49:F58))),"")</f>
        <v/>
      </c>
    </row>
    <row r="59" spans="1:6" x14ac:dyDescent="0.25">
      <c r="A59" s="139" t="str">
        <f t="array" ref="A59">IF(ROWS($A$49:A59)&lt;=COUNTIF(Tbl_Members[Rank],Rank4),INDEX(Tbl_Members[Gamertag],SMALL(IF(Tbl_Members[Rank]=Rank4,ROW(Tbl_Members[Gamertag])-ROW('Manage Members'!$A$2)+1),ROWS($A$49:A59))),"")</f>
        <v/>
      </c>
      <c r="E59" s="141"/>
      <c r="F59" s="138" t="str">
        <f t="array" ref="F59">IF(ROWS($F$49:F59)&lt;=COUNTIFS(Tbl_Members[Squad],$G$1,Tbl_Members[Rank],Rank4),INDEX(Tbl_Members[Gamertag],SMALL(IF(Tbl_Members[Squad]=$G$1,IF(Tbl_Members[Rank]=Rank4,ROW(Tbl_Members[Gamertag])-ROW('Manage Members'!$A$2)+1)),ROWS($F$49:F59))),"")</f>
        <v/>
      </c>
    </row>
    <row r="60" spans="1:6" x14ac:dyDescent="0.25">
      <c r="A60" s="139" t="str">
        <f t="array" ref="A60">IF(ROWS($A$49:A60)&lt;=COUNTIF(Tbl_Members[Rank],Rank4),INDEX(Tbl_Members[Gamertag],SMALL(IF(Tbl_Members[Rank]=Rank4,ROW(Tbl_Members[Gamertag])-ROW('Manage Members'!$A$2)+1),ROWS($A$49:A60))),"")</f>
        <v/>
      </c>
      <c r="E60" s="141"/>
      <c r="F60" s="138" t="str">
        <f t="array" ref="F60">IF(ROWS($F$49:F60)&lt;=COUNTIFS(Tbl_Members[Squad],$G$1,Tbl_Members[Rank],Rank4),INDEX(Tbl_Members[Gamertag],SMALL(IF(Tbl_Members[Squad]=$G$1,IF(Tbl_Members[Rank]=Rank4,ROW(Tbl_Members[Gamertag])-ROW('Manage Members'!$A$2)+1)),ROWS($F$49:F60))),"")</f>
        <v/>
      </c>
    </row>
    <row r="61" spans="1:6" x14ac:dyDescent="0.25">
      <c r="A61" s="139" t="str">
        <f t="array" ref="A61">IF(ROWS($A$49:A61)&lt;=COUNTIF(Tbl_Members[Rank],Rank4),INDEX(Tbl_Members[Gamertag],SMALL(IF(Tbl_Members[Rank]=Rank4,ROW(Tbl_Members[Gamertag])-ROW('Manage Members'!$A$2)+1),ROWS($A$49:A61))),"")</f>
        <v/>
      </c>
      <c r="E61" s="141"/>
      <c r="F61" s="138" t="str">
        <f t="array" ref="F61">IF(ROWS($F$49:F61)&lt;=COUNTIFS(Tbl_Members[Squad],$G$1,Tbl_Members[Rank],Rank4),INDEX(Tbl_Members[Gamertag],SMALL(IF(Tbl_Members[Squad]=$G$1,IF(Tbl_Members[Rank]=Rank4,ROW(Tbl_Members[Gamertag])-ROW('Manage Members'!$A$2)+1)),ROWS($F$49:F61))),"")</f>
        <v/>
      </c>
    </row>
    <row r="62" spans="1:6" x14ac:dyDescent="0.25">
      <c r="A62" s="139" t="str">
        <f t="array" ref="A62">IF(ROWS($A$49:A62)&lt;=COUNTIF(Tbl_Members[Rank],Rank4),INDEX(Tbl_Members[Gamertag],SMALL(IF(Tbl_Members[Rank]=Rank4,ROW(Tbl_Members[Gamertag])-ROW('Manage Members'!$A$2)+1),ROWS($A$49:A62))),"")</f>
        <v/>
      </c>
      <c r="E62" s="141"/>
      <c r="F62" s="138" t="str">
        <f t="array" ref="F62">IF(ROWS($F$49:F62)&lt;=COUNTIFS(Tbl_Members[Squad],$G$1,Tbl_Members[Rank],Rank4),INDEX(Tbl_Members[Gamertag],SMALL(IF(Tbl_Members[Squad]=$G$1,IF(Tbl_Members[Rank]=Rank4,ROW(Tbl_Members[Gamertag])-ROW('Manage Members'!$A$2)+1)),ROWS($F$49:F62))),"")</f>
        <v/>
      </c>
    </row>
    <row r="63" spans="1:6" x14ac:dyDescent="0.25">
      <c r="A63" s="139" t="str">
        <f t="array" ref="A63">IF(ROWS($A$49:A63)&lt;=COUNTIF(Tbl_Members[Rank],Rank4),INDEX(Tbl_Members[Gamertag],SMALL(IF(Tbl_Members[Rank]=Rank4,ROW(Tbl_Members[Gamertag])-ROW('Manage Members'!$A$2)+1),ROWS($A$49:A63))),"")</f>
        <v/>
      </c>
      <c r="E63" s="141"/>
      <c r="F63" s="138" t="str">
        <f t="array" ref="F63">IF(ROWS($F$49:F63)&lt;=COUNTIFS(Tbl_Members[Squad],$G$1,Tbl_Members[Rank],Rank4),INDEX(Tbl_Members[Gamertag],SMALL(IF(Tbl_Members[Squad]=$G$1,IF(Tbl_Members[Rank]=Rank4,ROW(Tbl_Members[Gamertag])-ROW('Manage Members'!$A$2)+1)),ROWS($F$49:F63))),"")</f>
        <v/>
      </c>
    </row>
    <row r="64" spans="1:6" x14ac:dyDescent="0.25">
      <c r="A64" s="139" t="str">
        <f t="array" ref="A64">IF(ROWS($A$49:A64)&lt;=COUNTIF(Tbl_Members[Rank],Rank4),INDEX(Tbl_Members[Gamertag],SMALL(IF(Tbl_Members[Rank]=Rank4,ROW(Tbl_Members[Gamertag])-ROW('Manage Members'!$A$2)+1),ROWS($A$49:A64))),"")</f>
        <v/>
      </c>
      <c r="E64" s="141"/>
      <c r="F64" s="138" t="str">
        <f t="array" ref="F64">IF(ROWS($F$49:F64)&lt;=COUNTIFS(Tbl_Members[Squad],$G$1,Tbl_Members[Rank],Rank4),INDEX(Tbl_Members[Gamertag],SMALL(IF(Tbl_Members[Squad]=$G$1,IF(Tbl_Members[Rank]=Rank4,ROW(Tbl_Members[Gamertag])-ROW('Manage Members'!$A$2)+1)),ROWS($F$49:F64))),"")</f>
        <v/>
      </c>
    </row>
    <row r="65" spans="1:6" x14ac:dyDescent="0.25">
      <c r="A65" s="139" t="str">
        <f t="array" ref="A65">IF(ROWS($A$49:A65)&lt;=COUNTIF(Tbl_Members[Rank],Rank4),INDEX(Tbl_Members[Gamertag],SMALL(IF(Tbl_Members[Rank]=Rank4,ROW(Tbl_Members[Gamertag])-ROW('Manage Members'!$A$2)+1),ROWS($A$49:A65))),"")</f>
        <v/>
      </c>
      <c r="E65" s="141"/>
      <c r="F65" s="138" t="str">
        <f t="array" ref="F65">IF(ROWS($F$49:F65)&lt;=COUNTIFS(Tbl_Members[Squad],$G$1,Tbl_Members[Rank],Rank4),INDEX(Tbl_Members[Gamertag],SMALL(IF(Tbl_Members[Squad]=$G$1,IF(Tbl_Members[Rank]=Rank4,ROW(Tbl_Members[Gamertag])-ROW('Manage Members'!$A$2)+1)),ROWS($F$49:F65))),"")</f>
        <v/>
      </c>
    </row>
    <row r="66" spans="1:6" x14ac:dyDescent="0.25">
      <c r="A66" s="139" t="str">
        <f t="array" ref="A66">IF(ROWS($A$49:A66)&lt;=COUNTIF(Tbl_Members[Rank],Rank4),INDEX(Tbl_Members[Gamertag],SMALL(IF(Tbl_Members[Rank]=Rank4,ROW(Tbl_Members[Gamertag])-ROW('Manage Members'!$A$2)+1),ROWS($A$49:A66))),"")</f>
        <v/>
      </c>
      <c r="E66" s="141"/>
      <c r="F66" s="138" t="str">
        <f t="array" ref="F66">IF(ROWS($F$49:F66)&lt;=COUNTIFS(Tbl_Members[Squad],$G$1,Tbl_Members[Rank],Rank4),INDEX(Tbl_Members[Gamertag],SMALL(IF(Tbl_Members[Squad]=$G$1,IF(Tbl_Members[Rank]=Rank4,ROW(Tbl_Members[Gamertag])-ROW('Manage Members'!$A$2)+1)),ROWS($F$49:F66))),"")</f>
        <v/>
      </c>
    </row>
    <row r="67" spans="1:6" x14ac:dyDescent="0.25">
      <c r="A67" s="139" t="str">
        <f t="array" ref="A67">IF(ROWS($A$49:A67)&lt;=COUNTIF(Tbl_Members[Rank],Rank4),INDEX(Tbl_Members[Gamertag],SMALL(IF(Tbl_Members[Rank]=Rank4,ROW(Tbl_Members[Gamertag])-ROW('Manage Members'!$A$2)+1),ROWS($A$49:A67))),"")</f>
        <v/>
      </c>
      <c r="E67" s="141"/>
      <c r="F67" s="138" t="str">
        <f t="array" ref="F67">IF(ROWS($F$49:F67)&lt;=COUNTIFS(Tbl_Members[Squad],$G$1,Tbl_Members[Rank],Rank4),INDEX(Tbl_Members[Gamertag],SMALL(IF(Tbl_Members[Squad]=$G$1,IF(Tbl_Members[Rank]=Rank4,ROW(Tbl_Members[Gamertag])-ROW('Manage Members'!$A$2)+1)),ROWS($F$49:F67))),"")</f>
        <v/>
      </c>
    </row>
    <row r="68" spans="1:6" x14ac:dyDescent="0.25">
      <c r="A68" s="139" t="str">
        <f t="array" ref="A68">IF(ROWS($A$49:A68)&lt;=COUNTIF(Tbl_Members[Rank],Rank4),INDEX(Tbl_Members[Gamertag],SMALL(IF(Tbl_Members[Rank]=Rank4,ROW(Tbl_Members[Gamertag])-ROW('Manage Members'!$A$2)+1),ROWS($A$49:A68))),"")</f>
        <v/>
      </c>
      <c r="E68" s="141"/>
      <c r="F68" s="138" t="str">
        <f t="array" ref="F68">IF(ROWS($F$49:F68)&lt;=COUNTIFS(Tbl_Members[Squad],$G$1,Tbl_Members[Rank],Rank4),INDEX(Tbl_Members[Gamertag],SMALL(IF(Tbl_Members[Squad]=$G$1,IF(Tbl_Members[Rank]=Rank4,ROW(Tbl_Members[Gamertag])-ROW('Manage Members'!$A$2)+1)),ROWS($F$49:F68))),"")</f>
        <v/>
      </c>
    </row>
    <row r="69" spans="1:6" x14ac:dyDescent="0.25">
      <c r="A69" s="139" t="str">
        <f t="array" ref="A69">IF(ROWS($A$49:A69)&lt;=COUNTIF(Tbl_Members[Rank],Rank4),INDEX(Tbl_Members[Gamertag],SMALL(IF(Tbl_Members[Rank]=Rank4,ROW(Tbl_Members[Gamertag])-ROW('Manage Members'!$A$2)+1),ROWS($A$49:A69))),"")</f>
        <v/>
      </c>
      <c r="E69" s="141"/>
      <c r="F69" s="138" t="str">
        <f t="array" ref="F69">IF(ROWS($F$49:F69)&lt;=COUNTIFS(Tbl_Members[Squad],$G$1,Tbl_Members[Rank],Rank4),INDEX(Tbl_Members[Gamertag],SMALL(IF(Tbl_Members[Squad]=$G$1,IF(Tbl_Members[Rank]=Rank4,ROW(Tbl_Members[Gamertag])-ROW('Manage Members'!$A$2)+1)),ROWS($F$49:F69))),"")</f>
        <v/>
      </c>
    </row>
    <row r="70" spans="1:6" x14ac:dyDescent="0.25">
      <c r="A70" s="139" t="str">
        <f t="array" ref="A70">IF(ROWS($A$49:A70)&lt;=COUNTIF(Tbl_Members[Rank],Rank4),INDEX(Tbl_Members[Gamertag],SMALL(IF(Tbl_Members[Rank]=Rank4,ROW(Tbl_Members[Gamertag])-ROW('Manage Members'!$A$2)+1),ROWS($A$49:A70))),"")</f>
        <v/>
      </c>
      <c r="E70" s="141"/>
      <c r="F70" s="138" t="str">
        <f t="array" ref="F70">IF(ROWS($F$49:F70)&lt;=COUNTIFS(Tbl_Members[Squad],$G$1,Tbl_Members[Rank],Rank4),INDEX(Tbl_Members[Gamertag],SMALL(IF(Tbl_Members[Squad]=$G$1,IF(Tbl_Members[Rank]=Rank4,ROW(Tbl_Members[Gamertag])-ROW('Manage Members'!$A$2)+1)),ROWS($F$49:F70))),"")</f>
        <v/>
      </c>
    </row>
    <row r="71" spans="1:6" x14ac:dyDescent="0.25">
      <c r="A71" s="139" t="str">
        <f t="array" ref="A71">IF(ROWS($A$49:A71)&lt;=COUNTIF(Tbl_Members[Rank],Rank4),INDEX(Tbl_Members[Gamertag],SMALL(IF(Tbl_Members[Rank]=Rank4,ROW(Tbl_Members[Gamertag])-ROW('Manage Members'!$A$2)+1),ROWS($A$49:A71))),"")</f>
        <v/>
      </c>
      <c r="E71" s="141"/>
      <c r="F71" s="138" t="str">
        <f t="array" ref="F71">IF(ROWS($F$49:F71)&lt;=COUNTIFS(Tbl_Members[Squad],$G$1,Tbl_Members[Rank],Rank4),INDEX(Tbl_Members[Gamertag],SMALL(IF(Tbl_Members[Squad]=$G$1,IF(Tbl_Members[Rank]=Rank4,ROW(Tbl_Members[Gamertag])-ROW('Manage Members'!$A$2)+1)),ROWS($F$49:F71))),"")</f>
        <v/>
      </c>
    </row>
    <row r="72" spans="1:6" x14ac:dyDescent="0.25">
      <c r="A72" s="139" t="str">
        <f t="array" ref="A72">IF(ROWS($A$49:A72)&lt;=COUNTIF(Tbl_Members[Rank],Rank4),INDEX(Tbl_Members[Gamertag],SMALL(IF(Tbl_Members[Rank]=Rank4,ROW(Tbl_Members[Gamertag])-ROW('Manage Members'!$A$2)+1),ROWS($A$49:A72))),"")</f>
        <v/>
      </c>
      <c r="E72" s="141"/>
      <c r="F72" s="138" t="str">
        <f t="array" ref="F72">IF(ROWS($F$49:F72)&lt;=COUNTIFS(Tbl_Members[Squad],$G$1,Tbl_Members[Rank],Rank4),INDEX(Tbl_Members[Gamertag],SMALL(IF(Tbl_Members[Squad]=$G$1,IF(Tbl_Members[Rank]=Rank4,ROW(Tbl_Members[Gamertag])-ROW('Manage Members'!$A$2)+1)),ROWS($F$49:F72))),"")</f>
        <v/>
      </c>
    </row>
    <row r="73" spans="1:6" x14ac:dyDescent="0.25">
      <c r="A73" s="139"/>
      <c r="E73" s="141"/>
    </row>
    <row r="74" spans="1:6" x14ac:dyDescent="0.25">
      <c r="A74" s="34" t="str">
        <f>CONCATENATE("[b][u][color=blue]DoG3 Corporals - ",COUNTIF(Tbl_Members[Rank],Rank3),"[/color][/u][/b]")</f>
        <v>[b][u][color=blue]DoG3 Corporals - 0[/color][/u][/b]</v>
      </c>
      <c r="E74" s="141"/>
      <c r="F74" s="144" t="str">
        <f>CONCATENATE("[b][u][color=blue]DoG3 Corporals - ",COUNTIFS(Tbl_Members[Squad],$G$1,Tbl_Members[Rank],Rank3),"[/color][/u][/b]")</f>
        <v>[b][u][color=blue]DoG3 Corporals - 0[/color][/u][/b]</v>
      </c>
    </row>
    <row r="75" spans="1:6" x14ac:dyDescent="0.25">
      <c r="E75" s="141"/>
    </row>
    <row r="76" spans="1:6" x14ac:dyDescent="0.25">
      <c r="A76" s="139" t="str">
        <f t="array" ref="A76">IF(ROWS($A$76:A76)&lt;=COUNTIF(Tbl_Members[Rank],Rank3),INDEX(Tbl_Members[Gamertag],SMALL(IF(Tbl_Members[Rank]=Rank3,ROW(Tbl_Members[Gamertag])-ROW('Manage Members'!$A$2)+1),ROWS($A$76:A76))),"")</f>
        <v/>
      </c>
      <c r="B76" s="34" t="s">
        <v>57</v>
      </c>
      <c r="E76" s="141"/>
      <c r="F76" s="138" t="str">
        <f t="array" ref="F76">IF(ROWS($F$76:F76)&lt;=COUNTIFS(Tbl_Members[Squad],$G$1,Tbl_Members[Rank],Rank3),INDEX(Tbl_Members[Gamertag],SMALL(IF(Tbl_Members[Squad]=$G$1,IF(Tbl_Members[Rank]=Rank3,ROW(Tbl_Members[Gamertag])-ROW('Manage Members'!$A$2)+1)),ROWS($F$76:F76))),"")</f>
        <v/>
      </c>
    </row>
    <row r="77" spans="1:6" x14ac:dyDescent="0.25">
      <c r="A77" s="139" t="str">
        <f t="array" ref="A77">IF(ROWS($A$76:A77)&lt;=COUNTIF(Tbl_Members[Rank],Rank3),INDEX(Tbl_Members[Gamertag],SMALL(IF(Tbl_Members[Rank]=Rank3,ROW(Tbl_Members[Gamertag])-ROW('Manage Members'!$A$2)+1),ROWS($A$76:A77))),"")</f>
        <v/>
      </c>
      <c r="E77" s="141"/>
      <c r="F77" s="138" t="str">
        <f t="array" ref="F77">IF(ROWS($F$76:F77)&lt;=COUNTIFS(Tbl_Members[Squad],$G$1,Tbl_Members[Rank],Rank3),INDEX(Tbl_Members[Gamertag],SMALL(IF(Tbl_Members[Squad]=$G$1,IF(Tbl_Members[Rank]=Rank3,ROW(Tbl_Members[Gamertag])-ROW('Manage Members'!$A$2)+1)),ROWS($F$76:F77))),"")</f>
        <v/>
      </c>
    </row>
    <row r="78" spans="1:6" x14ac:dyDescent="0.25">
      <c r="A78" s="139" t="str">
        <f t="array" ref="A78">IF(ROWS($A$76:A78)&lt;=COUNTIF(Tbl_Members[Rank],Rank3),INDEX(Tbl_Members[Gamertag],SMALL(IF(Tbl_Members[Rank]=Rank3,ROW(Tbl_Members[Gamertag])-ROW('Manage Members'!$A$2)+1),ROWS($A$76:A78))),"")</f>
        <v/>
      </c>
      <c r="E78" s="141"/>
      <c r="F78" s="138" t="str">
        <f t="array" ref="F78">IF(ROWS($F$76:F78)&lt;=COUNTIFS(Tbl_Members[Squad],$G$1,Tbl_Members[Rank],Rank3),INDEX(Tbl_Members[Gamertag],SMALL(IF(Tbl_Members[Squad]=$G$1,IF(Tbl_Members[Rank]=Rank3,ROW(Tbl_Members[Gamertag])-ROW('Manage Members'!$A$2)+1)),ROWS($F$76:F78))),"")</f>
        <v/>
      </c>
    </row>
    <row r="79" spans="1:6" x14ac:dyDescent="0.25">
      <c r="A79" s="139" t="str">
        <f t="array" ref="A79">IF(ROWS($A$76:A79)&lt;=COUNTIF(Tbl_Members[Rank],Rank3),INDEX(Tbl_Members[Gamertag],SMALL(IF(Tbl_Members[Rank]=Rank3,ROW(Tbl_Members[Gamertag])-ROW('Manage Members'!$A$2)+1),ROWS($A$76:A79))),"")</f>
        <v/>
      </c>
      <c r="E79" s="141"/>
      <c r="F79" s="138" t="str">
        <f t="array" ref="F79">IF(ROWS($F$76:F79)&lt;=COUNTIFS(Tbl_Members[Squad],$G$1,Tbl_Members[Rank],Rank3),INDEX(Tbl_Members[Gamertag],SMALL(IF(Tbl_Members[Squad]=$G$1,IF(Tbl_Members[Rank]=Rank3,ROW(Tbl_Members[Gamertag])-ROW('Manage Members'!$A$2)+1)),ROWS($F$76:F79))),"")</f>
        <v/>
      </c>
    </row>
    <row r="80" spans="1:6" x14ac:dyDescent="0.25">
      <c r="A80" s="139" t="str">
        <f t="array" ref="A80">IF(ROWS($A$76:A80)&lt;=COUNTIF(Tbl_Members[Rank],Rank3),INDEX(Tbl_Members[Gamertag],SMALL(IF(Tbl_Members[Rank]=Rank3,ROW(Tbl_Members[Gamertag])-ROW('Manage Members'!$A$2)+1),ROWS($A$76:A80))),"")</f>
        <v/>
      </c>
      <c r="E80" s="141"/>
      <c r="F80" s="138" t="str">
        <f t="array" ref="F80">IF(ROWS($F$76:F80)&lt;=COUNTIFS(Tbl_Members[Squad],$G$1,Tbl_Members[Rank],Rank3),INDEX(Tbl_Members[Gamertag],SMALL(IF(Tbl_Members[Squad]=$G$1,IF(Tbl_Members[Rank]=Rank3,ROW(Tbl_Members[Gamertag])-ROW('Manage Members'!$A$2)+1)),ROWS($F$76:F80))),"")</f>
        <v/>
      </c>
    </row>
    <row r="81" spans="1:6" x14ac:dyDescent="0.25">
      <c r="A81" s="139" t="str">
        <f t="array" ref="A81">IF(ROWS($A$76:A81)&lt;=COUNTIF(Tbl_Members[Rank],Rank3),INDEX(Tbl_Members[Gamertag],SMALL(IF(Tbl_Members[Rank]=Rank3,ROW(Tbl_Members[Gamertag])-ROW('Manage Members'!$A$2)+1),ROWS($A$76:A81))),"")</f>
        <v/>
      </c>
      <c r="E81" s="141"/>
      <c r="F81" s="138" t="str">
        <f t="array" ref="F81">IF(ROWS($F$76:F81)&lt;=COUNTIFS(Tbl_Members[Squad],$G$1,Tbl_Members[Rank],Rank3),INDEX(Tbl_Members[Gamertag],SMALL(IF(Tbl_Members[Squad]=$G$1,IF(Tbl_Members[Rank]=Rank3,ROW(Tbl_Members[Gamertag])-ROW('Manage Members'!$A$2)+1)),ROWS($F$76:F81))),"")</f>
        <v/>
      </c>
    </row>
    <row r="82" spans="1:6" x14ac:dyDescent="0.25">
      <c r="E82" s="141"/>
    </row>
    <row r="83" spans="1:6" x14ac:dyDescent="0.25">
      <c r="A83" s="34" t="str">
        <f>CONCATENATE("[b][u][color=blue]DoG2 Privates - ",COUNTIF(Tbl_Members[Rank],Rank2),"[/color][/u][/b]")</f>
        <v>[b][u][color=blue]DoG2 Privates - 0[/color][/u][/b]</v>
      </c>
      <c r="E83" s="141"/>
      <c r="F83" s="144" t="str">
        <f>CONCATENATE("[b][u][color=blue]DoG2 Privates - ",COUNTIFS(Tbl_Members[Squad],$G$1,Tbl_Members[Rank],Rank2),"[/color][/u][/b]")</f>
        <v>[b][u][color=blue]DoG2 Privates - 0[/color][/u][/b]</v>
      </c>
    </row>
    <row r="84" spans="1:6" x14ac:dyDescent="0.25">
      <c r="E84" s="141"/>
    </row>
    <row r="85" spans="1:6" x14ac:dyDescent="0.25">
      <c r="A85" s="139" t="str">
        <f t="array" ref="A85">IF(ROWS($A$85:A85)&lt;=COUNTIF(Tbl_Members[Rank],Rank2),INDEX(Tbl_Members[Gamertag],SMALL(IF(Tbl_Members[Rank]=Rank2,ROW(Tbl_Members[Gamertag])-ROW('Manage Members'!$A$2)+1),ROWS($A$85:A85))),"")</f>
        <v/>
      </c>
      <c r="B85" s="34" t="s">
        <v>62</v>
      </c>
      <c r="E85" s="141"/>
      <c r="F85" s="138" t="str">
        <f t="array" ref="F85">IF(ROWS($F$85:F85)&lt;=COUNTIFS(Tbl_Members[Squad],$G$1,Tbl_Members[Rank],Rank2),INDEX(Tbl_Members[Gamertag],SMALL(IF(Tbl_Members[Squad]=$G$1,IF(Tbl_Members[Rank]=Rank2,ROW(Tbl_Members[Gamertag])-ROW('Manage Members'!$A$2)+1)),ROWS($F$85:F85))),"")</f>
        <v/>
      </c>
    </row>
    <row r="86" spans="1:6" x14ac:dyDescent="0.25">
      <c r="A86" s="139" t="str">
        <f t="array" ref="A86">IF(ROWS($A$85:A86)&lt;=COUNTIF(Tbl_Members[Rank],Rank2),INDEX(Tbl_Members[Gamertag],SMALL(IF(Tbl_Members[Rank]=Rank2,ROW(Tbl_Members[Gamertag])-ROW('Manage Members'!$A$2)+1),ROWS($A$85:A86))),"")</f>
        <v/>
      </c>
      <c r="E86" s="141"/>
      <c r="F86" s="138" t="str">
        <f t="array" ref="F86">IF(ROWS($F$85:F86)&lt;=COUNTIFS(Tbl_Members[Squad],$G$1,Tbl_Members[Rank],Rank2),INDEX(Tbl_Members[Gamertag],SMALL(IF(Tbl_Members[Squad]=$G$1,IF(Tbl_Members[Rank]=Rank2,ROW(Tbl_Members[Gamertag])-ROW('Manage Members'!$A$2)+1)),ROWS($F$85:F86))),"")</f>
        <v/>
      </c>
    </row>
    <row r="87" spans="1:6" x14ac:dyDescent="0.25">
      <c r="A87" s="139" t="str">
        <f t="array" ref="A87">IF(ROWS($A$85:A87)&lt;=COUNTIF(Tbl_Members[Rank],Rank2),INDEX(Tbl_Members[Gamertag],SMALL(IF(Tbl_Members[Rank]=Rank2,ROW(Tbl_Members[Gamertag])-ROW('Manage Members'!$A$2)+1),ROWS($A$85:A87))),"")</f>
        <v/>
      </c>
      <c r="E87" s="141"/>
      <c r="F87" s="138" t="str">
        <f t="array" ref="F87">IF(ROWS($F$85:F87)&lt;=COUNTIFS(Tbl_Members[Squad],$G$1,Tbl_Members[Rank],Rank2),INDEX(Tbl_Members[Gamertag],SMALL(IF(Tbl_Members[Squad]=$G$1,IF(Tbl_Members[Rank]=Rank2,ROW(Tbl_Members[Gamertag])-ROW('Manage Members'!$A$2)+1)),ROWS($F$85:F87))),"")</f>
        <v/>
      </c>
    </row>
    <row r="88" spans="1:6" x14ac:dyDescent="0.25">
      <c r="A88" s="139" t="str">
        <f t="array" ref="A88">IF(ROWS($A$85:A88)&lt;=COUNTIF(Tbl_Members[Rank],Rank2),INDEX(Tbl_Members[Gamertag],SMALL(IF(Tbl_Members[Rank]=Rank2,ROW(Tbl_Members[Gamertag])-ROW('Manage Members'!$A$2)+1),ROWS($A$85:A88))),"")</f>
        <v/>
      </c>
      <c r="E88" s="141"/>
      <c r="F88" s="138" t="str">
        <f t="array" ref="F88">IF(ROWS($F$85:F88)&lt;=COUNTIFS(Tbl_Members[Squad],$G$1,Tbl_Members[Rank],Rank2),INDEX(Tbl_Members[Gamertag],SMALL(IF(Tbl_Members[Squad]=$G$1,IF(Tbl_Members[Rank]=Rank2,ROW(Tbl_Members[Gamertag])-ROW('Manage Members'!$A$2)+1)),ROWS($F$85:F88))),"")</f>
        <v/>
      </c>
    </row>
    <row r="89" spans="1:6" x14ac:dyDescent="0.25">
      <c r="A89" s="139" t="str">
        <f t="array" ref="A89">IF(ROWS($A$85:A89)&lt;=COUNTIF(Tbl_Members[Rank],Rank2),INDEX(Tbl_Members[Gamertag],SMALL(IF(Tbl_Members[Rank]=Rank2,ROW(Tbl_Members[Gamertag])-ROW('Manage Members'!$A$2)+1),ROWS($A$85:A89))),"")</f>
        <v/>
      </c>
      <c r="E89" s="141"/>
      <c r="F89" s="138" t="str">
        <f t="array" ref="F89">IF(ROWS($F$85:F89)&lt;=COUNTIFS(Tbl_Members[Squad],$G$1,Tbl_Members[Rank],Rank2),INDEX(Tbl_Members[Gamertag],SMALL(IF(Tbl_Members[Squad]=$G$1,IF(Tbl_Members[Rank]=Rank2,ROW(Tbl_Members[Gamertag])-ROW('Manage Members'!$A$2)+1)),ROWS($F$85:F89))),"")</f>
        <v/>
      </c>
    </row>
    <row r="90" spans="1:6" x14ac:dyDescent="0.25">
      <c r="A90" s="139" t="str">
        <f t="array" ref="A90">IF(ROWS($A$85:A90)&lt;=COUNTIF(Tbl_Members[Rank],Rank2),INDEX(Tbl_Members[Gamertag],SMALL(IF(Tbl_Members[Rank]=Rank2,ROW(Tbl_Members[Gamertag])-ROW('Manage Members'!$A$2)+1),ROWS($A$85:A90))),"")</f>
        <v/>
      </c>
      <c r="E90" s="141"/>
      <c r="F90" s="138" t="str">
        <f t="array" ref="F90">IF(ROWS($F$85:F90)&lt;=COUNTIFS(Tbl_Members[Squad],$G$1,Tbl_Members[Rank],Rank2),INDEX(Tbl_Members[Gamertag],SMALL(IF(Tbl_Members[Squad]=$G$1,IF(Tbl_Members[Rank]=Rank2,ROW(Tbl_Members[Gamertag])-ROW('Manage Members'!$A$2)+1)),ROWS($F$85:F90))),"")</f>
        <v/>
      </c>
    </row>
    <row r="91" spans="1:6" x14ac:dyDescent="0.25">
      <c r="A91" s="139" t="str">
        <f t="array" ref="A91">IF(ROWS($A$85:A91)&lt;=COUNTIF(Tbl_Members[Rank],Rank2),INDEX(Tbl_Members[Gamertag],SMALL(IF(Tbl_Members[Rank]=Rank2,ROW(Tbl_Members[Gamertag])-ROW('Manage Members'!$A$2)+1),ROWS($A$85:A91))),"")</f>
        <v/>
      </c>
      <c r="E91" s="141"/>
      <c r="F91" s="138" t="str">
        <f t="array" ref="F91">IF(ROWS($F$85:F91)&lt;=COUNTIFS(Tbl_Members[Squad],$G$1,Tbl_Members[Rank],Rank2),INDEX(Tbl_Members[Gamertag],SMALL(IF(Tbl_Members[Squad]=$G$1,IF(Tbl_Members[Rank]=Rank2,ROW(Tbl_Members[Gamertag])-ROW('Manage Members'!$A$2)+1)),ROWS($F$85:F91))),"")</f>
        <v/>
      </c>
    </row>
    <row r="92" spans="1:6" x14ac:dyDescent="0.25">
      <c r="A92" s="139" t="str">
        <f t="array" ref="A92">IF(ROWS($A$85:A92)&lt;=COUNTIF(Tbl_Members[Rank],Rank2),INDEX(Tbl_Members[Gamertag],SMALL(IF(Tbl_Members[Rank]=Rank2,ROW(Tbl_Members[Gamertag])-ROW('Manage Members'!$A$2)+1),ROWS($A$85:A92))),"")</f>
        <v/>
      </c>
      <c r="E92" s="141"/>
      <c r="F92" s="138" t="str">
        <f t="array" ref="F92">IF(ROWS($F$85:F92)&lt;=COUNTIFS(Tbl_Members[Squad],$G$1,Tbl_Members[Rank],Rank2),INDEX(Tbl_Members[Gamertag],SMALL(IF(Tbl_Members[Squad]=$G$1,IF(Tbl_Members[Rank]=Rank2,ROW(Tbl_Members[Gamertag])-ROW('Manage Members'!$A$2)+1)),ROWS($F$85:F92))),"")</f>
        <v/>
      </c>
    </row>
    <row r="93" spans="1:6" x14ac:dyDescent="0.25">
      <c r="A93" s="139" t="str">
        <f t="array" ref="A93">IF(ROWS($A$85:A93)&lt;=COUNTIF(Tbl_Members[Rank],Rank2),INDEX(Tbl_Members[Gamertag],SMALL(IF(Tbl_Members[Rank]=Rank2,ROW(Tbl_Members[Gamertag])-ROW('Manage Members'!$A$2)+1),ROWS($A$85:A93))),"")</f>
        <v/>
      </c>
      <c r="E93" s="141"/>
      <c r="F93" s="138" t="str">
        <f t="array" ref="F93">IF(ROWS($F$85:F93)&lt;=COUNTIFS(Tbl_Members[Squad],$G$1,Tbl_Members[Rank],Rank2),INDEX(Tbl_Members[Gamertag],SMALL(IF(Tbl_Members[Squad]=$G$1,IF(Tbl_Members[Rank]=Rank2,ROW(Tbl_Members[Gamertag])-ROW('Manage Members'!$A$2)+1)),ROWS($F$85:F93))),"")</f>
        <v/>
      </c>
    </row>
    <row r="94" spans="1:6" x14ac:dyDescent="0.25">
      <c r="A94" s="139" t="str">
        <f t="array" ref="A94">IF(ROWS($A$85:A94)&lt;=COUNTIF(Tbl_Members[Rank],Rank2),INDEX(Tbl_Members[Gamertag],SMALL(IF(Tbl_Members[Rank]=Rank2,ROW(Tbl_Members[Gamertag])-ROW('Manage Members'!$A$2)+1),ROWS($A$85:A94))),"")</f>
        <v/>
      </c>
      <c r="E94" s="141"/>
      <c r="F94" s="138" t="str">
        <f t="array" ref="F94">IF(ROWS($F$85:F94)&lt;=COUNTIFS(Tbl_Members[Squad],$G$1,Tbl_Members[Rank],Rank2),INDEX(Tbl_Members[Gamertag],SMALL(IF(Tbl_Members[Squad]=$G$1,IF(Tbl_Members[Rank]=Rank2,ROW(Tbl_Members[Gamertag])-ROW('Manage Members'!$A$2)+1)),ROWS($F$85:F94))),"")</f>
        <v/>
      </c>
    </row>
    <row r="95" spans="1:6" x14ac:dyDescent="0.25">
      <c r="A95" s="139" t="str">
        <f t="array" ref="A95">IF(ROWS($A$85:A95)&lt;=COUNTIF(Tbl_Members[Rank],Rank2),INDEX(Tbl_Members[Gamertag],SMALL(IF(Tbl_Members[Rank]=Rank2,ROW(Tbl_Members[Gamertag])-ROW('Manage Members'!$A$2)+1),ROWS($A$85:A95))),"")</f>
        <v/>
      </c>
      <c r="E95" s="141"/>
      <c r="F95" s="138" t="str">
        <f t="array" ref="F95">IF(ROWS($F$85:F95)&lt;=COUNTIFS(Tbl_Members[Squad],$G$1,Tbl_Members[Rank],Rank2),INDEX(Tbl_Members[Gamertag],SMALL(IF(Tbl_Members[Squad]=$G$1,IF(Tbl_Members[Rank]=Rank2,ROW(Tbl_Members[Gamertag])-ROW('Manage Members'!$A$2)+1)),ROWS($F$85:F95))),"")</f>
        <v/>
      </c>
    </row>
    <row r="96" spans="1:6" x14ac:dyDescent="0.25">
      <c r="A96" s="139" t="str">
        <f t="array" ref="A96">IF(ROWS($A$85:A96)&lt;=COUNTIF(Tbl_Members[Rank],Rank2),INDEX(Tbl_Members[Gamertag],SMALL(IF(Tbl_Members[Rank]=Rank2,ROW(Tbl_Members[Gamertag])-ROW('Manage Members'!$A$2)+1),ROWS($A$85:A96))),"")</f>
        <v/>
      </c>
      <c r="E96" s="141"/>
      <c r="F96" s="138" t="str">
        <f t="array" ref="F96">IF(ROWS($F$85:F96)&lt;=COUNTIFS(Tbl_Members[Squad],$G$1,Tbl_Members[Rank],Rank2),INDEX(Tbl_Members[Gamertag],SMALL(IF(Tbl_Members[Squad]=$G$1,IF(Tbl_Members[Rank]=Rank2,ROW(Tbl_Members[Gamertag])-ROW('Manage Members'!$A$2)+1)),ROWS($F$85:F96))),"")</f>
        <v/>
      </c>
    </row>
    <row r="97" spans="1:6" x14ac:dyDescent="0.25">
      <c r="A97" s="139" t="str">
        <f t="array" ref="A97">IF(ROWS($A$85:A97)&lt;=COUNTIF(Tbl_Members[Rank],Rank2),INDEX(Tbl_Members[Gamertag],SMALL(IF(Tbl_Members[Rank]=Rank2,ROW(Tbl_Members[Gamertag])-ROW('Manage Members'!$A$2)+1),ROWS($A$85:A97))),"")</f>
        <v/>
      </c>
      <c r="E97" s="141"/>
      <c r="F97" s="138" t="str">
        <f t="array" ref="F97">IF(ROWS($F$85:F97)&lt;=COUNTIFS(Tbl_Members[Squad],$G$1,Tbl_Members[Rank],Rank2),INDEX(Tbl_Members[Gamertag],SMALL(IF(Tbl_Members[Squad]=$G$1,IF(Tbl_Members[Rank]=Rank2,ROW(Tbl_Members[Gamertag])-ROW('Manage Members'!$A$2)+1)),ROWS($F$85:F97))),"")</f>
        <v/>
      </c>
    </row>
    <row r="98" spans="1:6" x14ac:dyDescent="0.25">
      <c r="A98" s="139" t="str">
        <f t="array" ref="A98">IF(ROWS($A$85:A98)&lt;=COUNTIF(Tbl_Members[Rank],Rank2),INDEX(Tbl_Members[Gamertag],SMALL(IF(Tbl_Members[Rank]=Rank2,ROW(Tbl_Members[Gamertag])-ROW('Manage Members'!$A$2)+1),ROWS($A$85:A98))),"")</f>
        <v/>
      </c>
      <c r="E98" s="141"/>
      <c r="F98" s="138" t="str">
        <f t="array" ref="F98">IF(ROWS($F$85:F98)&lt;=COUNTIFS(Tbl_Members[Squad],$G$1,Tbl_Members[Rank],Rank2),INDEX(Tbl_Members[Gamertag],SMALL(IF(Tbl_Members[Squad]=$G$1,IF(Tbl_Members[Rank]=Rank2,ROW(Tbl_Members[Gamertag])-ROW('Manage Members'!$A$2)+1)),ROWS($F$85:F98))),"")</f>
        <v/>
      </c>
    </row>
    <row r="99" spans="1:6" x14ac:dyDescent="0.25">
      <c r="A99" s="139" t="str">
        <f t="array" ref="A99">IF(ROWS($A$85:A99)&lt;=COUNTIF(Tbl_Members[Rank],Rank2),INDEX(Tbl_Members[Gamertag],SMALL(IF(Tbl_Members[Rank]=Rank2,ROW(Tbl_Members[Gamertag])-ROW('Manage Members'!$A$2)+1),ROWS($A$85:A99))),"")</f>
        <v/>
      </c>
      <c r="E99" s="141"/>
      <c r="F99" s="138" t="str">
        <f t="array" ref="F99">IF(ROWS($F$85:F99)&lt;=COUNTIFS(Tbl_Members[Squad],$G$1,Tbl_Members[Rank],Rank2),INDEX(Tbl_Members[Gamertag],SMALL(IF(Tbl_Members[Squad]=$G$1,IF(Tbl_Members[Rank]=Rank2,ROW(Tbl_Members[Gamertag])-ROW('Manage Members'!$A$2)+1)),ROWS($F$85:F99))),"")</f>
        <v/>
      </c>
    </row>
    <row r="100" spans="1:6" x14ac:dyDescent="0.25">
      <c r="A100" s="139" t="str">
        <f t="array" ref="A100">IF(ROWS($A$85:A100)&lt;=COUNTIF(Tbl_Members[Rank],Rank2),INDEX(Tbl_Members[Gamertag],SMALL(IF(Tbl_Members[Rank]=Rank2,ROW(Tbl_Members[Gamertag])-ROW('Manage Members'!$A$2)+1),ROWS($A$85:A100))),"")</f>
        <v/>
      </c>
      <c r="E100" s="141"/>
      <c r="F100" s="138" t="str">
        <f t="array" ref="F100">IF(ROWS($F$85:F100)&lt;=COUNTIFS(Tbl_Members[Squad],$G$1,Tbl_Members[Rank],Rank2),INDEX(Tbl_Members[Gamertag],SMALL(IF(Tbl_Members[Squad]=$G$1,IF(Tbl_Members[Rank]=Rank2,ROW(Tbl_Members[Gamertag])-ROW('Manage Members'!$A$2)+1)),ROWS($F$85:F100))),"")</f>
        <v/>
      </c>
    </row>
    <row r="101" spans="1:6" x14ac:dyDescent="0.25">
      <c r="A101" s="139" t="str">
        <f t="array" ref="A101">IF(ROWS($A$85:A101)&lt;=COUNTIF(Tbl_Members[Rank],Rank2),INDEX(Tbl_Members[Gamertag],SMALL(IF(Tbl_Members[Rank]=Rank2,ROW(Tbl_Members[Gamertag])-ROW('Manage Members'!$A$2)+1),ROWS($A$85:A101))),"")</f>
        <v/>
      </c>
      <c r="E101" s="141"/>
      <c r="F101" s="138" t="str">
        <f t="array" ref="F101">IF(ROWS($F$85:F101)&lt;=COUNTIFS(Tbl_Members[Squad],$G$1,Tbl_Members[Rank],Rank2),INDEX(Tbl_Members[Gamertag],SMALL(IF(Tbl_Members[Squad]=$G$1,IF(Tbl_Members[Rank]=Rank2,ROW(Tbl_Members[Gamertag])-ROW('Manage Members'!$A$2)+1)),ROWS($F$85:F101))),"")</f>
        <v/>
      </c>
    </row>
    <row r="102" spans="1:6" x14ac:dyDescent="0.25">
      <c r="A102" s="139" t="str">
        <f t="array" ref="A102">IF(ROWS($A$85:A102)&lt;=COUNTIF(Tbl_Members[Rank],Rank2),INDEX(Tbl_Members[Gamertag],SMALL(IF(Tbl_Members[Rank]=Rank2,ROW(Tbl_Members[Gamertag])-ROW('Manage Members'!$A$2)+1),ROWS($A$85:A102))),"")</f>
        <v/>
      </c>
      <c r="E102" s="141"/>
      <c r="F102" s="138" t="str">
        <f t="array" ref="F102">IF(ROWS($F$85:F102)&lt;=COUNTIFS(Tbl_Members[Squad],$G$1,Tbl_Members[Rank],Rank2),INDEX(Tbl_Members[Gamertag],SMALL(IF(Tbl_Members[Squad]=$G$1,IF(Tbl_Members[Rank]=Rank2,ROW(Tbl_Members[Gamertag])-ROW('Manage Members'!$A$2)+1)),ROWS($F$85:F102))),"")</f>
        <v/>
      </c>
    </row>
    <row r="103" spans="1:6" x14ac:dyDescent="0.25">
      <c r="A103" s="139" t="str">
        <f t="array" ref="A103">IF(ROWS($A$85:A103)&lt;=COUNTIF(Tbl_Members[Rank],Rank2),INDEX(Tbl_Members[Gamertag],SMALL(IF(Tbl_Members[Rank]=Rank2,ROW(Tbl_Members[Gamertag])-ROW('Manage Members'!$A$2)+1),ROWS($A$85:A103))),"")</f>
        <v/>
      </c>
      <c r="E103" s="141"/>
      <c r="F103" s="138" t="str">
        <f t="array" ref="F103">IF(ROWS($F$85:F103)&lt;=COUNTIFS(Tbl_Members[Squad],$G$1,Tbl_Members[Rank],Rank2),INDEX(Tbl_Members[Gamertag],SMALL(IF(Tbl_Members[Squad]=$G$1,IF(Tbl_Members[Rank]=Rank2,ROW(Tbl_Members[Gamertag])-ROW('Manage Members'!$A$2)+1)),ROWS($F$85:F103))),"")</f>
        <v/>
      </c>
    </row>
    <row r="104" spans="1:6" x14ac:dyDescent="0.25">
      <c r="A104" s="139" t="str">
        <f t="array" ref="A104">IF(ROWS($A$85:A104)&lt;=COUNTIF(Tbl_Members[Rank],Rank2),INDEX(Tbl_Members[Gamertag],SMALL(IF(Tbl_Members[Rank]=Rank2,ROW(Tbl_Members[Gamertag])-ROW('Manage Members'!$A$2)+1),ROWS($A$85:A104))),"")</f>
        <v/>
      </c>
      <c r="E104" s="141"/>
      <c r="F104" s="138" t="str">
        <f t="array" ref="F104">IF(ROWS($F$85:F104)&lt;=COUNTIFS(Tbl_Members[Squad],$G$1,Tbl_Members[Rank],Rank2),INDEX(Tbl_Members[Gamertag],SMALL(IF(Tbl_Members[Squad]=$G$1,IF(Tbl_Members[Rank]=Rank2,ROW(Tbl_Members[Gamertag])-ROW('Manage Members'!$A$2)+1)),ROWS($F$85:F104))),"")</f>
        <v/>
      </c>
    </row>
    <row r="105" spans="1:6" x14ac:dyDescent="0.25">
      <c r="A105" s="139" t="str">
        <f t="array" ref="A105">IF(ROWS($A$85:A105)&lt;=COUNTIF(Tbl_Members[Rank],Rank2),INDEX(Tbl_Members[Gamertag],SMALL(IF(Tbl_Members[Rank]=Rank2,ROW(Tbl_Members[Gamertag])-ROW('Manage Members'!$A$2)+1),ROWS($A$85:A105))),"")</f>
        <v/>
      </c>
      <c r="E105" s="141"/>
      <c r="F105" s="138" t="str">
        <f t="array" ref="F105">IF(ROWS($F$85:F105)&lt;=COUNTIFS(Tbl_Members[Squad],$G$1,Tbl_Members[Rank],Rank2),INDEX(Tbl_Members[Gamertag],SMALL(IF(Tbl_Members[Squad]=$G$1,IF(Tbl_Members[Rank]=Rank2,ROW(Tbl_Members[Gamertag])-ROW('Manage Members'!$A$2)+1)),ROWS($F$85:F105))),"")</f>
        <v/>
      </c>
    </row>
    <row r="106" spans="1:6" x14ac:dyDescent="0.25">
      <c r="A106" s="139" t="str">
        <f t="array" ref="A106">IF(ROWS($A$85:A106)&lt;=COUNTIF(Tbl_Members[Rank],Rank2),INDEX(Tbl_Members[Gamertag],SMALL(IF(Tbl_Members[Rank]=Rank2,ROW(Tbl_Members[Gamertag])-ROW('Manage Members'!$A$2)+1),ROWS($A$85:A106))),"")</f>
        <v/>
      </c>
      <c r="E106" s="141"/>
      <c r="F106" s="138" t="str">
        <f t="array" ref="F106">IF(ROWS($F$85:F106)&lt;=COUNTIFS(Tbl_Members[Squad],$G$1,Tbl_Members[Rank],Rank2),INDEX(Tbl_Members[Gamertag],SMALL(IF(Tbl_Members[Squad]=$G$1,IF(Tbl_Members[Rank]=Rank2,ROW(Tbl_Members[Gamertag])-ROW('Manage Members'!$A$2)+1)),ROWS($F$85:F106))),"")</f>
        <v/>
      </c>
    </row>
    <row r="107" spans="1:6" x14ac:dyDescent="0.25">
      <c r="A107" s="139" t="str">
        <f t="array" ref="A107">IF(ROWS($A$85:A107)&lt;=COUNTIF(Tbl_Members[Rank],Rank2),INDEX(Tbl_Members[Gamertag],SMALL(IF(Tbl_Members[Rank]=Rank2,ROW(Tbl_Members[Gamertag])-ROW('Manage Members'!$A$2)+1),ROWS($A$85:A107))),"")</f>
        <v/>
      </c>
      <c r="E107" s="141"/>
      <c r="F107" s="138" t="str">
        <f t="array" ref="F107">IF(ROWS($F$85:F107)&lt;=COUNTIFS(Tbl_Members[Squad],$G$1,Tbl_Members[Rank],Rank2),INDEX(Tbl_Members[Gamertag],SMALL(IF(Tbl_Members[Squad]=$G$1,IF(Tbl_Members[Rank]=Rank2,ROW(Tbl_Members[Gamertag])-ROW('Manage Members'!$A$2)+1)),ROWS($F$85:F107))),"")</f>
        <v/>
      </c>
    </row>
    <row r="108" spans="1:6" x14ac:dyDescent="0.25">
      <c r="A108" s="139" t="str">
        <f t="array" ref="A108">IF(ROWS($A$85:A108)&lt;=COUNTIF(Tbl_Members[Rank],Rank2),INDEX(Tbl_Members[Gamertag],SMALL(IF(Tbl_Members[Rank]=Rank2,ROW(Tbl_Members[Gamertag])-ROW('Manage Members'!$A$2)+1),ROWS($A$85:A108))),"")</f>
        <v/>
      </c>
      <c r="E108" s="141"/>
      <c r="F108" s="138" t="str">
        <f t="array" ref="F108">IF(ROWS($F$85:F108)&lt;=COUNTIFS(Tbl_Members[Squad],$G$1,Tbl_Members[Rank],Rank2),INDEX(Tbl_Members[Gamertag],SMALL(IF(Tbl_Members[Squad]=$G$1,IF(Tbl_Members[Rank]=Rank2,ROW(Tbl_Members[Gamertag])-ROW('Manage Members'!$A$2)+1)),ROWS($F$85:F108))),"")</f>
        <v/>
      </c>
    </row>
    <row r="109" spans="1:6" x14ac:dyDescent="0.25">
      <c r="A109" s="139" t="str">
        <f t="array" ref="A109">IF(ROWS($A$85:A109)&lt;=COUNTIF(Tbl_Members[Rank],Rank2),INDEX(Tbl_Members[Gamertag],SMALL(IF(Tbl_Members[Rank]=Rank2,ROW(Tbl_Members[Gamertag])-ROW('Manage Members'!$A$2)+1),ROWS($A$85:A109))),"")</f>
        <v/>
      </c>
      <c r="E109" s="141"/>
      <c r="F109" s="138" t="str">
        <f t="array" ref="F109">IF(ROWS($F$85:F109)&lt;=COUNTIFS(Tbl_Members[Squad],$G$1,Tbl_Members[Rank],Rank2),INDEX(Tbl_Members[Gamertag],SMALL(IF(Tbl_Members[Squad]=$G$1,IF(Tbl_Members[Rank]=Rank2,ROW(Tbl_Members[Gamertag])-ROW('Manage Members'!$A$2)+1)),ROWS($F$85:F109))),"")</f>
        <v/>
      </c>
    </row>
    <row r="110" spans="1:6" x14ac:dyDescent="0.25">
      <c r="A110" s="139" t="str">
        <f t="array" ref="A110">IF(ROWS($A$85:A110)&lt;=COUNTIF(Tbl_Members[Rank],Rank2),INDEX(Tbl_Members[Gamertag],SMALL(IF(Tbl_Members[Rank]=Rank2,ROW(Tbl_Members[Gamertag])-ROW('Manage Members'!$A$2)+1),ROWS($A$85:A110))),"")</f>
        <v/>
      </c>
      <c r="E110" s="141"/>
      <c r="F110" s="138" t="str">
        <f t="array" ref="F110">IF(ROWS($F$85:F110)&lt;=COUNTIFS(Tbl_Members[Squad],$G$1,Tbl_Members[Rank],Rank2),INDEX(Tbl_Members[Gamertag],SMALL(IF(Tbl_Members[Squad]=$G$1,IF(Tbl_Members[Rank]=Rank2,ROW(Tbl_Members[Gamertag])-ROW('Manage Members'!$A$2)+1)),ROWS($F$85:F110))),"")</f>
        <v/>
      </c>
    </row>
    <row r="111" spans="1:6" x14ac:dyDescent="0.25">
      <c r="A111" s="139" t="str">
        <f t="array" ref="A111">IF(ROWS($A$85:A111)&lt;=COUNTIF(Tbl_Members[Rank],Rank2),INDEX(Tbl_Members[Gamertag],SMALL(IF(Tbl_Members[Rank]=Rank2,ROW(Tbl_Members[Gamertag])-ROW('Manage Members'!$A$2)+1),ROWS($A$85:A111))),"")</f>
        <v/>
      </c>
      <c r="E111" s="141"/>
      <c r="F111" s="138" t="str">
        <f t="array" ref="F111">IF(ROWS($F$85:F111)&lt;=COUNTIFS(Tbl_Members[Squad],$G$1,Tbl_Members[Rank],Rank2),INDEX(Tbl_Members[Gamertag],SMALL(IF(Tbl_Members[Squad]=$G$1,IF(Tbl_Members[Rank]=Rank2,ROW(Tbl_Members[Gamertag])-ROW('Manage Members'!$A$2)+1)),ROWS($F$85:F111))),"")</f>
        <v/>
      </c>
    </row>
    <row r="112" spans="1:6" x14ac:dyDescent="0.25">
      <c r="A112" s="139" t="str">
        <f t="array" ref="A112">IF(ROWS($A$85:A112)&lt;=COUNTIF(Tbl_Members[Rank],Rank2),INDEX(Tbl_Members[Gamertag],SMALL(IF(Tbl_Members[Rank]=Rank2,ROW(Tbl_Members[Gamertag])-ROW('Manage Members'!$A$2)+1),ROWS($A$85:A112))),"")</f>
        <v/>
      </c>
      <c r="E112" s="141"/>
      <c r="F112" s="138" t="str">
        <f t="array" ref="F112">IF(ROWS($F$85:F112)&lt;=COUNTIFS(Tbl_Members[Squad],$G$1,Tbl_Members[Rank],Rank2),INDEX(Tbl_Members[Gamertag],SMALL(IF(Tbl_Members[Squad]=$G$1,IF(Tbl_Members[Rank]=Rank2,ROW(Tbl_Members[Gamertag])-ROW('Manage Members'!$A$2)+1)),ROWS($F$85:F112))),"")</f>
        <v/>
      </c>
    </row>
    <row r="113" spans="1:6" x14ac:dyDescent="0.25">
      <c r="A113" s="139" t="str">
        <f t="array" ref="A113">IF(ROWS($A$85:A113)&lt;=COUNTIF(Tbl_Members[Rank],Rank2),INDEX(Tbl_Members[Gamertag],SMALL(IF(Tbl_Members[Rank]=Rank2,ROW(Tbl_Members[Gamertag])-ROW('Manage Members'!$A$2)+1),ROWS($A$85:A113))),"")</f>
        <v/>
      </c>
      <c r="E113" s="141"/>
      <c r="F113" s="138" t="str">
        <f t="array" ref="F113">IF(ROWS($F$85:F113)&lt;=COUNTIFS(Tbl_Members[Squad],$G$1,Tbl_Members[Rank],Rank2),INDEX(Tbl_Members[Gamertag],SMALL(IF(Tbl_Members[Squad]=$G$1,IF(Tbl_Members[Rank]=Rank2,ROW(Tbl_Members[Gamertag])-ROW('Manage Members'!$A$2)+1)),ROWS($F$85:F113))),"")</f>
        <v/>
      </c>
    </row>
    <row r="114" spans="1:6" x14ac:dyDescent="0.25">
      <c r="A114" s="139" t="str">
        <f t="array" ref="A114">IF(ROWS($A$85:A114)&lt;=COUNTIF(Tbl_Members[Rank],Rank2),INDEX(Tbl_Members[Gamertag],SMALL(IF(Tbl_Members[Rank]=Rank2,ROW(Tbl_Members[Gamertag])-ROW('Manage Members'!$A$2)+1),ROWS($A$85:A114))),"")</f>
        <v/>
      </c>
      <c r="E114" s="141"/>
      <c r="F114" s="138" t="str">
        <f t="array" ref="F114">IF(ROWS($F$85:F114)&lt;=COUNTIFS(Tbl_Members[Squad],$G$1,Tbl_Members[Rank],Rank2),INDEX(Tbl_Members[Gamertag],SMALL(IF(Tbl_Members[Squad]=$G$1,IF(Tbl_Members[Rank]=Rank2,ROW(Tbl_Members[Gamertag])-ROW('Manage Members'!$A$2)+1)),ROWS($F$85:F114))),"")</f>
        <v/>
      </c>
    </row>
    <row r="115" spans="1:6" x14ac:dyDescent="0.25">
      <c r="A115" s="139" t="str">
        <f t="array" ref="A115">IF(ROWS($A$85:A115)&lt;=COUNTIF(Tbl_Members[Rank],Rank2),INDEX(Tbl_Members[Gamertag],SMALL(IF(Tbl_Members[Rank]=Rank2,ROW(Tbl_Members[Gamertag])-ROW('Manage Members'!$A$2)+1),ROWS($A$85:A115))),"")</f>
        <v/>
      </c>
      <c r="E115" s="141"/>
      <c r="F115" s="138" t="str">
        <f t="array" ref="F115">IF(ROWS($F$85:F115)&lt;=COUNTIFS(Tbl_Members[Squad],$G$1,Tbl_Members[Rank],Rank2),INDEX(Tbl_Members[Gamertag],SMALL(IF(Tbl_Members[Squad]=$G$1,IF(Tbl_Members[Rank]=Rank2,ROW(Tbl_Members[Gamertag])-ROW('Manage Members'!$A$2)+1)),ROWS($F$85:F115))),"")</f>
        <v/>
      </c>
    </row>
    <row r="116" spans="1:6" x14ac:dyDescent="0.25">
      <c r="A116" s="139" t="str">
        <f t="array" ref="A116">IF(ROWS($A$85:A116)&lt;=COUNTIF(Tbl_Members[Rank],Rank2),INDEX(Tbl_Members[Gamertag],SMALL(IF(Tbl_Members[Rank]=Rank2,ROW(Tbl_Members[Gamertag])-ROW('Manage Members'!$A$2)+1),ROWS($A$85:A116))),"")</f>
        <v/>
      </c>
      <c r="E116" s="141"/>
      <c r="F116" s="138" t="str">
        <f t="array" ref="F116">IF(ROWS($F$85:F116)&lt;=COUNTIFS(Tbl_Members[Squad],$G$1,Tbl_Members[Rank],Rank2),INDEX(Tbl_Members[Gamertag],SMALL(IF(Tbl_Members[Squad]=$G$1,IF(Tbl_Members[Rank]=Rank2,ROW(Tbl_Members[Gamertag])-ROW('Manage Members'!$A$2)+1)),ROWS($F$85:F116))),"")</f>
        <v/>
      </c>
    </row>
    <row r="117" spans="1:6" x14ac:dyDescent="0.25">
      <c r="A117" s="139" t="str">
        <f t="array" ref="A117">IF(ROWS($A$85:A117)&lt;=COUNTIF(Tbl_Members[Rank],Rank2),INDEX(Tbl_Members[Gamertag],SMALL(IF(Tbl_Members[Rank]=Rank2,ROW(Tbl_Members[Gamertag])-ROW('Manage Members'!$A$2)+1),ROWS($A$85:A117))),"")</f>
        <v/>
      </c>
      <c r="E117" s="141"/>
      <c r="F117" s="138" t="str">
        <f t="array" ref="F117">IF(ROWS($F$85:F117)&lt;=COUNTIFS(Tbl_Members[Squad],$G$1,Tbl_Members[Rank],Rank2),INDEX(Tbl_Members[Gamertag],SMALL(IF(Tbl_Members[Squad]=$G$1,IF(Tbl_Members[Rank]=Rank2,ROW(Tbl_Members[Gamertag])-ROW('Manage Members'!$A$2)+1)),ROWS($F$85:F117))),"")</f>
        <v/>
      </c>
    </row>
    <row r="118" spans="1:6" x14ac:dyDescent="0.25">
      <c r="A118" s="139" t="str">
        <f t="array" ref="A118">IF(ROWS($A$85:A118)&lt;=COUNTIF(Tbl_Members[Rank],Rank2),INDEX(Tbl_Members[Gamertag],SMALL(IF(Tbl_Members[Rank]=Rank2,ROW(Tbl_Members[Gamertag])-ROW('Manage Members'!$A$2)+1),ROWS($A$85:A118))),"")</f>
        <v/>
      </c>
      <c r="E118" s="141"/>
      <c r="F118" s="138" t="str">
        <f t="array" ref="F118">IF(ROWS($F$85:F118)&lt;=COUNTIFS(Tbl_Members[Squad],$G$1,Tbl_Members[Rank],Rank2),INDEX(Tbl_Members[Gamertag],SMALL(IF(Tbl_Members[Squad]=$G$1,IF(Tbl_Members[Rank]=Rank2,ROW(Tbl_Members[Gamertag])-ROW('Manage Members'!$A$2)+1)),ROWS($F$85:F118))),"")</f>
        <v/>
      </c>
    </row>
    <row r="119" spans="1:6" x14ac:dyDescent="0.25">
      <c r="A119" s="139" t="str">
        <f t="array" ref="A119">IF(ROWS($A$85:A119)&lt;=COUNTIF(Tbl_Members[Rank],Rank2),INDEX(Tbl_Members[Gamertag],SMALL(IF(Tbl_Members[Rank]=Rank2,ROW(Tbl_Members[Gamertag])-ROW('Manage Members'!$A$2)+1),ROWS($A$85:A119))),"")</f>
        <v/>
      </c>
      <c r="E119" s="141"/>
      <c r="F119" s="138" t="str">
        <f t="array" ref="F119">IF(ROWS($F$85:F119)&lt;=COUNTIFS(Tbl_Members[Squad],$G$1,Tbl_Members[Rank],Rank2),INDEX(Tbl_Members[Gamertag],SMALL(IF(Tbl_Members[Squad]=$G$1,IF(Tbl_Members[Rank]=Rank2,ROW(Tbl_Members[Gamertag])-ROW('Manage Members'!$A$2)+1)),ROWS($F$85:F119))),"")</f>
        <v/>
      </c>
    </row>
    <row r="120" spans="1:6" x14ac:dyDescent="0.25">
      <c r="A120" s="139" t="str">
        <f t="array" ref="A120">IF(ROWS($A$85:A120)&lt;=COUNTIF(Tbl_Members[Rank],Rank2),INDEX(Tbl_Members[Gamertag],SMALL(IF(Tbl_Members[Rank]=Rank2,ROW(Tbl_Members[Gamertag])-ROW('Manage Members'!$A$2)+1),ROWS($A$85:A120))),"")</f>
        <v/>
      </c>
      <c r="E120" s="141"/>
      <c r="F120" s="138" t="str">
        <f t="array" ref="F120">IF(ROWS($F$85:F120)&lt;=COUNTIFS(Tbl_Members[Squad],$G$1,Tbl_Members[Rank],Rank2),INDEX(Tbl_Members[Gamertag],SMALL(IF(Tbl_Members[Squad]=$G$1,IF(Tbl_Members[Rank]=Rank2,ROW(Tbl_Members[Gamertag])-ROW('Manage Members'!$A$2)+1)),ROWS($F$85:F120))),"")</f>
        <v/>
      </c>
    </row>
    <row r="121" spans="1:6" x14ac:dyDescent="0.25">
      <c r="A121" s="139" t="str">
        <f t="array" ref="A121">IF(ROWS($A$85:A121)&lt;=COUNTIF(Tbl_Members[Rank],Rank2),INDEX(Tbl_Members[Gamertag],SMALL(IF(Tbl_Members[Rank]=Rank2,ROW(Tbl_Members[Gamertag])-ROW('Manage Members'!$A$2)+1),ROWS($A$85:A121))),"")</f>
        <v/>
      </c>
      <c r="E121" s="141"/>
      <c r="F121" s="138" t="str">
        <f t="array" ref="F121">IF(ROWS($F$85:F121)&lt;=COUNTIFS(Tbl_Members[Squad],$G$1,Tbl_Members[Rank],Rank2),INDEX(Tbl_Members[Gamertag],SMALL(IF(Tbl_Members[Squad]=$G$1,IF(Tbl_Members[Rank]=Rank2,ROW(Tbl_Members[Gamertag])-ROW('Manage Members'!$A$2)+1)),ROWS($F$85:F121))),"")</f>
        <v/>
      </c>
    </row>
    <row r="122" spans="1:6" x14ac:dyDescent="0.25">
      <c r="A122" s="139" t="str">
        <f t="array" ref="A122">IF(ROWS($A$85:A122)&lt;=COUNTIF(Tbl_Members[Rank],Rank2),INDEX(Tbl_Members[Gamertag],SMALL(IF(Tbl_Members[Rank]=Rank2,ROW(Tbl_Members[Gamertag])-ROW('Manage Members'!$A$2)+1),ROWS($A$85:A122))),"")</f>
        <v/>
      </c>
      <c r="E122" s="141"/>
      <c r="F122" s="138" t="str">
        <f t="array" ref="F122">IF(ROWS($F$85:F122)&lt;=COUNTIFS(Tbl_Members[Squad],$G$1,Tbl_Members[Rank],Rank2),INDEX(Tbl_Members[Gamertag],SMALL(IF(Tbl_Members[Squad]=$G$1,IF(Tbl_Members[Rank]=Rank2,ROW(Tbl_Members[Gamertag])-ROW('Manage Members'!$A$2)+1)),ROWS($F$85:F122))),"")</f>
        <v/>
      </c>
    </row>
    <row r="123" spans="1:6" x14ac:dyDescent="0.25">
      <c r="A123" s="139" t="str">
        <f t="array" ref="A123">IF(ROWS($A$85:A123)&lt;=COUNTIF(Tbl_Members[Rank],Rank2),INDEX(Tbl_Members[Gamertag],SMALL(IF(Tbl_Members[Rank]=Rank2,ROW(Tbl_Members[Gamertag])-ROW('Manage Members'!$A$2)+1),ROWS($A$85:A123))),"")</f>
        <v/>
      </c>
      <c r="E123" s="141"/>
      <c r="F123" s="138" t="str">
        <f t="array" ref="F123">IF(ROWS($F$85:F123)&lt;=COUNTIFS(Tbl_Members[Squad],$G$1,Tbl_Members[Rank],Rank2),INDEX(Tbl_Members[Gamertag],SMALL(IF(Tbl_Members[Squad]=$G$1,IF(Tbl_Members[Rank]=Rank2,ROW(Tbl_Members[Gamertag])-ROW('Manage Members'!$A$2)+1)),ROWS($F$85:F123))),"")</f>
        <v/>
      </c>
    </row>
    <row r="124" spans="1:6" x14ac:dyDescent="0.25">
      <c r="A124" s="139" t="str">
        <f t="array" ref="A124">IF(ROWS($A$85:A124)&lt;=COUNTIF(Tbl_Members[Rank],Rank2),INDEX(Tbl_Members[Gamertag],SMALL(IF(Tbl_Members[Rank]=Rank2,ROW(Tbl_Members[Gamertag])-ROW('Manage Members'!$A$2)+1),ROWS($A$85:A124))),"")</f>
        <v/>
      </c>
      <c r="E124" s="141"/>
      <c r="F124" s="138" t="str">
        <f t="array" ref="F124">IF(ROWS($F$85:F124)&lt;=COUNTIFS(Tbl_Members[Squad],$G$1,Tbl_Members[Rank],Rank2),INDEX(Tbl_Members[Gamertag],SMALL(IF(Tbl_Members[Squad]=$G$1,IF(Tbl_Members[Rank]=Rank2,ROW(Tbl_Members[Gamertag])-ROW('Manage Members'!$A$2)+1)),ROWS($F$85:F124))),"")</f>
        <v/>
      </c>
    </row>
    <row r="125" spans="1:6" x14ac:dyDescent="0.25">
      <c r="A125" s="139" t="str">
        <f t="array" ref="A125">IF(ROWS($A$85:A125)&lt;=COUNTIF(Tbl_Members[Rank],Rank2),INDEX(Tbl_Members[Gamertag],SMALL(IF(Tbl_Members[Rank]=Rank2,ROW(Tbl_Members[Gamertag])-ROW('Manage Members'!$A$2)+1),ROWS($A$85:A125))),"")</f>
        <v/>
      </c>
      <c r="E125" s="141"/>
      <c r="F125" s="138" t="str">
        <f t="array" ref="F125">IF(ROWS($F$85:F125)&lt;=COUNTIFS(Tbl_Members[Squad],$G$1,Tbl_Members[Rank],Rank2),INDEX(Tbl_Members[Gamertag],SMALL(IF(Tbl_Members[Squad]=$G$1,IF(Tbl_Members[Rank]=Rank2,ROW(Tbl_Members[Gamertag])-ROW('Manage Members'!$A$2)+1)),ROWS($F$85:F125))),"")</f>
        <v/>
      </c>
    </row>
    <row r="126" spans="1:6" x14ac:dyDescent="0.25">
      <c r="A126" s="139" t="str">
        <f t="array" ref="A126">IF(ROWS($A$85:A126)&lt;=COUNTIF(Tbl_Members[Rank],Rank2),INDEX(Tbl_Members[Gamertag],SMALL(IF(Tbl_Members[Rank]=Rank2,ROW(Tbl_Members[Gamertag])-ROW('Manage Members'!$A$2)+1),ROWS($A$85:A126))),"")</f>
        <v/>
      </c>
      <c r="E126" s="141"/>
      <c r="F126" s="138" t="str">
        <f t="array" ref="F126">IF(ROWS($F$85:F126)&lt;=COUNTIFS(Tbl_Members[Squad],$G$1,Tbl_Members[Rank],Rank2),INDEX(Tbl_Members[Gamertag],SMALL(IF(Tbl_Members[Squad]=$G$1,IF(Tbl_Members[Rank]=Rank2,ROW(Tbl_Members[Gamertag])-ROW('Manage Members'!$A$2)+1)),ROWS($F$85:F126))),"")</f>
        <v/>
      </c>
    </row>
    <row r="127" spans="1:6" x14ac:dyDescent="0.25">
      <c r="A127" s="139" t="str">
        <f t="array" ref="A127">IF(ROWS($A$85:A127)&lt;=COUNTIF(Tbl_Members[Rank],Rank2),INDEX(Tbl_Members[Gamertag],SMALL(IF(Tbl_Members[Rank]=Rank2,ROW(Tbl_Members[Gamertag])-ROW('Manage Members'!$A$2)+1),ROWS($A$85:A127))),"")</f>
        <v/>
      </c>
      <c r="E127" s="141"/>
      <c r="F127" s="138" t="str">
        <f t="array" ref="F127">IF(ROWS($F$85:F127)&lt;=COUNTIFS(Tbl_Members[Squad],$G$1,Tbl_Members[Rank],Rank2),INDEX(Tbl_Members[Gamertag],SMALL(IF(Tbl_Members[Squad]=$G$1,IF(Tbl_Members[Rank]=Rank2,ROW(Tbl_Members[Gamertag])-ROW('Manage Members'!$A$2)+1)),ROWS($F$85:F127))),"")</f>
        <v/>
      </c>
    </row>
    <row r="128" spans="1:6" x14ac:dyDescent="0.25">
      <c r="A128" s="139" t="str">
        <f t="array" ref="A128">IF(ROWS($A$85:A128)&lt;=COUNTIF(Tbl_Members[Rank],Rank2),INDEX(Tbl_Members[Gamertag],SMALL(IF(Tbl_Members[Rank]=Rank2,ROW(Tbl_Members[Gamertag])-ROW('Manage Members'!$A$2)+1),ROWS($A$85:A128))),"")</f>
        <v/>
      </c>
      <c r="E128" s="141"/>
      <c r="F128" s="138" t="str">
        <f t="array" ref="F128">IF(ROWS($F$85:F128)&lt;=COUNTIFS(Tbl_Members[Squad],$G$1,Tbl_Members[Rank],Rank2),INDEX(Tbl_Members[Gamertag],SMALL(IF(Tbl_Members[Squad]=$G$1,IF(Tbl_Members[Rank]=Rank2,ROW(Tbl_Members[Gamertag])-ROW('Manage Members'!$A$2)+1)),ROWS($F$85:F128))),"")</f>
        <v/>
      </c>
    </row>
    <row r="129" spans="1:6" x14ac:dyDescent="0.25">
      <c r="A129" s="139" t="str">
        <f t="array" ref="A129">IF(ROWS($A$85:A129)&lt;=COUNTIF(Tbl_Members[Rank],Rank2),INDEX(Tbl_Members[Gamertag],SMALL(IF(Tbl_Members[Rank]=Rank2,ROW(Tbl_Members[Gamertag])-ROW('Manage Members'!$A$2)+1),ROWS($A$85:A129))),"")</f>
        <v/>
      </c>
      <c r="E129" s="141"/>
      <c r="F129" s="138" t="str">
        <f t="array" ref="F129">IF(ROWS($F$85:F129)&lt;=COUNTIFS(Tbl_Members[Squad],$G$1,Tbl_Members[Rank],Rank2),INDEX(Tbl_Members[Gamertag],SMALL(IF(Tbl_Members[Squad]=$G$1,IF(Tbl_Members[Rank]=Rank2,ROW(Tbl_Members[Gamertag])-ROW('Manage Members'!$A$2)+1)),ROWS($F$85:F129))),"")</f>
        <v/>
      </c>
    </row>
    <row r="130" spans="1:6" x14ac:dyDescent="0.25">
      <c r="A130" s="139" t="str">
        <f t="array" ref="A130">IF(ROWS($A$85:A130)&lt;=COUNTIF(Tbl_Members[Rank],Rank2),INDEX(Tbl_Members[Gamertag],SMALL(IF(Tbl_Members[Rank]=Rank2,ROW(Tbl_Members[Gamertag])-ROW('Manage Members'!$A$2)+1),ROWS($A$85:A130))),"")</f>
        <v/>
      </c>
      <c r="E130" s="141"/>
      <c r="F130" s="138" t="str">
        <f t="array" ref="F130">IF(ROWS($F$85:F130)&lt;=COUNTIFS(Tbl_Members[Squad],$G$1,Tbl_Members[Rank],Rank2),INDEX(Tbl_Members[Gamertag],SMALL(IF(Tbl_Members[Squad]=$G$1,IF(Tbl_Members[Rank]=Rank2,ROW(Tbl_Members[Gamertag])-ROW('Manage Members'!$A$2)+1)),ROWS($F$85:F130))),"")</f>
        <v/>
      </c>
    </row>
    <row r="131" spans="1:6" x14ac:dyDescent="0.25">
      <c r="A131" s="139" t="str">
        <f t="array" ref="A131">IF(ROWS($A$85:A131)&lt;=COUNTIF(Tbl_Members[Rank],Rank2),INDEX(Tbl_Members[Gamertag],SMALL(IF(Tbl_Members[Rank]=Rank2,ROW(Tbl_Members[Gamertag])-ROW('Manage Members'!$A$2)+1),ROWS($A$85:A131))),"")</f>
        <v/>
      </c>
      <c r="E131" s="141"/>
      <c r="F131" s="138" t="str">
        <f t="array" ref="F131">IF(ROWS($F$85:F131)&lt;=COUNTIFS(Tbl_Members[Squad],$G$1,Tbl_Members[Rank],Rank2),INDEX(Tbl_Members[Gamertag],SMALL(IF(Tbl_Members[Squad]=$G$1,IF(Tbl_Members[Rank]=Rank2,ROW(Tbl_Members[Gamertag])-ROW('Manage Members'!$A$2)+1)),ROWS($F$85:F131))),"")</f>
        <v/>
      </c>
    </row>
    <row r="132" spans="1:6" x14ac:dyDescent="0.25">
      <c r="A132" s="139" t="str">
        <f t="array" ref="A132">IF(ROWS($A$85:A132)&lt;=COUNTIF(Tbl_Members[Rank],Rank2),INDEX(Tbl_Members[Gamertag],SMALL(IF(Tbl_Members[Rank]=Rank2,ROW(Tbl_Members[Gamertag])-ROW('Manage Members'!$A$2)+1),ROWS($A$85:A132))),"")</f>
        <v/>
      </c>
      <c r="E132" s="141"/>
      <c r="F132" s="138" t="str">
        <f t="array" ref="F132">IF(ROWS($F$85:F132)&lt;=COUNTIFS(Tbl_Members[Squad],$G$1,Tbl_Members[Rank],Rank2),INDEX(Tbl_Members[Gamertag],SMALL(IF(Tbl_Members[Squad]=$G$1,IF(Tbl_Members[Rank]=Rank2,ROW(Tbl_Members[Gamertag])-ROW('Manage Members'!$A$2)+1)),ROWS($F$85:F132))),"")</f>
        <v/>
      </c>
    </row>
    <row r="133" spans="1:6" x14ac:dyDescent="0.25">
      <c r="A133" s="139" t="str">
        <f t="array" ref="A133">IF(ROWS($A$85:A133)&lt;=COUNTIF(Tbl_Members[Rank],Rank2),INDEX(Tbl_Members[Gamertag],SMALL(IF(Tbl_Members[Rank]=Rank2,ROW(Tbl_Members[Gamertag])-ROW('Manage Members'!$A$2)+1),ROWS($A$85:A133))),"")</f>
        <v/>
      </c>
      <c r="E133" s="141"/>
      <c r="F133" s="138" t="str">
        <f t="array" ref="F133">IF(ROWS($F$85:F133)&lt;=COUNTIFS(Tbl_Members[Squad],$G$1,Tbl_Members[Rank],Rank2),INDEX(Tbl_Members[Gamertag],SMALL(IF(Tbl_Members[Squad]=$G$1,IF(Tbl_Members[Rank]=Rank2,ROW(Tbl_Members[Gamertag])-ROW('Manage Members'!$A$2)+1)),ROWS($F$85:F133))),"")</f>
        <v/>
      </c>
    </row>
    <row r="134" spans="1:6" x14ac:dyDescent="0.25">
      <c r="A134" s="139" t="str">
        <f t="array" ref="A134">IF(ROWS($A$85:A134)&lt;=COUNTIF(Tbl_Members[Rank],Rank2),INDEX(Tbl_Members[Gamertag],SMALL(IF(Tbl_Members[Rank]=Rank2,ROW(Tbl_Members[Gamertag])-ROW('Manage Members'!$A$2)+1),ROWS($A$85:A134))),"")</f>
        <v/>
      </c>
      <c r="E134" s="141"/>
      <c r="F134" s="138" t="str">
        <f t="array" ref="F134">IF(ROWS($F$85:F134)&lt;=COUNTIFS(Tbl_Members[Squad],$G$1,Tbl_Members[Rank],Rank2),INDEX(Tbl_Members[Gamertag],SMALL(IF(Tbl_Members[Squad]=$G$1,IF(Tbl_Members[Rank]=Rank2,ROW(Tbl_Members[Gamertag])-ROW('Manage Members'!$A$2)+1)),ROWS($F$85:F134))),"")</f>
        <v/>
      </c>
    </row>
    <row r="135" spans="1:6" x14ac:dyDescent="0.25">
      <c r="A135" s="139" t="str">
        <f t="array" ref="A135">IF(ROWS($A$85:A135)&lt;=COUNTIF(Tbl_Members[Rank],Rank2),INDEX(Tbl_Members[Gamertag],SMALL(IF(Tbl_Members[Rank]=Rank2,ROW(Tbl_Members[Gamertag])-ROW('Manage Members'!$A$2)+1),ROWS($A$85:A135))),"")</f>
        <v/>
      </c>
      <c r="E135" s="141"/>
      <c r="F135" s="138" t="str">
        <f t="array" ref="F135">IF(ROWS($F$85:F135)&lt;=COUNTIFS(Tbl_Members[Squad],$G$1,Tbl_Members[Rank],Rank2),INDEX(Tbl_Members[Gamertag],SMALL(IF(Tbl_Members[Squad]=$G$1,IF(Tbl_Members[Rank]=Rank2,ROW(Tbl_Members[Gamertag])-ROW('Manage Members'!$A$2)+1)),ROWS($F$85:F135))),"")</f>
        <v/>
      </c>
    </row>
    <row r="136" spans="1:6" x14ac:dyDescent="0.25">
      <c r="A136" s="139" t="str">
        <f t="array" ref="A136">IF(ROWS($A$85:A136)&lt;=COUNTIF(Tbl_Members[Rank],Rank2),INDEX(Tbl_Members[Gamertag],SMALL(IF(Tbl_Members[Rank]=Rank2,ROW(Tbl_Members[Gamertag])-ROW('Manage Members'!$A$2)+1),ROWS($A$85:A136))),"")</f>
        <v/>
      </c>
      <c r="E136" s="141"/>
      <c r="F136" s="138" t="str">
        <f t="array" ref="F136">IF(ROWS($F$85:F136)&lt;=COUNTIFS(Tbl_Members[Squad],$G$1,Tbl_Members[Rank],Rank2),INDEX(Tbl_Members[Gamertag],SMALL(IF(Tbl_Members[Squad]=$G$1,IF(Tbl_Members[Rank]=Rank2,ROW(Tbl_Members[Gamertag])-ROW('Manage Members'!$A$2)+1)),ROWS($F$85:F136))),"")</f>
        <v/>
      </c>
    </row>
    <row r="137" spans="1:6" x14ac:dyDescent="0.25">
      <c r="A137" s="139" t="str">
        <f t="array" ref="A137">IF(ROWS($A$85:A137)&lt;=COUNTIF(Tbl_Members[Rank],Rank2),INDEX(Tbl_Members[Gamertag],SMALL(IF(Tbl_Members[Rank]=Rank2,ROW(Tbl_Members[Gamertag])-ROW('Manage Members'!$A$2)+1),ROWS($A$85:A137))),"")</f>
        <v/>
      </c>
      <c r="E137" s="141"/>
      <c r="F137" s="138" t="str">
        <f t="array" ref="F137">IF(ROWS($F$85:F137)&lt;=COUNTIFS(Tbl_Members[Squad],$G$1,Tbl_Members[Rank],Rank2),INDEX(Tbl_Members[Gamertag],SMALL(IF(Tbl_Members[Squad]=$G$1,IF(Tbl_Members[Rank]=Rank2,ROW(Tbl_Members[Gamertag])-ROW('Manage Members'!$A$2)+1)),ROWS($F$85:F137))),"")</f>
        <v/>
      </c>
    </row>
    <row r="138" spans="1:6" x14ac:dyDescent="0.25">
      <c r="A138" s="139" t="str">
        <f t="array" ref="A138">IF(ROWS($A$85:A138)&lt;=COUNTIF(Tbl_Members[Rank],Rank2),INDEX(Tbl_Members[Gamertag],SMALL(IF(Tbl_Members[Rank]=Rank2,ROW(Tbl_Members[Gamertag])-ROW('Manage Members'!$A$2)+1),ROWS($A$85:A138))),"")</f>
        <v/>
      </c>
      <c r="E138" s="141"/>
      <c r="F138" s="138" t="str">
        <f t="array" ref="F138">IF(ROWS($F$85:F138)&lt;=COUNTIFS(Tbl_Members[Squad],$G$1,Tbl_Members[Rank],Rank2),INDEX(Tbl_Members[Gamertag],SMALL(IF(Tbl_Members[Squad]=$G$1,IF(Tbl_Members[Rank]=Rank2,ROW(Tbl_Members[Gamertag])-ROW('Manage Members'!$A$2)+1)),ROWS($F$85:F138))),"")</f>
        <v/>
      </c>
    </row>
    <row r="139" spans="1:6" x14ac:dyDescent="0.25">
      <c r="A139" s="139" t="str">
        <f t="array" ref="A139">IF(ROWS($A$85:A139)&lt;=COUNTIF(Tbl_Members[Rank],Rank2),INDEX(Tbl_Members[Gamertag],SMALL(IF(Tbl_Members[Rank]=Rank2,ROW(Tbl_Members[Gamertag])-ROW('Manage Members'!$A$2)+1),ROWS($A$85:A139))),"")</f>
        <v/>
      </c>
      <c r="E139" s="141"/>
      <c r="F139" s="138" t="str">
        <f t="array" ref="F139">IF(ROWS($F$85:F139)&lt;=COUNTIFS(Tbl_Members[Squad],$G$1,Tbl_Members[Rank],Rank2),INDEX(Tbl_Members[Gamertag],SMALL(IF(Tbl_Members[Squad]=$G$1,IF(Tbl_Members[Rank]=Rank2,ROW(Tbl_Members[Gamertag])-ROW('Manage Members'!$A$2)+1)),ROWS($F$85:F139))),"")</f>
        <v/>
      </c>
    </row>
    <row r="140" spans="1:6" x14ac:dyDescent="0.25">
      <c r="A140" s="139" t="str">
        <f t="array" ref="A140">IF(ROWS($A$85:A140)&lt;=COUNTIF(Tbl_Members[Rank],Rank2),INDEX(Tbl_Members[Gamertag],SMALL(IF(Tbl_Members[Rank]=Rank2,ROW(Tbl_Members[Gamertag])-ROW('Manage Members'!$A$2)+1),ROWS($A$85:A140))),"")</f>
        <v/>
      </c>
      <c r="E140" s="141"/>
      <c r="F140" s="138" t="str">
        <f t="array" ref="F140">IF(ROWS($F$85:F140)&lt;=COUNTIFS(Tbl_Members[Squad],$G$1,Tbl_Members[Rank],Rank2),INDEX(Tbl_Members[Gamertag],SMALL(IF(Tbl_Members[Squad]=$G$1,IF(Tbl_Members[Rank]=Rank2,ROW(Tbl_Members[Gamertag])-ROW('Manage Members'!$A$2)+1)),ROWS($F$85:F140))),"")</f>
        <v/>
      </c>
    </row>
    <row r="141" spans="1:6" x14ac:dyDescent="0.25">
      <c r="A141" s="139" t="str">
        <f t="array" ref="A141">IF(ROWS($A$85:A141)&lt;=COUNTIF(Tbl_Members[Rank],Rank2),INDEX(Tbl_Members[Gamertag],SMALL(IF(Tbl_Members[Rank]=Rank2,ROW(Tbl_Members[Gamertag])-ROW('Manage Members'!$A$2)+1),ROWS($A$85:A141))),"")</f>
        <v/>
      </c>
      <c r="E141" s="141"/>
      <c r="F141" s="138" t="str">
        <f t="array" ref="F141">IF(ROWS($F$85:F141)&lt;=COUNTIFS(Tbl_Members[Squad],$G$1,Tbl_Members[Rank],Rank2),INDEX(Tbl_Members[Gamertag],SMALL(IF(Tbl_Members[Squad]=$G$1,IF(Tbl_Members[Rank]=Rank2,ROW(Tbl_Members[Gamertag])-ROW('Manage Members'!$A$2)+1)),ROWS($F$85:F141))),"")</f>
        <v/>
      </c>
    </row>
    <row r="142" spans="1:6" x14ac:dyDescent="0.25">
      <c r="A142" s="139" t="str">
        <f t="array" ref="A142">IF(ROWS($A$85:A142)&lt;=COUNTIF(Tbl_Members[Rank],Rank2),INDEX(Tbl_Members[Gamertag],SMALL(IF(Tbl_Members[Rank]=Rank2,ROW(Tbl_Members[Gamertag])-ROW('Manage Members'!$A$2)+1),ROWS($A$85:A142))),"")</f>
        <v/>
      </c>
      <c r="E142" s="141"/>
      <c r="F142" s="138" t="str">
        <f t="array" ref="F142">IF(ROWS($F$85:F142)&lt;=COUNTIFS(Tbl_Members[Squad],$G$1,Tbl_Members[Rank],Rank2),INDEX(Tbl_Members[Gamertag],SMALL(IF(Tbl_Members[Squad]=$G$1,IF(Tbl_Members[Rank]=Rank2,ROW(Tbl_Members[Gamertag])-ROW('Manage Members'!$A$2)+1)),ROWS($F$85:F142))),"")</f>
        <v/>
      </c>
    </row>
    <row r="143" spans="1:6" x14ac:dyDescent="0.25">
      <c r="A143" s="139" t="str">
        <f t="array" ref="A143">IF(ROWS($A$85:A143)&lt;=COUNTIF(Tbl_Members[Rank],Rank2),INDEX(Tbl_Members[Gamertag],SMALL(IF(Tbl_Members[Rank]=Rank2,ROW(Tbl_Members[Gamertag])-ROW('Manage Members'!$A$2)+1),ROWS($A$85:A143))),"")</f>
        <v/>
      </c>
      <c r="E143" s="141"/>
      <c r="F143" s="138" t="str">
        <f t="array" ref="F143">IF(ROWS($F$85:F143)&lt;=COUNTIFS(Tbl_Members[Squad],$G$1,Tbl_Members[Rank],Rank2),INDEX(Tbl_Members[Gamertag],SMALL(IF(Tbl_Members[Squad]=$G$1,IF(Tbl_Members[Rank]=Rank2,ROW(Tbl_Members[Gamertag])-ROW('Manage Members'!$A$2)+1)),ROWS($F$85:F143))),"")</f>
        <v/>
      </c>
    </row>
    <row r="144" spans="1:6" x14ac:dyDescent="0.25">
      <c r="A144" s="139" t="str">
        <f t="array" ref="A144">IF(ROWS($A$85:A144)&lt;=COUNTIF(Tbl_Members[Rank],Rank2),INDEX(Tbl_Members[Gamertag],SMALL(IF(Tbl_Members[Rank]=Rank2,ROW(Tbl_Members[Gamertag])-ROW('Manage Members'!$A$2)+1),ROWS($A$85:A144))),"")</f>
        <v/>
      </c>
      <c r="E144" s="141"/>
      <c r="F144" s="138" t="str">
        <f t="array" ref="F144">IF(ROWS($F$85:F144)&lt;=COUNTIFS(Tbl_Members[Squad],$G$1,Tbl_Members[Rank],Rank2),INDEX(Tbl_Members[Gamertag],SMALL(IF(Tbl_Members[Squad]=$G$1,IF(Tbl_Members[Rank]=Rank2,ROW(Tbl_Members[Gamertag])-ROW('Manage Members'!$A$2)+1)),ROWS($F$85:F144))),"")</f>
        <v/>
      </c>
    </row>
    <row r="145" spans="1:6" x14ac:dyDescent="0.25">
      <c r="A145" s="139" t="str">
        <f t="array" ref="A145">IF(ROWS($A$85:A145)&lt;=COUNTIF(Tbl_Members[Rank],Rank2),INDEX(Tbl_Members[Gamertag],SMALL(IF(Tbl_Members[Rank]=Rank2,ROW(Tbl_Members[Gamertag])-ROW('Manage Members'!$A$2)+1),ROWS($A$85:A145))),"")</f>
        <v/>
      </c>
      <c r="E145" s="141"/>
      <c r="F145" s="138" t="str">
        <f t="array" ref="F145">IF(ROWS($F$85:F145)&lt;=COUNTIFS(Tbl_Members[Squad],$G$1,Tbl_Members[Rank],Rank2),INDEX(Tbl_Members[Gamertag],SMALL(IF(Tbl_Members[Squad]=$G$1,IF(Tbl_Members[Rank]=Rank2,ROW(Tbl_Members[Gamertag])-ROW('Manage Members'!$A$2)+1)),ROWS($F$85:F145))),"")</f>
        <v/>
      </c>
    </row>
    <row r="146" spans="1:6" x14ac:dyDescent="0.25">
      <c r="A146" s="139" t="str">
        <f t="array" ref="A146">IF(ROWS($A$85:A146)&lt;=COUNTIF(Tbl_Members[Rank],Rank2),INDEX(Tbl_Members[Gamertag],SMALL(IF(Tbl_Members[Rank]=Rank2,ROW(Tbl_Members[Gamertag])-ROW('Manage Members'!$A$2)+1),ROWS($A$85:A146))),"")</f>
        <v/>
      </c>
      <c r="E146" s="141"/>
      <c r="F146" s="138" t="str">
        <f t="array" ref="F146">IF(ROWS($F$85:F146)&lt;=COUNTIFS(Tbl_Members[Squad],$G$1,Tbl_Members[Rank],Rank2),INDEX(Tbl_Members[Gamertag],SMALL(IF(Tbl_Members[Squad]=$G$1,IF(Tbl_Members[Rank]=Rank2,ROW(Tbl_Members[Gamertag])-ROW('Manage Members'!$A$2)+1)),ROWS($F$85:F146))),"")</f>
        <v/>
      </c>
    </row>
    <row r="147" spans="1:6" x14ac:dyDescent="0.25">
      <c r="A147" s="139" t="str">
        <f t="array" ref="A147">IF(ROWS($A$85:A147)&lt;=COUNTIF(Tbl_Members[Rank],Rank2),INDEX(Tbl_Members[Gamertag],SMALL(IF(Tbl_Members[Rank]=Rank2,ROW(Tbl_Members[Gamertag])-ROW('Manage Members'!$A$2)+1),ROWS($A$85:A147))),"")</f>
        <v/>
      </c>
      <c r="E147" s="141"/>
      <c r="F147" s="138" t="str">
        <f t="array" ref="F147">IF(ROWS($F$85:F147)&lt;=COUNTIFS(Tbl_Members[Squad],$G$1,Tbl_Members[Rank],Rank2),INDEX(Tbl_Members[Gamertag],SMALL(IF(Tbl_Members[Squad]=$G$1,IF(Tbl_Members[Rank]=Rank2,ROW(Tbl_Members[Gamertag])-ROW('Manage Members'!$A$2)+1)),ROWS($F$85:F147))),"")</f>
        <v/>
      </c>
    </row>
    <row r="148" spans="1:6" x14ac:dyDescent="0.25">
      <c r="A148" s="139" t="str">
        <f t="array" ref="A148">IF(ROWS($A$85:A148)&lt;=COUNTIF(Tbl_Members[Rank],Rank2),INDEX(Tbl_Members[Gamertag],SMALL(IF(Tbl_Members[Rank]=Rank2,ROW(Tbl_Members[Gamertag])-ROW('Manage Members'!$A$2)+1),ROWS($A$85:A148))),"")</f>
        <v/>
      </c>
      <c r="E148" s="141"/>
      <c r="F148" s="138" t="str">
        <f t="array" ref="F148">IF(ROWS($F$85:F148)&lt;=COUNTIFS(Tbl_Members[Squad],$G$1,Tbl_Members[Rank],Rank2),INDEX(Tbl_Members[Gamertag],SMALL(IF(Tbl_Members[Squad]=$G$1,IF(Tbl_Members[Rank]=Rank2,ROW(Tbl_Members[Gamertag])-ROW('Manage Members'!$A$2)+1)),ROWS($F$85:F148))),"")</f>
        <v/>
      </c>
    </row>
    <row r="149" spans="1:6" x14ac:dyDescent="0.25">
      <c r="A149" s="139" t="str">
        <f t="array" ref="A149">IF(ROWS($A$85:A149)&lt;=COUNTIF(Tbl_Members[Rank],Rank2),INDEX(Tbl_Members[Gamertag],SMALL(IF(Tbl_Members[Rank]=Rank2,ROW(Tbl_Members[Gamertag])-ROW('Manage Members'!$A$2)+1),ROWS($A$85:A149))),"")</f>
        <v/>
      </c>
      <c r="E149" s="141"/>
      <c r="F149" s="138" t="str">
        <f t="array" ref="F149">IF(ROWS($F$85:F149)&lt;=COUNTIFS(Tbl_Members[Squad],$G$1,Tbl_Members[Rank],Rank2),INDEX(Tbl_Members[Gamertag],SMALL(IF(Tbl_Members[Squad]=$G$1,IF(Tbl_Members[Rank]=Rank2,ROW(Tbl_Members[Gamertag])-ROW('Manage Members'!$A$2)+1)),ROWS($F$85:F149))),"")</f>
        <v/>
      </c>
    </row>
    <row r="150" spans="1:6" x14ac:dyDescent="0.25">
      <c r="A150" s="139" t="str">
        <f t="array" ref="A150">IF(ROWS($A$85:A150)&lt;=COUNTIF(Tbl_Members[Rank],Rank2),INDEX(Tbl_Members[Gamertag],SMALL(IF(Tbl_Members[Rank]=Rank2,ROW(Tbl_Members[Gamertag])-ROW('Manage Members'!$A$2)+1),ROWS($A$85:A150))),"")</f>
        <v/>
      </c>
      <c r="E150" s="141"/>
      <c r="F150" s="138" t="str">
        <f t="array" ref="F150">IF(ROWS($F$85:F150)&lt;=COUNTIFS(Tbl_Members[Squad],$G$1,Tbl_Members[Rank],Rank2),INDEX(Tbl_Members[Gamertag],SMALL(IF(Tbl_Members[Squad]=$G$1,IF(Tbl_Members[Rank]=Rank2,ROW(Tbl_Members[Gamertag])-ROW('Manage Members'!$A$2)+1)),ROWS($F$85:F150))),"")</f>
        <v/>
      </c>
    </row>
    <row r="151" spans="1:6" x14ac:dyDescent="0.25">
      <c r="A151" s="139" t="str">
        <f t="array" ref="A151">IF(ROWS($A$85:A151)&lt;=COUNTIF(Tbl_Members[Rank],Rank2),INDEX(Tbl_Members[Gamertag],SMALL(IF(Tbl_Members[Rank]=Rank2,ROW(Tbl_Members[Gamertag])-ROW('Manage Members'!$A$2)+1),ROWS($A$85:A151))),"")</f>
        <v/>
      </c>
      <c r="E151" s="141"/>
      <c r="F151" s="138" t="str">
        <f t="array" ref="F151">IF(ROWS($F$85:F151)&lt;=COUNTIFS(Tbl_Members[Squad],$G$1,Tbl_Members[Rank],Rank2),INDEX(Tbl_Members[Gamertag],SMALL(IF(Tbl_Members[Squad]=$G$1,IF(Tbl_Members[Rank]=Rank2,ROW(Tbl_Members[Gamertag])-ROW('Manage Members'!$A$2)+1)),ROWS($F$85:F151))),"")</f>
        <v/>
      </c>
    </row>
    <row r="152" spans="1:6" x14ac:dyDescent="0.25">
      <c r="A152" s="139" t="str">
        <f t="array" ref="A152">IF(ROWS($A$85:A152)&lt;=COUNTIF(Tbl_Members[Rank],Rank2),INDEX(Tbl_Members[Gamertag],SMALL(IF(Tbl_Members[Rank]=Rank2,ROW(Tbl_Members[Gamertag])-ROW('Manage Members'!$A$2)+1),ROWS($A$85:A152))),"")</f>
        <v/>
      </c>
      <c r="E152" s="141"/>
      <c r="F152" s="138" t="str">
        <f t="array" ref="F152">IF(ROWS($F$85:F152)&lt;=COUNTIFS(Tbl_Members[Squad],$G$1,Tbl_Members[Rank],Rank2),INDEX(Tbl_Members[Gamertag],SMALL(IF(Tbl_Members[Squad]=$G$1,IF(Tbl_Members[Rank]=Rank2,ROW(Tbl_Members[Gamertag])-ROW('Manage Members'!$A$2)+1)),ROWS($F$85:F152))),"")</f>
        <v/>
      </c>
    </row>
    <row r="153" spans="1:6" x14ac:dyDescent="0.25">
      <c r="A153" s="139" t="str">
        <f t="array" ref="A153">IF(ROWS($A$85:A153)&lt;=COUNTIF(Tbl_Members[Rank],Rank2),INDEX(Tbl_Members[Gamertag],SMALL(IF(Tbl_Members[Rank]=Rank2,ROW(Tbl_Members[Gamertag])-ROW('Manage Members'!$A$2)+1),ROWS($A$85:A153))),"")</f>
        <v/>
      </c>
      <c r="E153" s="141"/>
      <c r="F153" s="138" t="str">
        <f t="array" ref="F153">IF(ROWS($F$85:F153)&lt;=COUNTIFS(Tbl_Members[Squad],$G$1,Tbl_Members[Rank],Rank2),INDEX(Tbl_Members[Gamertag],SMALL(IF(Tbl_Members[Squad]=$G$1,IF(Tbl_Members[Rank]=Rank2,ROW(Tbl_Members[Gamertag])-ROW('Manage Members'!$A$2)+1)),ROWS($F$85:F153))),"")</f>
        <v/>
      </c>
    </row>
    <row r="154" spans="1:6" x14ac:dyDescent="0.25">
      <c r="A154" s="139" t="str">
        <f t="array" ref="A154">IF(ROWS($A$85:A154)&lt;=COUNTIF(Tbl_Members[Rank],Rank2),INDEX(Tbl_Members[Gamertag],SMALL(IF(Tbl_Members[Rank]=Rank2,ROW(Tbl_Members[Gamertag])-ROW('Manage Members'!$A$2)+1),ROWS($A$85:A154))),"")</f>
        <v/>
      </c>
      <c r="E154" s="141"/>
      <c r="F154" s="138" t="str">
        <f t="array" ref="F154">IF(ROWS($F$85:F154)&lt;=COUNTIFS(Tbl_Members[Squad],$G$1,Tbl_Members[Rank],Rank2),INDEX(Tbl_Members[Gamertag],SMALL(IF(Tbl_Members[Squad]=$G$1,IF(Tbl_Members[Rank]=Rank2,ROW(Tbl_Members[Gamertag])-ROW('Manage Members'!$A$2)+1)),ROWS($F$85:F154))),"")</f>
        <v/>
      </c>
    </row>
    <row r="155" spans="1:6" x14ac:dyDescent="0.25">
      <c r="A155" s="139" t="str">
        <f t="array" ref="A155">IF(ROWS($A$85:A155)&lt;=COUNTIF(Tbl_Members[Rank],Rank2),INDEX(Tbl_Members[Gamertag],SMALL(IF(Tbl_Members[Rank]=Rank2,ROW(Tbl_Members[Gamertag])-ROW('Manage Members'!$A$2)+1),ROWS($A$85:A155))),"")</f>
        <v/>
      </c>
      <c r="E155" s="141"/>
      <c r="F155" s="138" t="str">
        <f t="array" ref="F155">IF(ROWS($F$85:F155)&lt;=COUNTIFS(Tbl_Members[Squad],$G$1,Tbl_Members[Rank],Rank2),INDEX(Tbl_Members[Gamertag],SMALL(IF(Tbl_Members[Squad]=$G$1,IF(Tbl_Members[Rank]=Rank2,ROW(Tbl_Members[Gamertag])-ROW('Manage Members'!$A$2)+1)),ROWS($F$85:F155))),"")</f>
        <v/>
      </c>
    </row>
    <row r="156" spans="1:6" x14ac:dyDescent="0.25">
      <c r="A156" s="139" t="str">
        <f t="array" ref="A156">IF(ROWS($A$85:A156)&lt;=COUNTIF(Tbl_Members[Rank],Rank2),INDEX(Tbl_Members[Gamertag],SMALL(IF(Tbl_Members[Rank]=Rank2,ROW(Tbl_Members[Gamertag])-ROW('Manage Members'!$A$2)+1),ROWS($A$85:A156))),"")</f>
        <v/>
      </c>
      <c r="E156" s="141"/>
      <c r="F156" s="138" t="str">
        <f t="array" ref="F156">IF(ROWS($F$85:F156)&lt;=COUNTIFS(Tbl_Members[Squad],$G$1,Tbl_Members[Rank],Rank2),INDEX(Tbl_Members[Gamertag],SMALL(IF(Tbl_Members[Squad]=$G$1,IF(Tbl_Members[Rank]=Rank2,ROW(Tbl_Members[Gamertag])-ROW('Manage Members'!$A$2)+1)),ROWS($F$85:F156))),"")</f>
        <v/>
      </c>
    </row>
    <row r="157" spans="1:6" x14ac:dyDescent="0.25">
      <c r="A157" s="139" t="str">
        <f t="array" ref="A157">IF(ROWS($A$85:A157)&lt;=COUNTIF(Tbl_Members[Rank],Rank2),INDEX(Tbl_Members[Gamertag],SMALL(IF(Tbl_Members[Rank]=Rank2,ROW(Tbl_Members[Gamertag])-ROW('Manage Members'!$A$2)+1),ROWS($A$85:A157))),"")</f>
        <v/>
      </c>
      <c r="E157" s="141"/>
      <c r="F157" s="138" t="str">
        <f t="array" ref="F157">IF(ROWS($F$85:F157)&lt;=COUNTIFS(Tbl_Members[Squad],$G$1,Tbl_Members[Rank],Rank2),INDEX(Tbl_Members[Gamertag],SMALL(IF(Tbl_Members[Squad]=$G$1,IF(Tbl_Members[Rank]=Rank2,ROW(Tbl_Members[Gamertag])-ROW('Manage Members'!$A$2)+1)),ROWS($F$85:F157))),"")</f>
        <v/>
      </c>
    </row>
    <row r="158" spans="1:6" x14ac:dyDescent="0.25">
      <c r="A158" s="139" t="str">
        <f t="array" ref="A158">IF(ROWS($A$85:A158)&lt;=COUNTIF(Tbl_Members[Rank],Rank2),INDEX(Tbl_Members[Gamertag],SMALL(IF(Tbl_Members[Rank]=Rank2,ROW(Tbl_Members[Gamertag])-ROW('Manage Members'!$A$2)+1),ROWS($A$85:A158))),"")</f>
        <v/>
      </c>
      <c r="E158" s="141"/>
      <c r="F158" s="138" t="str">
        <f t="array" ref="F158">IF(ROWS($F$85:F158)&lt;=COUNTIFS(Tbl_Members[Squad],$G$1,Tbl_Members[Rank],Rank2),INDEX(Tbl_Members[Gamertag],SMALL(IF(Tbl_Members[Squad]=$G$1,IF(Tbl_Members[Rank]=Rank2,ROW(Tbl_Members[Gamertag])-ROW('Manage Members'!$A$2)+1)),ROWS($F$85:F158))),"")</f>
        <v/>
      </c>
    </row>
    <row r="159" spans="1:6" x14ac:dyDescent="0.25">
      <c r="A159" s="139" t="str">
        <f t="array" ref="A159">IF(ROWS($A$85:A159)&lt;=COUNTIF(Tbl_Members[Rank],Rank2),INDEX(Tbl_Members[Gamertag],SMALL(IF(Tbl_Members[Rank]=Rank2,ROW(Tbl_Members[Gamertag])-ROW('Manage Members'!$A$2)+1),ROWS($A$85:A159))),"")</f>
        <v/>
      </c>
      <c r="E159" s="141"/>
      <c r="F159" s="138" t="str">
        <f t="array" ref="F159">IF(ROWS($F$85:F159)&lt;=COUNTIFS(Tbl_Members[Squad],$G$1,Tbl_Members[Rank],Rank2),INDEX(Tbl_Members[Gamertag],SMALL(IF(Tbl_Members[Squad]=$G$1,IF(Tbl_Members[Rank]=Rank2,ROW(Tbl_Members[Gamertag])-ROW('Manage Members'!$A$2)+1)),ROWS($F$85:F159))),"")</f>
        <v/>
      </c>
    </row>
    <row r="160" spans="1:6" x14ac:dyDescent="0.25">
      <c r="E160" s="141"/>
    </row>
    <row r="161" spans="1:6" x14ac:dyDescent="0.25">
      <c r="A161" s="34" t="str">
        <f>CONCATENATE("[b][u][color=blue]DoG1 Recruits  - ",COUNTIF(Tbl_Members[Rank],Rank1),"[/color][/u][/b]")</f>
        <v>[b][u][color=blue]DoG1 Recruits  - 0[/color][/u][/b]</v>
      </c>
      <c r="E161" s="141"/>
      <c r="F161" s="144" t="str">
        <f>CONCATENATE("[b][u][color=blue]DoG1 Recruits  - ",COUNTIFS(Tbl_Members[Squad],$G$1,Tbl_Members[Rank],Rank1),"[/color][/u][/b]")</f>
        <v>[b][u][color=blue]DoG1 Recruits  - 0[/color][/u][/b]</v>
      </c>
    </row>
    <row r="162" spans="1:6" x14ac:dyDescent="0.25">
      <c r="E162" s="141"/>
    </row>
    <row r="163" spans="1:6" x14ac:dyDescent="0.25">
      <c r="A163" s="139" t="str">
        <f t="array" ref="A163">IF(ROWS($A$163:A163)&lt;=COUNTIF(Tbl_Members[Rank],Rank1),INDEX(Tbl_Members[Gamertag],SMALL(IF(Tbl_Members[Rank]=Rank1,ROW(Tbl_Members[Gamertag])-ROW('Manage Members'!$A$2)+1),ROWS($A$163:A163))),"")</f>
        <v/>
      </c>
      <c r="B163" s="34" t="s">
        <v>63</v>
      </c>
      <c r="E163" s="141"/>
      <c r="F163" s="138" t="str">
        <f t="array" ref="F163">IF(ROWS($F$163:F163)&lt;=COUNTIFS(Tbl_Members[Squad],$G$1,Tbl_Members[Rank],Rank1),INDEX(Tbl_Members[Gamertag],SMALL(IF(Tbl_Members[Squad]=$G$1,IF(Tbl_Members[Rank]=Rank1,ROW(Tbl_Members[Gamertag])-ROW('Manage Members'!$A$2)+1)),ROWS($F$163:F163))),"")</f>
        <v/>
      </c>
    </row>
    <row r="164" spans="1:6" x14ac:dyDescent="0.25">
      <c r="A164" s="139" t="str">
        <f t="array" ref="A164">IF(ROWS($A$163:A164)&lt;=COUNTIF(Tbl_Members[Rank],Rank1),INDEX(Tbl_Members[Gamertag],SMALL(IF(Tbl_Members[Rank]=Rank1,ROW(Tbl_Members[Gamertag])-ROW('Manage Members'!$A$2)+1),ROWS($A$163:A164))),"")</f>
        <v/>
      </c>
      <c r="E164" s="141"/>
      <c r="F164" s="138" t="str">
        <f t="array" ref="F164">IF(ROWS($F$163:F164)&lt;=COUNTIFS(Tbl_Members[Squad],$G$1,Tbl_Members[Rank],Rank1),INDEX(Tbl_Members[Gamertag],SMALL(IF(Tbl_Members[Squad]=$G$1,IF(Tbl_Members[Rank]=Rank1,ROW(Tbl_Members[Gamertag])-ROW('Manage Members'!$A$2)+1)),ROWS($F$163:F164))),"")</f>
        <v/>
      </c>
    </row>
    <row r="165" spans="1:6" x14ac:dyDescent="0.25">
      <c r="A165" s="139" t="str">
        <f t="array" ref="A165">IF(ROWS($A$163:A165)&lt;=COUNTIF(Tbl_Members[Rank],Rank1),INDEX(Tbl_Members[Gamertag],SMALL(IF(Tbl_Members[Rank]=Rank1,ROW(Tbl_Members[Gamertag])-ROW('Manage Members'!$A$2)+1),ROWS($A$163:A165))),"")</f>
        <v/>
      </c>
      <c r="E165" s="141"/>
      <c r="F165" s="138" t="str">
        <f t="array" ref="F165">IF(ROWS($F$163:F165)&lt;=COUNTIFS(Tbl_Members[Squad],$G$1,Tbl_Members[Rank],Rank1),INDEX(Tbl_Members[Gamertag],SMALL(IF(Tbl_Members[Squad]=$G$1,IF(Tbl_Members[Rank]=Rank1,ROW(Tbl_Members[Gamertag])-ROW('Manage Members'!$A$2)+1)),ROWS($F$163:F165))),"")</f>
        <v/>
      </c>
    </row>
    <row r="166" spans="1:6" x14ac:dyDescent="0.25">
      <c r="A166" s="139" t="str">
        <f t="array" ref="A166">IF(ROWS($A$163:A166)&lt;=COUNTIF(Tbl_Members[Rank],Rank1),INDEX(Tbl_Members[Gamertag],SMALL(IF(Tbl_Members[Rank]=Rank1,ROW(Tbl_Members[Gamertag])-ROW('Manage Members'!$A$2)+1),ROWS($A$163:A166))),"")</f>
        <v/>
      </c>
      <c r="E166" s="141"/>
      <c r="F166" s="138" t="str">
        <f t="array" ref="F166">IF(ROWS($F$163:F166)&lt;=COUNTIFS(Tbl_Members[Squad],$G$1,Tbl_Members[Rank],Rank1),INDEX(Tbl_Members[Gamertag],SMALL(IF(Tbl_Members[Squad]=$G$1,IF(Tbl_Members[Rank]=Rank1,ROW(Tbl_Members[Gamertag])-ROW('Manage Members'!$A$2)+1)),ROWS($F$163:F166))),"")</f>
        <v/>
      </c>
    </row>
    <row r="167" spans="1:6" x14ac:dyDescent="0.25">
      <c r="A167" s="139" t="str">
        <f t="array" ref="A167">IF(ROWS($A$163:A167)&lt;=COUNTIF(Tbl_Members[Rank],Rank1),INDEX(Tbl_Members[Gamertag],SMALL(IF(Tbl_Members[Rank]=Rank1,ROW(Tbl_Members[Gamertag])-ROW('Manage Members'!$A$2)+1),ROWS($A$163:A167))),"")</f>
        <v/>
      </c>
      <c r="E167" s="141"/>
      <c r="F167" s="138" t="str">
        <f t="array" ref="F167">IF(ROWS($F$163:F167)&lt;=COUNTIFS(Tbl_Members[Squad],$G$1,Tbl_Members[Rank],Rank1),INDEX(Tbl_Members[Gamertag],SMALL(IF(Tbl_Members[Squad]=$G$1,IF(Tbl_Members[Rank]=Rank1,ROW(Tbl_Members[Gamertag])-ROW('Manage Members'!$A$2)+1)),ROWS($F$163:F167))),"")</f>
        <v/>
      </c>
    </row>
    <row r="168" spans="1:6" x14ac:dyDescent="0.25">
      <c r="A168" s="139" t="str">
        <f t="array" ref="A168">IF(ROWS($A$163:A168)&lt;=COUNTIF(Tbl_Members[Rank],Rank1),INDEX(Tbl_Members[Gamertag],SMALL(IF(Tbl_Members[Rank]=Rank1,ROW(Tbl_Members[Gamertag])-ROW('Manage Members'!$A$2)+1),ROWS($A$163:A168))),"")</f>
        <v/>
      </c>
      <c r="E168" s="141"/>
      <c r="F168" s="138" t="str">
        <f t="array" ref="F168">IF(ROWS($F$163:F168)&lt;=COUNTIFS(Tbl_Members[Squad],$G$1,Tbl_Members[Rank],Rank1),INDEX(Tbl_Members[Gamertag],SMALL(IF(Tbl_Members[Squad]=$G$1,IF(Tbl_Members[Rank]=Rank1,ROW(Tbl_Members[Gamertag])-ROW('Manage Members'!$A$2)+1)),ROWS($F$163:F168))),"")</f>
        <v/>
      </c>
    </row>
    <row r="169" spans="1:6" x14ac:dyDescent="0.25">
      <c r="A169" s="139" t="str">
        <f t="array" ref="A169">IF(ROWS($A$163:A169)&lt;=COUNTIF(Tbl_Members[Rank],Rank1),INDEX(Tbl_Members[Gamertag],SMALL(IF(Tbl_Members[Rank]=Rank1,ROW(Tbl_Members[Gamertag])-ROW('Manage Members'!$A$2)+1),ROWS($A$163:A169))),"")</f>
        <v/>
      </c>
      <c r="E169" s="141"/>
      <c r="F169" s="138" t="str">
        <f t="array" ref="F169">IF(ROWS($F$163:F169)&lt;=COUNTIFS(Tbl_Members[Squad],$G$1,Tbl_Members[Rank],Rank1),INDEX(Tbl_Members[Gamertag],SMALL(IF(Tbl_Members[Squad]=$G$1,IF(Tbl_Members[Rank]=Rank1,ROW(Tbl_Members[Gamertag])-ROW('Manage Members'!$A$2)+1)),ROWS($F$163:F169))),"")</f>
        <v/>
      </c>
    </row>
    <row r="170" spans="1:6" x14ac:dyDescent="0.25">
      <c r="A170" s="139" t="str">
        <f t="array" ref="A170">IF(ROWS($A$163:A170)&lt;=COUNTIF(Tbl_Members[Rank],Rank1),INDEX(Tbl_Members[Gamertag],SMALL(IF(Tbl_Members[Rank]=Rank1,ROW(Tbl_Members[Gamertag])-ROW('Manage Members'!$A$2)+1),ROWS($A$163:A170))),"")</f>
        <v/>
      </c>
      <c r="E170" s="141"/>
      <c r="F170" s="138" t="str">
        <f t="array" ref="F170">IF(ROWS($F$163:F170)&lt;=COUNTIFS(Tbl_Members[Squad],$G$1,Tbl_Members[Rank],Rank1),INDEX(Tbl_Members[Gamertag],SMALL(IF(Tbl_Members[Squad]=$G$1,IF(Tbl_Members[Rank]=Rank1,ROW(Tbl_Members[Gamertag])-ROW('Manage Members'!$A$2)+1)),ROWS($F$163:F170))),"")</f>
        <v/>
      </c>
    </row>
    <row r="171" spans="1:6" x14ac:dyDescent="0.25">
      <c r="A171" s="139" t="str">
        <f t="array" ref="A171">IF(ROWS($A$163:A171)&lt;=COUNTIF(Tbl_Members[Rank],Rank1),INDEX(Tbl_Members[Gamertag],SMALL(IF(Tbl_Members[Rank]=Rank1,ROW(Tbl_Members[Gamertag])-ROW('Manage Members'!$A$2)+1),ROWS($A$163:A171))),"")</f>
        <v/>
      </c>
      <c r="E171" s="141"/>
      <c r="F171" s="138" t="str">
        <f t="array" ref="F171">IF(ROWS($F$163:F171)&lt;=COUNTIFS(Tbl_Members[Squad],$G$1,Tbl_Members[Rank],Rank1),INDEX(Tbl_Members[Gamertag],SMALL(IF(Tbl_Members[Squad]=$G$1,IF(Tbl_Members[Rank]=Rank1,ROW(Tbl_Members[Gamertag])-ROW('Manage Members'!$A$2)+1)),ROWS($F$163:F171))),"")</f>
        <v/>
      </c>
    </row>
    <row r="172" spans="1:6" x14ac:dyDescent="0.25">
      <c r="A172" s="139" t="str">
        <f t="array" ref="A172">IF(ROWS($A$163:A172)&lt;=COUNTIF(Tbl_Members[Rank],Rank1),INDEX(Tbl_Members[Gamertag],SMALL(IF(Tbl_Members[Rank]=Rank1,ROW(Tbl_Members[Gamertag])-ROW('Manage Members'!$A$2)+1),ROWS($A$163:A172))),"")</f>
        <v/>
      </c>
      <c r="E172" s="141"/>
      <c r="F172" s="138" t="str">
        <f t="array" ref="F172">IF(ROWS($F$163:F172)&lt;=COUNTIFS(Tbl_Members[Squad],$G$1,Tbl_Members[Rank],Rank1),INDEX(Tbl_Members[Gamertag],SMALL(IF(Tbl_Members[Squad]=$G$1,IF(Tbl_Members[Rank]=Rank1,ROW(Tbl_Members[Gamertag])-ROW('Manage Members'!$A$2)+1)),ROWS($F$163:F172))),"")</f>
        <v/>
      </c>
    </row>
    <row r="173" spans="1:6" x14ac:dyDescent="0.25">
      <c r="A173" s="139" t="str">
        <f t="array" ref="A173">IF(ROWS($A$163:A173)&lt;=COUNTIF(Tbl_Members[Rank],Rank1),INDEX(Tbl_Members[Gamertag],SMALL(IF(Tbl_Members[Rank]=Rank1,ROW(Tbl_Members[Gamertag])-ROW('Manage Members'!$A$2)+1),ROWS($A$163:A173))),"")</f>
        <v/>
      </c>
      <c r="E173" s="141"/>
      <c r="F173" s="138" t="str">
        <f t="array" ref="F173">IF(ROWS($F$163:F173)&lt;=COUNTIFS(Tbl_Members[Squad],$G$1,Tbl_Members[Rank],Rank1),INDEX(Tbl_Members[Gamertag],SMALL(IF(Tbl_Members[Squad]=$G$1,IF(Tbl_Members[Rank]=Rank1,ROW(Tbl_Members[Gamertag])-ROW('Manage Members'!$A$2)+1)),ROWS($F$163:F173))),"")</f>
        <v/>
      </c>
    </row>
    <row r="174" spans="1:6" x14ac:dyDescent="0.25">
      <c r="A174" s="139" t="str">
        <f t="array" ref="A174">IF(ROWS($A$163:A174)&lt;=COUNTIF(Tbl_Members[Rank],Rank1),INDEX(Tbl_Members[Gamertag],SMALL(IF(Tbl_Members[Rank]=Rank1,ROW(Tbl_Members[Gamertag])-ROW('Manage Members'!$A$2)+1),ROWS($A$163:A174))),"")</f>
        <v/>
      </c>
      <c r="E174" s="141"/>
      <c r="F174" s="138" t="str">
        <f t="array" ref="F174">IF(ROWS($F$163:F174)&lt;=COUNTIFS(Tbl_Members[Squad],$G$1,Tbl_Members[Rank],Rank1),INDEX(Tbl_Members[Gamertag],SMALL(IF(Tbl_Members[Squad]=$G$1,IF(Tbl_Members[Rank]=Rank1,ROW(Tbl_Members[Gamertag])-ROW('Manage Members'!$A$2)+1)),ROWS($F$163:F174))),"")</f>
        <v/>
      </c>
    </row>
    <row r="175" spans="1:6" x14ac:dyDescent="0.25">
      <c r="A175" s="139" t="str">
        <f t="array" ref="A175">IF(ROWS($A$163:A175)&lt;=COUNTIF(Tbl_Members[Rank],Rank1),INDEX(Tbl_Members[Gamertag],SMALL(IF(Tbl_Members[Rank]=Rank1,ROW(Tbl_Members[Gamertag])-ROW('Manage Members'!$A$2)+1),ROWS($A$163:A175))),"")</f>
        <v/>
      </c>
      <c r="E175" s="141"/>
      <c r="F175" s="138" t="str">
        <f t="array" ref="F175">IF(ROWS($F$163:F175)&lt;=COUNTIFS(Tbl_Members[Squad],$G$1,Tbl_Members[Rank],Rank1),INDEX(Tbl_Members[Gamertag],SMALL(IF(Tbl_Members[Squad]=$G$1,IF(Tbl_Members[Rank]=Rank1,ROW(Tbl_Members[Gamertag])-ROW('Manage Members'!$A$2)+1)),ROWS($F$163:F175))),"")</f>
        <v/>
      </c>
    </row>
    <row r="176" spans="1:6" x14ac:dyDescent="0.25">
      <c r="A176" s="139" t="str">
        <f t="array" ref="A176">IF(ROWS($A$163:A176)&lt;=COUNTIF(Tbl_Members[Rank],Rank1),INDEX(Tbl_Members[Gamertag],SMALL(IF(Tbl_Members[Rank]=Rank1,ROW(Tbl_Members[Gamertag])-ROW('Manage Members'!$A$2)+1),ROWS($A$163:A176))),"")</f>
        <v/>
      </c>
      <c r="E176" s="141"/>
      <c r="F176" s="138" t="str">
        <f t="array" ref="F176">IF(ROWS($F$163:F176)&lt;=COUNTIFS(Tbl_Members[Squad],$G$1,Tbl_Members[Rank],Rank1),INDEX(Tbl_Members[Gamertag],SMALL(IF(Tbl_Members[Squad]=$G$1,IF(Tbl_Members[Rank]=Rank1,ROW(Tbl_Members[Gamertag])-ROW('Manage Members'!$A$2)+1)),ROWS($F$163:F176))),"")</f>
        <v/>
      </c>
    </row>
    <row r="177" spans="1:6" x14ac:dyDescent="0.25">
      <c r="A177" s="139" t="str">
        <f t="array" ref="A177">IF(ROWS($A$163:A177)&lt;=COUNTIF(Tbl_Members[Rank],Rank1),INDEX(Tbl_Members[Gamertag],SMALL(IF(Tbl_Members[Rank]=Rank1,ROW(Tbl_Members[Gamertag])-ROW('Manage Members'!$A$2)+1),ROWS($A$163:A177))),"")</f>
        <v/>
      </c>
      <c r="E177" s="141"/>
      <c r="F177" s="138" t="str">
        <f t="array" ref="F177">IF(ROWS($F$163:F177)&lt;=COUNTIFS(Tbl_Members[Squad],$G$1,Tbl_Members[Rank],Rank1),INDEX(Tbl_Members[Gamertag],SMALL(IF(Tbl_Members[Squad]=$G$1,IF(Tbl_Members[Rank]=Rank1,ROW(Tbl_Members[Gamertag])-ROW('Manage Members'!$A$2)+1)),ROWS($F$163:F177))),"")</f>
        <v/>
      </c>
    </row>
    <row r="178" spans="1:6" x14ac:dyDescent="0.25">
      <c r="E178" s="141"/>
      <c r="F178" s="138" t="str">
        <f t="array" ref="F178">IF(ROWS($F$163:F178)&lt;=COUNTIFS(Tbl_Members[Squad],$G$1,Tbl_Members[Rank],Rank1),INDEX(Tbl_Members[Gamertag],SMALL(IF(Tbl_Members[Squad]=$G$1,IF(Tbl_Members[Rank]=Rank1,ROW(Tbl_Members[Gamertag])-ROW('Manage Members'!$A$2)+1)),ROWS($F$163:F178))),"")</f>
        <v/>
      </c>
    </row>
    <row r="179" spans="1:6" x14ac:dyDescent="0.25">
      <c r="A179" s="34" t="s">
        <v>64</v>
      </c>
      <c r="E179" s="141"/>
    </row>
  </sheetData>
  <sheetProtection algorithmName="SHA-512" hashValue="OEfLPf0QM/1p29Iva3wU0qINSK+hL8L3Z+HEv4bgrOSmSkw1fJ+aNmYaTFGUnSjvVIzJtfnQZY4vMdhIg0LTNA==" saltValue="MSPdb+b2K9t8L+j7C4kYUw==" spinCount="100000" sheet="1" objects="1" scenarios="1"/>
  <mergeCells count="1">
    <mergeCell ref="G1:I1"/>
  </mergeCells>
  <dataValidations count="1">
    <dataValidation type="list" allowBlank="1" showInputMessage="1" showErrorMessage="1" sqref="G1">
      <formula1>Squads</formula1>
    </dataValidation>
  </dataValidations>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Y16"/>
  <sheetViews>
    <sheetView showGridLines="0" workbookViewId="0">
      <selection activeCell="B3" sqref="B3:B4"/>
    </sheetView>
  </sheetViews>
  <sheetFormatPr defaultColWidth="8.85546875" defaultRowHeight="15" x14ac:dyDescent="0.25"/>
  <cols>
    <col min="1" max="1" width="4.28515625" style="2" customWidth="1"/>
    <col min="2" max="2" width="13" style="2" bestFit="1" customWidth="1"/>
    <col min="3" max="3" width="10" style="2" bestFit="1" customWidth="1"/>
    <col min="4" max="4" width="10.28515625" style="2" bestFit="1" customWidth="1"/>
    <col min="5" max="6" width="8.85546875" style="2"/>
    <col min="7" max="7" width="12.7109375" style="2" customWidth="1"/>
    <col min="8" max="16384" width="8.85546875" style="2"/>
  </cols>
  <sheetData>
    <row r="1" spans="2:25" ht="22.5" customHeight="1" x14ac:dyDescent="0.25"/>
    <row r="2" spans="2:25" s="14" customFormat="1" ht="45" customHeight="1" x14ac:dyDescent="0.3">
      <c r="B2" s="9" t="s">
        <v>65</v>
      </c>
      <c r="C2" s="9" t="s">
        <v>66</v>
      </c>
      <c r="D2" s="9" t="s">
        <v>67</v>
      </c>
      <c r="E2" s="10" t="s">
        <v>68</v>
      </c>
      <c r="F2" s="11"/>
      <c r="G2" s="11"/>
      <c r="H2" s="12"/>
      <c r="I2" s="12"/>
      <c r="J2" s="12"/>
      <c r="K2" s="12"/>
      <c r="L2" s="13"/>
      <c r="M2" s="13"/>
      <c r="N2" s="13"/>
      <c r="O2" s="13"/>
      <c r="P2" s="13"/>
      <c r="Q2" s="13"/>
      <c r="R2" s="13"/>
      <c r="S2" s="13"/>
      <c r="T2" s="13"/>
      <c r="U2" s="13"/>
      <c r="V2" s="13"/>
      <c r="W2" s="13"/>
      <c r="X2" s="13"/>
      <c r="Y2" s="13"/>
    </row>
    <row r="3" spans="2:25" ht="15" customHeight="1" x14ac:dyDescent="0.25">
      <c r="B3" s="147">
        <v>100</v>
      </c>
      <c r="C3" s="23" t="str">
        <f>IF(COUNTA(Tbl_Members[Rank])-COUNTIF(Tbl_Members[Rank],"Misc")-COUNTIF(Tbl_Members[Rank],"Secondary")-COUNTIF(Tbl_Members[Rank],"7 Cmd")=0,"",COUNTA(Tbl_Members[Rank])-COUNTIF(Tbl_Members[Rank],"Misc")-COUNTIF(Tbl_Members[Rank],"Secondary")-COUNTIF(Tbl_Members[Rank],"7 Cmd"))</f>
        <v/>
      </c>
      <c r="D3" s="21" t="str">
        <f>IF(B3="","",IF(C3="","",IF(C3&lt;B3,B3-C3,IF(C3&gt;=B3,"GTG",XX))))</f>
        <v/>
      </c>
      <c r="E3" s="17" t="s">
        <v>69</v>
      </c>
      <c r="F3" s="18"/>
      <c r="G3" s="18"/>
      <c r="H3" s="18"/>
      <c r="I3" s="18"/>
      <c r="J3" s="18"/>
      <c r="K3" s="18"/>
      <c r="L3" s="18"/>
      <c r="M3" s="18"/>
      <c r="N3" s="18"/>
      <c r="O3" s="18"/>
      <c r="P3" s="18"/>
      <c r="Q3" s="18"/>
      <c r="R3" s="4"/>
      <c r="S3" s="4"/>
      <c r="T3" s="4"/>
      <c r="U3" s="4"/>
      <c r="V3" s="4"/>
      <c r="W3" s="4"/>
      <c r="X3" s="4"/>
      <c r="Y3" s="4"/>
    </row>
    <row r="4" spans="2:25" ht="15" customHeight="1" x14ac:dyDescent="0.25">
      <c r="B4" s="148"/>
      <c r="C4" s="24"/>
      <c r="D4" s="22"/>
      <c r="E4" s="19"/>
      <c r="F4" s="20"/>
      <c r="G4" s="20"/>
      <c r="H4" s="20"/>
      <c r="I4" s="20"/>
      <c r="J4" s="20"/>
      <c r="K4" s="20"/>
      <c r="L4" s="20"/>
      <c r="M4" s="20"/>
      <c r="N4" s="20"/>
      <c r="O4" s="20"/>
      <c r="P4" s="20"/>
      <c r="Q4" s="20"/>
      <c r="R4" s="5"/>
      <c r="S4" s="5"/>
      <c r="T4" s="5"/>
      <c r="U4" s="5"/>
      <c r="V4" s="5"/>
      <c r="W4" s="5"/>
      <c r="X4" s="5"/>
      <c r="Y4" s="5"/>
    </row>
    <row r="5" spans="2:25" x14ac:dyDescent="0.25">
      <c r="B5" s="23">
        <f>IF(B3="","",B3/10)</f>
        <v>10</v>
      </c>
      <c r="C5" s="23" t="str">
        <f>IF(COUNTIF(Tbl_Members[Rank],"6 Lt")+COUNTIF(Tbl_Members[Rank],"5 MSgt")=0,"",COUNTIF(Tbl_Members[Rank],"6 Lt")+COUNTIF(Tbl_Members[Rank],"5 MSgt"))</f>
        <v/>
      </c>
      <c r="D5" s="21" t="str">
        <f>IF(B5="","",IF(C5="","",IF(C5&lt;B5,B5-C5,IF(C5&gt;=B5,"GTG",XX))))</f>
        <v/>
      </c>
      <c r="E5" s="6" t="s">
        <v>70</v>
      </c>
      <c r="F5" s="4" t="s">
        <v>71</v>
      </c>
      <c r="G5" s="4"/>
      <c r="H5" s="4"/>
      <c r="I5" s="4"/>
      <c r="J5" s="4"/>
      <c r="K5" s="4"/>
      <c r="L5" s="4"/>
      <c r="M5" s="4"/>
      <c r="N5" s="4"/>
      <c r="O5" s="4"/>
      <c r="P5" s="4"/>
      <c r="Q5" s="4"/>
      <c r="R5" s="4"/>
      <c r="S5" s="4"/>
      <c r="T5" s="4"/>
      <c r="U5" s="4"/>
      <c r="V5" s="4"/>
      <c r="W5" s="4"/>
      <c r="X5" s="4"/>
      <c r="Y5" s="4"/>
    </row>
    <row r="6" spans="2:25" x14ac:dyDescent="0.25">
      <c r="B6" s="24"/>
      <c r="C6" s="24"/>
      <c r="D6" s="22"/>
      <c r="E6" s="7" t="s">
        <v>72</v>
      </c>
      <c r="F6" s="5" t="s">
        <v>73</v>
      </c>
      <c r="G6" s="5"/>
      <c r="H6" s="5"/>
      <c r="I6" s="5"/>
      <c r="J6" s="5"/>
      <c r="K6" s="5"/>
      <c r="L6" s="5"/>
      <c r="M6" s="5"/>
      <c r="N6" s="5"/>
      <c r="O6" s="5"/>
      <c r="P6" s="5"/>
      <c r="Q6" s="5"/>
      <c r="R6" s="5"/>
      <c r="S6" s="5"/>
      <c r="T6" s="5"/>
      <c r="U6" s="5"/>
      <c r="V6" s="5"/>
      <c r="W6" s="5"/>
      <c r="X6" s="5"/>
      <c r="Y6" s="5"/>
    </row>
    <row r="7" spans="2:25" x14ac:dyDescent="0.25">
      <c r="B7" s="23">
        <f>IF(B5="","",B5*2)</f>
        <v>20</v>
      </c>
      <c r="C7" s="23" t="str">
        <f>IF(COUNTIF(Tbl_Members[Rank],"4 Sgt")+COUNTIF(Tbl_Members[Rank],"3 Cpl")=0,"",COUNTIF(Tbl_Members[Rank],"4 Sgt")+COUNTIF(Tbl_Members[Rank],"3 Cpl"))</f>
        <v/>
      </c>
      <c r="D7" s="21" t="str">
        <f>IF(B7="","",IF(C7="","",IF(C7&lt;B7,B7-C7,IF(C7&gt;=B7,"GTG",XX))))</f>
        <v/>
      </c>
      <c r="E7" s="6" t="s">
        <v>74</v>
      </c>
      <c r="F7" s="4" t="s">
        <v>75</v>
      </c>
      <c r="G7" s="4"/>
      <c r="H7" s="4"/>
      <c r="I7" s="4"/>
      <c r="J7" s="4"/>
      <c r="K7" s="4"/>
      <c r="L7" s="4"/>
      <c r="M7" s="4"/>
      <c r="N7" s="4"/>
      <c r="O7" s="4"/>
      <c r="P7" s="4"/>
      <c r="Q7" s="4"/>
      <c r="R7" s="4"/>
      <c r="S7" s="4"/>
      <c r="T7" s="4"/>
      <c r="U7" s="4"/>
      <c r="V7" s="4"/>
      <c r="W7" s="4"/>
      <c r="X7" s="4"/>
      <c r="Y7" s="4"/>
    </row>
    <row r="8" spans="2:25" x14ac:dyDescent="0.25">
      <c r="B8" s="24"/>
      <c r="C8" s="24"/>
      <c r="D8" s="22"/>
      <c r="E8" s="7" t="s">
        <v>76</v>
      </c>
      <c r="F8" s="5" t="s">
        <v>77</v>
      </c>
      <c r="G8" s="5"/>
      <c r="H8" s="5"/>
      <c r="I8" s="5"/>
      <c r="J8" s="5"/>
      <c r="K8" s="5"/>
      <c r="L8" s="5"/>
      <c r="M8" s="5"/>
      <c r="N8" s="5"/>
      <c r="O8" s="5"/>
      <c r="P8" s="5"/>
      <c r="Q8" s="5"/>
      <c r="R8" s="5"/>
      <c r="S8" s="5"/>
      <c r="T8" s="5"/>
      <c r="U8" s="5"/>
      <c r="V8" s="5"/>
      <c r="W8" s="5"/>
      <c r="X8" s="5"/>
      <c r="Y8" s="5"/>
    </row>
    <row r="9" spans="2:25" x14ac:dyDescent="0.25">
      <c r="B9" s="23">
        <f>IF(B3="","",B3-(B5+B7))</f>
        <v>70</v>
      </c>
      <c r="C9" s="23" t="str">
        <f>IF(COUNTIF(Tbl_Members[Rank],"2 Pvt")+COUNTIF(Tbl_Members[Rank],"1 Rct")=0,"",COUNTIF(Tbl_Members[Rank],"2 Pvt")+COUNTIF(Tbl_Members[Rank],"1 Rct"))</f>
        <v/>
      </c>
      <c r="D9" s="21" t="str">
        <f>IF(B9="","",IF(C9="","",IF(C9&lt;B9,B9-C9,IF(C9&gt;=B9,"GTG",XX))))</f>
        <v/>
      </c>
      <c r="E9" s="6" t="s">
        <v>78</v>
      </c>
      <c r="F9" s="4" t="s">
        <v>79</v>
      </c>
      <c r="G9" s="4"/>
      <c r="H9" s="4"/>
      <c r="I9" s="4"/>
      <c r="J9" s="4"/>
      <c r="K9" s="4"/>
      <c r="L9" s="4"/>
      <c r="M9" s="4"/>
      <c r="N9" s="4"/>
      <c r="O9" s="4"/>
      <c r="P9" s="4"/>
      <c r="Q9" s="4"/>
      <c r="R9" s="4"/>
      <c r="S9" s="4"/>
      <c r="T9" s="4"/>
      <c r="U9" s="4"/>
      <c r="V9" s="4"/>
      <c r="W9" s="4"/>
      <c r="X9" s="4"/>
      <c r="Y9" s="4"/>
    </row>
    <row r="10" spans="2:25" x14ac:dyDescent="0.25">
      <c r="B10" s="24"/>
      <c r="C10" s="24"/>
      <c r="D10" s="22"/>
      <c r="E10" s="7" t="s">
        <v>80</v>
      </c>
      <c r="F10" s="5" t="s">
        <v>81</v>
      </c>
      <c r="G10" s="5"/>
      <c r="H10" s="5"/>
      <c r="I10" s="5"/>
      <c r="J10" s="5"/>
      <c r="K10" s="5"/>
      <c r="L10" s="5"/>
      <c r="M10" s="5"/>
      <c r="N10" s="5"/>
      <c r="O10" s="5"/>
      <c r="P10" s="5"/>
      <c r="Q10" s="5"/>
      <c r="R10" s="5"/>
      <c r="S10" s="5"/>
      <c r="T10" s="5"/>
      <c r="U10" s="5"/>
      <c r="V10" s="5"/>
      <c r="W10" s="5"/>
      <c r="X10" s="5"/>
      <c r="Y10" s="5"/>
    </row>
    <row r="14" spans="2:25" ht="18.75" x14ac:dyDescent="0.3">
      <c r="E14" s="8" t="s">
        <v>82</v>
      </c>
    </row>
    <row r="16" spans="2:25" ht="18.75" x14ac:dyDescent="0.3">
      <c r="E16" s="8" t="s">
        <v>83</v>
      </c>
    </row>
  </sheetData>
  <sheetProtection algorithmName="SHA-512" hashValue="RcyF89OqoXzeK/IHS4xWlBp0YDS+o7sQcrTj0cCkMZ9RpQcuyva2PzSVLNbqQxyxlBdT7H+zyPglthzia1UARg==" saltValue="4plxc2QvGdy31K03ueLqtg==" spinCount="100000" sheet="1" objects="1" scenarios="1"/>
  <customSheetViews>
    <customSheetView guid="{910B280B-1D41-4475-992A-3EE03647ECB3}">
      <pageMargins left="0" right="0" top="0" bottom="0" header="0" footer="0"/>
    </customSheetView>
  </customSheetViews>
  <mergeCells count="13">
    <mergeCell ref="E3:Q4"/>
    <mergeCell ref="D9:D10"/>
    <mergeCell ref="D5:D6"/>
    <mergeCell ref="C5:C6"/>
    <mergeCell ref="B5:B6"/>
    <mergeCell ref="D3:D4"/>
    <mergeCell ref="C3:C4"/>
    <mergeCell ref="B3:B4"/>
    <mergeCell ref="B7:B8"/>
    <mergeCell ref="B9:B10"/>
    <mergeCell ref="C9:C10"/>
    <mergeCell ref="C7:C8"/>
    <mergeCell ref="D7:D8"/>
  </mergeCells>
  <conditionalFormatting sqref="D3">
    <cfRule type="expression" dxfId="50" priority="2">
      <formula>IF(D3&gt;=B3,TRUE,FALSE)</formula>
    </cfRule>
  </conditionalFormatting>
  <conditionalFormatting sqref="D5 D7 D9">
    <cfRule type="expression" dxfId="49" priority="1">
      <formula>IF(D5&gt;=B5,TRUE,FALSE)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L11"/>
  <sheetViews>
    <sheetView workbookViewId="0">
      <selection activeCell="N2" sqref="N2"/>
    </sheetView>
  </sheetViews>
  <sheetFormatPr defaultColWidth="8.85546875" defaultRowHeight="15" x14ac:dyDescent="0.25"/>
  <cols>
    <col min="1" max="1" width="2.85546875" style="1" customWidth="1"/>
    <col min="2" max="2" width="15.42578125" style="1" bestFit="1" customWidth="1"/>
    <col min="3" max="3" width="2.85546875" style="1" customWidth="1"/>
    <col min="4" max="4" width="19.140625" style="1" bestFit="1" customWidth="1"/>
    <col min="5" max="5" width="2.85546875" style="1" customWidth="1"/>
    <col min="6" max="6" width="20.42578125" style="1" bestFit="1" customWidth="1"/>
    <col min="7" max="7" width="2.85546875" style="1" customWidth="1"/>
    <col min="8" max="8" width="19" style="1" bestFit="1" customWidth="1"/>
    <col min="9" max="9" width="2.85546875" style="1" customWidth="1"/>
    <col min="10" max="10" width="19.85546875" style="1" bestFit="1" customWidth="1"/>
    <col min="11" max="11" width="2.85546875" style="1" customWidth="1"/>
    <col min="12" max="12" width="15.7109375" style="1" bestFit="1" customWidth="1"/>
    <col min="13" max="13" width="2.85546875" style="1" customWidth="1"/>
    <col min="14" max="16384" width="8.85546875" style="1"/>
  </cols>
  <sheetData>
    <row r="2" spans="2:12" s="3" customFormat="1" ht="18.75" x14ac:dyDescent="0.25">
      <c r="B2" s="3" t="s">
        <v>84</v>
      </c>
      <c r="D2" s="3" t="s">
        <v>21</v>
      </c>
      <c r="F2" s="3" t="s">
        <v>85</v>
      </c>
      <c r="H2" s="3" t="s">
        <v>34</v>
      </c>
      <c r="J2" s="3" t="s">
        <v>86</v>
      </c>
      <c r="L2" s="3" t="s">
        <v>87</v>
      </c>
    </row>
    <row r="3" spans="2:12" x14ac:dyDescent="0.25">
      <c r="B3" s="1" t="s">
        <v>88</v>
      </c>
      <c r="D3" s="1" t="s">
        <v>89</v>
      </c>
      <c r="F3" s="1" t="s">
        <v>90</v>
      </c>
      <c r="H3" s="1" t="s">
        <v>91</v>
      </c>
      <c r="J3" s="1" t="s">
        <v>92</v>
      </c>
      <c r="L3" s="1" t="s">
        <v>93</v>
      </c>
    </row>
    <row r="4" spans="2:12" x14ac:dyDescent="0.25">
      <c r="B4" s="1" t="s">
        <v>94</v>
      </c>
      <c r="D4" s="1" t="s">
        <v>95</v>
      </c>
      <c r="F4" s="1" t="s">
        <v>96</v>
      </c>
      <c r="H4" s="1" t="s">
        <v>97</v>
      </c>
      <c r="J4" s="1" t="s">
        <v>98</v>
      </c>
      <c r="L4" s="1" t="s">
        <v>99</v>
      </c>
    </row>
    <row r="5" spans="2:12" x14ac:dyDescent="0.25">
      <c r="B5" s="1" t="s">
        <v>100</v>
      </c>
      <c r="D5" s="1" t="s">
        <v>101</v>
      </c>
      <c r="H5" s="1" t="s">
        <v>102</v>
      </c>
      <c r="J5" s="1" t="s">
        <v>103</v>
      </c>
      <c r="L5" s="1" t="s">
        <v>104</v>
      </c>
    </row>
    <row r="6" spans="2:12" x14ac:dyDescent="0.25">
      <c r="B6" s="1" t="s">
        <v>105</v>
      </c>
      <c r="H6" s="1" t="s">
        <v>106</v>
      </c>
      <c r="L6" s="1" t="s">
        <v>106</v>
      </c>
    </row>
    <row r="7" spans="2:12" x14ac:dyDescent="0.25">
      <c r="B7" s="1" t="s">
        <v>107</v>
      </c>
    </row>
    <row r="8" spans="2:12" x14ac:dyDescent="0.25">
      <c r="B8" s="1" t="s">
        <v>108</v>
      </c>
    </row>
    <row r="9" spans="2:12" x14ac:dyDescent="0.25">
      <c r="B9" s="1" t="s">
        <v>109</v>
      </c>
    </row>
    <row r="10" spans="2:12" x14ac:dyDescent="0.25">
      <c r="B10" s="1" t="s">
        <v>110</v>
      </c>
    </row>
    <row r="11" spans="2:12" x14ac:dyDescent="0.25">
      <c r="B11" s="1" t="s">
        <v>29</v>
      </c>
    </row>
  </sheetData>
  <customSheetViews>
    <customSheetView guid="{910B280B-1D41-4475-992A-3EE03647ECB3}" state="hidden">
      <pageMargins left="0" right="0" top="0" bottom="0" header="0" footer="0"/>
    </customSheetView>
  </customSheetView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Manage Members</vt:lpstr>
      <vt:lpstr>Squads &amp; Rosters</vt:lpstr>
      <vt:lpstr>Summaries</vt:lpstr>
      <vt:lpstr>Transfers &amp; Removals</vt:lpstr>
      <vt:lpstr>Forum Rosters</vt:lpstr>
      <vt:lpstr>Split Suggestions</vt:lpstr>
      <vt:lpstr>Logic</vt:lpstr>
      <vt:lpstr>CTS_Completed</vt:lpstr>
      <vt:lpstr>Date_Removed</vt:lpstr>
      <vt:lpstr>Last_Active</vt:lpstr>
      <vt:lpstr>Last_Promotion</vt:lpstr>
      <vt:lpstr>LTS_Completed</vt:lpstr>
      <vt:lpstr>MIA</vt:lpstr>
      <vt:lpstr>Rank_List</vt:lpstr>
      <vt:lpstr>Rank_Misc</vt:lpstr>
      <vt:lpstr>Rank_Secondary</vt:lpstr>
      <vt:lpstr>Rank1</vt:lpstr>
      <vt:lpstr>Rank2</vt:lpstr>
      <vt:lpstr>Rank3</vt:lpstr>
      <vt:lpstr>Rank4</vt:lpstr>
      <vt:lpstr>Rank5</vt:lpstr>
      <vt:lpstr>Rank6</vt:lpstr>
      <vt:lpstr>Rank7</vt:lpstr>
      <vt:lpstr>Red_Boxed</vt:lpstr>
      <vt:lpstr>Removal_Terms</vt:lpstr>
      <vt:lpstr>Removal_Transfer</vt:lpstr>
      <vt:lpstr>Sgts_Oath</vt:lpstr>
      <vt:lpstr>Squad_1</vt:lpstr>
      <vt:lpstr>Squad_2</vt:lpstr>
      <vt:lpstr>Squad_3</vt:lpstr>
      <vt:lpstr>Squad_4</vt:lpstr>
      <vt:lpstr>Squads</vt:lpstr>
      <vt:lpstr>Tag_Removal</vt:lpstr>
      <vt:lpstr>Type_Of_Transfer</vt:lpstr>
      <vt:lpstr>Yes_No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Appspot</dc:title>
  <dc:subject/>
  <dc:creator>Daniel Nelson</dc:creator>
  <cp:keywords>Appspot</cp:keywords>
  <dc:description>Basic database of membership with categorical sorting and backend reports</dc:description>
  <cp:lastModifiedBy>Daniel Nelson</cp:lastModifiedBy>
  <cp:revision/>
  <dcterms:created xsi:type="dcterms:W3CDTF">2015-03-21T23:58:50Z</dcterms:created>
  <dcterms:modified xsi:type="dcterms:W3CDTF">2016-09-13T03:52:30Z</dcterms:modified>
  <cp:category/>
  <cp:contentStatus/>
</cp:coreProperties>
</file>