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canonne\Documents\GT offre CT\BAROMETRE TOURISME REGIONS\Analyse\"/>
    </mc:Choice>
  </mc:AlternateContent>
  <bookViews>
    <workbookView xWindow="0" yWindow="0" windowWidth="12000" windowHeight="4935" tabRatio="949" activeTab="4"/>
  </bookViews>
  <sheets>
    <sheet name="Extraction Offre de loisirs" sheetId="3" r:id="rId1"/>
    <sheet name="Extraction Patrimoine" sheetId="5" r:id="rId2"/>
    <sheet name="Extraction Offre de services" sheetId="6" r:id="rId3"/>
    <sheet name="Pondération" sheetId="4" r:id="rId4"/>
    <sheet name="Analyse comparative des régions" sheetId="7" r:id="rId5"/>
    <sheet name="Carte identité AURA" sheetId="8" r:id="rId6"/>
    <sheet name="Carte identité BFC" sheetId="9" r:id="rId7"/>
    <sheet name="Carte identité Bretagne" sheetId="10" r:id="rId8"/>
    <sheet name="Carte identité Centre Val de L" sheetId="11" r:id="rId9"/>
    <sheet name="Carte identité Corse" sheetId="12" r:id="rId10"/>
    <sheet name="Carte identité Grand Est" sheetId="13" r:id="rId11"/>
    <sheet name="Carte identité Hauts de France" sheetId="14" r:id="rId12"/>
    <sheet name="Carte identité Ile de France" sheetId="15" r:id="rId13"/>
    <sheet name="Carte identité Normandie" sheetId="16" r:id="rId14"/>
    <sheet name="Carte identité Nvelle Aquitaine" sheetId="17" r:id="rId15"/>
    <sheet name="Carte identité Occitanie" sheetId="18" r:id="rId16"/>
    <sheet name="Carte identité Pays de la Loire" sheetId="19" r:id="rId17"/>
    <sheet name="Carte identité PACA" sheetId="20" r:id="rId18"/>
  </sheets>
  <definedNames>
    <definedName name="_xlnm._FilterDatabase" localSheetId="0" hidden="1">'Extraction Offre de loisirs'!$A$1:$J$2719</definedName>
    <definedName name="_xlnm._FilterDatabase" localSheetId="2" hidden="1">'Extraction Offre de services'!$A$1:$P$1004</definedName>
    <definedName name="_xlnm._FilterDatabase" localSheetId="1" hidden="1">'Extraction Patrimoine'!$A$1:$J$703</definedName>
    <definedName name="_xlnm._FilterDatabase" localSheetId="3" hidden="1">Pondération!$A$1:$C$170</definedName>
  </definedNames>
  <calcPr calcId="152511"/>
</workbook>
</file>

<file path=xl/calcChain.xml><?xml version="1.0" encoding="utf-8"?>
<calcChain xmlns="http://schemas.openxmlformats.org/spreadsheetml/2006/main">
  <c r="F27" i="4" l="1"/>
  <c r="F14" i="4"/>
  <c r="F15" i="19"/>
  <c r="F15" i="17"/>
  <c r="F16" i="16"/>
  <c r="I9" i="15"/>
  <c r="F15" i="14"/>
  <c r="O16" i="13"/>
  <c r="I9" i="11"/>
  <c r="F16" i="8"/>
  <c r="R16" i="20" l="1"/>
  <c r="O16" i="20"/>
  <c r="L16" i="20"/>
  <c r="I16" i="20"/>
  <c r="F16" i="20"/>
  <c r="R15" i="20"/>
  <c r="Q15" i="20"/>
  <c r="O15" i="20"/>
  <c r="N15" i="20"/>
  <c r="L15" i="20"/>
  <c r="I15" i="20"/>
  <c r="F15" i="20"/>
  <c r="R14" i="20"/>
  <c r="S16" i="20" s="1"/>
  <c r="O14" i="20"/>
  <c r="P16" i="20" s="1"/>
  <c r="L14" i="20"/>
  <c r="I14" i="20"/>
  <c r="F14" i="20"/>
  <c r="R13" i="20"/>
  <c r="Q13" i="20"/>
  <c r="O13" i="20"/>
  <c r="N13" i="20"/>
  <c r="L13" i="20"/>
  <c r="K13" i="20"/>
  <c r="I13" i="20"/>
  <c r="H13" i="20"/>
  <c r="F13" i="20"/>
  <c r="E13" i="20"/>
  <c r="R12" i="20"/>
  <c r="Q12" i="20"/>
  <c r="O12" i="20"/>
  <c r="N12" i="20"/>
  <c r="L12" i="20"/>
  <c r="K12" i="20"/>
  <c r="I12" i="20"/>
  <c r="H12" i="20"/>
  <c r="F12" i="20"/>
  <c r="E12" i="20"/>
  <c r="R11" i="20"/>
  <c r="O11" i="20"/>
  <c r="L11" i="20"/>
  <c r="I11" i="20"/>
  <c r="F11" i="20"/>
  <c r="R10" i="20"/>
  <c r="O10" i="20"/>
  <c r="L10" i="20"/>
  <c r="I10" i="20"/>
  <c r="F10" i="20"/>
  <c r="R9" i="20"/>
  <c r="O9" i="20"/>
  <c r="L9" i="20"/>
  <c r="I9" i="20"/>
  <c r="F9" i="20"/>
  <c r="R8" i="20"/>
  <c r="O8" i="20"/>
  <c r="L8" i="20"/>
  <c r="I8" i="20"/>
  <c r="F8" i="20"/>
  <c r="R7" i="20"/>
  <c r="O7" i="20"/>
  <c r="L7" i="20"/>
  <c r="I7" i="20"/>
  <c r="F7" i="20"/>
  <c r="R6" i="20"/>
  <c r="O6" i="20"/>
  <c r="L6" i="20"/>
  <c r="I6" i="20"/>
  <c r="F6" i="20"/>
  <c r="R5" i="20"/>
  <c r="O5" i="20"/>
  <c r="L5" i="20"/>
  <c r="I5" i="20"/>
  <c r="F5" i="20"/>
  <c r="R16" i="19"/>
  <c r="O16" i="19"/>
  <c r="L16" i="19"/>
  <c r="I16" i="19"/>
  <c r="F16" i="19"/>
  <c r="R15" i="19"/>
  <c r="Q15" i="19"/>
  <c r="O15" i="19"/>
  <c r="N15" i="19"/>
  <c r="L15" i="19"/>
  <c r="I15" i="19"/>
  <c r="R14" i="19"/>
  <c r="O14" i="19"/>
  <c r="L14" i="19"/>
  <c r="I14" i="19"/>
  <c r="F14" i="19"/>
  <c r="R13" i="19"/>
  <c r="Q13" i="19"/>
  <c r="O13" i="19"/>
  <c r="N13" i="19"/>
  <c r="L13" i="19"/>
  <c r="K13" i="19"/>
  <c r="I13" i="19"/>
  <c r="H13" i="19"/>
  <c r="F13" i="19"/>
  <c r="E13" i="19"/>
  <c r="R12" i="19"/>
  <c r="Q12" i="19"/>
  <c r="O12" i="19"/>
  <c r="N12" i="19"/>
  <c r="L12" i="19"/>
  <c r="K12" i="19"/>
  <c r="I12" i="19"/>
  <c r="H12" i="19"/>
  <c r="F12" i="19"/>
  <c r="E12" i="19"/>
  <c r="R11" i="19"/>
  <c r="O11" i="19"/>
  <c r="L11" i="19"/>
  <c r="I11" i="19"/>
  <c r="F11" i="19"/>
  <c r="R10" i="19"/>
  <c r="S11" i="19" s="1"/>
  <c r="O10" i="19"/>
  <c r="P13" i="19" s="1"/>
  <c r="L10" i="19"/>
  <c r="I10" i="19"/>
  <c r="F10" i="19"/>
  <c r="R9" i="19"/>
  <c r="O9" i="19"/>
  <c r="L9" i="19"/>
  <c r="I9" i="19"/>
  <c r="F9" i="19"/>
  <c r="R8" i="19"/>
  <c r="O8" i="19"/>
  <c r="L8" i="19"/>
  <c r="I8" i="19"/>
  <c r="F8" i="19"/>
  <c r="R7" i="19"/>
  <c r="O7" i="19"/>
  <c r="L7" i="19"/>
  <c r="I7" i="19"/>
  <c r="F7" i="19"/>
  <c r="R6" i="19"/>
  <c r="O6" i="19"/>
  <c r="L6" i="19"/>
  <c r="I6" i="19"/>
  <c r="F6" i="19"/>
  <c r="R5" i="19"/>
  <c r="O5" i="19"/>
  <c r="L5" i="19"/>
  <c r="I5" i="19"/>
  <c r="F5" i="19"/>
  <c r="R16" i="18"/>
  <c r="O16" i="18"/>
  <c r="L16" i="18"/>
  <c r="I16" i="18"/>
  <c r="F16" i="18"/>
  <c r="R15" i="18"/>
  <c r="Q15" i="18"/>
  <c r="O15" i="18"/>
  <c r="N15" i="18"/>
  <c r="L15" i="18"/>
  <c r="I15" i="18"/>
  <c r="F15" i="18"/>
  <c r="R14" i="18"/>
  <c r="O14" i="18"/>
  <c r="L14" i="18"/>
  <c r="I14" i="18"/>
  <c r="F14" i="18"/>
  <c r="R13" i="18"/>
  <c r="Q13" i="18"/>
  <c r="O13" i="18"/>
  <c r="N13" i="18"/>
  <c r="L13" i="18"/>
  <c r="K13" i="18"/>
  <c r="I13" i="18"/>
  <c r="H13" i="18"/>
  <c r="F13" i="18"/>
  <c r="E13" i="18"/>
  <c r="R12" i="18"/>
  <c r="Q12" i="18"/>
  <c r="O12" i="18"/>
  <c r="N12" i="18"/>
  <c r="L12" i="18"/>
  <c r="K12" i="18"/>
  <c r="I12" i="18"/>
  <c r="H12" i="18"/>
  <c r="F12" i="18"/>
  <c r="E12" i="18"/>
  <c r="R11" i="18"/>
  <c r="O11" i="18"/>
  <c r="L11" i="18"/>
  <c r="I11" i="18"/>
  <c r="F11" i="18"/>
  <c r="R10" i="18"/>
  <c r="O10" i="18"/>
  <c r="L10" i="18"/>
  <c r="I10" i="18"/>
  <c r="J12" i="18" s="1"/>
  <c r="F10" i="18"/>
  <c r="R9" i="18"/>
  <c r="O9" i="18"/>
  <c r="L9" i="18"/>
  <c r="I9" i="18"/>
  <c r="F9" i="18"/>
  <c r="R8" i="18"/>
  <c r="O8" i="18"/>
  <c r="L8" i="18"/>
  <c r="I8" i="18"/>
  <c r="F8" i="18"/>
  <c r="R7" i="18"/>
  <c r="O7" i="18"/>
  <c r="L7" i="18"/>
  <c r="I7" i="18"/>
  <c r="F7" i="18"/>
  <c r="R6" i="18"/>
  <c r="O6" i="18"/>
  <c r="L6" i="18"/>
  <c r="I6" i="18"/>
  <c r="F6" i="18"/>
  <c r="R5" i="18"/>
  <c r="O5" i="18"/>
  <c r="L5" i="18"/>
  <c r="I5" i="18"/>
  <c r="J9" i="18" s="1"/>
  <c r="F5" i="18"/>
  <c r="R16" i="17"/>
  <c r="O16" i="17"/>
  <c r="L16" i="17"/>
  <c r="I16" i="17"/>
  <c r="F16" i="17"/>
  <c r="R15" i="17"/>
  <c r="Q15" i="17"/>
  <c r="O15" i="17"/>
  <c r="N15" i="17"/>
  <c r="L15" i="17"/>
  <c r="I15" i="17"/>
  <c r="R14" i="17"/>
  <c r="O14" i="17"/>
  <c r="L14" i="17"/>
  <c r="I14" i="17"/>
  <c r="F14" i="17"/>
  <c r="R13" i="17"/>
  <c r="Q13" i="17"/>
  <c r="O13" i="17"/>
  <c r="N13" i="17"/>
  <c r="L13" i="17"/>
  <c r="K13" i="17"/>
  <c r="I13" i="17"/>
  <c r="H13" i="17"/>
  <c r="F13" i="17"/>
  <c r="E13" i="17"/>
  <c r="R12" i="17"/>
  <c r="Q12" i="17"/>
  <c r="O12" i="17"/>
  <c r="N12" i="17"/>
  <c r="L12" i="17"/>
  <c r="K12" i="17"/>
  <c r="I12" i="17"/>
  <c r="H12" i="17"/>
  <c r="F12" i="17"/>
  <c r="E12" i="17"/>
  <c r="R11" i="17"/>
  <c r="O11" i="17"/>
  <c r="L11" i="17"/>
  <c r="I11" i="17"/>
  <c r="F11" i="17"/>
  <c r="R10" i="17"/>
  <c r="O10" i="17"/>
  <c r="L10" i="17"/>
  <c r="I10" i="17"/>
  <c r="F10" i="17"/>
  <c r="R9" i="17"/>
  <c r="O9" i="17"/>
  <c r="L9" i="17"/>
  <c r="I9" i="17"/>
  <c r="F9" i="17"/>
  <c r="R8" i="17"/>
  <c r="O8" i="17"/>
  <c r="L8" i="17"/>
  <c r="I8" i="17"/>
  <c r="F8" i="17"/>
  <c r="R7" i="17"/>
  <c r="O7" i="17"/>
  <c r="L7" i="17"/>
  <c r="I7" i="17"/>
  <c r="F7" i="17"/>
  <c r="R6" i="17"/>
  <c r="O6" i="17"/>
  <c r="L6" i="17"/>
  <c r="I6" i="17"/>
  <c r="F6" i="17"/>
  <c r="R5" i="17"/>
  <c r="O5" i="17"/>
  <c r="L5" i="17"/>
  <c r="I5" i="17"/>
  <c r="F5" i="17"/>
  <c r="G9" i="17" s="1"/>
  <c r="P16" i="17" l="1"/>
  <c r="G16" i="17"/>
  <c r="J16" i="19"/>
  <c r="S16" i="17"/>
  <c r="J16" i="17"/>
  <c r="J16" i="18"/>
  <c r="J9" i="20"/>
  <c r="M16" i="20"/>
  <c r="S16" i="19"/>
  <c r="G16" i="20"/>
  <c r="P15" i="20"/>
  <c r="J16" i="20"/>
  <c r="P15" i="19"/>
  <c r="P16" i="19"/>
  <c r="J15" i="19"/>
  <c r="J15" i="20"/>
  <c r="G16" i="19"/>
  <c r="G15" i="19"/>
  <c r="M16" i="19"/>
  <c r="M15" i="19"/>
  <c r="S15" i="19"/>
  <c r="M11" i="19"/>
  <c r="M12" i="19"/>
  <c r="S13" i="20"/>
  <c r="P12" i="20"/>
  <c r="G13" i="19"/>
  <c r="S13" i="19"/>
  <c r="M9" i="20"/>
  <c r="S8" i="19"/>
  <c r="M7" i="20"/>
  <c r="G9" i="20"/>
  <c r="S6" i="20"/>
  <c r="P7" i="20"/>
  <c r="M8" i="20"/>
  <c r="G7" i="20"/>
  <c r="M7" i="19"/>
  <c r="S7" i="20"/>
  <c r="P9" i="20"/>
  <c r="M6" i="20"/>
  <c r="G9" i="19"/>
  <c r="P7" i="19"/>
  <c r="M8" i="19"/>
  <c r="G8" i="20"/>
  <c r="S9" i="20"/>
  <c r="J8" i="20"/>
  <c r="G6" i="20"/>
  <c r="S8" i="20"/>
  <c r="J7" i="20"/>
  <c r="G11" i="19"/>
  <c r="M12" i="20"/>
  <c r="G13" i="20"/>
  <c r="S12" i="20"/>
  <c r="J12" i="20"/>
  <c r="J13" i="20"/>
  <c r="P13" i="20"/>
  <c r="J11" i="19"/>
  <c r="J11" i="20"/>
  <c r="P11" i="20"/>
  <c r="G12" i="20"/>
  <c r="J6" i="20"/>
  <c r="P8" i="20"/>
  <c r="G11" i="20"/>
  <c r="S11" i="20"/>
  <c r="M13" i="20"/>
  <c r="G15" i="20"/>
  <c r="S15" i="20"/>
  <c r="P6" i="20"/>
  <c r="M11" i="20"/>
  <c r="M15" i="20"/>
  <c r="P12" i="19"/>
  <c r="J12" i="19"/>
  <c r="M11" i="18"/>
  <c r="M12" i="18"/>
  <c r="G12" i="19"/>
  <c r="S12" i="19"/>
  <c r="J13" i="19"/>
  <c r="J9" i="19"/>
  <c r="M6" i="19"/>
  <c r="M9" i="19"/>
  <c r="J6" i="19"/>
  <c r="P6" i="19"/>
  <c r="J8" i="19"/>
  <c r="P9" i="19"/>
  <c r="J7" i="19"/>
  <c r="G8" i="19"/>
  <c r="S9" i="19"/>
  <c r="G6" i="19"/>
  <c r="P11" i="19"/>
  <c r="G7" i="19"/>
  <c r="S7" i="19"/>
  <c r="P8" i="19"/>
  <c r="M13" i="19"/>
  <c r="S6" i="19"/>
  <c r="M15" i="18"/>
  <c r="G15" i="18"/>
  <c r="J13" i="18"/>
  <c r="G11" i="18"/>
  <c r="S11" i="18"/>
  <c r="P13" i="18"/>
  <c r="P11" i="18"/>
  <c r="S13" i="18"/>
  <c r="J11" i="18"/>
  <c r="M8" i="18"/>
  <c r="J7" i="18"/>
  <c r="M7" i="18"/>
  <c r="G12" i="18"/>
  <c r="S12" i="18"/>
  <c r="M9" i="18"/>
  <c r="G6" i="18"/>
  <c r="S8" i="18"/>
  <c r="J8" i="18"/>
  <c r="P6" i="18"/>
  <c r="P9" i="18"/>
  <c r="M6" i="18"/>
  <c r="P7" i="18"/>
  <c r="G8" i="18"/>
  <c r="G9" i="18"/>
  <c r="S9" i="18"/>
  <c r="G13" i="18"/>
  <c r="P15" i="18"/>
  <c r="S15" i="18"/>
  <c r="J15" i="18"/>
  <c r="G16" i="18"/>
  <c r="M16" i="18"/>
  <c r="S16" i="18"/>
  <c r="J6" i="18"/>
  <c r="G7" i="18"/>
  <c r="S7" i="18"/>
  <c r="P8" i="18"/>
  <c r="P12" i="18"/>
  <c r="M13" i="18"/>
  <c r="P16" i="18"/>
  <c r="S6" i="18"/>
  <c r="M15" i="17"/>
  <c r="S15" i="17"/>
  <c r="J15" i="17"/>
  <c r="G15" i="17"/>
  <c r="M16" i="17"/>
  <c r="P13" i="17"/>
  <c r="S11" i="17"/>
  <c r="P11" i="17"/>
  <c r="P12" i="17"/>
  <c r="P9" i="17"/>
  <c r="P15" i="17"/>
  <c r="G12" i="17"/>
  <c r="S6" i="17"/>
  <c r="P6" i="17"/>
  <c r="P7" i="17"/>
  <c r="M8" i="17"/>
  <c r="P8" i="17"/>
  <c r="J7" i="17"/>
  <c r="M7" i="17"/>
  <c r="G7" i="17"/>
  <c r="S7" i="17"/>
  <c r="G6" i="17"/>
  <c r="M6" i="17"/>
  <c r="G8" i="17"/>
  <c r="S8" i="17"/>
  <c r="M9" i="17"/>
  <c r="J8" i="17"/>
  <c r="S9" i="17"/>
  <c r="J9" i="17"/>
  <c r="M12" i="17"/>
  <c r="M13" i="17"/>
  <c r="S13" i="17"/>
  <c r="S12" i="17"/>
  <c r="J13" i="17"/>
  <c r="J11" i="17"/>
  <c r="M11" i="17"/>
  <c r="J12" i="17"/>
  <c r="G13" i="17"/>
  <c r="G11" i="17"/>
  <c r="J6" i="17"/>
  <c r="R16" i="16"/>
  <c r="O16" i="16"/>
  <c r="L16" i="16"/>
  <c r="I16" i="16"/>
  <c r="R15" i="16"/>
  <c r="Q15" i="16"/>
  <c r="O15" i="16"/>
  <c r="N15" i="16"/>
  <c r="L15" i="16"/>
  <c r="I15" i="16"/>
  <c r="F15" i="16"/>
  <c r="R14" i="16"/>
  <c r="S16" i="16" s="1"/>
  <c r="O14" i="16"/>
  <c r="L14" i="16"/>
  <c r="I14" i="16"/>
  <c r="F14" i="16"/>
  <c r="G16" i="16" s="1"/>
  <c r="R13" i="16"/>
  <c r="Q13" i="16"/>
  <c r="O13" i="16"/>
  <c r="N13" i="16"/>
  <c r="L13" i="16"/>
  <c r="K13" i="16"/>
  <c r="I13" i="16"/>
  <c r="H13" i="16"/>
  <c r="F13" i="16"/>
  <c r="E13" i="16"/>
  <c r="R12" i="16"/>
  <c r="Q12" i="16"/>
  <c r="O12" i="16"/>
  <c r="N12" i="16"/>
  <c r="L12" i="16"/>
  <c r="K12" i="16"/>
  <c r="I12" i="16"/>
  <c r="H12" i="16"/>
  <c r="F12" i="16"/>
  <c r="E12" i="16"/>
  <c r="R11" i="16"/>
  <c r="O11" i="16"/>
  <c r="L11" i="16"/>
  <c r="I11" i="16"/>
  <c r="F11" i="16"/>
  <c r="R10" i="16"/>
  <c r="O10" i="16"/>
  <c r="L10" i="16"/>
  <c r="I10" i="16"/>
  <c r="J12" i="16" s="1"/>
  <c r="F10" i="16"/>
  <c r="R9" i="16"/>
  <c r="O9" i="16"/>
  <c r="L9" i="16"/>
  <c r="I9" i="16"/>
  <c r="F9" i="16"/>
  <c r="R8" i="16"/>
  <c r="O8" i="16"/>
  <c r="L8" i="16"/>
  <c r="I8" i="16"/>
  <c r="F8" i="16"/>
  <c r="R7" i="16"/>
  <c r="O7" i="16"/>
  <c r="L7" i="16"/>
  <c r="I7" i="16"/>
  <c r="F7" i="16"/>
  <c r="R6" i="16"/>
  <c r="O6" i="16"/>
  <c r="L6" i="16"/>
  <c r="I6" i="16"/>
  <c r="F6" i="16"/>
  <c r="R5" i="16"/>
  <c r="O5" i="16"/>
  <c r="P9" i="16" s="1"/>
  <c r="L5" i="16"/>
  <c r="I5" i="16"/>
  <c r="F5" i="16"/>
  <c r="P16" i="16" l="1"/>
  <c r="M13" i="16"/>
  <c r="M16" i="16"/>
  <c r="M15" i="16"/>
  <c r="J16" i="16"/>
  <c r="S15" i="16"/>
  <c r="P12" i="16"/>
  <c r="M11" i="16"/>
  <c r="M12" i="16"/>
  <c r="G13" i="16"/>
  <c r="S13" i="16"/>
  <c r="J13" i="16"/>
  <c r="P11" i="16"/>
  <c r="P13" i="16"/>
  <c r="J11" i="16"/>
  <c r="J9" i="16"/>
  <c r="P6" i="16"/>
  <c r="M7" i="16"/>
  <c r="J8" i="16"/>
  <c r="M6" i="16"/>
  <c r="J6" i="16"/>
  <c r="S7" i="16"/>
  <c r="M9" i="16"/>
  <c r="P15" i="16"/>
  <c r="J15" i="16"/>
  <c r="G12" i="16"/>
  <c r="S12" i="16"/>
  <c r="S6" i="16"/>
  <c r="P7" i="16"/>
  <c r="M8" i="16"/>
  <c r="S8" i="16"/>
  <c r="G6" i="16"/>
  <c r="G7" i="16"/>
  <c r="J7" i="16"/>
  <c r="G8" i="16"/>
  <c r="G9" i="16"/>
  <c r="S9" i="16"/>
  <c r="G11" i="16"/>
  <c r="S11" i="16"/>
  <c r="P8" i="16"/>
  <c r="G15" i="16"/>
  <c r="R16" i="15"/>
  <c r="O16" i="15"/>
  <c r="L16" i="15"/>
  <c r="I16" i="15"/>
  <c r="F16" i="15"/>
  <c r="R15" i="15"/>
  <c r="Q15" i="15"/>
  <c r="O15" i="15"/>
  <c r="N15" i="15"/>
  <c r="L15" i="15"/>
  <c r="I15" i="15"/>
  <c r="F15" i="15"/>
  <c r="R14" i="15"/>
  <c r="S16" i="15" s="1"/>
  <c r="O14" i="15"/>
  <c r="L14" i="15"/>
  <c r="I14" i="15"/>
  <c r="F14" i="15"/>
  <c r="G16" i="15" s="1"/>
  <c r="R13" i="15"/>
  <c r="Q13" i="15"/>
  <c r="O13" i="15"/>
  <c r="N13" i="15"/>
  <c r="L13" i="15"/>
  <c r="K13" i="15"/>
  <c r="I13" i="15"/>
  <c r="H13" i="15"/>
  <c r="F13" i="15"/>
  <c r="E13" i="15"/>
  <c r="R12" i="15"/>
  <c r="Q12" i="15"/>
  <c r="O12" i="15"/>
  <c r="N12" i="15"/>
  <c r="L12" i="15"/>
  <c r="K12" i="15"/>
  <c r="I12" i="15"/>
  <c r="H12" i="15"/>
  <c r="F12" i="15"/>
  <c r="E12" i="15"/>
  <c r="R11" i="15"/>
  <c r="O11" i="15"/>
  <c r="L11" i="15"/>
  <c r="I11" i="15"/>
  <c r="F11" i="15"/>
  <c r="R10" i="15"/>
  <c r="O10" i="15"/>
  <c r="L10" i="15"/>
  <c r="I10" i="15"/>
  <c r="J12" i="15" s="1"/>
  <c r="F10" i="15"/>
  <c r="R9" i="15"/>
  <c r="O9" i="15"/>
  <c r="L9" i="15"/>
  <c r="F9" i="15"/>
  <c r="R8" i="15"/>
  <c r="O8" i="15"/>
  <c r="L8" i="15"/>
  <c r="I8" i="15"/>
  <c r="F8" i="15"/>
  <c r="R7" i="15"/>
  <c r="O7" i="15"/>
  <c r="L7" i="15"/>
  <c r="I7" i="15"/>
  <c r="F7" i="15"/>
  <c r="R6" i="15"/>
  <c r="O6" i="15"/>
  <c r="L6" i="15"/>
  <c r="I6" i="15"/>
  <c r="F6" i="15"/>
  <c r="R5" i="15"/>
  <c r="O5" i="15"/>
  <c r="L5" i="15"/>
  <c r="I5" i="15"/>
  <c r="F5" i="15"/>
  <c r="R16" i="14"/>
  <c r="O16" i="14"/>
  <c r="L16" i="14"/>
  <c r="I16" i="14"/>
  <c r="F16" i="14"/>
  <c r="R15" i="14"/>
  <c r="Q15" i="14"/>
  <c r="O15" i="14"/>
  <c r="N15" i="14"/>
  <c r="L15" i="14"/>
  <c r="I15" i="14"/>
  <c r="R14" i="14"/>
  <c r="O14" i="14"/>
  <c r="L14" i="14"/>
  <c r="I14" i="14"/>
  <c r="F14" i="14"/>
  <c r="R13" i="14"/>
  <c r="Q13" i="14"/>
  <c r="O13" i="14"/>
  <c r="N13" i="14"/>
  <c r="L13" i="14"/>
  <c r="K13" i="14"/>
  <c r="I13" i="14"/>
  <c r="H13" i="14"/>
  <c r="F13" i="14"/>
  <c r="E13" i="14"/>
  <c r="R12" i="14"/>
  <c r="Q12" i="14"/>
  <c r="O12" i="14"/>
  <c r="N12" i="14"/>
  <c r="L12" i="14"/>
  <c r="K12" i="14"/>
  <c r="I12" i="14"/>
  <c r="H12" i="14"/>
  <c r="F12" i="14"/>
  <c r="E12" i="14"/>
  <c r="R11" i="14"/>
  <c r="O11" i="14"/>
  <c r="L11" i="14"/>
  <c r="I11" i="14"/>
  <c r="F11" i="14"/>
  <c r="R10" i="14"/>
  <c r="O10" i="14"/>
  <c r="L10" i="14"/>
  <c r="I10" i="14"/>
  <c r="F10" i="14"/>
  <c r="R9" i="14"/>
  <c r="O9" i="14"/>
  <c r="L9" i="14"/>
  <c r="I9" i="14"/>
  <c r="F9" i="14"/>
  <c r="R8" i="14"/>
  <c r="O8" i="14"/>
  <c r="L8" i="14"/>
  <c r="I8" i="14"/>
  <c r="F8" i="14"/>
  <c r="R7" i="14"/>
  <c r="O7" i="14"/>
  <c r="L7" i="14"/>
  <c r="I7" i="14"/>
  <c r="F7" i="14"/>
  <c r="R6" i="14"/>
  <c r="O6" i="14"/>
  <c r="L6" i="14"/>
  <c r="I6" i="14"/>
  <c r="F6" i="14"/>
  <c r="R5" i="14"/>
  <c r="O5" i="14"/>
  <c r="L5" i="14"/>
  <c r="I5" i="14"/>
  <c r="F5" i="14"/>
  <c r="R16" i="13"/>
  <c r="L16" i="13"/>
  <c r="I16" i="13"/>
  <c r="F16" i="13"/>
  <c r="R15" i="13"/>
  <c r="Q15" i="13"/>
  <c r="O15" i="13"/>
  <c r="N15" i="13"/>
  <c r="L15" i="13"/>
  <c r="I15" i="13"/>
  <c r="F15" i="13"/>
  <c r="R14" i="13"/>
  <c r="O14" i="13"/>
  <c r="L14" i="13"/>
  <c r="M16" i="13" s="1"/>
  <c r="I14" i="13"/>
  <c r="F14" i="13"/>
  <c r="R13" i="13"/>
  <c r="Q13" i="13"/>
  <c r="O13" i="13"/>
  <c r="N13" i="13"/>
  <c r="L13" i="13"/>
  <c r="K13" i="13"/>
  <c r="I13" i="13"/>
  <c r="H13" i="13"/>
  <c r="F13" i="13"/>
  <c r="E13" i="13"/>
  <c r="R12" i="13"/>
  <c r="Q12" i="13"/>
  <c r="O12" i="13"/>
  <c r="N12" i="13"/>
  <c r="L12" i="13"/>
  <c r="K12" i="13"/>
  <c r="I12" i="13"/>
  <c r="H12" i="13"/>
  <c r="F12" i="13"/>
  <c r="E12" i="13"/>
  <c r="R11" i="13"/>
  <c r="O11" i="13"/>
  <c r="L11" i="13"/>
  <c r="I11" i="13"/>
  <c r="F11" i="13"/>
  <c r="R10" i="13"/>
  <c r="O10" i="13"/>
  <c r="L10" i="13"/>
  <c r="I10" i="13"/>
  <c r="F10" i="13"/>
  <c r="R9" i="13"/>
  <c r="O9" i="13"/>
  <c r="L9" i="13"/>
  <c r="I9" i="13"/>
  <c r="F9" i="13"/>
  <c r="R8" i="13"/>
  <c r="O8" i="13"/>
  <c r="L8" i="13"/>
  <c r="I8" i="13"/>
  <c r="F8" i="13"/>
  <c r="R7" i="13"/>
  <c r="O7" i="13"/>
  <c r="L7" i="13"/>
  <c r="I7" i="13"/>
  <c r="F7" i="13"/>
  <c r="R6" i="13"/>
  <c r="O6" i="13"/>
  <c r="L6" i="13"/>
  <c r="I6" i="13"/>
  <c r="F6" i="13"/>
  <c r="R5" i="13"/>
  <c r="O5" i="13"/>
  <c r="L5" i="13"/>
  <c r="I5" i="13"/>
  <c r="F5" i="13"/>
  <c r="R16" i="12"/>
  <c r="O16" i="12"/>
  <c r="L16" i="12"/>
  <c r="I16" i="12"/>
  <c r="F16" i="12"/>
  <c r="R15" i="12"/>
  <c r="Q15" i="12"/>
  <c r="O15" i="12"/>
  <c r="N15" i="12"/>
  <c r="L15" i="12"/>
  <c r="I15" i="12"/>
  <c r="F15" i="12"/>
  <c r="R14" i="12"/>
  <c r="O14" i="12"/>
  <c r="L14" i="12"/>
  <c r="I14" i="12"/>
  <c r="F14" i="12"/>
  <c r="R13" i="12"/>
  <c r="Q13" i="12"/>
  <c r="O13" i="12"/>
  <c r="N13" i="12"/>
  <c r="L13" i="12"/>
  <c r="K13" i="12"/>
  <c r="I13" i="12"/>
  <c r="H13" i="12"/>
  <c r="F13" i="12"/>
  <c r="E13" i="12"/>
  <c r="R12" i="12"/>
  <c r="Q12" i="12"/>
  <c r="O12" i="12"/>
  <c r="N12" i="12"/>
  <c r="L12" i="12"/>
  <c r="K12" i="12"/>
  <c r="I12" i="12"/>
  <c r="H12" i="12"/>
  <c r="F12" i="12"/>
  <c r="E12" i="12"/>
  <c r="R11" i="12"/>
  <c r="O11" i="12"/>
  <c r="L11" i="12"/>
  <c r="I11" i="12"/>
  <c r="F11" i="12"/>
  <c r="R10" i="12"/>
  <c r="O10" i="12"/>
  <c r="P13" i="12" s="1"/>
  <c r="L10" i="12"/>
  <c r="I10" i="12"/>
  <c r="F10" i="12"/>
  <c r="R9" i="12"/>
  <c r="O9" i="12"/>
  <c r="L9" i="12"/>
  <c r="I9" i="12"/>
  <c r="F9" i="12"/>
  <c r="R8" i="12"/>
  <c r="O8" i="12"/>
  <c r="L8" i="12"/>
  <c r="I8" i="12"/>
  <c r="F8" i="12"/>
  <c r="R7" i="12"/>
  <c r="O7" i="12"/>
  <c r="L7" i="12"/>
  <c r="I7" i="12"/>
  <c r="F7" i="12"/>
  <c r="R6" i="12"/>
  <c r="O6" i="12"/>
  <c r="L6" i="12"/>
  <c r="I6" i="12"/>
  <c r="F6" i="12"/>
  <c r="R5" i="12"/>
  <c r="O5" i="12"/>
  <c r="L5" i="12"/>
  <c r="I5" i="12"/>
  <c r="F5" i="12"/>
  <c r="R16" i="11"/>
  <c r="O16" i="11"/>
  <c r="L16" i="11"/>
  <c r="I16" i="11"/>
  <c r="F16" i="11"/>
  <c r="R15" i="11"/>
  <c r="Q15" i="11"/>
  <c r="O15" i="11"/>
  <c r="N15" i="11"/>
  <c r="L15" i="11"/>
  <c r="I15" i="11"/>
  <c r="F15" i="11"/>
  <c r="R14" i="11"/>
  <c r="O14" i="11"/>
  <c r="L14" i="11"/>
  <c r="I14" i="11"/>
  <c r="F14" i="11"/>
  <c r="R13" i="11"/>
  <c r="Q13" i="11"/>
  <c r="O13" i="11"/>
  <c r="N13" i="11"/>
  <c r="L13" i="11"/>
  <c r="K13" i="11"/>
  <c r="I13" i="11"/>
  <c r="H13" i="11"/>
  <c r="F13" i="11"/>
  <c r="E13" i="11"/>
  <c r="R12" i="11"/>
  <c r="Q12" i="11"/>
  <c r="O12" i="11"/>
  <c r="N12" i="11"/>
  <c r="L12" i="11"/>
  <c r="K12" i="11"/>
  <c r="I12" i="11"/>
  <c r="H12" i="11"/>
  <c r="F12" i="11"/>
  <c r="E12" i="11"/>
  <c r="R11" i="11"/>
  <c r="O11" i="11"/>
  <c r="L11" i="11"/>
  <c r="I11" i="11"/>
  <c r="F11" i="11"/>
  <c r="R10" i="11"/>
  <c r="O10" i="11"/>
  <c r="L10" i="11"/>
  <c r="I10" i="11"/>
  <c r="F10" i="11"/>
  <c r="R9" i="11"/>
  <c r="O9" i="11"/>
  <c r="L9" i="11"/>
  <c r="F9" i="11"/>
  <c r="R8" i="11"/>
  <c r="O8" i="11"/>
  <c r="L8" i="11"/>
  <c r="I8" i="11"/>
  <c r="F8" i="11"/>
  <c r="R7" i="11"/>
  <c r="O7" i="11"/>
  <c r="L7" i="11"/>
  <c r="I7" i="11"/>
  <c r="F7" i="11"/>
  <c r="R6" i="11"/>
  <c r="O6" i="11"/>
  <c r="L6" i="11"/>
  <c r="I6" i="11"/>
  <c r="F6" i="11"/>
  <c r="R5" i="11"/>
  <c r="O5" i="11"/>
  <c r="L5" i="11"/>
  <c r="I5" i="11"/>
  <c r="F5" i="11"/>
  <c r="S16" i="13" l="1"/>
  <c r="M16" i="14"/>
  <c r="S16" i="11"/>
  <c r="P13" i="15"/>
  <c r="J12" i="12"/>
  <c r="S16" i="12"/>
  <c r="S16" i="14"/>
  <c r="G16" i="11"/>
  <c r="P12" i="15"/>
  <c r="G12" i="15"/>
  <c r="S12" i="15"/>
  <c r="P11" i="15"/>
  <c r="S9" i="11"/>
  <c r="P15" i="15"/>
  <c r="G16" i="13"/>
  <c r="P16" i="15"/>
  <c r="M13" i="15"/>
  <c r="M12" i="15"/>
  <c r="M11" i="15"/>
  <c r="S13" i="15"/>
  <c r="G13" i="15"/>
  <c r="S11" i="15"/>
  <c r="S9" i="15"/>
  <c r="G9" i="15"/>
  <c r="P9" i="11"/>
  <c r="J8" i="15"/>
  <c r="G6" i="15"/>
  <c r="S6" i="15"/>
  <c r="S7" i="15"/>
  <c r="M8" i="15"/>
  <c r="G7" i="15"/>
  <c r="G8" i="15"/>
  <c r="P6" i="15"/>
  <c r="S8" i="15"/>
  <c r="M15" i="15"/>
  <c r="M16" i="15"/>
  <c r="J13" i="15"/>
  <c r="J11" i="15"/>
  <c r="P7" i="15"/>
  <c r="M7" i="15"/>
  <c r="J15" i="15"/>
  <c r="J16" i="15"/>
  <c r="J9" i="15"/>
  <c r="P8" i="15"/>
  <c r="M9" i="15"/>
  <c r="M6" i="15"/>
  <c r="J7" i="15"/>
  <c r="P9" i="15"/>
  <c r="J6" i="15"/>
  <c r="G15" i="15"/>
  <c r="S15" i="15"/>
  <c r="G11" i="15"/>
  <c r="G16" i="12"/>
  <c r="G16" i="14"/>
  <c r="P15" i="14"/>
  <c r="P16" i="14"/>
  <c r="G13" i="14"/>
  <c r="S13" i="14"/>
  <c r="M11" i="14"/>
  <c r="M12" i="14"/>
  <c r="S11" i="14"/>
  <c r="M13" i="14"/>
  <c r="P12" i="14"/>
  <c r="G12" i="14"/>
  <c r="S12" i="14"/>
  <c r="P13" i="14"/>
  <c r="P11" i="14"/>
  <c r="G9" i="14"/>
  <c r="G6" i="14"/>
  <c r="S7" i="14"/>
  <c r="J8" i="14"/>
  <c r="S6" i="14"/>
  <c r="P6" i="14"/>
  <c r="J13" i="14"/>
  <c r="G7" i="14"/>
  <c r="P7" i="14"/>
  <c r="M6" i="14"/>
  <c r="J7" i="14"/>
  <c r="G8" i="14"/>
  <c r="S8" i="14"/>
  <c r="P9" i="14"/>
  <c r="J9" i="14"/>
  <c r="M8" i="14"/>
  <c r="P8" i="14"/>
  <c r="M9" i="14"/>
  <c r="J11" i="14"/>
  <c r="J12" i="14"/>
  <c r="M15" i="14"/>
  <c r="J16" i="14"/>
  <c r="J15" i="14"/>
  <c r="M7" i="14"/>
  <c r="S9" i="14"/>
  <c r="G15" i="14"/>
  <c r="S15" i="14"/>
  <c r="J6" i="14"/>
  <c r="G11" i="14"/>
  <c r="S15" i="13"/>
  <c r="J15" i="13"/>
  <c r="G15" i="13"/>
  <c r="M11" i="13"/>
  <c r="M12" i="13"/>
  <c r="G13" i="13"/>
  <c r="S11" i="13"/>
  <c r="M13" i="13"/>
  <c r="S13" i="13"/>
  <c r="G12" i="13"/>
  <c r="S12" i="13"/>
  <c r="G11" i="13"/>
  <c r="P13" i="13"/>
  <c r="S7" i="13"/>
  <c r="P8" i="13"/>
  <c r="J8" i="13"/>
  <c r="J13" i="13"/>
  <c r="M15" i="13"/>
  <c r="J16" i="13"/>
  <c r="J7" i="13"/>
  <c r="G9" i="13"/>
  <c r="S9" i="13"/>
  <c r="P7" i="13"/>
  <c r="J9" i="13"/>
  <c r="G7" i="13"/>
  <c r="M7" i="13"/>
  <c r="J6" i="13"/>
  <c r="P9" i="13"/>
  <c r="M8" i="13"/>
  <c r="P6" i="13"/>
  <c r="J11" i="13"/>
  <c r="J12" i="13"/>
  <c r="M6" i="13"/>
  <c r="G8" i="13"/>
  <c r="S8" i="13"/>
  <c r="M9" i="13"/>
  <c r="P12" i="13"/>
  <c r="P16" i="13"/>
  <c r="G6" i="13"/>
  <c r="S6" i="13"/>
  <c r="P11" i="13"/>
  <c r="P15" i="13"/>
  <c r="M15" i="12"/>
  <c r="M16" i="11"/>
  <c r="J15" i="12"/>
  <c r="G15" i="12"/>
  <c r="S15" i="12"/>
  <c r="P16" i="12"/>
  <c r="G13" i="12"/>
  <c r="S13" i="12"/>
  <c r="G12" i="12"/>
  <c r="S12" i="12"/>
  <c r="J13" i="12"/>
  <c r="M13" i="11"/>
  <c r="J11" i="12"/>
  <c r="P11" i="12"/>
  <c r="S11" i="12"/>
  <c r="P12" i="12"/>
  <c r="M13" i="12"/>
  <c r="M9" i="12"/>
  <c r="P8" i="12"/>
  <c r="P9" i="12"/>
  <c r="J16" i="12"/>
  <c r="G11" i="12"/>
  <c r="P6" i="12"/>
  <c r="S8" i="12"/>
  <c r="J9" i="12"/>
  <c r="S7" i="12"/>
  <c r="S9" i="12"/>
  <c r="G7" i="12"/>
  <c r="G8" i="12"/>
  <c r="J6" i="12"/>
  <c r="J7" i="12"/>
  <c r="J8" i="12"/>
  <c r="M6" i="12"/>
  <c r="M7" i="12"/>
  <c r="M8" i="12"/>
  <c r="G6" i="12"/>
  <c r="S6" i="12"/>
  <c r="G9" i="12"/>
  <c r="P7" i="12"/>
  <c r="M12" i="12"/>
  <c r="P15" i="12"/>
  <c r="M16" i="12"/>
  <c r="M11" i="12"/>
  <c r="J15" i="11"/>
  <c r="P15" i="11"/>
  <c r="J16" i="11"/>
  <c r="P16" i="11"/>
  <c r="M12" i="11"/>
  <c r="S12" i="11"/>
  <c r="P11" i="11"/>
  <c r="P12" i="11"/>
  <c r="P13" i="11"/>
  <c r="J11" i="11"/>
  <c r="G9" i="11"/>
  <c r="J9" i="11"/>
  <c r="P6" i="11"/>
  <c r="P8" i="11"/>
  <c r="M8" i="11"/>
  <c r="S7" i="11"/>
  <c r="M15" i="11"/>
  <c r="G8" i="11"/>
  <c r="G7" i="11"/>
  <c r="S6" i="11"/>
  <c r="S8" i="11"/>
  <c r="P7" i="11"/>
  <c r="G6" i="11"/>
  <c r="J8" i="11"/>
  <c r="J7" i="11"/>
  <c r="M9" i="11"/>
  <c r="M6" i="11"/>
  <c r="M7" i="11"/>
  <c r="S13" i="11"/>
  <c r="J13" i="11"/>
  <c r="M11" i="11"/>
  <c r="J12" i="11"/>
  <c r="G12" i="11"/>
  <c r="G13" i="11"/>
  <c r="G11" i="11"/>
  <c r="S11" i="11"/>
  <c r="G15" i="11"/>
  <c r="S15" i="11"/>
  <c r="J6" i="11"/>
  <c r="R16" i="10"/>
  <c r="O16" i="10"/>
  <c r="L16" i="10"/>
  <c r="I16" i="10"/>
  <c r="F16" i="10"/>
  <c r="R15" i="10"/>
  <c r="Q15" i="10"/>
  <c r="O15" i="10"/>
  <c r="N15" i="10"/>
  <c r="L15" i="10"/>
  <c r="I15" i="10"/>
  <c r="F15" i="10"/>
  <c r="R14" i="10"/>
  <c r="O14" i="10"/>
  <c r="L14" i="10"/>
  <c r="I14" i="10"/>
  <c r="F14" i="10"/>
  <c r="R13" i="10"/>
  <c r="Q13" i="10"/>
  <c r="O13" i="10"/>
  <c r="N13" i="10"/>
  <c r="L13" i="10"/>
  <c r="K13" i="10"/>
  <c r="I13" i="10"/>
  <c r="H13" i="10"/>
  <c r="F13" i="10"/>
  <c r="E13" i="10"/>
  <c r="R12" i="10"/>
  <c r="Q12" i="10"/>
  <c r="O12" i="10"/>
  <c r="N12" i="10"/>
  <c r="L12" i="10"/>
  <c r="K12" i="10"/>
  <c r="I12" i="10"/>
  <c r="H12" i="10"/>
  <c r="F12" i="10"/>
  <c r="E12" i="10"/>
  <c r="R11" i="10"/>
  <c r="O11" i="10"/>
  <c r="L11" i="10"/>
  <c r="I11" i="10"/>
  <c r="F11" i="10"/>
  <c r="R10" i="10"/>
  <c r="O10" i="10"/>
  <c r="L10" i="10"/>
  <c r="I10" i="10"/>
  <c r="F10" i="10"/>
  <c r="R9" i="10"/>
  <c r="O9" i="10"/>
  <c r="L9" i="10"/>
  <c r="I9" i="10"/>
  <c r="F9" i="10"/>
  <c r="R8" i="10"/>
  <c r="O8" i="10"/>
  <c r="L8" i="10"/>
  <c r="I8" i="10"/>
  <c r="F8" i="10"/>
  <c r="R7" i="10"/>
  <c r="O7" i="10"/>
  <c r="L7" i="10"/>
  <c r="I7" i="10"/>
  <c r="F7" i="10"/>
  <c r="R6" i="10"/>
  <c r="O6" i="10"/>
  <c r="L6" i="10"/>
  <c r="I6" i="10"/>
  <c r="F6" i="10"/>
  <c r="R5" i="10"/>
  <c r="O5" i="10"/>
  <c r="L5" i="10"/>
  <c r="I5" i="10"/>
  <c r="F5" i="10"/>
  <c r="R16" i="9"/>
  <c r="O16" i="9"/>
  <c r="L16" i="9"/>
  <c r="I16" i="9"/>
  <c r="F16" i="9"/>
  <c r="R15" i="9"/>
  <c r="Q15" i="9"/>
  <c r="O15" i="9"/>
  <c r="N15" i="9"/>
  <c r="L15" i="9"/>
  <c r="I15" i="9"/>
  <c r="F15" i="9"/>
  <c r="R14" i="9"/>
  <c r="O14" i="9"/>
  <c r="L14" i="9"/>
  <c r="I14" i="9"/>
  <c r="F14" i="9"/>
  <c r="R13" i="9"/>
  <c r="Q13" i="9"/>
  <c r="O13" i="9"/>
  <c r="N13" i="9"/>
  <c r="L13" i="9"/>
  <c r="K13" i="9"/>
  <c r="I13" i="9"/>
  <c r="H13" i="9"/>
  <c r="F13" i="9"/>
  <c r="E13" i="9"/>
  <c r="R12" i="9"/>
  <c r="Q12" i="9"/>
  <c r="O12" i="9"/>
  <c r="N12" i="9"/>
  <c r="L12" i="9"/>
  <c r="K12" i="9"/>
  <c r="I12" i="9"/>
  <c r="H12" i="9"/>
  <c r="F12" i="9"/>
  <c r="E12" i="9"/>
  <c r="R11" i="9"/>
  <c r="O11" i="9"/>
  <c r="L11" i="9"/>
  <c r="I11" i="9"/>
  <c r="F11" i="9"/>
  <c r="R10" i="9"/>
  <c r="O10" i="9"/>
  <c r="L10" i="9"/>
  <c r="I10" i="9"/>
  <c r="F10" i="9"/>
  <c r="R9" i="9"/>
  <c r="O9" i="9"/>
  <c r="L9" i="9"/>
  <c r="I9" i="9"/>
  <c r="F9" i="9"/>
  <c r="R8" i="9"/>
  <c r="O8" i="9"/>
  <c r="L8" i="9"/>
  <c r="I8" i="9"/>
  <c r="F8" i="9"/>
  <c r="R7" i="9"/>
  <c r="O7" i="9"/>
  <c r="L7" i="9"/>
  <c r="I7" i="9"/>
  <c r="F7" i="9"/>
  <c r="R6" i="9"/>
  <c r="O6" i="9"/>
  <c r="L6" i="9"/>
  <c r="I6" i="9"/>
  <c r="F6" i="9"/>
  <c r="R5" i="9"/>
  <c r="O5" i="9"/>
  <c r="L5" i="9"/>
  <c r="I5" i="9"/>
  <c r="J9" i="9" s="1"/>
  <c r="F5" i="9"/>
  <c r="M16" i="10" l="1"/>
  <c r="M16" i="9"/>
  <c r="S16" i="9"/>
  <c r="S9" i="9"/>
  <c r="M9" i="9"/>
  <c r="S16" i="10"/>
  <c r="S13" i="10"/>
  <c r="M9" i="10"/>
  <c r="P15" i="10"/>
  <c r="G16" i="10"/>
  <c r="S15" i="10"/>
  <c r="M13" i="10"/>
  <c r="M11" i="10"/>
  <c r="M12" i="10"/>
  <c r="P12" i="10"/>
  <c r="G12" i="10"/>
  <c r="S12" i="10"/>
  <c r="J11" i="10"/>
  <c r="P13" i="10"/>
  <c r="P11" i="10"/>
  <c r="J12" i="10"/>
  <c r="G13" i="10"/>
  <c r="S9" i="10"/>
  <c r="P7" i="10"/>
  <c r="P6" i="10"/>
  <c r="P8" i="10"/>
  <c r="G7" i="10"/>
  <c r="J6" i="10"/>
  <c r="S7" i="10"/>
  <c r="S6" i="10"/>
  <c r="J7" i="10"/>
  <c r="G8" i="10"/>
  <c r="S8" i="10"/>
  <c r="P9" i="10"/>
  <c r="J16" i="10"/>
  <c r="P16" i="10"/>
  <c r="M15" i="10"/>
  <c r="J15" i="10"/>
  <c r="M13" i="9"/>
  <c r="P12" i="9"/>
  <c r="J13" i="10"/>
  <c r="M6" i="10"/>
  <c r="M8" i="10"/>
  <c r="M7" i="10"/>
  <c r="J9" i="10"/>
  <c r="J8" i="10"/>
  <c r="G9" i="10"/>
  <c r="G6" i="10"/>
  <c r="G11" i="10"/>
  <c r="S11" i="10"/>
  <c r="G15" i="10"/>
  <c r="G16" i="9"/>
  <c r="J15" i="9"/>
  <c r="P15" i="9"/>
  <c r="P16" i="9"/>
  <c r="M15" i="9"/>
  <c r="J16" i="9"/>
  <c r="M12" i="9"/>
  <c r="G12" i="9"/>
  <c r="P11" i="9"/>
  <c r="G6" i="9"/>
  <c r="G7" i="9"/>
  <c r="S7" i="9"/>
  <c r="S6" i="9"/>
  <c r="P8" i="9"/>
  <c r="M6" i="9"/>
  <c r="J7" i="9"/>
  <c r="G8" i="9"/>
  <c r="S8" i="9"/>
  <c r="P9" i="9"/>
  <c r="P7" i="9"/>
  <c r="P6" i="9"/>
  <c r="M7" i="9"/>
  <c r="J8" i="9"/>
  <c r="G9" i="9"/>
  <c r="M8" i="9"/>
  <c r="J11" i="9"/>
  <c r="S13" i="9"/>
  <c r="J13" i="9"/>
  <c r="M11" i="9"/>
  <c r="J12" i="9"/>
  <c r="P13" i="9"/>
  <c r="S12" i="9"/>
  <c r="G13" i="9"/>
  <c r="G11" i="9"/>
  <c r="S11" i="9"/>
  <c r="G15" i="9"/>
  <c r="S15" i="9"/>
  <c r="J6" i="9"/>
  <c r="F12" i="8"/>
  <c r="R14" i="8"/>
  <c r="O14" i="8"/>
  <c r="L14" i="8"/>
  <c r="I14" i="8"/>
  <c r="F14" i="8"/>
  <c r="F10" i="8"/>
  <c r="R16" i="8"/>
  <c r="O16" i="8"/>
  <c r="L16" i="8"/>
  <c r="I16" i="8"/>
  <c r="R15" i="8"/>
  <c r="O15" i="8"/>
  <c r="L15" i="8"/>
  <c r="I15" i="8"/>
  <c r="F15" i="8"/>
  <c r="Q15" i="8"/>
  <c r="N15" i="8"/>
  <c r="F11" i="8"/>
  <c r="R13" i="8"/>
  <c r="Q13" i="8"/>
  <c r="O13" i="8"/>
  <c r="N13" i="8"/>
  <c r="L13" i="8"/>
  <c r="K13" i="8"/>
  <c r="I13" i="8"/>
  <c r="H13" i="8"/>
  <c r="F13" i="8"/>
  <c r="E13" i="8"/>
  <c r="Q12" i="8"/>
  <c r="N12" i="8"/>
  <c r="K12" i="8"/>
  <c r="H12" i="8"/>
  <c r="R12" i="8"/>
  <c r="O12" i="8"/>
  <c r="L12" i="8"/>
  <c r="I12" i="8"/>
  <c r="E12" i="8"/>
  <c r="R10" i="8"/>
  <c r="O10" i="8"/>
  <c r="L10" i="8"/>
  <c r="I10" i="8"/>
  <c r="F5" i="8"/>
  <c r="R11" i="8"/>
  <c r="O11" i="8"/>
  <c r="L11" i="8"/>
  <c r="I11" i="8"/>
  <c r="R9" i="8"/>
  <c r="O9" i="8"/>
  <c r="L9" i="8"/>
  <c r="I9" i="8"/>
  <c r="F9" i="8"/>
  <c r="R8" i="8"/>
  <c r="O8" i="8"/>
  <c r="L8" i="8"/>
  <c r="I8" i="8"/>
  <c r="F8" i="8"/>
  <c r="R7" i="8"/>
  <c r="O7" i="8"/>
  <c r="L7" i="8"/>
  <c r="I7" i="8"/>
  <c r="F7" i="8"/>
  <c r="R6" i="8"/>
  <c r="O6" i="8"/>
  <c r="L6" i="8"/>
  <c r="I6" i="8"/>
  <c r="F6" i="8"/>
  <c r="R5" i="8"/>
  <c r="O5" i="8"/>
  <c r="L5" i="8"/>
  <c r="I5" i="8"/>
  <c r="J9" i="8" l="1"/>
  <c r="J15" i="8"/>
  <c r="J16" i="8"/>
  <c r="S11" i="8"/>
  <c r="J12" i="8"/>
  <c r="M13" i="8"/>
  <c r="S13" i="8"/>
  <c r="P12" i="8"/>
  <c r="G13" i="8"/>
  <c r="M11" i="8"/>
  <c r="J11" i="8"/>
  <c r="S12" i="8"/>
  <c r="J13" i="8"/>
  <c r="P13" i="8"/>
  <c r="P11" i="8"/>
  <c r="M12" i="8"/>
  <c r="M8" i="8"/>
  <c r="G7" i="8"/>
  <c r="M9" i="8"/>
  <c r="M15" i="8"/>
  <c r="M16" i="8"/>
  <c r="G15" i="8"/>
  <c r="S15" i="8"/>
  <c r="P16" i="8"/>
  <c r="P15" i="8"/>
  <c r="G16" i="8"/>
  <c r="S16" i="8"/>
  <c r="G12" i="8"/>
  <c r="G11" i="8"/>
  <c r="P8" i="8"/>
  <c r="M6" i="8"/>
  <c r="S6" i="8"/>
  <c r="M7" i="8"/>
  <c r="J7" i="8"/>
  <c r="S7" i="8"/>
  <c r="J6" i="8"/>
  <c r="S9" i="8"/>
  <c r="P7" i="8"/>
  <c r="J8" i="8"/>
  <c r="G8" i="8"/>
  <c r="G9" i="8"/>
  <c r="S8" i="8"/>
  <c r="P9" i="8"/>
  <c r="P6" i="8"/>
  <c r="G6" i="8"/>
  <c r="J170" i="4"/>
  <c r="I170" i="4"/>
  <c r="H170" i="4"/>
  <c r="G170" i="4"/>
  <c r="F170" i="4"/>
  <c r="D170" i="4"/>
  <c r="J169" i="4"/>
  <c r="I169" i="4"/>
  <c r="H169" i="4"/>
  <c r="G169" i="4"/>
  <c r="F169" i="4"/>
  <c r="D169" i="4"/>
  <c r="J157" i="4"/>
  <c r="I157" i="4"/>
  <c r="H157" i="4"/>
  <c r="G157" i="4"/>
  <c r="F157" i="4"/>
  <c r="D157" i="4"/>
  <c r="J156" i="4"/>
  <c r="I156" i="4"/>
  <c r="H156" i="4"/>
  <c r="G156" i="4"/>
  <c r="F156" i="4"/>
  <c r="D156" i="4"/>
  <c r="J144" i="4"/>
  <c r="I144" i="4"/>
  <c r="H144" i="4"/>
  <c r="G144" i="4"/>
  <c r="F144" i="4"/>
  <c r="D144" i="4"/>
  <c r="J143" i="4"/>
  <c r="I143" i="4"/>
  <c r="H143" i="4"/>
  <c r="G143" i="4"/>
  <c r="F143" i="4"/>
  <c r="D143" i="4"/>
  <c r="J131" i="4"/>
  <c r="I131" i="4"/>
  <c r="H131" i="4"/>
  <c r="G131" i="4"/>
  <c r="F131" i="4"/>
  <c r="D131" i="4"/>
  <c r="J130" i="4"/>
  <c r="I130" i="4"/>
  <c r="H130" i="4"/>
  <c r="G130" i="4"/>
  <c r="F130" i="4"/>
  <c r="D130" i="4"/>
  <c r="J118" i="4"/>
  <c r="I118" i="4"/>
  <c r="H118" i="4"/>
  <c r="G118" i="4"/>
  <c r="F118" i="4"/>
  <c r="D118" i="4"/>
  <c r="J117" i="4"/>
  <c r="I117" i="4"/>
  <c r="H117" i="4"/>
  <c r="G117" i="4"/>
  <c r="F117" i="4"/>
  <c r="D117" i="4"/>
  <c r="J105" i="4"/>
  <c r="I105" i="4"/>
  <c r="H105" i="4"/>
  <c r="G105" i="4"/>
  <c r="F105" i="4"/>
  <c r="D105" i="4"/>
  <c r="J104" i="4"/>
  <c r="I104" i="4"/>
  <c r="H104" i="4"/>
  <c r="G104" i="4"/>
  <c r="F104" i="4"/>
  <c r="D104" i="4"/>
  <c r="J92" i="4"/>
  <c r="I92" i="4"/>
  <c r="H92" i="4"/>
  <c r="G92" i="4"/>
  <c r="F92" i="4"/>
  <c r="D92" i="4"/>
  <c r="J91" i="4"/>
  <c r="I91" i="4"/>
  <c r="H91" i="4"/>
  <c r="G91" i="4"/>
  <c r="F91" i="4"/>
  <c r="D91" i="4"/>
  <c r="J79" i="4"/>
  <c r="I79" i="4"/>
  <c r="H79" i="4"/>
  <c r="G79" i="4"/>
  <c r="F79" i="4"/>
  <c r="D79" i="4"/>
  <c r="J78" i="4"/>
  <c r="I78" i="4"/>
  <c r="H78" i="4"/>
  <c r="G78" i="4"/>
  <c r="F78" i="4"/>
  <c r="D78" i="4"/>
  <c r="J66" i="4"/>
  <c r="I66" i="4"/>
  <c r="H66" i="4"/>
  <c r="G66" i="4"/>
  <c r="F66" i="4"/>
  <c r="D66" i="4"/>
  <c r="J65" i="4"/>
  <c r="I65" i="4"/>
  <c r="H65" i="4"/>
  <c r="G65" i="4"/>
  <c r="F65" i="4"/>
  <c r="D65" i="4"/>
  <c r="J53" i="4"/>
  <c r="I53" i="4"/>
  <c r="H53" i="4"/>
  <c r="G53" i="4"/>
  <c r="F53" i="4"/>
  <c r="D53" i="4"/>
  <c r="J52" i="4"/>
  <c r="I52" i="4"/>
  <c r="H52" i="4"/>
  <c r="G52" i="4"/>
  <c r="F52" i="4"/>
  <c r="D52" i="4"/>
  <c r="J40" i="4"/>
  <c r="I40" i="4"/>
  <c r="H40" i="4"/>
  <c r="G40" i="4"/>
  <c r="F40" i="4"/>
  <c r="D40" i="4"/>
  <c r="J39" i="4"/>
  <c r="I39" i="4"/>
  <c r="H39" i="4"/>
  <c r="G39" i="4"/>
  <c r="F39" i="4"/>
  <c r="D39" i="4"/>
  <c r="J27" i="4"/>
  <c r="I27" i="4"/>
  <c r="H27" i="4"/>
  <c r="G27" i="4"/>
  <c r="D27" i="4"/>
  <c r="J26" i="4"/>
  <c r="I26" i="4"/>
  <c r="H26" i="4"/>
  <c r="G26" i="4"/>
  <c r="F26" i="4"/>
  <c r="D26" i="4"/>
  <c r="J14" i="4"/>
  <c r="I14" i="4"/>
  <c r="H14" i="4"/>
  <c r="G14" i="4"/>
  <c r="J79" i="6"/>
  <c r="P79" i="6" s="1"/>
  <c r="D14" i="4"/>
  <c r="J13" i="4"/>
  <c r="I13" i="4"/>
  <c r="H13" i="4"/>
  <c r="J2" i="6" s="1"/>
  <c r="G2" i="6" s="1"/>
  <c r="G13" i="4"/>
  <c r="F13" i="4"/>
  <c r="D13" i="4"/>
  <c r="D4" i="4"/>
  <c r="J167" i="4"/>
  <c r="I167" i="4"/>
  <c r="H167" i="4"/>
  <c r="G167" i="4"/>
  <c r="F167" i="4"/>
  <c r="D167" i="4"/>
  <c r="J166" i="4"/>
  <c r="I166" i="4"/>
  <c r="H166" i="4"/>
  <c r="G166" i="4"/>
  <c r="F166" i="4"/>
  <c r="D166" i="4"/>
  <c r="J165" i="4"/>
  <c r="I165" i="4"/>
  <c r="H165" i="4"/>
  <c r="G165" i="4"/>
  <c r="F165" i="4"/>
  <c r="D165" i="4"/>
  <c r="J154" i="4"/>
  <c r="I154" i="4"/>
  <c r="H154" i="4"/>
  <c r="G154" i="4"/>
  <c r="F154" i="4"/>
  <c r="D154" i="4"/>
  <c r="J153" i="4"/>
  <c r="I153" i="4"/>
  <c r="H153" i="4"/>
  <c r="G153" i="4"/>
  <c r="F153" i="4"/>
  <c r="D153" i="4"/>
  <c r="J152" i="4"/>
  <c r="I152" i="4"/>
  <c r="H152" i="4"/>
  <c r="G152" i="4"/>
  <c r="F152" i="4"/>
  <c r="D152" i="4"/>
  <c r="J141" i="4"/>
  <c r="I141" i="4"/>
  <c r="H141" i="4"/>
  <c r="G141" i="4"/>
  <c r="F141" i="4"/>
  <c r="D141" i="4"/>
  <c r="J140" i="4"/>
  <c r="I140" i="4"/>
  <c r="H140" i="4"/>
  <c r="G140" i="4"/>
  <c r="F140" i="4"/>
  <c r="D140" i="4"/>
  <c r="J139" i="4"/>
  <c r="I139" i="4"/>
  <c r="H139" i="4"/>
  <c r="G139" i="4"/>
  <c r="F139" i="4"/>
  <c r="D139" i="4"/>
  <c r="J128" i="4"/>
  <c r="I128" i="4"/>
  <c r="H128" i="4"/>
  <c r="G128" i="4"/>
  <c r="F128" i="4"/>
  <c r="D128" i="4"/>
  <c r="J127" i="4"/>
  <c r="I127" i="4"/>
  <c r="H127" i="4"/>
  <c r="G127" i="4"/>
  <c r="F127" i="4"/>
  <c r="D127" i="4"/>
  <c r="J126" i="4"/>
  <c r="I126" i="4"/>
  <c r="H126" i="4"/>
  <c r="G126" i="4"/>
  <c r="F126" i="4"/>
  <c r="D126" i="4"/>
  <c r="J115" i="4"/>
  <c r="I115" i="4"/>
  <c r="H115" i="4"/>
  <c r="G115" i="4"/>
  <c r="F115" i="4"/>
  <c r="D115" i="4"/>
  <c r="J114" i="4"/>
  <c r="I114" i="4"/>
  <c r="H114" i="4"/>
  <c r="G114" i="4"/>
  <c r="F114" i="4"/>
  <c r="D114" i="4"/>
  <c r="J113" i="4"/>
  <c r="I113" i="4"/>
  <c r="H113" i="4"/>
  <c r="G113" i="4"/>
  <c r="F113" i="4"/>
  <c r="D113" i="4"/>
  <c r="J102" i="4"/>
  <c r="I102" i="4"/>
  <c r="H102" i="4"/>
  <c r="G102" i="4"/>
  <c r="F102" i="4"/>
  <c r="D102" i="4"/>
  <c r="J101" i="4"/>
  <c r="I101" i="4"/>
  <c r="H101" i="4"/>
  <c r="G101" i="4"/>
  <c r="F101" i="4"/>
  <c r="D101" i="4"/>
  <c r="J100" i="4"/>
  <c r="I100" i="4"/>
  <c r="H100" i="4"/>
  <c r="G100" i="4"/>
  <c r="F100" i="4"/>
  <c r="D100" i="4"/>
  <c r="J89" i="4"/>
  <c r="I89" i="4"/>
  <c r="H89" i="4"/>
  <c r="G89" i="4"/>
  <c r="F89" i="4"/>
  <c r="D89" i="4"/>
  <c r="J88" i="4"/>
  <c r="I88" i="4"/>
  <c r="H88" i="4"/>
  <c r="G88" i="4"/>
  <c r="F88" i="4"/>
  <c r="D88" i="4"/>
  <c r="J87" i="4"/>
  <c r="I87" i="4"/>
  <c r="H87" i="4"/>
  <c r="G87" i="4"/>
  <c r="F87" i="4"/>
  <c r="D87" i="4"/>
  <c r="J76" i="4"/>
  <c r="I76" i="4"/>
  <c r="H76" i="4"/>
  <c r="G76" i="4"/>
  <c r="F76" i="4"/>
  <c r="D76" i="4"/>
  <c r="J75" i="4"/>
  <c r="I75" i="4"/>
  <c r="H75" i="4"/>
  <c r="G75" i="4"/>
  <c r="F75" i="4"/>
  <c r="D75" i="4"/>
  <c r="J74" i="4"/>
  <c r="I74" i="4"/>
  <c r="H74" i="4"/>
  <c r="G74" i="4"/>
  <c r="F74" i="4"/>
  <c r="D74" i="4"/>
  <c r="J63" i="4"/>
  <c r="I63" i="4"/>
  <c r="H63" i="4"/>
  <c r="G63" i="4"/>
  <c r="F63" i="4"/>
  <c r="D63" i="4"/>
  <c r="J62" i="4"/>
  <c r="I62" i="4"/>
  <c r="H62" i="4"/>
  <c r="G62" i="4"/>
  <c r="F62" i="4"/>
  <c r="D62" i="4"/>
  <c r="J61" i="4"/>
  <c r="I61" i="4"/>
  <c r="H61" i="4"/>
  <c r="G61" i="4"/>
  <c r="F61" i="4"/>
  <c r="D61" i="4"/>
  <c r="J50" i="4"/>
  <c r="I50" i="4"/>
  <c r="H50" i="4"/>
  <c r="G50" i="4"/>
  <c r="F50" i="4"/>
  <c r="D50" i="4"/>
  <c r="J49" i="4"/>
  <c r="I49" i="4"/>
  <c r="H49" i="4"/>
  <c r="G49" i="4"/>
  <c r="F49" i="4"/>
  <c r="D49" i="4"/>
  <c r="J48" i="4"/>
  <c r="I48" i="4"/>
  <c r="H48" i="4"/>
  <c r="G48" i="4"/>
  <c r="F48" i="4"/>
  <c r="D48" i="4"/>
  <c r="J37" i="4"/>
  <c r="I37" i="4"/>
  <c r="H37" i="4"/>
  <c r="G37" i="4"/>
  <c r="F37" i="4"/>
  <c r="D37" i="4"/>
  <c r="J36" i="4"/>
  <c r="I36" i="4"/>
  <c r="H36" i="4"/>
  <c r="G36" i="4"/>
  <c r="F36" i="4"/>
  <c r="D36" i="4"/>
  <c r="J35" i="4"/>
  <c r="I35" i="4"/>
  <c r="H35" i="4"/>
  <c r="G35" i="4"/>
  <c r="F35" i="4"/>
  <c r="D35" i="4"/>
  <c r="J24" i="4"/>
  <c r="I24" i="4"/>
  <c r="H24" i="4"/>
  <c r="G24" i="4"/>
  <c r="F24" i="4"/>
  <c r="D24" i="4"/>
  <c r="J23" i="4"/>
  <c r="I23" i="4"/>
  <c r="H23" i="4"/>
  <c r="G23" i="4"/>
  <c r="F23" i="4"/>
  <c r="D23" i="4"/>
  <c r="J22" i="4"/>
  <c r="I22" i="4"/>
  <c r="H22" i="4"/>
  <c r="G22" i="4"/>
  <c r="F22" i="4"/>
  <c r="D22" i="4"/>
  <c r="J11" i="4"/>
  <c r="I11" i="4"/>
  <c r="H11" i="4"/>
  <c r="G11" i="4"/>
  <c r="F11" i="4"/>
  <c r="D11" i="4"/>
  <c r="J10" i="4"/>
  <c r="I10" i="4"/>
  <c r="H10" i="4"/>
  <c r="G10" i="4"/>
  <c r="F10" i="4"/>
  <c r="D10" i="4"/>
  <c r="J9" i="4"/>
  <c r="I9" i="4"/>
  <c r="H9" i="4"/>
  <c r="G9" i="4"/>
  <c r="F9" i="4"/>
  <c r="D9" i="4"/>
  <c r="J163" i="4"/>
  <c r="I163" i="4"/>
  <c r="H163" i="4"/>
  <c r="G163" i="4"/>
  <c r="F163" i="4"/>
  <c r="D163" i="4"/>
  <c r="J162" i="4"/>
  <c r="I162" i="4"/>
  <c r="H162" i="4"/>
  <c r="G162" i="4"/>
  <c r="F162" i="4"/>
  <c r="D162" i="4"/>
  <c r="J161" i="4"/>
  <c r="I161" i="4"/>
  <c r="H161" i="4"/>
  <c r="G161" i="4"/>
  <c r="F161" i="4"/>
  <c r="D161" i="4"/>
  <c r="J160" i="4"/>
  <c r="I160" i="4"/>
  <c r="H160" i="4"/>
  <c r="G160" i="4"/>
  <c r="F160" i="4"/>
  <c r="D160" i="4"/>
  <c r="J150" i="4"/>
  <c r="I150" i="4"/>
  <c r="H150" i="4"/>
  <c r="G150" i="4"/>
  <c r="F150" i="4"/>
  <c r="D150" i="4"/>
  <c r="J149" i="4"/>
  <c r="I149" i="4"/>
  <c r="H149" i="4"/>
  <c r="G149" i="4"/>
  <c r="F149" i="4"/>
  <c r="D149" i="4"/>
  <c r="J148" i="4"/>
  <c r="I148" i="4"/>
  <c r="H148" i="4"/>
  <c r="G148" i="4"/>
  <c r="F148" i="4"/>
  <c r="D148" i="4"/>
  <c r="J147" i="4"/>
  <c r="I147" i="4"/>
  <c r="H147" i="4"/>
  <c r="G147" i="4"/>
  <c r="F147" i="4"/>
  <c r="D147" i="4"/>
  <c r="J137" i="4"/>
  <c r="I137" i="4"/>
  <c r="H137" i="4"/>
  <c r="G137" i="4"/>
  <c r="F137" i="4"/>
  <c r="D137" i="4"/>
  <c r="J136" i="4"/>
  <c r="I136" i="4"/>
  <c r="H136" i="4"/>
  <c r="G136" i="4"/>
  <c r="F136" i="4"/>
  <c r="D136" i="4"/>
  <c r="J135" i="4"/>
  <c r="I135" i="4"/>
  <c r="H135" i="4"/>
  <c r="G135" i="4"/>
  <c r="F135" i="4"/>
  <c r="D135" i="4"/>
  <c r="J134" i="4"/>
  <c r="I134" i="4"/>
  <c r="H134" i="4"/>
  <c r="G134" i="4"/>
  <c r="F134" i="4"/>
  <c r="D134" i="4"/>
  <c r="J124" i="4"/>
  <c r="I124" i="4"/>
  <c r="H124" i="4"/>
  <c r="G124" i="4"/>
  <c r="F124" i="4"/>
  <c r="D124" i="4"/>
  <c r="J123" i="4"/>
  <c r="I123" i="4"/>
  <c r="H123" i="4"/>
  <c r="G123" i="4"/>
  <c r="F123" i="4"/>
  <c r="D123" i="4"/>
  <c r="J122" i="4"/>
  <c r="I122" i="4"/>
  <c r="H122" i="4"/>
  <c r="G122" i="4"/>
  <c r="F122" i="4"/>
  <c r="D122" i="4"/>
  <c r="J121" i="4"/>
  <c r="I121" i="4"/>
  <c r="H121" i="4"/>
  <c r="G121" i="4"/>
  <c r="F121" i="4"/>
  <c r="D121" i="4"/>
  <c r="J111" i="4"/>
  <c r="I111" i="4"/>
  <c r="H111" i="4"/>
  <c r="G111" i="4"/>
  <c r="F111" i="4"/>
  <c r="D111" i="4"/>
  <c r="J110" i="4"/>
  <c r="I110" i="4"/>
  <c r="H110" i="4"/>
  <c r="G110" i="4"/>
  <c r="F110" i="4"/>
  <c r="D110" i="4"/>
  <c r="J109" i="4"/>
  <c r="I109" i="4"/>
  <c r="H109" i="4"/>
  <c r="G109" i="4"/>
  <c r="F109" i="4"/>
  <c r="D109" i="4"/>
  <c r="J108" i="4"/>
  <c r="I108" i="4"/>
  <c r="H108" i="4"/>
  <c r="G108" i="4"/>
  <c r="F108" i="4"/>
  <c r="D108" i="4"/>
  <c r="J98" i="4"/>
  <c r="I98" i="4"/>
  <c r="H98" i="4"/>
  <c r="G98" i="4"/>
  <c r="F98" i="4"/>
  <c r="D98" i="4"/>
  <c r="J97" i="4"/>
  <c r="I97" i="4"/>
  <c r="H97" i="4"/>
  <c r="G97" i="4"/>
  <c r="F97" i="4"/>
  <c r="D97" i="4"/>
  <c r="J96" i="4"/>
  <c r="I96" i="4"/>
  <c r="H96" i="4"/>
  <c r="G96" i="4"/>
  <c r="F96" i="4"/>
  <c r="D96" i="4"/>
  <c r="J95" i="4"/>
  <c r="I95" i="4"/>
  <c r="H95" i="4"/>
  <c r="G95" i="4"/>
  <c r="F95" i="4"/>
  <c r="D95" i="4"/>
  <c r="J85" i="4"/>
  <c r="I85" i="4"/>
  <c r="H85" i="4"/>
  <c r="G85" i="4"/>
  <c r="F85" i="4"/>
  <c r="D85" i="4"/>
  <c r="J84" i="4"/>
  <c r="I84" i="4"/>
  <c r="H84" i="4"/>
  <c r="G84" i="4"/>
  <c r="F84" i="4"/>
  <c r="D84" i="4"/>
  <c r="J83" i="4"/>
  <c r="I83" i="4"/>
  <c r="H83" i="4"/>
  <c r="G83" i="4"/>
  <c r="F83" i="4"/>
  <c r="D83" i="4"/>
  <c r="J82" i="4"/>
  <c r="I82" i="4"/>
  <c r="H82" i="4"/>
  <c r="G82" i="4"/>
  <c r="F82" i="4"/>
  <c r="D82" i="4"/>
  <c r="J72" i="4"/>
  <c r="I72" i="4"/>
  <c r="H72" i="4"/>
  <c r="G72" i="4"/>
  <c r="F72" i="4"/>
  <c r="D72" i="4"/>
  <c r="J71" i="4"/>
  <c r="I71" i="4"/>
  <c r="H71" i="4"/>
  <c r="G71" i="4"/>
  <c r="F71" i="4"/>
  <c r="D71" i="4"/>
  <c r="J70" i="4"/>
  <c r="I70" i="4"/>
  <c r="H70" i="4"/>
  <c r="G70" i="4"/>
  <c r="F70" i="4"/>
  <c r="D70" i="4"/>
  <c r="J69" i="4"/>
  <c r="I69" i="4"/>
  <c r="H69" i="4"/>
  <c r="G69" i="4"/>
  <c r="F69" i="4"/>
  <c r="D69" i="4"/>
  <c r="J59" i="4"/>
  <c r="I59" i="4"/>
  <c r="H59" i="4"/>
  <c r="G59" i="4"/>
  <c r="F59" i="4"/>
  <c r="D59" i="4"/>
  <c r="J58" i="4"/>
  <c r="I58" i="4"/>
  <c r="H58" i="4"/>
  <c r="G58" i="4"/>
  <c r="F58" i="4"/>
  <c r="D58" i="4"/>
  <c r="J57" i="4"/>
  <c r="I57" i="4"/>
  <c r="H57" i="4"/>
  <c r="G57" i="4"/>
  <c r="F57" i="4"/>
  <c r="D57" i="4"/>
  <c r="J56" i="4"/>
  <c r="I56" i="4"/>
  <c r="H56" i="4"/>
  <c r="G56" i="4"/>
  <c r="F56" i="4"/>
  <c r="D56" i="4"/>
  <c r="J46" i="4"/>
  <c r="I46" i="4"/>
  <c r="H46" i="4"/>
  <c r="G46" i="4"/>
  <c r="F46" i="4"/>
  <c r="D46" i="4"/>
  <c r="J45" i="4"/>
  <c r="I45" i="4"/>
  <c r="H45" i="4"/>
  <c r="G45" i="4"/>
  <c r="F45" i="4"/>
  <c r="D45" i="4"/>
  <c r="J44" i="4"/>
  <c r="I44" i="4"/>
  <c r="H44" i="4"/>
  <c r="G44" i="4"/>
  <c r="F44" i="4"/>
  <c r="D44" i="4"/>
  <c r="J43" i="4"/>
  <c r="I43" i="4"/>
  <c r="H43" i="4"/>
  <c r="G43" i="4"/>
  <c r="F43" i="4"/>
  <c r="D43" i="4"/>
  <c r="J33" i="4"/>
  <c r="I33" i="4"/>
  <c r="H33" i="4"/>
  <c r="G33" i="4"/>
  <c r="F33" i="4"/>
  <c r="D33" i="4"/>
  <c r="J32" i="4"/>
  <c r="I32" i="4"/>
  <c r="H32" i="4"/>
  <c r="G32" i="4"/>
  <c r="F32" i="4"/>
  <c r="D32" i="4"/>
  <c r="J31" i="4"/>
  <c r="I31" i="4"/>
  <c r="H31" i="4"/>
  <c r="G31" i="4"/>
  <c r="F31" i="4"/>
  <c r="D31" i="4"/>
  <c r="J30" i="4"/>
  <c r="I30" i="4"/>
  <c r="H30" i="4"/>
  <c r="G30" i="4"/>
  <c r="F30" i="4"/>
  <c r="D30" i="4"/>
  <c r="J20" i="4"/>
  <c r="I20" i="4"/>
  <c r="H20" i="4"/>
  <c r="G20" i="4"/>
  <c r="F20" i="4"/>
  <c r="D20" i="4"/>
  <c r="J19" i="4"/>
  <c r="I19" i="4"/>
  <c r="H19" i="4"/>
  <c r="G19" i="4"/>
  <c r="F19" i="4"/>
  <c r="D19" i="4"/>
  <c r="J18" i="4"/>
  <c r="I18" i="4"/>
  <c r="H18" i="4"/>
  <c r="G18" i="4"/>
  <c r="F18" i="4"/>
  <c r="D18" i="4"/>
  <c r="J17" i="4"/>
  <c r="I17" i="4"/>
  <c r="H17" i="4"/>
  <c r="G17" i="4"/>
  <c r="F17" i="4"/>
  <c r="D17" i="4"/>
  <c r="J7" i="4"/>
  <c r="I7" i="4"/>
  <c r="H7" i="4"/>
  <c r="G7" i="4"/>
  <c r="F7" i="4"/>
  <c r="D7" i="4"/>
  <c r="J6" i="4"/>
  <c r="I6" i="4"/>
  <c r="H6" i="4"/>
  <c r="G6" i="4"/>
  <c r="F6" i="4"/>
  <c r="D6" i="4"/>
  <c r="J5" i="4"/>
  <c r="I5" i="4"/>
  <c r="H5" i="4"/>
  <c r="G5" i="4"/>
  <c r="F5" i="4"/>
  <c r="D5" i="4"/>
  <c r="J4" i="4"/>
  <c r="I4" i="4"/>
  <c r="G4" i="4"/>
  <c r="H4" i="4" s="1"/>
  <c r="F4" i="4"/>
  <c r="F3" i="4"/>
  <c r="J168" i="4"/>
  <c r="I168" i="4"/>
  <c r="H168" i="4"/>
  <c r="G168" i="4"/>
  <c r="F168" i="4"/>
  <c r="J155" i="4"/>
  <c r="I155" i="4"/>
  <c r="H155" i="4"/>
  <c r="G155" i="4"/>
  <c r="F155" i="4"/>
  <c r="J142" i="4"/>
  <c r="I142" i="4"/>
  <c r="H142" i="4"/>
  <c r="G142" i="4"/>
  <c r="F142" i="4"/>
  <c r="J129" i="4"/>
  <c r="I129" i="4"/>
  <c r="H129" i="4"/>
  <c r="G129" i="4"/>
  <c r="F129" i="4"/>
  <c r="J116" i="4"/>
  <c r="I116" i="4"/>
  <c r="H116" i="4"/>
  <c r="G116" i="4"/>
  <c r="F116" i="4"/>
  <c r="J103" i="4"/>
  <c r="I103" i="4"/>
  <c r="H103" i="4"/>
  <c r="G103" i="4"/>
  <c r="F103" i="4"/>
  <c r="J90" i="4"/>
  <c r="I90" i="4"/>
  <c r="H90" i="4"/>
  <c r="G90" i="4"/>
  <c r="F90" i="4"/>
  <c r="J77" i="4"/>
  <c r="I77" i="4"/>
  <c r="H77" i="4"/>
  <c r="G77" i="4"/>
  <c r="F77" i="4"/>
  <c r="J64" i="4"/>
  <c r="I64" i="4"/>
  <c r="H64" i="4"/>
  <c r="G64" i="4"/>
  <c r="F64" i="4"/>
  <c r="J51" i="4"/>
  <c r="I51" i="4"/>
  <c r="H51" i="4"/>
  <c r="G51" i="4"/>
  <c r="F51" i="4"/>
  <c r="J38" i="4"/>
  <c r="I38" i="4"/>
  <c r="H38" i="4"/>
  <c r="G38" i="4"/>
  <c r="F38" i="4"/>
  <c r="J25" i="4"/>
  <c r="I25" i="4"/>
  <c r="H25" i="4"/>
  <c r="G25" i="4"/>
  <c r="F25" i="4"/>
  <c r="J12" i="4"/>
  <c r="I12" i="4"/>
  <c r="H12" i="4"/>
  <c r="G12" i="4"/>
  <c r="F12" i="4"/>
  <c r="F16" i="4"/>
  <c r="J164" i="4"/>
  <c r="I164" i="4"/>
  <c r="H164" i="4"/>
  <c r="G164" i="4"/>
  <c r="F164" i="4"/>
  <c r="J151" i="4"/>
  <c r="I151" i="4"/>
  <c r="H151" i="4"/>
  <c r="G151" i="4"/>
  <c r="F151" i="4"/>
  <c r="J138" i="4"/>
  <c r="I138" i="4"/>
  <c r="H138" i="4"/>
  <c r="G138" i="4"/>
  <c r="F138" i="4"/>
  <c r="J125" i="4"/>
  <c r="I125" i="4"/>
  <c r="H125" i="4"/>
  <c r="G125" i="4"/>
  <c r="F125" i="4"/>
  <c r="J112" i="4"/>
  <c r="I112" i="4"/>
  <c r="H112" i="4"/>
  <c r="G112" i="4"/>
  <c r="F112" i="4"/>
  <c r="J99" i="4"/>
  <c r="I99" i="4"/>
  <c r="H99" i="4"/>
  <c r="G99" i="4"/>
  <c r="F99" i="4"/>
  <c r="J86" i="4"/>
  <c r="I86" i="4"/>
  <c r="H86" i="4"/>
  <c r="G86" i="4"/>
  <c r="F86" i="4"/>
  <c r="J73" i="4"/>
  <c r="I73" i="4"/>
  <c r="H73" i="4"/>
  <c r="G73" i="4"/>
  <c r="F73" i="4"/>
  <c r="J60" i="4"/>
  <c r="I60" i="4"/>
  <c r="H60" i="4"/>
  <c r="G60" i="4"/>
  <c r="F60" i="4"/>
  <c r="J47" i="4"/>
  <c r="I47" i="4"/>
  <c r="H47" i="4"/>
  <c r="G47" i="4"/>
  <c r="F47" i="4"/>
  <c r="J34" i="4"/>
  <c r="I34" i="4"/>
  <c r="H34" i="4"/>
  <c r="G34" i="4"/>
  <c r="F34" i="4"/>
  <c r="J21" i="4"/>
  <c r="I21" i="4"/>
  <c r="H21" i="4"/>
  <c r="G21" i="4"/>
  <c r="F21" i="4"/>
  <c r="J8" i="4"/>
  <c r="I8" i="4"/>
  <c r="H8" i="4"/>
  <c r="G8" i="4"/>
  <c r="F8" i="4"/>
  <c r="D8" i="4"/>
  <c r="J159" i="4"/>
  <c r="I159" i="4"/>
  <c r="H159" i="4"/>
  <c r="G159" i="4"/>
  <c r="F159" i="4"/>
  <c r="J146" i="4"/>
  <c r="I146" i="4"/>
  <c r="H146" i="4"/>
  <c r="G146" i="4"/>
  <c r="F146" i="4"/>
  <c r="J133" i="4"/>
  <c r="I133" i="4"/>
  <c r="H133" i="4"/>
  <c r="G133" i="4"/>
  <c r="F133" i="4"/>
  <c r="J120" i="4"/>
  <c r="I120" i="4"/>
  <c r="H120" i="4"/>
  <c r="G120" i="4"/>
  <c r="F120" i="4"/>
  <c r="J107" i="4"/>
  <c r="I107" i="4"/>
  <c r="H107" i="4"/>
  <c r="G107" i="4"/>
  <c r="F107" i="4"/>
  <c r="J94" i="4"/>
  <c r="I94" i="4"/>
  <c r="H94" i="4"/>
  <c r="G94" i="4"/>
  <c r="F94" i="4"/>
  <c r="J81" i="4"/>
  <c r="I81" i="4"/>
  <c r="H81" i="4"/>
  <c r="G81" i="4"/>
  <c r="F81" i="4"/>
  <c r="J68" i="4"/>
  <c r="I68" i="4"/>
  <c r="H68" i="4"/>
  <c r="G68" i="4"/>
  <c r="F68" i="4"/>
  <c r="J55" i="4"/>
  <c r="I55" i="4"/>
  <c r="H55" i="4"/>
  <c r="G55" i="4"/>
  <c r="F55" i="4"/>
  <c r="J42" i="4"/>
  <c r="I42" i="4"/>
  <c r="H42" i="4"/>
  <c r="G42" i="4"/>
  <c r="F42" i="4"/>
  <c r="J29" i="4"/>
  <c r="I29" i="4"/>
  <c r="H29" i="4"/>
  <c r="G29" i="4"/>
  <c r="F29" i="4"/>
  <c r="G16" i="4"/>
  <c r="H16" i="4"/>
  <c r="I16" i="4"/>
  <c r="J16" i="4"/>
  <c r="J3" i="4"/>
  <c r="I3" i="4"/>
  <c r="H3" i="4"/>
  <c r="G3" i="4"/>
  <c r="D3" i="4"/>
  <c r="D164" i="4"/>
  <c r="D151" i="4"/>
  <c r="D138" i="4"/>
  <c r="D125" i="4"/>
  <c r="D112" i="4"/>
  <c r="D99" i="4"/>
  <c r="D86" i="4"/>
  <c r="D73" i="4"/>
  <c r="D60" i="4"/>
  <c r="D47" i="4"/>
  <c r="D34" i="4"/>
  <c r="D21" i="4"/>
  <c r="D168" i="4"/>
  <c r="D155" i="4"/>
  <c r="D142" i="4"/>
  <c r="D129" i="4"/>
  <c r="D116" i="4"/>
  <c r="D103" i="4"/>
  <c r="D90" i="4"/>
  <c r="D77" i="4"/>
  <c r="D64" i="4"/>
  <c r="D51" i="4"/>
  <c r="D38" i="4"/>
  <c r="D25" i="4"/>
  <c r="D12" i="4"/>
  <c r="D159" i="4"/>
  <c r="D146" i="4"/>
  <c r="D133" i="4"/>
  <c r="D120" i="4"/>
  <c r="D107" i="4"/>
  <c r="D94" i="4"/>
  <c r="D81" i="4"/>
  <c r="D68" i="4"/>
  <c r="D55" i="4"/>
  <c r="D42" i="4"/>
  <c r="D29" i="4"/>
  <c r="D16" i="4"/>
  <c r="J989" i="6" l="1"/>
  <c r="P989" i="6" s="1"/>
  <c r="J993" i="6"/>
  <c r="J997" i="6"/>
  <c r="P997" i="6" s="1"/>
  <c r="J991" i="6"/>
  <c r="J999" i="6"/>
  <c r="P999" i="6" s="1"/>
  <c r="J992" i="6"/>
  <c r="J996" i="6"/>
  <c r="P996" i="6" s="1"/>
  <c r="J988" i="6"/>
  <c r="J990" i="6"/>
  <c r="P990" i="6" s="1"/>
  <c r="J994" i="6"/>
  <c r="J998" i="6"/>
  <c r="J995" i="6"/>
  <c r="N79" i="6"/>
  <c r="L79" i="6"/>
  <c r="J1001" i="6"/>
  <c r="P1001" i="6" s="1"/>
  <c r="J1000" i="6"/>
  <c r="P1000" i="6" s="1"/>
  <c r="J1002" i="6"/>
  <c r="P1002" i="6" s="1"/>
  <c r="J1003" i="6"/>
  <c r="P1003" i="6" s="1"/>
  <c r="J1004" i="6"/>
  <c r="P1004" i="6" s="1"/>
  <c r="P993" i="6"/>
  <c r="P994" i="6"/>
  <c r="P998" i="6"/>
  <c r="P991" i="6"/>
  <c r="P995" i="6"/>
  <c r="P992" i="6"/>
  <c r="P988" i="6"/>
  <c r="J977" i="6"/>
  <c r="P977" i="6" s="1"/>
  <c r="J981" i="6"/>
  <c r="P981" i="6" s="1"/>
  <c r="J985" i="6"/>
  <c r="P985" i="6" s="1"/>
  <c r="J978" i="6"/>
  <c r="P978" i="6" s="1"/>
  <c r="J982" i="6"/>
  <c r="P982" i="6" s="1"/>
  <c r="J986" i="6"/>
  <c r="P986" i="6" s="1"/>
  <c r="J979" i="6"/>
  <c r="P979" i="6" s="1"/>
  <c r="J983" i="6"/>
  <c r="P983" i="6" s="1"/>
  <c r="J987" i="6"/>
  <c r="P987" i="6" s="1"/>
  <c r="J980" i="6"/>
  <c r="P980" i="6" s="1"/>
  <c r="J984" i="6"/>
  <c r="P984" i="6" s="1"/>
  <c r="J976" i="6"/>
  <c r="P976" i="6" s="1"/>
  <c r="J965" i="6"/>
  <c r="P965" i="6" s="1"/>
  <c r="J969" i="6"/>
  <c r="P969" i="6" s="1"/>
  <c r="J973" i="6"/>
  <c r="P973" i="6" s="1"/>
  <c r="J966" i="6"/>
  <c r="P966" i="6" s="1"/>
  <c r="J970" i="6"/>
  <c r="P970" i="6" s="1"/>
  <c r="J974" i="6"/>
  <c r="P974" i="6" s="1"/>
  <c r="J967" i="6"/>
  <c r="P967" i="6" s="1"/>
  <c r="J971" i="6"/>
  <c r="P971" i="6" s="1"/>
  <c r="J975" i="6"/>
  <c r="P975" i="6" s="1"/>
  <c r="J968" i="6"/>
  <c r="P968" i="6" s="1"/>
  <c r="J972" i="6"/>
  <c r="P972" i="6" s="1"/>
  <c r="J964" i="6"/>
  <c r="P964" i="6" s="1"/>
  <c r="J953" i="6"/>
  <c r="P953" i="6" s="1"/>
  <c r="J957" i="6"/>
  <c r="P957" i="6" s="1"/>
  <c r="J961" i="6"/>
  <c r="P961" i="6" s="1"/>
  <c r="J954" i="6"/>
  <c r="P954" i="6" s="1"/>
  <c r="J958" i="6"/>
  <c r="P958" i="6" s="1"/>
  <c r="J962" i="6"/>
  <c r="P962" i="6" s="1"/>
  <c r="J955" i="6"/>
  <c r="P955" i="6" s="1"/>
  <c r="J959" i="6"/>
  <c r="P959" i="6" s="1"/>
  <c r="J963" i="6"/>
  <c r="P963" i="6" s="1"/>
  <c r="J956" i="6"/>
  <c r="P956" i="6" s="1"/>
  <c r="J960" i="6"/>
  <c r="P960" i="6" s="1"/>
  <c r="J952" i="6"/>
  <c r="P952" i="6" s="1"/>
  <c r="J948" i="6"/>
  <c r="G948" i="6" s="1"/>
  <c r="J947" i="6"/>
  <c r="G947" i="6" s="1"/>
  <c r="J949" i="6"/>
  <c r="G949" i="6" s="1"/>
  <c r="J950" i="6"/>
  <c r="G950" i="6" s="1"/>
  <c r="J951" i="6"/>
  <c r="G951" i="6" s="1"/>
  <c r="J936" i="6"/>
  <c r="G936" i="6" s="1"/>
  <c r="J940" i="6"/>
  <c r="G940" i="6" s="1"/>
  <c r="J944" i="6"/>
  <c r="G944" i="6" s="1"/>
  <c r="J937" i="6"/>
  <c r="G937" i="6" s="1"/>
  <c r="J941" i="6"/>
  <c r="G941" i="6" s="1"/>
  <c r="J945" i="6"/>
  <c r="G945" i="6" s="1"/>
  <c r="J938" i="6"/>
  <c r="G938" i="6" s="1"/>
  <c r="J942" i="6"/>
  <c r="G942" i="6" s="1"/>
  <c r="J946" i="6"/>
  <c r="G946" i="6" s="1"/>
  <c r="J939" i="6"/>
  <c r="G939" i="6" s="1"/>
  <c r="J943" i="6"/>
  <c r="G943" i="6" s="1"/>
  <c r="J935" i="6"/>
  <c r="G935" i="6" s="1"/>
  <c r="J928" i="6"/>
  <c r="G928" i="6" s="1"/>
  <c r="J932" i="6"/>
  <c r="G932" i="6" s="1"/>
  <c r="J929" i="6"/>
  <c r="G929" i="6" s="1"/>
  <c r="J933" i="6"/>
  <c r="G933" i="6" s="1"/>
  <c r="J930" i="6"/>
  <c r="G930" i="6" s="1"/>
  <c r="J934" i="6"/>
  <c r="G934" i="6" s="1"/>
  <c r="J931" i="6"/>
  <c r="G931" i="6" s="1"/>
  <c r="J927" i="6"/>
  <c r="G927" i="6" s="1"/>
  <c r="J699" i="5"/>
  <c r="G699" i="5" s="1"/>
  <c r="J703" i="5"/>
  <c r="G703" i="5" s="1"/>
  <c r="J700" i="5"/>
  <c r="G700" i="5" s="1"/>
  <c r="J698" i="5"/>
  <c r="G698" i="5" s="1"/>
  <c r="J701" i="5"/>
  <c r="G701" i="5" s="1"/>
  <c r="J702" i="5"/>
  <c r="G702" i="5" s="1"/>
  <c r="J687" i="5"/>
  <c r="G687" i="5" s="1"/>
  <c r="J691" i="5"/>
  <c r="G691" i="5" s="1"/>
  <c r="J695" i="5"/>
  <c r="G695" i="5" s="1"/>
  <c r="J688" i="5"/>
  <c r="G688" i="5" s="1"/>
  <c r="J692" i="5"/>
  <c r="G692" i="5" s="1"/>
  <c r="J696" i="5"/>
  <c r="G696" i="5" s="1"/>
  <c r="J689" i="5"/>
  <c r="G689" i="5" s="1"/>
  <c r="J693" i="5"/>
  <c r="G693" i="5" s="1"/>
  <c r="J697" i="5"/>
  <c r="G697" i="5" s="1"/>
  <c r="J690" i="5"/>
  <c r="G690" i="5" s="1"/>
  <c r="J694" i="5"/>
  <c r="G694" i="5" s="1"/>
  <c r="J686" i="5"/>
  <c r="G686" i="5" s="1"/>
  <c r="J675" i="5"/>
  <c r="G675" i="5" s="1"/>
  <c r="J679" i="5"/>
  <c r="G679" i="5" s="1"/>
  <c r="J683" i="5"/>
  <c r="G683" i="5" s="1"/>
  <c r="J676" i="5"/>
  <c r="G676" i="5" s="1"/>
  <c r="J680" i="5"/>
  <c r="G680" i="5" s="1"/>
  <c r="J684" i="5"/>
  <c r="G684" i="5" s="1"/>
  <c r="J677" i="5"/>
  <c r="G677" i="5" s="1"/>
  <c r="J681" i="5"/>
  <c r="G681" i="5" s="1"/>
  <c r="J685" i="5"/>
  <c r="G685" i="5" s="1"/>
  <c r="J678" i="5"/>
  <c r="G678" i="5" s="1"/>
  <c r="J682" i="5"/>
  <c r="G682" i="5" s="1"/>
  <c r="J674" i="5"/>
  <c r="G674" i="5" s="1"/>
  <c r="J663" i="5"/>
  <c r="G663" i="5" s="1"/>
  <c r="J667" i="5"/>
  <c r="G667" i="5" s="1"/>
  <c r="J671" i="5"/>
  <c r="G671" i="5" s="1"/>
  <c r="J664" i="5"/>
  <c r="G664" i="5" s="1"/>
  <c r="J668" i="5"/>
  <c r="G668" i="5" s="1"/>
  <c r="J672" i="5"/>
  <c r="G672" i="5" s="1"/>
  <c r="J665" i="5"/>
  <c r="G665" i="5" s="1"/>
  <c r="J669" i="5"/>
  <c r="G669" i="5" s="1"/>
  <c r="J673" i="5"/>
  <c r="G673" i="5" s="1"/>
  <c r="J666" i="5"/>
  <c r="G666" i="5" s="1"/>
  <c r="J670" i="5"/>
  <c r="G670" i="5" s="1"/>
  <c r="J662" i="5"/>
  <c r="G662" i="5" s="1"/>
  <c r="J651" i="5"/>
  <c r="G651" i="5" s="1"/>
  <c r="J655" i="5"/>
  <c r="G655" i="5" s="1"/>
  <c r="J659" i="5"/>
  <c r="G659" i="5" s="1"/>
  <c r="J652" i="5"/>
  <c r="G652" i="5" s="1"/>
  <c r="J656" i="5"/>
  <c r="G656" i="5" s="1"/>
  <c r="J660" i="5"/>
  <c r="G660" i="5" s="1"/>
  <c r="J653" i="5"/>
  <c r="G653" i="5" s="1"/>
  <c r="J657" i="5"/>
  <c r="G657" i="5" s="1"/>
  <c r="J661" i="5"/>
  <c r="G661" i="5" s="1"/>
  <c r="J654" i="5"/>
  <c r="G654" i="5" s="1"/>
  <c r="J658" i="5"/>
  <c r="G658" i="5" s="1"/>
  <c r="J650" i="5"/>
  <c r="G650" i="5" s="1"/>
  <c r="J2715" i="3"/>
  <c r="G2715" i="3" s="1"/>
  <c r="J2719" i="3"/>
  <c r="G2719" i="3" s="1"/>
  <c r="J2716" i="3"/>
  <c r="G2716" i="3" s="1"/>
  <c r="J2714" i="3"/>
  <c r="G2714" i="3" s="1"/>
  <c r="J2717" i="3"/>
  <c r="G2717" i="3" s="1"/>
  <c r="J2718" i="3"/>
  <c r="G2718" i="3" s="1"/>
  <c r="J2703" i="3"/>
  <c r="G2703" i="3" s="1"/>
  <c r="J2707" i="3"/>
  <c r="G2707" i="3" s="1"/>
  <c r="J2711" i="3"/>
  <c r="G2711" i="3" s="1"/>
  <c r="J2704" i="3"/>
  <c r="G2704" i="3" s="1"/>
  <c r="J2708" i="3"/>
  <c r="G2708" i="3" s="1"/>
  <c r="J2712" i="3"/>
  <c r="G2712" i="3" s="1"/>
  <c r="J2705" i="3"/>
  <c r="G2705" i="3" s="1"/>
  <c r="J2709" i="3"/>
  <c r="G2709" i="3" s="1"/>
  <c r="J2713" i="3"/>
  <c r="G2713" i="3" s="1"/>
  <c r="J2706" i="3"/>
  <c r="G2706" i="3" s="1"/>
  <c r="J2710" i="3"/>
  <c r="G2710" i="3" s="1"/>
  <c r="J2702" i="3"/>
  <c r="G2702" i="3" s="1"/>
  <c r="J2691" i="3"/>
  <c r="G2691" i="3" s="1"/>
  <c r="J2695" i="3"/>
  <c r="G2695" i="3" s="1"/>
  <c r="J2699" i="3"/>
  <c r="G2699" i="3" s="1"/>
  <c r="J2692" i="3"/>
  <c r="G2692" i="3" s="1"/>
  <c r="J2696" i="3"/>
  <c r="G2696" i="3" s="1"/>
  <c r="J2700" i="3"/>
  <c r="G2700" i="3" s="1"/>
  <c r="J2693" i="3"/>
  <c r="G2693" i="3" s="1"/>
  <c r="J2697" i="3"/>
  <c r="G2697" i="3" s="1"/>
  <c r="J2701" i="3"/>
  <c r="G2701" i="3" s="1"/>
  <c r="J2694" i="3"/>
  <c r="G2694" i="3" s="1"/>
  <c r="J2698" i="3"/>
  <c r="G2698" i="3" s="1"/>
  <c r="J2690" i="3"/>
  <c r="G2690" i="3" s="1"/>
  <c r="K9" i="20" s="1"/>
  <c r="J2679" i="3"/>
  <c r="G2679" i="3" s="1"/>
  <c r="J2683" i="3"/>
  <c r="G2683" i="3" s="1"/>
  <c r="J2687" i="3"/>
  <c r="G2687" i="3" s="1"/>
  <c r="J2680" i="3"/>
  <c r="G2680" i="3" s="1"/>
  <c r="J2684" i="3"/>
  <c r="G2684" i="3" s="1"/>
  <c r="J2688" i="3"/>
  <c r="G2688" i="3" s="1"/>
  <c r="J2681" i="3"/>
  <c r="G2681" i="3" s="1"/>
  <c r="J2685" i="3"/>
  <c r="G2685" i="3" s="1"/>
  <c r="J2689" i="3"/>
  <c r="G2689" i="3" s="1"/>
  <c r="J2682" i="3"/>
  <c r="G2682" i="3" s="1"/>
  <c r="J2686" i="3"/>
  <c r="G2686" i="3" s="1"/>
  <c r="J2678" i="3"/>
  <c r="G2678" i="3" s="1"/>
  <c r="N9" i="20" s="1"/>
  <c r="J2667" i="3"/>
  <c r="G2667" i="3" s="1"/>
  <c r="J2671" i="3"/>
  <c r="G2671" i="3" s="1"/>
  <c r="J2675" i="3"/>
  <c r="G2675" i="3" s="1"/>
  <c r="J2668" i="3"/>
  <c r="G2668" i="3" s="1"/>
  <c r="J2672" i="3"/>
  <c r="G2672" i="3" s="1"/>
  <c r="J2676" i="3"/>
  <c r="G2676" i="3" s="1"/>
  <c r="J2669" i="3"/>
  <c r="G2669" i="3" s="1"/>
  <c r="J2673" i="3"/>
  <c r="G2673" i="3" s="1"/>
  <c r="J2677" i="3"/>
  <c r="G2677" i="3" s="1"/>
  <c r="J2670" i="3"/>
  <c r="G2670" i="3" s="1"/>
  <c r="J2674" i="3"/>
  <c r="G2674" i="3" s="1"/>
  <c r="J2666" i="3"/>
  <c r="G2666" i="3" s="1"/>
  <c r="Q9" i="20" s="1"/>
  <c r="J2661" i="3"/>
  <c r="G2661" i="3" s="1"/>
  <c r="J2665" i="3"/>
  <c r="G2665" i="3" s="1"/>
  <c r="J2662" i="3"/>
  <c r="G2662" i="3" s="1"/>
  <c r="J2660" i="3"/>
  <c r="G2660" i="3" s="1"/>
  <c r="E8" i="20" s="1"/>
  <c r="J2663" i="3"/>
  <c r="G2663" i="3" s="1"/>
  <c r="J2664" i="3"/>
  <c r="G2664" i="3" s="1"/>
  <c r="J2649" i="3"/>
  <c r="G2649" i="3" s="1"/>
  <c r="J2653" i="3"/>
  <c r="G2653" i="3" s="1"/>
  <c r="J2657" i="3"/>
  <c r="G2657" i="3" s="1"/>
  <c r="J2650" i="3"/>
  <c r="G2650" i="3" s="1"/>
  <c r="J2654" i="3"/>
  <c r="G2654" i="3" s="1"/>
  <c r="J2658" i="3"/>
  <c r="G2658" i="3" s="1"/>
  <c r="J2651" i="3"/>
  <c r="G2651" i="3" s="1"/>
  <c r="J2655" i="3"/>
  <c r="G2655" i="3" s="1"/>
  <c r="J2659" i="3"/>
  <c r="G2659" i="3" s="1"/>
  <c r="J2652" i="3"/>
  <c r="G2652" i="3" s="1"/>
  <c r="J2656" i="3"/>
  <c r="G2656" i="3" s="1"/>
  <c r="J2648" i="3"/>
  <c r="G2648" i="3" s="1"/>
  <c r="J2637" i="3"/>
  <c r="G2637" i="3" s="1"/>
  <c r="J2641" i="3"/>
  <c r="G2641" i="3" s="1"/>
  <c r="J2645" i="3"/>
  <c r="G2645" i="3" s="1"/>
  <c r="J2638" i="3"/>
  <c r="G2638" i="3" s="1"/>
  <c r="J2642" i="3"/>
  <c r="G2642" i="3" s="1"/>
  <c r="J2646" i="3"/>
  <c r="G2646" i="3" s="1"/>
  <c r="J2639" i="3"/>
  <c r="G2639" i="3" s="1"/>
  <c r="J2643" i="3"/>
  <c r="G2643" i="3" s="1"/>
  <c r="J2647" i="3"/>
  <c r="G2647" i="3" s="1"/>
  <c r="J2640" i="3"/>
  <c r="G2640" i="3" s="1"/>
  <c r="J2644" i="3"/>
  <c r="G2644" i="3" s="1"/>
  <c r="J2636" i="3"/>
  <c r="G2636" i="3" s="1"/>
  <c r="J2625" i="3"/>
  <c r="G2625" i="3" s="1"/>
  <c r="J2629" i="3"/>
  <c r="G2629" i="3" s="1"/>
  <c r="J2633" i="3"/>
  <c r="G2633" i="3" s="1"/>
  <c r="J2626" i="3"/>
  <c r="G2626" i="3" s="1"/>
  <c r="J2630" i="3"/>
  <c r="G2630" i="3" s="1"/>
  <c r="J2634" i="3"/>
  <c r="G2634" i="3" s="1"/>
  <c r="J2627" i="3"/>
  <c r="G2627" i="3" s="1"/>
  <c r="J2631" i="3"/>
  <c r="G2631" i="3" s="1"/>
  <c r="J2635" i="3"/>
  <c r="G2635" i="3" s="1"/>
  <c r="J2628" i="3"/>
  <c r="G2628" i="3" s="1"/>
  <c r="J2632" i="3"/>
  <c r="G2632" i="3" s="1"/>
  <c r="J2624" i="3"/>
  <c r="G2624" i="3" s="1"/>
  <c r="J2613" i="3"/>
  <c r="G2613" i="3" s="1"/>
  <c r="J2617" i="3"/>
  <c r="G2617" i="3" s="1"/>
  <c r="J2621" i="3"/>
  <c r="G2621" i="3" s="1"/>
  <c r="J2614" i="3"/>
  <c r="G2614" i="3" s="1"/>
  <c r="J2618" i="3"/>
  <c r="G2618" i="3" s="1"/>
  <c r="J2622" i="3"/>
  <c r="G2622" i="3" s="1"/>
  <c r="J2615" i="3"/>
  <c r="G2615" i="3" s="1"/>
  <c r="J2619" i="3"/>
  <c r="G2619" i="3" s="1"/>
  <c r="J2623" i="3"/>
  <c r="G2623" i="3" s="1"/>
  <c r="J2616" i="3"/>
  <c r="G2616" i="3" s="1"/>
  <c r="J2620" i="3"/>
  <c r="G2620" i="3" s="1"/>
  <c r="J2612" i="3"/>
  <c r="G2612" i="3" s="1"/>
  <c r="J2607" i="3"/>
  <c r="G2607" i="3" s="1"/>
  <c r="J2611" i="3"/>
  <c r="G2611" i="3" s="1"/>
  <c r="J2608" i="3"/>
  <c r="G2608" i="3" s="1"/>
  <c r="J2606" i="3"/>
  <c r="G2606" i="3" s="1"/>
  <c r="J2609" i="3"/>
  <c r="G2609" i="3" s="1"/>
  <c r="J2610" i="3"/>
  <c r="G2610" i="3" s="1"/>
  <c r="J2595" i="3"/>
  <c r="G2595" i="3" s="1"/>
  <c r="J2599" i="3"/>
  <c r="G2599" i="3" s="1"/>
  <c r="J2603" i="3"/>
  <c r="G2603" i="3" s="1"/>
  <c r="J2596" i="3"/>
  <c r="G2596" i="3" s="1"/>
  <c r="J2600" i="3"/>
  <c r="G2600" i="3" s="1"/>
  <c r="J2604" i="3"/>
  <c r="G2604" i="3" s="1"/>
  <c r="J2597" i="3"/>
  <c r="G2597" i="3" s="1"/>
  <c r="J2601" i="3"/>
  <c r="G2601" i="3" s="1"/>
  <c r="J2605" i="3"/>
  <c r="G2605" i="3" s="1"/>
  <c r="J2598" i="3"/>
  <c r="G2598" i="3" s="1"/>
  <c r="J2602" i="3"/>
  <c r="G2602" i="3" s="1"/>
  <c r="J2594" i="3"/>
  <c r="G2594" i="3" s="1"/>
  <c r="J2583" i="3"/>
  <c r="G2583" i="3" s="1"/>
  <c r="J2587" i="3"/>
  <c r="G2587" i="3" s="1"/>
  <c r="J2591" i="3"/>
  <c r="G2591" i="3" s="1"/>
  <c r="J2584" i="3"/>
  <c r="G2584" i="3" s="1"/>
  <c r="J2588" i="3"/>
  <c r="G2588" i="3" s="1"/>
  <c r="J2592" i="3"/>
  <c r="G2592" i="3" s="1"/>
  <c r="J2585" i="3"/>
  <c r="G2585" i="3" s="1"/>
  <c r="J2589" i="3"/>
  <c r="G2589" i="3" s="1"/>
  <c r="J2593" i="3"/>
  <c r="G2593" i="3" s="1"/>
  <c r="J2586" i="3"/>
  <c r="G2586" i="3" s="1"/>
  <c r="J2590" i="3"/>
  <c r="G2590" i="3" s="1"/>
  <c r="J2582" i="3"/>
  <c r="G2582" i="3" s="1"/>
  <c r="J2571" i="3"/>
  <c r="G2571" i="3" s="1"/>
  <c r="J2575" i="3"/>
  <c r="G2575" i="3" s="1"/>
  <c r="J2579" i="3"/>
  <c r="G2579" i="3" s="1"/>
  <c r="J2572" i="3"/>
  <c r="G2572" i="3" s="1"/>
  <c r="J2576" i="3"/>
  <c r="G2576" i="3" s="1"/>
  <c r="J2580" i="3"/>
  <c r="G2580" i="3" s="1"/>
  <c r="J2573" i="3"/>
  <c r="G2573" i="3" s="1"/>
  <c r="J2577" i="3"/>
  <c r="G2577" i="3" s="1"/>
  <c r="J2581" i="3"/>
  <c r="G2581" i="3" s="1"/>
  <c r="J2574" i="3"/>
  <c r="G2574" i="3" s="1"/>
  <c r="J2578" i="3"/>
  <c r="G2578" i="3" s="1"/>
  <c r="J2570" i="3"/>
  <c r="G2570" i="3" s="1"/>
  <c r="J2559" i="3"/>
  <c r="G2559" i="3" s="1"/>
  <c r="J2563" i="3"/>
  <c r="G2563" i="3" s="1"/>
  <c r="J2567" i="3"/>
  <c r="G2567" i="3" s="1"/>
  <c r="J2560" i="3"/>
  <c r="G2560" i="3" s="1"/>
  <c r="J2564" i="3"/>
  <c r="G2564" i="3" s="1"/>
  <c r="J2568" i="3"/>
  <c r="G2568" i="3" s="1"/>
  <c r="J2561" i="3"/>
  <c r="G2561" i="3" s="1"/>
  <c r="J2565" i="3"/>
  <c r="G2565" i="3" s="1"/>
  <c r="J2569" i="3"/>
  <c r="G2569" i="3" s="1"/>
  <c r="J2562" i="3"/>
  <c r="G2562" i="3" s="1"/>
  <c r="J2566" i="3"/>
  <c r="G2566" i="3" s="1"/>
  <c r="J2558" i="3"/>
  <c r="G2558" i="3" s="1"/>
  <c r="J2553" i="3"/>
  <c r="G2553" i="3" s="1"/>
  <c r="J2557" i="3"/>
  <c r="G2557" i="3" s="1"/>
  <c r="J2554" i="3"/>
  <c r="G2554" i="3" s="1"/>
  <c r="J2552" i="3"/>
  <c r="G2552" i="3" s="1"/>
  <c r="J2555" i="3"/>
  <c r="G2555" i="3" s="1"/>
  <c r="J2556" i="3"/>
  <c r="G2556" i="3" s="1"/>
  <c r="J2541" i="3"/>
  <c r="G2541" i="3" s="1"/>
  <c r="J2545" i="3"/>
  <c r="G2545" i="3" s="1"/>
  <c r="J2549" i="3"/>
  <c r="G2549" i="3" s="1"/>
  <c r="J2542" i="3"/>
  <c r="G2542" i="3" s="1"/>
  <c r="J2546" i="3"/>
  <c r="G2546" i="3" s="1"/>
  <c r="J2550" i="3"/>
  <c r="G2550" i="3" s="1"/>
  <c r="J2543" i="3"/>
  <c r="G2543" i="3" s="1"/>
  <c r="J2547" i="3"/>
  <c r="G2547" i="3" s="1"/>
  <c r="J2551" i="3"/>
  <c r="G2551" i="3" s="1"/>
  <c r="J2544" i="3"/>
  <c r="G2544" i="3" s="1"/>
  <c r="J2548" i="3"/>
  <c r="G2548" i="3" s="1"/>
  <c r="J2540" i="3"/>
  <c r="G2540" i="3" s="1"/>
  <c r="J2529" i="3"/>
  <c r="G2529" i="3" s="1"/>
  <c r="J2533" i="3"/>
  <c r="G2533" i="3" s="1"/>
  <c r="J2537" i="3"/>
  <c r="G2537" i="3" s="1"/>
  <c r="J2530" i="3"/>
  <c r="G2530" i="3" s="1"/>
  <c r="J2534" i="3"/>
  <c r="G2534" i="3" s="1"/>
  <c r="J2538" i="3"/>
  <c r="G2538" i="3" s="1"/>
  <c r="J2531" i="3"/>
  <c r="G2531" i="3" s="1"/>
  <c r="J2535" i="3"/>
  <c r="G2535" i="3" s="1"/>
  <c r="J2539" i="3"/>
  <c r="G2539" i="3" s="1"/>
  <c r="J2532" i="3"/>
  <c r="G2532" i="3" s="1"/>
  <c r="J2536" i="3"/>
  <c r="G2536" i="3" s="1"/>
  <c r="J2528" i="3"/>
  <c r="G2528" i="3" s="1"/>
  <c r="J2517" i="3"/>
  <c r="G2517" i="3" s="1"/>
  <c r="J2521" i="3"/>
  <c r="G2521" i="3" s="1"/>
  <c r="J2525" i="3"/>
  <c r="G2525" i="3" s="1"/>
  <c r="J2518" i="3"/>
  <c r="G2518" i="3" s="1"/>
  <c r="J2522" i="3"/>
  <c r="G2522" i="3" s="1"/>
  <c r="J2526" i="3"/>
  <c r="G2526" i="3" s="1"/>
  <c r="J2519" i="3"/>
  <c r="G2519" i="3" s="1"/>
  <c r="J2523" i="3"/>
  <c r="G2523" i="3" s="1"/>
  <c r="J2527" i="3"/>
  <c r="G2527" i="3" s="1"/>
  <c r="J2520" i="3"/>
  <c r="G2520" i="3" s="1"/>
  <c r="J2524" i="3"/>
  <c r="G2524" i="3" s="1"/>
  <c r="J2516" i="3"/>
  <c r="G2516" i="3" s="1"/>
  <c r="J2504" i="3"/>
  <c r="G2504" i="3" s="1"/>
  <c r="J2505" i="3"/>
  <c r="G2505" i="3" s="1"/>
  <c r="J2509" i="3"/>
  <c r="G2509" i="3" s="1"/>
  <c r="J2513" i="3"/>
  <c r="G2513" i="3" s="1"/>
  <c r="J2506" i="3"/>
  <c r="G2506" i="3" s="1"/>
  <c r="J2510" i="3"/>
  <c r="G2510" i="3" s="1"/>
  <c r="J2514" i="3"/>
  <c r="G2514" i="3" s="1"/>
  <c r="J2507" i="3"/>
  <c r="G2507" i="3" s="1"/>
  <c r="J2511" i="3"/>
  <c r="G2511" i="3" s="1"/>
  <c r="J2515" i="3"/>
  <c r="G2515" i="3" s="1"/>
  <c r="J2508" i="3"/>
  <c r="G2508" i="3" s="1"/>
  <c r="J2512" i="3"/>
  <c r="G2512" i="3" s="1"/>
  <c r="J923" i="6"/>
  <c r="P923" i="6" s="1"/>
  <c r="J922" i="6"/>
  <c r="P922" i="6" s="1"/>
  <c r="J924" i="6"/>
  <c r="P924" i="6" s="1"/>
  <c r="J925" i="6"/>
  <c r="P925" i="6" s="1"/>
  <c r="J926" i="6"/>
  <c r="P926" i="6" s="1"/>
  <c r="J911" i="6"/>
  <c r="P911" i="6" s="1"/>
  <c r="J915" i="6"/>
  <c r="P915" i="6" s="1"/>
  <c r="J919" i="6"/>
  <c r="P919" i="6" s="1"/>
  <c r="J912" i="6"/>
  <c r="P912" i="6" s="1"/>
  <c r="J916" i="6"/>
  <c r="P916" i="6" s="1"/>
  <c r="J920" i="6"/>
  <c r="P920" i="6" s="1"/>
  <c r="J913" i="6"/>
  <c r="P913" i="6" s="1"/>
  <c r="J917" i="6"/>
  <c r="P917" i="6" s="1"/>
  <c r="J921" i="6"/>
  <c r="P921" i="6" s="1"/>
  <c r="J914" i="6"/>
  <c r="P914" i="6" s="1"/>
  <c r="J918" i="6"/>
  <c r="P918" i="6" s="1"/>
  <c r="J910" i="6"/>
  <c r="P910" i="6" s="1"/>
  <c r="J899" i="6"/>
  <c r="P899" i="6" s="1"/>
  <c r="J903" i="6"/>
  <c r="P903" i="6" s="1"/>
  <c r="J907" i="6"/>
  <c r="P907" i="6" s="1"/>
  <c r="J900" i="6"/>
  <c r="P900" i="6" s="1"/>
  <c r="J904" i="6"/>
  <c r="P904" i="6" s="1"/>
  <c r="J908" i="6"/>
  <c r="P908" i="6" s="1"/>
  <c r="J901" i="6"/>
  <c r="P901" i="6" s="1"/>
  <c r="J905" i="6"/>
  <c r="P905" i="6" s="1"/>
  <c r="J909" i="6"/>
  <c r="P909" i="6" s="1"/>
  <c r="J902" i="6"/>
  <c r="P902" i="6" s="1"/>
  <c r="J906" i="6"/>
  <c r="P906" i="6" s="1"/>
  <c r="J898" i="6"/>
  <c r="P898" i="6" s="1"/>
  <c r="J887" i="6"/>
  <c r="P887" i="6" s="1"/>
  <c r="J891" i="6"/>
  <c r="P891" i="6" s="1"/>
  <c r="J895" i="6"/>
  <c r="P895" i="6" s="1"/>
  <c r="J888" i="6"/>
  <c r="P888" i="6" s="1"/>
  <c r="J892" i="6"/>
  <c r="P892" i="6" s="1"/>
  <c r="J896" i="6"/>
  <c r="P896" i="6" s="1"/>
  <c r="J889" i="6"/>
  <c r="P889" i="6" s="1"/>
  <c r="J893" i="6"/>
  <c r="P893" i="6" s="1"/>
  <c r="J897" i="6"/>
  <c r="P897" i="6" s="1"/>
  <c r="J890" i="6"/>
  <c r="P890" i="6" s="1"/>
  <c r="J894" i="6"/>
  <c r="P894" i="6" s="1"/>
  <c r="J886" i="6"/>
  <c r="P886" i="6" s="1"/>
  <c r="J875" i="6"/>
  <c r="P875" i="6" s="1"/>
  <c r="J879" i="6"/>
  <c r="P879" i="6" s="1"/>
  <c r="J883" i="6"/>
  <c r="P883" i="6" s="1"/>
  <c r="J876" i="6"/>
  <c r="P876" i="6" s="1"/>
  <c r="J880" i="6"/>
  <c r="P880" i="6" s="1"/>
  <c r="J884" i="6"/>
  <c r="P884" i="6" s="1"/>
  <c r="J877" i="6"/>
  <c r="P877" i="6" s="1"/>
  <c r="J881" i="6"/>
  <c r="P881" i="6" s="1"/>
  <c r="J885" i="6"/>
  <c r="P885" i="6" s="1"/>
  <c r="J878" i="6"/>
  <c r="P878" i="6" s="1"/>
  <c r="J882" i="6"/>
  <c r="P882" i="6" s="1"/>
  <c r="J874" i="6"/>
  <c r="P874" i="6" s="1"/>
  <c r="J870" i="6"/>
  <c r="G870" i="6" s="1"/>
  <c r="J869" i="6"/>
  <c r="G869" i="6" s="1"/>
  <c r="J871" i="6"/>
  <c r="G871" i="6" s="1"/>
  <c r="J872" i="6"/>
  <c r="G872" i="6" s="1"/>
  <c r="J873" i="6"/>
  <c r="G873" i="6" s="1"/>
  <c r="J858" i="6"/>
  <c r="G858" i="6" s="1"/>
  <c r="J862" i="6"/>
  <c r="G862" i="6" s="1"/>
  <c r="J866" i="6"/>
  <c r="G866" i="6" s="1"/>
  <c r="J859" i="6"/>
  <c r="G859" i="6" s="1"/>
  <c r="J863" i="6"/>
  <c r="G863" i="6" s="1"/>
  <c r="J867" i="6"/>
  <c r="G867" i="6" s="1"/>
  <c r="J860" i="6"/>
  <c r="G860" i="6" s="1"/>
  <c r="J864" i="6"/>
  <c r="G864" i="6" s="1"/>
  <c r="J868" i="6"/>
  <c r="G868" i="6" s="1"/>
  <c r="J861" i="6"/>
  <c r="G861" i="6" s="1"/>
  <c r="J865" i="6"/>
  <c r="G865" i="6" s="1"/>
  <c r="J857" i="6"/>
  <c r="G857" i="6" s="1"/>
  <c r="J850" i="6"/>
  <c r="G850" i="6" s="1"/>
  <c r="J854" i="6"/>
  <c r="G854" i="6" s="1"/>
  <c r="J851" i="6"/>
  <c r="G851" i="6" s="1"/>
  <c r="J855" i="6"/>
  <c r="G855" i="6" s="1"/>
  <c r="J852" i="6"/>
  <c r="G852" i="6" s="1"/>
  <c r="J856" i="6"/>
  <c r="G856" i="6" s="1"/>
  <c r="J853" i="6"/>
  <c r="G853" i="6" s="1"/>
  <c r="J849" i="6"/>
  <c r="G849" i="6" s="1"/>
  <c r="J645" i="5"/>
  <c r="G645" i="5" s="1"/>
  <c r="J649" i="5"/>
  <c r="G649" i="5" s="1"/>
  <c r="J646" i="5"/>
  <c r="G646" i="5" s="1"/>
  <c r="J644" i="5"/>
  <c r="G644" i="5" s="1"/>
  <c r="J647" i="5"/>
  <c r="G647" i="5" s="1"/>
  <c r="J648" i="5"/>
  <c r="G648" i="5" s="1"/>
  <c r="J633" i="5"/>
  <c r="G633" i="5" s="1"/>
  <c r="J637" i="5"/>
  <c r="G637" i="5" s="1"/>
  <c r="J641" i="5"/>
  <c r="G641" i="5" s="1"/>
  <c r="J634" i="5"/>
  <c r="G634" i="5" s="1"/>
  <c r="J638" i="5"/>
  <c r="G638" i="5" s="1"/>
  <c r="J642" i="5"/>
  <c r="G642" i="5" s="1"/>
  <c r="J635" i="5"/>
  <c r="G635" i="5" s="1"/>
  <c r="J639" i="5"/>
  <c r="G639" i="5" s="1"/>
  <c r="J643" i="5"/>
  <c r="G643" i="5" s="1"/>
  <c r="J636" i="5"/>
  <c r="G636" i="5" s="1"/>
  <c r="J640" i="5"/>
  <c r="G640" i="5" s="1"/>
  <c r="J632" i="5"/>
  <c r="G632" i="5" s="1"/>
  <c r="J621" i="5"/>
  <c r="G621" i="5" s="1"/>
  <c r="J625" i="5"/>
  <c r="G625" i="5" s="1"/>
  <c r="J629" i="5"/>
  <c r="G629" i="5" s="1"/>
  <c r="J622" i="5"/>
  <c r="G622" i="5" s="1"/>
  <c r="J626" i="5"/>
  <c r="G626" i="5" s="1"/>
  <c r="J630" i="5"/>
  <c r="G630" i="5" s="1"/>
  <c r="J623" i="5"/>
  <c r="G623" i="5" s="1"/>
  <c r="J627" i="5"/>
  <c r="G627" i="5" s="1"/>
  <c r="J631" i="5"/>
  <c r="G631" i="5" s="1"/>
  <c r="J624" i="5"/>
  <c r="G624" i="5" s="1"/>
  <c r="J628" i="5"/>
  <c r="G628" i="5" s="1"/>
  <c r="J620" i="5"/>
  <c r="G620" i="5" s="1"/>
  <c r="J609" i="5"/>
  <c r="G609" i="5" s="1"/>
  <c r="J613" i="5"/>
  <c r="G613" i="5" s="1"/>
  <c r="J617" i="5"/>
  <c r="G617" i="5" s="1"/>
  <c r="J610" i="5"/>
  <c r="G610" i="5" s="1"/>
  <c r="J614" i="5"/>
  <c r="G614" i="5" s="1"/>
  <c r="J618" i="5"/>
  <c r="G618" i="5" s="1"/>
  <c r="J611" i="5"/>
  <c r="G611" i="5" s="1"/>
  <c r="J615" i="5"/>
  <c r="G615" i="5" s="1"/>
  <c r="J619" i="5"/>
  <c r="G619" i="5" s="1"/>
  <c r="J612" i="5"/>
  <c r="G612" i="5" s="1"/>
  <c r="J616" i="5"/>
  <c r="G616" i="5" s="1"/>
  <c r="J608" i="5"/>
  <c r="G608" i="5" s="1"/>
  <c r="J597" i="5"/>
  <c r="G597" i="5" s="1"/>
  <c r="J601" i="5"/>
  <c r="G601" i="5" s="1"/>
  <c r="J605" i="5"/>
  <c r="G605" i="5" s="1"/>
  <c r="J598" i="5"/>
  <c r="G598" i="5" s="1"/>
  <c r="J602" i="5"/>
  <c r="G602" i="5" s="1"/>
  <c r="J606" i="5"/>
  <c r="G606" i="5" s="1"/>
  <c r="J599" i="5"/>
  <c r="G599" i="5" s="1"/>
  <c r="J603" i="5"/>
  <c r="G603" i="5" s="1"/>
  <c r="J607" i="5"/>
  <c r="G607" i="5" s="1"/>
  <c r="J600" i="5"/>
  <c r="G600" i="5" s="1"/>
  <c r="J604" i="5"/>
  <c r="G604" i="5" s="1"/>
  <c r="J596" i="5"/>
  <c r="G596" i="5" s="1"/>
  <c r="J2499" i="3"/>
  <c r="G2499" i="3" s="1"/>
  <c r="J2503" i="3"/>
  <c r="G2503" i="3" s="1"/>
  <c r="J2500" i="3"/>
  <c r="G2500" i="3" s="1"/>
  <c r="J2498" i="3"/>
  <c r="G2498" i="3" s="1"/>
  <c r="J2501" i="3"/>
  <c r="G2501" i="3" s="1"/>
  <c r="J2502" i="3"/>
  <c r="G2502" i="3" s="1"/>
  <c r="J2487" i="3"/>
  <c r="G2487" i="3" s="1"/>
  <c r="J2491" i="3"/>
  <c r="G2491" i="3" s="1"/>
  <c r="J2495" i="3"/>
  <c r="G2495" i="3" s="1"/>
  <c r="J2488" i="3"/>
  <c r="G2488" i="3" s="1"/>
  <c r="J2492" i="3"/>
  <c r="G2492" i="3" s="1"/>
  <c r="J2496" i="3"/>
  <c r="G2496" i="3" s="1"/>
  <c r="J2489" i="3"/>
  <c r="G2489" i="3" s="1"/>
  <c r="J2493" i="3"/>
  <c r="G2493" i="3" s="1"/>
  <c r="J2497" i="3"/>
  <c r="G2497" i="3" s="1"/>
  <c r="J2490" i="3"/>
  <c r="G2490" i="3" s="1"/>
  <c r="J2494" i="3"/>
  <c r="G2494" i="3" s="1"/>
  <c r="J2486" i="3"/>
  <c r="G2486" i="3" s="1"/>
  <c r="J2475" i="3"/>
  <c r="G2475" i="3" s="1"/>
  <c r="J2479" i="3"/>
  <c r="G2479" i="3" s="1"/>
  <c r="J2483" i="3"/>
  <c r="G2483" i="3" s="1"/>
  <c r="J2476" i="3"/>
  <c r="G2476" i="3" s="1"/>
  <c r="J2480" i="3"/>
  <c r="G2480" i="3" s="1"/>
  <c r="J2484" i="3"/>
  <c r="G2484" i="3" s="1"/>
  <c r="J2477" i="3"/>
  <c r="G2477" i="3" s="1"/>
  <c r="J2481" i="3"/>
  <c r="G2481" i="3" s="1"/>
  <c r="J2485" i="3"/>
  <c r="G2485" i="3" s="1"/>
  <c r="J2478" i="3"/>
  <c r="G2478" i="3" s="1"/>
  <c r="J2482" i="3"/>
  <c r="G2482" i="3" s="1"/>
  <c r="J2474" i="3"/>
  <c r="G2474" i="3" s="1"/>
  <c r="J2463" i="3"/>
  <c r="G2463" i="3" s="1"/>
  <c r="J2467" i="3"/>
  <c r="G2467" i="3" s="1"/>
  <c r="J2471" i="3"/>
  <c r="G2471" i="3" s="1"/>
  <c r="J2464" i="3"/>
  <c r="G2464" i="3" s="1"/>
  <c r="J2468" i="3"/>
  <c r="G2468" i="3" s="1"/>
  <c r="J2472" i="3"/>
  <c r="G2472" i="3" s="1"/>
  <c r="J2465" i="3"/>
  <c r="G2465" i="3" s="1"/>
  <c r="J2469" i="3"/>
  <c r="G2469" i="3" s="1"/>
  <c r="J2473" i="3"/>
  <c r="G2473" i="3" s="1"/>
  <c r="J2466" i="3"/>
  <c r="G2466" i="3" s="1"/>
  <c r="J2470" i="3"/>
  <c r="G2470" i="3" s="1"/>
  <c r="J2462" i="3"/>
  <c r="G2462" i="3" s="1"/>
  <c r="J2451" i="3"/>
  <c r="G2451" i="3" s="1"/>
  <c r="J2455" i="3"/>
  <c r="G2455" i="3" s="1"/>
  <c r="J2459" i="3"/>
  <c r="G2459" i="3" s="1"/>
  <c r="J2452" i="3"/>
  <c r="G2452" i="3" s="1"/>
  <c r="J2456" i="3"/>
  <c r="G2456" i="3" s="1"/>
  <c r="J2460" i="3"/>
  <c r="G2460" i="3" s="1"/>
  <c r="J2453" i="3"/>
  <c r="G2453" i="3" s="1"/>
  <c r="J2457" i="3"/>
  <c r="G2457" i="3" s="1"/>
  <c r="J2461" i="3"/>
  <c r="G2461" i="3" s="1"/>
  <c r="J2454" i="3"/>
  <c r="G2454" i="3" s="1"/>
  <c r="J2458" i="3"/>
  <c r="G2458" i="3" s="1"/>
  <c r="J2450" i="3"/>
  <c r="G2450" i="3" s="1"/>
  <c r="J2445" i="3"/>
  <c r="G2445" i="3" s="1"/>
  <c r="J2449" i="3"/>
  <c r="G2449" i="3" s="1"/>
  <c r="J2446" i="3"/>
  <c r="G2446" i="3" s="1"/>
  <c r="J2444" i="3"/>
  <c r="G2444" i="3" s="1"/>
  <c r="J2447" i="3"/>
  <c r="G2447" i="3" s="1"/>
  <c r="J2448" i="3"/>
  <c r="G2448" i="3" s="1"/>
  <c r="J2433" i="3"/>
  <c r="G2433" i="3" s="1"/>
  <c r="J2437" i="3"/>
  <c r="G2437" i="3" s="1"/>
  <c r="J2441" i="3"/>
  <c r="G2441" i="3" s="1"/>
  <c r="J2434" i="3"/>
  <c r="G2434" i="3" s="1"/>
  <c r="J2438" i="3"/>
  <c r="G2438" i="3" s="1"/>
  <c r="J2442" i="3"/>
  <c r="G2442" i="3" s="1"/>
  <c r="J2435" i="3"/>
  <c r="G2435" i="3" s="1"/>
  <c r="J2439" i="3"/>
  <c r="G2439" i="3" s="1"/>
  <c r="J2443" i="3"/>
  <c r="G2443" i="3" s="1"/>
  <c r="J2436" i="3"/>
  <c r="G2436" i="3" s="1"/>
  <c r="J2440" i="3"/>
  <c r="G2440" i="3" s="1"/>
  <c r="J2432" i="3"/>
  <c r="G2432" i="3" s="1"/>
  <c r="J2421" i="3"/>
  <c r="G2421" i="3" s="1"/>
  <c r="J2425" i="3"/>
  <c r="G2425" i="3" s="1"/>
  <c r="J2429" i="3"/>
  <c r="G2429" i="3" s="1"/>
  <c r="J2422" i="3"/>
  <c r="G2422" i="3" s="1"/>
  <c r="J2426" i="3"/>
  <c r="G2426" i="3" s="1"/>
  <c r="J2430" i="3"/>
  <c r="G2430" i="3" s="1"/>
  <c r="J2423" i="3"/>
  <c r="G2423" i="3" s="1"/>
  <c r="J2427" i="3"/>
  <c r="G2427" i="3" s="1"/>
  <c r="J2431" i="3"/>
  <c r="G2431" i="3" s="1"/>
  <c r="J2424" i="3"/>
  <c r="G2424" i="3" s="1"/>
  <c r="J2428" i="3"/>
  <c r="G2428" i="3" s="1"/>
  <c r="J2420" i="3"/>
  <c r="G2420" i="3" s="1"/>
  <c r="J2409" i="3"/>
  <c r="G2409" i="3" s="1"/>
  <c r="J2413" i="3"/>
  <c r="G2413" i="3" s="1"/>
  <c r="J2417" i="3"/>
  <c r="G2417" i="3" s="1"/>
  <c r="J2410" i="3"/>
  <c r="G2410" i="3" s="1"/>
  <c r="J2414" i="3"/>
  <c r="G2414" i="3" s="1"/>
  <c r="J2418" i="3"/>
  <c r="G2418" i="3" s="1"/>
  <c r="J2411" i="3"/>
  <c r="G2411" i="3" s="1"/>
  <c r="J2415" i="3"/>
  <c r="G2415" i="3" s="1"/>
  <c r="J2419" i="3"/>
  <c r="G2419" i="3" s="1"/>
  <c r="J2412" i="3"/>
  <c r="G2412" i="3" s="1"/>
  <c r="J2416" i="3"/>
  <c r="G2416" i="3" s="1"/>
  <c r="J2408" i="3"/>
  <c r="G2408" i="3" s="1"/>
  <c r="J2397" i="3"/>
  <c r="G2397" i="3" s="1"/>
  <c r="J2401" i="3"/>
  <c r="G2401" i="3" s="1"/>
  <c r="J2405" i="3"/>
  <c r="G2405" i="3" s="1"/>
  <c r="J2398" i="3"/>
  <c r="G2398" i="3" s="1"/>
  <c r="J2402" i="3"/>
  <c r="G2402" i="3" s="1"/>
  <c r="J2406" i="3"/>
  <c r="G2406" i="3" s="1"/>
  <c r="J2399" i="3"/>
  <c r="G2399" i="3" s="1"/>
  <c r="J2403" i="3"/>
  <c r="G2403" i="3" s="1"/>
  <c r="J2407" i="3"/>
  <c r="G2407" i="3" s="1"/>
  <c r="J2400" i="3"/>
  <c r="G2400" i="3" s="1"/>
  <c r="J2404" i="3"/>
  <c r="G2404" i="3" s="1"/>
  <c r="J2396" i="3"/>
  <c r="G2396" i="3" s="1"/>
  <c r="J2391" i="3"/>
  <c r="G2391" i="3" s="1"/>
  <c r="J2395" i="3"/>
  <c r="G2395" i="3" s="1"/>
  <c r="J2392" i="3"/>
  <c r="G2392" i="3" s="1"/>
  <c r="J2390" i="3"/>
  <c r="G2390" i="3" s="1"/>
  <c r="J2393" i="3"/>
  <c r="G2393" i="3" s="1"/>
  <c r="J2394" i="3"/>
  <c r="G2394" i="3" s="1"/>
  <c r="J2379" i="3"/>
  <c r="G2379" i="3" s="1"/>
  <c r="J2383" i="3"/>
  <c r="G2383" i="3" s="1"/>
  <c r="J2387" i="3"/>
  <c r="G2387" i="3" s="1"/>
  <c r="J2380" i="3"/>
  <c r="G2380" i="3" s="1"/>
  <c r="J2384" i="3"/>
  <c r="G2384" i="3" s="1"/>
  <c r="J2388" i="3"/>
  <c r="G2388" i="3" s="1"/>
  <c r="J2381" i="3"/>
  <c r="G2381" i="3" s="1"/>
  <c r="J2385" i="3"/>
  <c r="G2385" i="3" s="1"/>
  <c r="J2389" i="3"/>
  <c r="G2389" i="3" s="1"/>
  <c r="J2382" i="3"/>
  <c r="G2382" i="3" s="1"/>
  <c r="J2386" i="3"/>
  <c r="G2386" i="3" s="1"/>
  <c r="J2378" i="3"/>
  <c r="G2378" i="3" s="1"/>
  <c r="J2367" i="3"/>
  <c r="G2367" i="3" s="1"/>
  <c r="J2371" i="3"/>
  <c r="G2371" i="3" s="1"/>
  <c r="J2375" i="3"/>
  <c r="G2375" i="3" s="1"/>
  <c r="J2368" i="3"/>
  <c r="G2368" i="3" s="1"/>
  <c r="J2372" i="3"/>
  <c r="G2372" i="3" s="1"/>
  <c r="J2376" i="3"/>
  <c r="G2376" i="3" s="1"/>
  <c r="J2369" i="3"/>
  <c r="G2369" i="3" s="1"/>
  <c r="J2373" i="3"/>
  <c r="G2373" i="3" s="1"/>
  <c r="J2377" i="3"/>
  <c r="G2377" i="3" s="1"/>
  <c r="J2370" i="3"/>
  <c r="G2370" i="3" s="1"/>
  <c r="J2374" i="3"/>
  <c r="G2374" i="3" s="1"/>
  <c r="J2366" i="3"/>
  <c r="G2366" i="3" s="1"/>
  <c r="J2355" i="3"/>
  <c r="G2355" i="3" s="1"/>
  <c r="J2359" i="3"/>
  <c r="G2359" i="3" s="1"/>
  <c r="J2363" i="3"/>
  <c r="G2363" i="3" s="1"/>
  <c r="J2356" i="3"/>
  <c r="G2356" i="3" s="1"/>
  <c r="J2360" i="3"/>
  <c r="G2360" i="3" s="1"/>
  <c r="J2364" i="3"/>
  <c r="G2364" i="3" s="1"/>
  <c r="J2357" i="3"/>
  <c r="G2357" i="3" s="1"/>
  <c r="J2361" i="3"/>
  <c r="G2361" i="3" s="1"/>
  <c r="J2365" i="3"/>
  <c r="G2365" i="3" s="1"/>
  <c r="J2358" i="3"/>
  <c r="G2358" i="3" s="1"/>
  <c r="J2362" i="3"/>
  <c r="G2362" i="3" s="1"/>
  <c r="J2354" i="3"/>
  <c r="G2354" i="3" s="1"/>
  <c r="J2343" i="3"/>
  <c r="G2343" i="3" s="1"/>
  <c r="J2347" i="3"/>
  <c r="G2347" i="3" s="1"/>
  <c r="J2351" i="3"/>
  <c r="G2351" i="3" s="1"/>
  <c r="J2344" i="3"/>
  <c r="G2344" i="3" s="1"/>
  <c r="J2348" i="3"/>
  <c r="G2348" i="3" s="1"/>
  <c r="J2352" i="3"/>
  <c r="G2352" i="3" s="1"/>
  <c r="J2345" i="3"/>
  <c r="G2345" i="3" s="1"/>
  <c r="J2349" i="3"/>
  <c r="G2349" i="3" s="1"/>
  <c r="J2353" i="3"/>
  <c r="G2353" i="3" s="1"/>
  <c r="J2346" i="3"/>
  <c r="G2346" i="3" s="1"/>
  <c r="J2350" i="3"/>
  <c r="G2350" i="3" s="1"/>
  <c r="J2342" i="3"/>
  <c r="G2342" i="3" s="1"/>
  <c r="J2337" i="3"/>
  <c r="G2337" i="3" s="1"/>
  <c r="J2341" i="3"/>
  <c r="G2341" i="3" s="1"/>
  <c r="J2338" i="3"/>
  <c r="G2338" i="3" s="1"/>
  <c r="J2336" i="3"/>
  <c r="G2336" i="3" s="1"/>
  <c r="J2339" i="3"/>
  <c r="G2339" i="3" s="1"/>
  <c r="J2340" i="3"/>
  <c r="G2340" i="3" s="1"/>
  <c r="J2325" i="3"/>
  <c r="G2325" i="3" s="1"/>
  <c r="J2329" i="3"/>
  <c r="G2329" i="3" s="1"/>
  <c r="J2333" i="3"/>
  <c r="G2333" i="3" s="1"/>
  <c r="J2326" i="3"/>
  <c r="G2326" i="3" s="1"/>
  <c r="J2330" i="3"/>
  <c r="G2330" i="3" s="1"/>
  <c r="J2334" i="3"/>
  <c r="G2334" i="3" s="1"/>
  <c r="J2327" i="3"/>
  <c r="G2327" i="3" s="1"/>
  <c r="J2331" i="3"/>
  <c r="G2331" i="3" s="1"/>
  <c r="J2335" i="3"/>
  <c r="G2335" i="3" s="1"/>
  <c r="J2328" i="3"/>
  <c r="G2328" i="3" s="1"/>
  <c r="J2332" i="3"/>
  <c r="G2332" i="3" s="1"/>
  <c r="J2324" i="3"/>
  <c r="G2324" i="3" s="1"/>
  <c r="J2313" i="3"/>
  <c r="G2313" i="3" s="1"/>
  <c r="J2317" i="3"/>
  <c r="G2317" i="3" s="1"/>
  <c r="J2321" i="3"/>
  <c r="G2321" i="3" s="1"/>
  <c r="J2314" i="3"/>
  <c r="G2314" i="3" s="1"/>
  <c r="J2318" i="3"/>
  <c r="G2318" i="3" s="1"/>
  <c r="J2322" i="3"/>
  <c r="G2322" i="3" s="1"/>
  <c r="J2315" i="3"/>
  <c r="G2315" i="3" s="1"/>
  <c r="J2319" i="3"/>
  <c r="G2319" i="3" s="1"/>
  <c r="J2323" i="3"/>
  <c r="G2323" i="3" s="1"/>
  <c r="J2316" i="3"/>
  <c r="G2316" i="3" s="1"/>
  <c r="J2320" i="3"/>
  <c r="G2320" i="3" s="1"/>
  <c r="J2312" i="3"/>
  <c r="G2312" i="3" s="1"/>
  <c r="J2301" i="3"/>
  <c r="G2301" i="3" s="1"/>
  <c r="J2305" i="3"/>
  <c r="G2305" i="3" s="1"/>
  <c r="J2309" i="3"/>
  <c r="G2309" i="3" s="1"/>
  <c r="J2302" i="3"/>
  <c r="G2302" i="3" s="1"/>
  <c r="J2306" i="3"/>
  <c r="G2306" i="3" s="1"/>
  <c r="J2310" i="3"/>
  <c r="G2310" i="3" s="1"/>
  <c r="J2303" i="3"/>
  <c r="G2303" i="3" s="1"/>
  <c r="J2307" i="3"/>
  <c r="G2307" i="3" s="1"/>
  <c r="J2311" i="3"/>
  <c r="G2311" i="3" s="1"/>
  <c r="J2304" i="3"/>
  <c r="G2304" i="3" s="1"/>
  <c r="J2308" i="3"/>
  <c r="G2308" i="3" s="1"/>
  <c r="J2300" i="3"/>
  <c r="G2300" i="3" s="1"/>
  <c r="J2289" i="3"/>
  <c r="G2289" i="3" s="1"/>
  <c r="J2293" i="3"/>
  <c r="G2293" i="3" s="1"/>
  <c r="J2297" i="3"/>
  <c r="G2297" i="3" s="1"/>
  <c r="J2290" i="3"/>
  <c r="G2290" i="3" s="1"/>
  <c r="J2294" i="3"/>
  <c r="G2294" i="3" s="1"/>
  <c r="J2298" i="3"/>
  <c r="G2298" i="3" s="1"/>
  <c r="J2291" i="3"/>
  <c r="G2291" i="3" s="1"/>
  <c r="J2295" i="3"/>
  <c r="G2295" i="3" s="1"/>
  <c r="J2299" i="3"/>
  <c r="G2299" i="3" s="1"/>
  <c r="J2292" i="3"/>
  <c r="G2292" i="3" s="1"/>
  <c r="J2296" i="3"/>
  <c r="G2296" i="3" s="1"/>
  <c r="J2288" i="3"/>
  <c r="G2288" i="3" s="1"/>
  <c r="J845" i="6"/>
  <c r="P845" i="6" s="1"/>
  <c r="J844" i="6"/>
  <c r="P844" i="6" s="1"/>
  <c r="J847" i="6"/>
  <c r="P847" i="6" s="1"/>
  <c r="J848" i="6"/>
  <c r="P848" i="6" s="1"/>
  <c r="J846" i="6"/>
  <c r="P846" i="6" s="1"/>
  <c r="J833" i="6"/>
  <c r="P833" i="6" s="1"/>
  <c r="J837" i="6"/>
  <c r="P837" i="6" s="1"/>
  <c r="J841" i="6"/>
  <c r="P841" i="6" s="1"/>
  <c r="J834" i="6"/>
  <c r="P834" i="6" s="1"/>
  <c r="J838" i="6"/>
  <c r="P838" i="6" s="1"/>
  <c r="J842" i="6"/>
  <c r="P842" i="6" s="1"/>
  <c r="J835" i="6"/>
  <c r="P835" i="6" s="1"/>
  <c r="J839" i="6"/>
  <c r="P839" i="6" s="1"/>
  <c r="J843" i="6"/>
  <c r="P843" i="6" s="1"/>
  <c r="J836" i="6"/>
  <c r="P836" i="6" s="1"/>
  <c r="J840" i="6"/>
  <c r="P840" i="6" s="1"/>
  <c r="J832" i="6"/>
  <c r="P832" i="6" s="1"/>
  <c r="J821" i="6"/>
  <c r="P821" i="6" s="1"/>
  <c r="J825" i="6"/>
  <c r="P825" i="6" s="1"/>
  <c r="J829" i="6"/>
  <c r="P829" i="6" s="1"/>
  <c r="J822" i="6"/>
  <c r="P822" i="6" s="1"/>
  <c r="J826" i="6"/>
  <c r="P826" i="6" s="1"/>
  <c r="J830" i="6"/>
  <c r="P830" i="6" s="1"/>
  <c r="J823" i="6"/>
  <c r="P823" i="6" s="1"/>
  <c r="J827" i="6"/>
  <c r="P827" i="6" s="1"/>
  <c r="J831" i="6"/>
  <c r="P831" i="6" s="1"/>
  <c r="J824" i="6"/>
  <c r="P824" i="6" s="1"/>
  <c r="J828" i="6"/>
  <c r="P828" i="6" s="1"/>
  <c r="J820" i="6"/>
  <c r="P820" i="6" s="1"/>
  <c r="J809" i="6"/>
  <c r="P809" i="6" s="1"/>
  <c r="J813" i="6"/>
  <c r="P813" i="6" s="1"/>
  <c r="J817" i="6"/>
  <c r="P817" i="6" s="1"/>
  <c r="J810" i="6"/>
  <c r="P810" i="6" s="1"/>
  <c r="J814" i="6"/>
  <c r="P814" i="6" s="1"/>
  <c r="J818" i="6"/>
  <c r="P818" i="6" s="1"/>
  <c r="J811" i="6"/>
  <c r="P811" i="6" s="1"/>
  <c r="J815" i="6"/>
  <c r="P815" i="6" s="1"/>
  <c r="J819" i="6"/>
  <c r="P819" i="6" s="1"/>
  <c r="J812" i="6"/>
  <c r="P812" i="6" s="1"/>
  <c r="J816" i="6"/>
  <c r="P816" i="6" s="1"/>
  <c r="J808" i="6"/>
  <c r="P808" i="6" s="1"/>
  <c r="J797" i="6"/>
  <c r="P797" i="6" s="1"/>
  <c r="J801" i="6"/>
  <c r="P801" i="6" s="1"/>
  <c r="J805" i="6"/>
  <c r="P805" i="6" s="1"/>
  <c r="J798" i="6"/>
  <c r="P798" i="6" s="1"/>
  <c r="J802" i="6"/>
  <c r="P802" i="6" s="1"/>
  <c r="J806" i="6"/>
  <c r="P806" i="6" s="1"/>
  <c r="J799" i="6"/>
  <c r="P799" i="6" s="1"/>
  <c r="J803" i="6"/>
  <c r="P803" i="6" s="1"/>
  <c r="J807" i="6"/>
  <c r="P807" i="6" s="1"/>
  <c r="J800" i="6"/>
  <c r="P800" i="6" s="1"/>
  <c r="J804" i="6"/>
  <c r="P804" i="6" s="1"/>
  <c r="J796" i="6"/>
  <c r="P796" i="6" s="1"/>
  <c r="J792" i="6"/>
  <c r="G792" i="6" s="1"/>
  <c r="J791" i="6"/>
  <c r="G791" i="6" s="1"/>
  <c r="J793" i="6"/>
  <c r="G793" i="6" s="1"/>
  <c r="J794" i="6"/>
  <c r="G794" i="6" s="1"/>
  <c r="J795" i="6"/>
  <c r="G795" i="6" s="1"/>
  <c r="J780" i="6"/>
  <c r="G780" i="6" s="1"/>
  <c r="J784" i="6"/>
  <c r="G784" i="6" s="1"/>
  <c r="J788" i="6"/>
  <c r="G788" i="6" s="1"/>
  <c r="J781" i="6"/>
  <c r="G781" i="6" s="1"/>
  <c r="J785" i="6"/>
  <c r="G785" i="6" s="1"/>
  <c r="J789" i="6"/>
  <c r="G789" i="6" s="1"/>
  <c r="J782" i="6"/>
  <c r="G782" i="6" s="1"/>
  <c r="J786" i="6"/>
  <c r="G786" i="6" s="1"/>
  <c r="J790" i="6"/>
  <c r="G790" i="6" s="1"/>
  <c r="J783" i="6"/>
  <c r="G783" i="6" s="1"/>
  <c r="J787" i="6"/>
  <c r="G787" i="6" s="1"/>
  <c r="J779" i="6"/>
  <c r="G779" i="6" s="1"/>
  <c r="J772" i="6"/>
  <c r="G772" i="6" s="1"/>
  <c r="J776" i="6"/>
  <c r="G776" i="6" s="1"/>
  <c r="J773" i="6"/>
  <c r="G773" i="6" s="1"/>
  <c r="J777" i="6"/>
  <c r="G777" i="6" s="1"/>
  <c r="J774" i="6"/>
  <c r="G774" i="6" s="1"/>
  <c r="J778" i="6"/>
  <c r="G778" i="6" s="1"/>
  <c r="J775" i="6"/>
  <c r="G775" i="6" s="1"/>
  <c r="J771" i="6"/>
  <c r="G771" i="6" s="1"/>
  <c r="J591" i="5"/>
  <c r="G591" i="5" s="1"/>
  <c r="J595" i="5"/>
  <c r="G595" i="5" s="1"/>
  <c r="J592" i="5"/>
  <c r="G592" i="5" s="1"/>
  <c r="J590" i="5"/>
  <c r="G590" i="5" s="1"/>
  <c r="J593" i="5"/>
  <c r="G593" i="5" s="1"/>
  <c r="J594" i="5"/>
  <c r="G594" i="5" s="1"/>
  <c r="J579" i="5"/>
  <c r="G579" i="5" s="1"/>
  <c r="J583" i="5"/>
  <c r="G583" i="5" s="1"/>
  <c r="J587" i="5"/>
  <c r="G587" i="5" s="1"/>
  <c r="J580" i="5"/>
  <c r="G580" i="5" s="1"/>
  <c r="J584" i="5"/>
  <c r="G584" i="5" s="1"/>
  <c r="J588" i="5"/>
  <c r="G588" i="5" s="1"/>
  <c r="J581" i="5"/>
  <c r="G581" i="5" s="1"/>
  <c r="J585" i="5"/>
  <c r="G585" i="5" s="1"/>
  <c r="J589" i="5"/>
  <c r="G589" i="5" s="1"/>
  <c r="J582" i="5"/>
  <c r="G582" i="5" s="1"/>
  <c r="J586" i="5"/>
  <c r="G586" i="5" s="1"/>
  <c r="J578" i="5"/>
  <c r="G578" i="5" s="1"/>
  <c r="J567" i="5"/>
  <c r="G567" i="5" s="1"/>
  <c r="J571" i="5"/>
  <c r="G571" i="5" s="1"/>
  <c r="J575" i="5"/>
  <c r="G575" i="5" s="1"/>
  <c r="J568" i="5"/>
  <c r="G568" i="5" s="1"/>
  <c r="J572" i="5"/>
  <c r="G572" i="5" s="1"/>
  <c r="J576" i="5"/>
  <c r="G576" i="5" s="1"/>
  <c r="J569" i="5"/>
  <c r="G569" i="5" s="1"/>
  <c r="J573" i="5"/>
  <c r="G573" i="5" s="1"/>
  <c r="J577" i="5"/>
  <c r="G577" i="5" s="1"/>
  <c r="J570" i="5"/>
  <c r="G570" i="5" s="1"/>
  <c r="J574" i="5"/>
  <c r="G574" i="5" s="1"/>
  <c r="J566" i="5"/>
  <c r="G566" i="5" s="1"/>
  <c r="J555" i="5"/>
  <c r="G555" i="5" s="1"/>
  <c r="J559" i="5"/>
  <c r="G559" i="5" s="1"/>
  <c r="J563" i="5"/>
  <c r="G563" i="5" s="1"/>
  <c r="J556" i="5"/>
  <c r="G556" i="5" s="1"/>
  <c r="J560" i="5"/>
  <c r="G560" i="5" s="1"/>
  <c r="J564" i="5"/>
  <c r="G564" i="5" s="1"/>
  <c r="J558" i="5"/>
  <c r="G558" i="5" s="1"/>
  <c r="J562" i="5"/>
  <c r="G562" i="5" s="1"/>
  <c r="J554" i="5"/>
  <c r="G554" i="5" s="1"/>
  <c r="J557" i="5"/>
  <c r="G557" i="5" s="1"/>
  <c r="J561" i="5"/>
  <c r="G561" i="5" s="1"/>
  <c r="J565" i="5"/>
  <c r="G565" i="5" s="1"/>
  <c r="J543" i="5"/>
  <c r="G543" i="5" s="1"/>
  <c r="J547" i="5"/>
  <c r="G547" i="5" s="1"/>
  <c r="J551" i="5"/>
  <c r="G551" i="5" s="1"/>
  <c r="J544" i="5"/>
  <c r="G544" i="5" s="1"/>
  <c r="J548" i="5"/>
  <c r="G548" i="5" s="1"/>
  <c r="J552" i="5"/>
  <c r="G552" i="5" s="1"/>
  <c r="J545" i="5"/>
  <c r="G545" i="5" s="1"/>
  <c r="J549" i="5"/>
  <c r="G549" i="5" s="1"/>
  <c r="J553" i="5"/>
  <c r="G553" i="5" s="1"/>
  <c r="J546" i="5"/>
  <c r="G546" i="5" s="1"/>
  <c r="J550" i="5"/>
  <c r="G550" i="5" s="1"/>
  <c r="J542" i="5"/>
  <c r="G542" i="5" s="1"/>
  <c r="J2283" i="3"/>
  <c r="G2283" i="3" s="1"/>
  <c r="J2287" i="3"/>
  <c r="G2287" i="3" s="1"/>
  <c r="J2284" i="3"/>
  <c r="G2284" i="3" s="1"/>
  <c r="J2282" i="3"/>
  <c r="G2282" i="3" s="1"/>
  <c r="J2285" i="3"/>
  <c r="G2285" i="3" s="1"/>
  <c r="J2286" i="3"/>
  <c r="G2286" i="3" s="1"/>
  <c r="J2271" i="3"/>
  <c r="G2271" i="3" s="1"/>
  <c r="J2275" i="3"/>
  <c r="G2275" i="3" s="1"/>
  <c r="J2279" i="3"/>
  <c r="G2279" i="3" s="1"/>
  <c r="J2272" i="3"/>
  <c r="G2272" i="3" s="1"/>
  <c r="J2276" i="3"/>
  <c r="G2276" i="3" s="1"/>
  <c r="J2280" i="3"/>
  <c r="G2280" i="3" s="1"/>
  <c r="J2273" i="3"/>
  <c r="G2273" i="3" s="1"/>
  <c r="J2277" i="3"/>
  <c r="G2277" i="3" s="1"/>
  <c r="J2281" i="3"/>
  <c r="G2281" i="3" s="1"/>
  <c r="J2274" i="3"/>
  <c r="G2274" i="3" s="1"/>
  <c r="J2278" i="3"/>
  <c r="G2278" i="3" s="1"/>
  <c r="J2270" i="3"/>
  <c r="G2270" i="3" s="1"/>
  <c r="J2259" i="3"/>
  <c r="G2259" i="3" s="1"/>
  <c r="J2263" i="3"/>
  <c r="G2263" i="3" s="1"/>
  <c r="J2267" i="3"/>
  <c r="G2267" i="3" s="1"/>
  <c r="J2260" i="3"/>
  <c r="G2260" i="3" s="1"/>
  <c r="J2264" i="3"/>
  <c r="G2264" i="3" s="1"/>
  <c r="J2268" i="3"/>
  <c r="G2268" i="3" s="1"/>
  <c r="J2261" i="3"/>
  <c r="G2261" i="3" s="1"/>
  <c r="J2265" i="3"/>
  <c r="G2265" i="3" s="1"/>
  <c r="J2269" i="3"/>
  <c r="G2269" i="3" s="1"/>
  <c r="J2262" i="3"/>
  <c r="G2262" i="3" s="1"/>
  <c r="J2266" i="3"/>
  <c r="G2266" i="3" s="1"/>
  <c r="J2258" i="3"/>
  <c r="G2258" i="3" s="1"/>
  <c r="J2247" i="3"/>
  <c r="G2247" i="3" s="1"/>
  <c r="J2251" i="3"/>
  <c r="G2251" i="3" s="1"/>
  <c r="J2255" i="3"/>
  <c r="G2255" i="3" s="1"/>
  <c r="J2248" i="3"/>
  <c r="G2248" i="3" s="1"/>
  <c r="J2252" i="3"/>
  <c r="G2252" i="3" s="1"/>
  <c r="J2256" i="3"/>
  <c r="G2256" i="3" s="1"/>
  <c r="J2249" i="3"/>
  <c r="G2249" i="3" s="1"/>
  <c r="J2253" i="3"/>
  <c r="G2253" i="3" s="1"/>
  <c r="J2257" i="3"/>
  <c r="G2257" i="3" s="1"/>
  <c r="J2250" i="3"/>
  <c r="G2250" i="3" s="1"/>
  <c r="J2254" i="3"/>
  <c r="G2254" i="3" s="1"/>
  <c r="J2246" i="3"/>
  <c r="G2246" i="3" s="1"/>
  <c r="J2235" i="3"/>
  <c r="G2235" i="3" s="1"/>
  <c r="J2239" i="3"/>
  <c r="G2239" i="3" s="1"/>
  <c r="J2243" i="3"/>
  <c r="G2243" i="3" s="1"/>
  <c r="J2236" i="3"/>
  <c r="G2236" i="3" s="1"/>
  <c r="J2240" i="3"/>
  <c r="G2240" i="3" s="1"/>
  <c r="J2244" i="3"/>
  <c r="G2244" i="3" s="1"/>
  <c r="J2237" i="3"/>
  <c r="G2237" i="3" s="1"/>
  <c r="J2241" i="3"/>
  <c r="G2241" i="3" s="1"/>
  <c r="J2245" i="3"/>
  <c r="G2245" i="3" s="1"/>
  <c r="J2238" i="3"/>
  <c r="G2238" i="3" s="1"/>
  <c r="J2242" i="3"/>
  <c r="G2242" i="3" s="1"/>
  <c r="J2234" i="3"/>
  <c r="G2234" i="3" s="1"/>
  <c r="J2229" i="3"/>
  <c r="G2229" i="3" s="1"/>
  <c r="J2233" i="3"/>
  <c r="G2233" i="3" s="1"/>
  <c r="J2230" i="3"/>
  <c r="G2230" i="3" s="1"/>
  <c r="J2228" i="3"/>
  <c r="G2228" i="3" s="1"/>
  <c r="J2231" i="3"/>
  <c r="G2231" i="3" s="1"/>
  <c r="J2232" i="3"/>
  <c r="G2232" i="3" s="1"/>
  <c r="J2217" i="3"/>
  <c r="G2217" i="3" s="1"/>
  <c r="J2221" i="3"/>
  <c r="G2221" i="3" s="1"/>
  <c r="J2225" i="3"/>
  <c r="G2225" i="3" s="1"/>
  <c r="J2218" i="3"/>
  <c r="G2218" i="3" s="1"/>
  <c r="J2222" i="3"/>
  <c r="G2222" i="3" s="1"/>
  <c r="J2226" i="3"/>
  <c r="G2226" i="3" s="1"/>
  <c r="J2219" i="3"/>
  <c r="G2219" i="3" s="1"/>
  <c r="J2223" i="3"/>
  <c r="G2223" i="3" s="1"/>
  <c r="J2227" i="3"/>
  <c r="G2227" i="3" s="1"/>
  <c r="J2220" i="3"/>
  <c r="G2220" i="3" s="1"/>
  <c r="J2224" i="3"/>
  <c r="G2224" i="3" s="1"/>
  <c r="J2216" i="3"/>
  <c r="G2216" i="3" s="1"/>
  <c r="J2205" i="3"/>
  <c r="G2205" i="3" s="1"/>
  <c r="J2209" i="3"/>
  <c r="G2209" i="3" s="1"/>
  <c r="J2213" i="3"/>
  <c r="G2213" i="3" s="1"/>
  <c r="J2206" i="3"/>
  <c r="G2206" i="3" s="1"/>
  <c r="J2210" i="3"/>
  <c r="G2210" i="3" s="1"/>
  <c r="J2214" i="3"/>
  <c r="G2214" i="3" s="1"/>
  <c r="J2207" i="3"/>
  <c r="G2207" i="3" s="1"/>
  <c r="J2211" i="3"/>
  <c r="G2211" i="3" s="1"/>
  <c r="J2215" i="3"/>
  <c r="G2215" i="3" s="1"/>
  <c r="J2208" i="3"/>
  <c r="G2208" i="3" s="1"/>
  <c r="J2212" i="3"/>
  <c r="G2212" i="3" s="1"/>
  <c r="J2204" i="3"/>
  <c r="G2204" i="3" s="1"/>
  <c r="J2193" i="3"/>
  <c r="G2193" i="3" s="1"/>
  <c r="J2197" i="3"/>
  <c r="G2197" i="3" s="1"/>
  <c r="J2201" i="3"/>
  <c r="G2201" i="3" s="1"/>
  <c r="J2194" i="3"/>
  <c r="G2194" i="3" s="1"/>
  <c r="J2198" i="3"/>
  <c r="G2198" i="3" s="1"/>
  <c r="J2202" i="3"/>
  <c r="G2202" i="3" s="1"/>
  <c r="J2195" i="3"/>
  <c r="G2195" i="3" s="1"/>
  <c r="J2199" i="3"/>
  <c r="G2199" i="3" s="1"/>
  <c r="J2203" i="3"/>
  <c r="G2203" i="3" s="1"/>
  <c r="J2196" i="3"/>
  <c r="G2196" i="3" s="1"/>
  <c r="J2200" i="3"/>
  <c r="G2200" i="3" s="1"/>
  <c r="J2192" i="3"/>
  <c r="G2192" i="3" s="1"/>
  <c r="J2181" i="3"/>
  <c r="G2181" i="3" s="1"/>
  <c r="J2185" i="3"/>
  <c r="G2185" i="3" s="1"/>
  <c r="J2189" i="3"/>
  <c r="G2189" i="3" s="1"/>
  <c r="J2182" i="3"/>
  <c r="G2182" i="3" s="1"/>
  <c r="J2186" i="3"/>
  <c r="G2186" i="3" s="1"/>
  <c r="J2190" i="3"/>
  <c r="G2190" i="3" s="1"/>
  <c r="J2183" i="3"/>
  <c r="G2183" i="3" s="1"/>
  <c r="J2187" i="3"/>
  <c r="G2187" i="3" s="1"/>
  <c r="J2191" i="3"/>
  <c r="G2191" i="3" s="1"/>
  <c r="J2184" i="3"/>
  <c r="G2184" i="3" s="1"/>
  <c r="J2188" i="3"/>
  <c r="G2188" i="3" s="1"/>
  <c r="J2180" i="3"/>
  <c r="G2180" i="3" s="1"/>
  <c r="J2175" i="3"/>
  <c r="G2175" i="3" s="1"/>
  <c r="J2179" i="3"/>
  <c r="G2179" i="3" s="1"/>
  <c r="J2176" i="3"/>
  <c r="G2176" i="3" s="1"/>
  <c r="J2174" i="3"/>
  <c r="G2174" i="3" s="1"/>
  <c r="J2177" i="3"/>
  <c r="G2177" i="3" s="1"/>
  <c r="J2178" i="3"/>
  <c r="G2178" i="3" s="1"/>
  <c r="J2163" i="3"/>
  <c r="G2163" i="3" s="1"/>
  <c r="J2167" i="3"/>
  <c r="G2167" i="3" s="1"/>
  <c r="J2171" i="3"/>
  <c r="G2171" i="3" s="1"/>
  <c r="J2164" i="3"/>
  <c r="G2164" i="3" s="1"/>
  <c r="J2168" i="3"/>
  <c r="G2168" i="3" s="1"/>
  <c r="J2172" i="3"/>
  <c r="G2172" i="3" s="1"/>
  <c r="J2165" i="3"/>
  <c r="G2165" i="3" s="1"/>
  <c r="J2169" i="3"/>
  <c r="G2169" i="3" s="1"/>
  <c r="J2173" i="3"/>
  <c r="G2173" i="3" s="1"/>
  <c r="J2166" i="3"/>
  <c r="G2166" i="3" s="1"/>
  <c r="J2170" i="3"/>
  <c r="G2170" i="3" s="1"/>
  <c r="J2162" i="3"/>
  <c r="G2162" i="3" s="1"/>
  <c r="J2151" i="3"/>
  <c r="G2151" i="3" s="1"/>
  <c r="J2155" i="3"/>
  <c r="G2155" i="3" s="1"/>
  <c r="J2159" i="3"/>
  <c r="G2159" i="3" s="1"/>
  <c r="J2152" i="3"/>
  <c r="G2152" i="3" s="1"/>
  <c r="J2156" i="3"/>
  <c r="G2156" i="3" s="1"/>
  <c r="J2160" i="3"/>
  <c r="G2160" i="3" s="1"/>
  <c r="J2153" i="3"/>
  <c r="G2153" i="3" s="1"/>
  <c r="J2157" i="3"/>
  <c r="G2157" i="3" s="1"/>
  <c r="J2161" i="3"/>
  <c r="G2161" i="3" s="1"/>
  <c r="J2154" i="3"/>
  <c r="G2154" i="3" s="1"/>
  <c r="J2158" i="3"/>
  <c r="G2158" i="3" s="1"/>
  <c r="J2150" i="3"/>
  <c r="G2150" i="3" s="1"/>
  <c r="J2139" i="3"/>
  <c r="G2139" i="3" s="1"/>
  <c r="J2143" i="3"/>
  <c r="G2143" i="3" s="1"/>
  <c r="J2147" i="3"/>
  <c r="G2147" i="3" s="1"/>
  <c r="J2140" i="3"/>
  <c r="G2140" i="3" s="1"/>
  <c r="J2144" i="3"/>
  <c r="G2144" i="3" s="1"/>
  <c r="J2148" i="3"/>
  <c r="G2148" i="3" s="1"/>
  <c r="J2141" i="3"/>
  <c r="G2141" i="3" s="1"/>
  <c r="J2145" i="3"/>
  <c r="G2145" i="3" s="1"/>
  <c r="J2149" i="3"/>
  <c r="G2149" i="3" s="1"/>
  <c r="J2142" i="3"/>
  <c r="G2142" i="3" s="1"/>
  <c r="J2146" i="3"/>
  <c r="G2146" i="3" s="1"/>
  <c r="J2138" i="3"/>
  <c r="G2138" i="3" s="1"/>
  <c r="J2127" i="3"/>
  <c r="G2127" i="3" s="1"/>
  <c r="J2131" i="3"/>
  <c r="G2131" i="3" s="1"/>
  <c r="J2135" i="3"/>
  <c r="G2135" i="3" s="1"/>
  <c r="J2128" i="3"/>
  <c r="G2128" i="3" s="1"/>
  <c r="J2132" i="3"/>
  <c r="G2132" i="3" s="1"/>
  <c r="J2136" i="3"/>
  <c r="G2136" i="3" s="1"/>
  <c r="J2129" i="3"/>
  <c r="G2129" i="3" s="1"/>
  <c r="J2133" i="3"/>
  <c r="G2133" i="3" s="1"/>
  <c r="J2137" i="3"/>
  <c r="G2137" i="3" s="1"/>
  <c r="J2130" i="3"/>
  <c r="G2130" i="3" s="1"/>
  <c r="J2134" i="3"/>
  <c r="G2134" i="3" s="1"/>
  <c r="J2126" i="3"/>
  <c r="G2126" i="3" s="1"/>
  <c r="J2121" i="3"/>
  <c r="G2121" i="3" s="1"/>
  <c r="J2125" i="3"/>
  <c r="G2125" i="3" s="1"/>
  <c r="J2122" i="3"/>
  <c r="G2122" i="3" s="1"/>
  <c r="J2120" i="3"/>
  <c r="G2120" i="3" s="1"/>
  <c r="J2123" i="3"/>
  <c r="G2123" i="3" s="1"/>
  <c r="J2124" i="3"/>
  <c r="G2124" i="3" s="1"/>
  <c r="J2109" i="3"/>
  <c r="G2109" i="3" s="1"/>
  <c r="J2113" i="3"/>
  <c r="G2113" i="3" s="1"/>
  <c r="J2117" i="3"/>
  <c r="G2117" i="3" s="1"/>
  <c r="J2110" i="3"/>
  <c r="G2110" i="3" s="1"/>
  <c r="J2114" i="3"/>
  <c r="G2114" i="3" s="1"/>
  <c r="J2118" i="3"/>
  <c r="G2118" i="3" s="1"/>
  <c r="J2111" i="3"/>
  <c r="G2111" i="3" s="1"/>
  <c r="J2115" i="3"/>
  <c r="G2115" i="3" s="1"/>
  <c r="J2119" i="3"/>
  <c r="G2119" i="3" s="1"/>
  <c r="J2112" i="3"/>
  <c r="G2112" i="3" s="1"/>
  <c r="J2116" i="3"/>
  <c r="G2116" i="3" s="1"/>
  <c r="J2108" i="3"/>
  <c r="G2108" i="3" s="1"/>
  <c r="J2097" i="3"/>
  <c r="G2097" i="3" s="1"/>
  <c r="J2101" i="3"/>
  <c r="G2101" i="3" s="1"/>
  <c r="J2105" i="3"/>
  <c r="G2105" i="3" s="1"/>
  <c r="J2098" i="3"/>
  <c r="G2098" i="3" s="1"/>
  <c r="J2102" i="3"/>
  <c r="G2102" i="3" s="1"/>
  <c r="J2106" i="3"/>
  <c r="G2106" i="3" s="1"/>
  <c r="J2099" i="3"/>
  <c r="G2099" i="3" s="1"/>
  <c r="J2103" i="3"/>
  <c r="G2103" i="3" s="1"/>
  <c r="J2107" i="3"/>
  <c r="G2107" i="3" s="1"/>
  <c r="J2100" i="3"/>
  <c r="G2100" i="3" s="1"/>
  <c r="J2104" i="3"/>
  <c r="G2104" i="3" s="1"/>
  <c r="J2096" i="3"/>
  <c r="G2096" i="3" s="1"/>
  <c r="J2085" i="3"/>
  <c r="G2085" i="3" s="1"/>
  <c r="J2089" i="3"/>
  <c r="G2089" i="3" s="1"/>
  <c r="J2093" i="3"/>
  <c r="G2093" i="3" s="1"/>
  <c r="J2086" i="3"/>
  <c r="G2086" i="3" s="1"/>
  <c r="J2090" i="3"/>
  <c r="G2090" i="3" s="1"/>
  <c r="J2094" i="3"/>
  <c r="G2094" i="3" s="1"/>
  <c r="J2087" i="3"/>
  <c r="G2087" i="3" s="1"/>
  <c r="J2091" i="3"/>
  <c r="G2091" i="3" s="1"/>
  <c r="J2095" i="3"/>
  <c r="G2095" i="3" s="1"/>
  <c r="J2088" i="3"/>
  <c r="G2088" i="3" s="1"/>
  <c r="J2092" i="3"/>
  <c r="G2092" i="3" s="1"/>
  <c r="J2084" i="3"/>
  <c r="G2084" i="3" s="1"/>
  <c r="J2073" i="3"/>
  <c r="G2073" i="3" s="1"/>
  <c r="J2077" i="3"/>
  <c r="G2077" i="3" s="1"/>
  <c r="J2081" i="3"/>
  <c r="G2081" i="3" s="1"/>
  <c r="J2074" i="3"/>
  <c r="G2074" i="3" s="1"/>
  <c r="J2078" i="3"/>
  <c r="G2078" i="3" s="1"/>
  <c r="J2082" i="3"/>
  <c r="G2082" i="3" s="1"/>
  <c r="J2075" i="3"/>
  <c r="G2075" i="3" s="1"/>
  <c r="J2079" i="3"/>
  <c r="G2079" i="3" s="1"/>
  <c r="J2083" i="3"/>
  <c r="G2083" i="3" s="1"/>
  <c r="J2076" i="3"/>
  <c r="G2076" i="3" s="1"/>
  <c r="J2080" i="3"/>
  <c r="G2080" i="3" s="1"/>
  <c r="J2072" i="3"/>
  <c r="G2072" i="3" s="1"/>
  <c r="J769" i="6"/>
  <c r="P769" i="6" s="1"/>
  <c r="J770" i="6"/>
  <c r="P770" i="6" s="1"/>
  <c r="J767" i="6"/>
  <c r="P767" i="6" s="1"/>
  <c r="J766" i="6"/>
  <c r="P766" i="6" s="1"/>
  <c r="J768" i="6"/>
  <c r="P768" i="6" s="1"/>
  <c r="J757" i="6"/>
  <c r="P757" i="6" s="1"/>
  <c r="J761" i="6"/>
  <c r="P761" i="6" s="1"/>
  <c r="J765" i="6"/>
  <c r="P765" i="6" s="1"/>
  <c r="J758" i="6"/>
  <c r="P758" i="6" s="1"/>
  <c r="J762" i="6"/>
  <c r="P762" i="6" s="1"/>
  <c r="J754" i="6"/>
  <c r="P754" i="6" s="1"/>
  <c r="J755" i="6"/>
  <c r="P755" i="6" s="1"/>
  <c r="J759" i="6"/>
  <c r="P759" i="6" s="1"/>
  <c r="J763" i="6"/>
  <c r="P763" i="6" s="1"/>
  <c r="J756" i="6"/>
  <c r="P756" i="6" s="1"/>
  <c r="J760" i="6"/>
  <c r="P760" i="6" s="1"/>
  <c r="J764" i="6"/>
  <c r="P764" i="6" s="1"/>
  <c r="J745" i="6"/>
  <c r="P745" i="6" s="1"/>
  <c r="J749" i="6"/>
  <c r="P749" i="6" s="1"/>
  <c r="J753" i="6"/>
  <c r="P753" i="6" s="1"/>
  <c r="J746" i="6"/>
  <c r="P746" i="6" s="1"/>
  <c r="J750" i="6"/>
  <c r="P750" i="6" s="1"/>
  <c r="J742" i="6"/>
  <c r="P742" i="6" s="1"/>
  <c r="J743" i="6"/>
  <c r="P743" i="6" s="1"/>
  <c r="J747" i="6"/>
  <c r="P747" i="6" s="1"/>
  <c r="J751" i="6"/>
  <c r="P751" i="6" s="1"/>
  <c r="J744" i="6"/>
  <c r="P744" i="6" s="1"/>
  <c r="J748" i="6"/>
  <c r="P748" i="6" s="1"/>
  <c r="J752" i="6"/>
  <c r="P752" i="6" s="1"/>
  <c r="J733" i="6"/>
  <c r="P733" i="6" s="1"/>
  <c r="J737" i="6"/>
  <c r="P737" i="6" s="1"/>
  <c r="J741" i="6"/>
  <c r="P741" i="6" s="1"/>
  <c r="J734" i="6"/>
  <c r="P734" i="6" s="1"/>
  <c r="J738" i="6"/>
  <c r="P738" i="6" s="1"/>
  <c r="J730" i="6"/>
  <c r="P730" i="6" s="1"/>
  <c r="J731" i="6"/>
  <c r="P731" i="6" s="1"/>
  <c r="J735" i="6"/>
  <c r="P735" i="6" s="1"/>
  <c r="J739" i="6"/>
  <c r="P739" i="6" s="1"/>
  <c r="J732" i="6"/>
  <c r="P732" i="6" s="1"/>
  <c r="J736" i="6"/>
  <c r="P736" i="6" s="1"/>
  <c r="J740" i="6"/>
  <c r="P740" i="6" s="1"/>
  <c r="J719" i="6"/>
  <c r="P719" i="6" s="1"/>
  <c r="J723" i="6"/>
  <c r="P723" i="6" s="1"/>
  <c r="J727" i="6"/>
  <c r="P727" i="6" s="1"/>
  <c r="J720" i="6"/>
  <c r="P720" i="6" s="1"/>
  <c r="J724" i="6"/>
  <c r="P724" i="6" s="1"/>
  <c r="J728" i="6"/>
  <c r="P728" i="6" s="1"/>
  <c r="J721" i="6"/>
  <c r="P721" i="6" s="1"/>
  <c r="J725" i="6"/>
  <c r="P725" i="6" s="1"/>
  <c r="J729" i="6"/>
  <c r="P729" i="6" s="1"/>
  <c r="J722" i="6"/>
  <c r="P722" i="6" s="1"/>
  <c r="J726" i="6"/>
  <c r="P726" i="6" s="1"/>
  <c r="J718" i="6"/>
  <c r="P718" i="6" s="1"/>
  <c r="J714" i="6"/>
  <c r="G714" i="6" s="1"/>
  <c r="J713" i="6"/>
  <c r="G713" i="6" s="1"/>
  <c r="J716" i="6"/>
  <c r="G716" i="6" s="1"/>
  <c r="J717" i="6"/>
  <c r="G717" i="6" s="1"/>
  <c r="J715" i="6"/>
  <c r="G715" i="6" s="1"/>
  <c r="J702" i="6"/>
  <c r="G702" i="6" s="1"/>
  <c r="J706" i="6"/>
  <c r="G706" i="6" s="1"/>
  <c r="J710" i="6"/>
  <c r="G710" i="6" s="1"/>
  <c r="J703" i="6"/>
  <c r="G703" i="6" s="1"/>
  <c r="J707" i="6"/>
  <c r="G707" i="6" s="1"/>
  <c r="J711" i="6"/>
  <c r="G711" i="6" s="1"/>
  <c r="J704" i="6"/>
  <c r="G704" i="6" s="1"/>
  <c r="J708" i="6"/>
  <c r="G708" i="6" s="1"/>
  <c r="J712" i="6"/>
  <c r="G712" i="6" s="1"/>
  <c r="J705" i="6"/>
  <c r="G705" i="6" s="1"/>
  <c r="J709" i="6"/>
  <c r="G709" i="6" s="1"/>
  <c r="J701" i="6"/>
  <c r="G701" i="6" s="1"/>
  <c r="J694" i="6"/>
  <c r="G694" i="6" s="1"/>
  <c r="J698" i="6"/>
  <c r="G698" i="6" s="1"/>
  <c r="J695" i="6"/>
  <c r="G695" i="6" s="1"/>
  <c r="J699" i="6"/>
  <c r="G699" i="6" s="1"/>
  <c r="J696" i="6"/>
  <c r="G696" i="6" s="1"/>
  <c r="J700" i="6"/>
  <c r="G700" i="6" s="1"/>
  <c r="J697" i="6"/>
  <c r="G697" i="6" s="1"/>
  <c r="J693" i="6"/>
  <c r="G693" i="6" s="1"/>
  <c r="J537" i="5"/>
  <c r="G537" i="5" s="1"/>
  <c r="J541" i="5"/>
  <c r="G541" i="5" s="1"/>
  <c r="J538" i="5"/>
  <c r="G538" i="5" s="1"/>
  <c r="J536" i="5"/>
  <c r="G536" i="5" s="1"/>
  <c r="J539" i="5"/>
  <c r="G539" i="5" s="1"/>
  <c r="J540" i="5"/>
  <c r="G540" i="5" s="1"/>
  <c r="J525" i="5"/>
  <c r="G525" i="5" s="1"/>
  <c r="J529" i="5"/>
  <c r="G529" i="5" s="1"/>
  <c r="J533" i="5"/>
  <c r="G533" i="5" s="1"/>
  <c r="J526" i="5"/>
  <c r="G526" i="5" s="1"/>
  <c r="J530" i="5"/>
  <c r="G530" i="5" s="1"/>
  <c r="J534" i="5"/>
  <c r="G534" i="5" s="1"/>
  <c r="J527" i="5"/>
  <c r="G527" i="5" s="1"/>
  <c r="J531" i="5"/>
  <c r="G531" i="5" s="1"/>
  <c r="J535" i="5"/>
  <c r="G535" i="5" s="1"/>
  <c r="J528" i="5"/>
  <c r="G528" i="5" s="1"/>
  <c r="J532" i="5"/>
  <c r="G532" i="5" s="1"/>
  <c r="J524" i="5"/>
  <c r="G524" i="5" s="1"/>
  <c r="J513" i="5"/>
  <c r="G513" i="5" s="1"/>
  <c r="J517" i="5"/>
  <c r="G517" i="5" s="1"/>
  <c r="J521" i="5"/>
  <c r="G521" i="5" s="1"/>
  <c r="J514" i="5"/>
  <c r="G514" i="5" s="1"/>
  <c r="J518" i="5"/>
  <c r="G518" i="5" s="1"/>
  <c r="J522" i="5"/>
  <c r="G522" i="5" s="1"/>
  <c r="J515" i="5"/>
  <c r="G515" i="5" s="1"/>
  <c r="J519" i="5"/>
  <c r="G519" i="5" s="1"/>
  <c r="J523" i="5"/>
  <c r="G523" i="5" s="1"/>
  <c r="J516" i="5"/>
  <c r="G516" i="5" s="1"/>
  <c r="J520" i="5"/>
  <c r="G520" i="5" s="1"/>
  <c r="J512" i="5"/>
  <c r="G512" i="5" s="1"/>
  <c r="J501" i="5"/>
  <c r="G501" i="5" s="1"/>
  <c r="J505" i="5"/>
  <c r="G505" i="5" s="1"/>
  <c r="J509" i="5"/>
  <c r="G509" i="5" s="1"/>
  <c r="J502" i="5"/>
  <c r="G502" i="5" s="1"/>
  <c r="J506" i="5"/>
  <c r="G506" i="5" s="1"/>
  <c r="J510" i="5"/>
  <c r="G510" i="5" s="1"/>
  <c r="J504" i="5"/>
  <c r="G504" i="5" s="1"/>
  <c r="J508" i="5"/>
  <c r="G508" i="5" s="1"/>
  <c r="J500" i="5"/>
  <c r="G500" i="5" s="1"/>
  <c r="J503" i="5"/>
  <c r="G503" i="5" s="1"/>
  <c r="J507" i="5"/>
  <c r="G507" i="5" s="1"/>
  <c r="J511" i="5"/>
  <c r="G511" i="5" s="1"/>
  <c r="J489" i="5"/>
  <c r="G489" i="5" s="1"/>
  <c r="J493" i="5"/>
  <c r="G493" i="5" s="1"/>
  <c r="J497" i="5"/>
  <c r="G497" i="5" s="1"/>
  <c r="J490" i="5"/>
  <c r="G490" i="5" s="1"/>
  <c r="J494" i="5"/>
  <c r="G494" i="5" s="1"/>
  <c r="J498" i="5"/>
  <c r="G498" i="5" s="1"/>
  <c r="J492" i="5"/>
  <c r="G492" i="5" s="1"/>
  <c r="J496" i="5"/>
  <c r="G496" i="5" s="1"/>
  <c r="J488" i="5"/>
  <c r="G488" i="5" s="1"/>
  <c r="J491" i="5"/>
  <c r="G491" i="5" s="1"/>
  <c r="J495" i="5"/>
  <c r="G495" i="5" s="1"/>
  <c r="J499" i="5"/>
  <c r="G499" i="5" s="1"/>
  <c r="J2067" i="3"/>
  <c r="G2067" i="3" s="1"/>
  <c r="J2071" i="3"/>
  <c r="G2071" i="3" s="1"/>
  <c r="J2068" i="3"/>
  <c r="G2068" i="3" s="1"/>
  <c r="J2066" i="3"/>
  <c r="G2066" i="3" s="1"/>
  <c r="J2069" i="3"/>
  <c r="G2069" i="3" s="1"/>
  <c r="J2070" i="3"/>
  <c r="G2070" i="3" s="1"/>
  <c r="J2055" i="3"/>
  <c r="G2055" i="3" s="1"/>
  <c r="J2059" i="3"/>
  <c r="G2059" i="3" s="1"/>
  <c r="J2063" i="3"/>
  <c r="G2063" i="3" s="1"/>
  <c r="J2056" i="3"/>
  <c r="G2056" i="3" s="1"/>
  <c r="J2060" i="3"/>
  <c r="G2060" i="3" s="1"/>
  <c r="J2064" i="3"/>
  <c r="G2064" i="3" s="1"/>
  <c r="J2057" i="3"/>
  <c r="G2057" i="3" s="1"/>
  <c r="J2061" i="3"/>
  <c r="G2061" i="3" s="1"/>
  <c r="J2065" i="3"/>
  <c r="G2065" i="3" s="1"/>
  <c r="J2058" i="3"/>
  <c r="G2058" i="3" s="1"/>
  <c r="J2062" i="3"/>
  <c r="G2062" i="3" s="1"/>
  <c r="J2054" i="3"/>
  <c r="G2054" i="3" s="1"/>
  <c r="J2053" i="3"/>
  <c r="G2053" i="3" s="1"/>
  <c r="J2049" i="3"/>
  <c r="G2049" i="3" s="1"/>
  <c r="J2045" i="3"/>
  <c r="G2045" i="3" s="1"/>
  <c r="J2051" i="3"/>
  <c r="G2051" i="3" s="1"/>
  <c r="J2047" i="3"/>
  <c r="G2047" i="3" s="1"/>
  <c r="J2043" i="3"/>
  <c r="G2043" i="3" s="1"/>
  <c r="J2050" i="3"/>
  <c r="G2050" i="3" s="1"/>
  <c r="J2046" i="3"/>
  <c r="G2046" i="3" s="1"/>
  <c r="J2042" i="3"/>
  <c r="G2042" i="3" s="1"/>
  <c r="J2052" i="3"/>
  <c r="G2052" i="3" s="1"/>
  <c r="J2048" i="3"/>
  <c r="G2048" i="3" s="1"/>
  <c r="J2044" i="3"/>
  <c r="G2044" i="3" s="1"/>
  <c r="J2031" i="3"/>
  <c r="G2031" i="3" s="1"/>
  <c r="J2035" i="3"/>
  <c r="G2035" i="3" s="1"/>
  <c r="J2039" i="3"/>
  <c r="G2039" i="3" s="1"/>
  <c r="J2033" i="3"/>
  <c r="G2033" i="3" s="1"/>
  <c r="J2037" i="3"/>
  <c r="G2037" i="3" s="1"/>
  <c r="J2041" i="3"/>
  <c r="G2041" i="3" s="1"/>
  <c r="J2034" i="3"/>
  <c r="G2034" i="3" s="1"/>
  <c r="J2038" i="3"/>
  <c r="G2038" i="3" s="1"/>
  <c r="J2030" i="3"/>
  <c r="G2030" i="3" s="1"/>
  <c r="J2032" i="3"/>
  <c r="G2032" i="3" s="1"/>
  <c r="J2036" i="3"/>
  <c r="G2036" i="3" s="1"/>
  <c r="J2040" i="3"/>
  <c r="G2040" i="3" s="1"/>
  <c r="J2019" i="3"/>
  <c r="G2019" i="3" s="1"/>
  <c r="J2023" i="3"/>
  <c r="G2023" i="3" s="1"/>
  <c r="J2027" i="3"/>
  <c r="G2027" i="3" s="1"/>
  <c r="J2020" i="3"/>
  <c r="G2020" i="3" s="1"/>
  <c r="J2024" i="3"/>
  <c r="G2024" i="3" s="1"/>
  <c r="J2028" i="3"/>
  <c r="G2028" i="3" s="1"/>
  <c r="J2021" i="3"/>
  <c r="G2021" i="3" s="1"/>
  <c r="J2025" i="3"/>
  <c r="G2025" i="3" s="1"/>
  <c r="J2029" i="3"/>
  <c r="G2029" i="3" s="1"/>
  <c r="J2022" i="3"/>
  <c r="G2022" i="3" s="1"/>
  <c r="J2026" i="3"/>
  <c r="G2026" i="3" s="1"/>
  <c r="J2018" i="3"/>
  <c r="G2018" i="3" s="1"/>
  <c r="J2013" i="3"/>
  <c r="G2013" i="3" s="1"/>
  <c r="J2017" i="3"/>
  <c r="G2017" i="3" s="1"/>
  <c r="J2015" i="3"/>
  <c r="G2015" i="3" s="1"/>
  <c r="J2014" i="3"/>
  <c r="G2014" i="3" s="1"/>
  <c r="J2012" i="3"/>
  <c r="G2012" i="3" s="1"/>
  <c r="J2016" i="3"/>
  <c r="G2016" i="3" s="1"/>
  <c r="J2001" i="3"/>
  <c r="G2001" i="3" s="1"/>
  <c r="J2005" i="3"/>
  <c r="G2005" i="3" s="1"/>
  <c r="J2009" i="3"/>
  <c r="G2009" i="3" s="1"/>
  <c r="J2002" i="3"/>
  <c r="G2002" i="3" s="1"/>
  <c r="J2006" i="3"/>
  <c r="G2006" i="3" s="1"/>
  <c r="J2010" i="3"/>
  <c r="G2010" i="3" s="1"/>
  <c r="J2003" i="3"/>
  <c r="G2003" i="3" s="1"/>
  <c r="J2007" i="3"/>
  <c r="G2007" i="3" s="1"/>
  <c r="J2011" i="3"/>
  <c r="G2011" i="3" s="1"/>
  <c r="J2004" i="3"/>
  <c r="G2004" i="3" s="1"/>
  <c r="J2008" i="3"/>
  <c r="G2008" i="3" s="1"/>
  <c r="J2000" i="3"/>
  <c r="G2000" i="3" s="1"/>
  <c r="J1989" i="3"/>
  <c r="G1989" i="3" s="1"/>
  <c r="J1993" i="3"/>
  <c r="G1993" i="3" s="1"/>
  <c r="J1997" i="3"/>
  <c r="G1997" i="3" s="1"/>
  <c r="J1990" i="3"/>
  <c r="G1990" i="3" s="1"/>
  <c r="J1994" i="3"/>
  <c r="G1994" i="3" s="1"/>
  <c r="J1998" i="3"/>
  <c r="G1998" i="3" s="1"/>
  <c r="J1991" i="3"/>
  <c r="G1991" i="3" s="1"/>
  <c r="J1995" i="3"/>
  <c r="G1995" i="3" s="1"/>
  <c r="J1999" i="3"/>
  <c r="G1999" i="3" s="1"/>
  <c r="J1992" i="3"/>
  <c r="G1992" i="3" s="1"/>
  <c r="J1996" i="3"/>
  <c r="G1996" i="3" s="1"/>
  <c r="J1988" i="3"/>
  <c r="G1988" i="3" s="1"/>
  <c r="J1977" i="3"/>
  <c r="G1977" i="3" s="1"/>
  <c r="J1981" i="3"/>
  <c r="G1981" i="3" s="1"/>
  <c r="J1985" i="3"/>
  <c r="G1985" i="3" s="1"/>
  <c r="J1980" i="3"/>
  <c r="G1980" i="3" s="1"/>
  <c r="J1984" i="3"/>
  <c r="G1984" i="3" s="1"/>
  <c r="J1976" i="3"/>
  <c r="G1976" i="3" s="1"/>
  <c r="J1978" i="3"/>
  <c r="G1978" i="3" s="1"/>
  <c r="J1982" i="3"/>
  <c r="G1982" i="3" s="1"/>
  <c r="J1986" i="3"/>
  <c r="G1986" i="3" s="1"/>
  <c r="J1979" i="3"/>
  <c r="G1979" i="3" s="1"/>
  <c r="J1983" i="3"/>
  <c r="G1983" i="3" s="1"/>
  <c r="J1987" i="3"/>
  <c r="G1987" i="3" s="1"/>
  <c r="J1965" i="3"/>
  <c r="G1965" i="3" s="1"/>
  <c r="J1969" i="3"/>
  <c r="G1969" i="3" s="1"/>
  <c r="J1973" i="3"/>
  <c r="G1973" i="3" s="1"/>
  <c r="J1967" i="3"/>
  <c r="G1967" i="3" s="1"/>
  <c r="J1971" i="3"/>
  <c r="G1971" i="3" s="1"/>
  <c r="J1975" i="3"/>
  <c r="G1975" i="3" s="1"/>
  <c r="J1966" i="3"/>
  <c r="G1966" i="3" s="1"/>
  <c r="J1970" i="3"/>
  <c r="G1970" i="3" s="1"/>
  <c r="J1974" i="3"/>
  <c r="G1974" i="3" s="1"/>
  <c r="J1968" i="3"/>
  <c r="G1968" i="3" s="1"/>
  <c r="J1972" i="3"/>
  <c r="G1972" i="3" s="1"/>
  <c r="J1964" i="3"/>
  <c r="G1964" i="3" s="1"/>
  <c r="J1959" i="3"/>
  <c r="G1959" i="3" s="1"/>
  <c r="J1963" i="3"/>
  <c r="G1963" i="3" s="1"/>
  <c r="J1960" i="3"/>
  <c r="G1960" i="3" s="1"/>
  <c r="J1958" i="3"/>
  <c r="G1958" i="3" s="1"/>
  <c r="J1961" i="3"/>
  <c r="G1961" i="3" s="1"/>
  <c r="J1962" i="3"/>
  <c r="G1962" i="3" s="1"/>
  <c r="J1947" i="3"/>
  <c r="G1947" i="3" s="1"/>
  <c r="J1951" i="3"/>
  <c r="G1951" i="3" s="1"/>
  <c r="J1955" i="3"/>
  <c r="G1955" i="3" s="1"/>
  <c r="J1948" i="3"/>
  <c r="G1948" i="3" s="1"/>
  <c r="J1952" i="3"/>
  <c r="G1952" i="3" s="1"/>
  <c r="J1956" i="3"/>
  <c r="G1956" i="3" s="1"/>
  <c r="J1949" i="3"/>
  <c r="G1949" i="3" s="1"/>
  <c r="J1953" i="3"/>
  <c r="G1953" i="3" s="1"/>
  <c r="J1957" i="3"/>
  <c r="G1957" i="3" s="1"/>
  <c r="J1950" i="3"/>
  <c r="G1950" i="3" s="1"/>
  <c r="J1954" i="3"/>
  <c r="G1954" i="3" s="1"/>
  <c r="J1946" i="3"/>
  <c r="G1946" i="3" s="1"/>
  <c r="J1935" i="3"/>
  <c r="G1935" i="3" s="1"/>
  <c r="J1939" i="3"/>
  <c r="G1939" i="3" s="1"/>
  <c r="J1943" i="3"/>
  <c r="G1943" i="3" s="1"/>
  <c r="J1936" i="3"/>
  <c r="G1936" i="3" s="1"/>
  <c r="J1940" i="3"/>
  <c r="G1940" i="3" s="1"/>
  <c r="J1944" i="3"/>
  <c r="G1944" i="3" s="1"/>
  <c r="J1937" i="3"/>
  <c r="G1937" i="3" s="1"/>
  <c r="J1941" i="3"/>
  <c r="G1941" i="3" s="1"/>
  <c r="J1945" i="3"/>
  <c r="G1945" i="3" s="1"/>
  <c r="J1938" i="3"/>
  <c r="G1938" i="3" s="1"/>
  <c r="J1942" i="3"/>
  <c r="G1942" i="3" s="1"/>
  <c r="J1934" i="3"/>
  <c r="G1934" i="3" s="1"/>
  <c r="J1923" i="3"/>
  <c r="G1923" i="3" s="1"/>
  <c r="J1927" i="3"/>
  <c r="G1927" i="3" s="1"/>
  <c r="J1931" i="3"/>
  <c r="G1931" i="3" s="1"/>
  <c r="J1925" i="3"/>
  <c r="G1925" i="3" s="1"/>
  <c r="J1929" i="3"/>
  <c r="G1929" i="3" s="1"/>
  <c r="J1933" i="3"/>
  <c r="G1933" i="3" s="1"/>
  <c r="J1926" i="3"/>
  <c r="G1926" i="3" s="1"/>
  <c r="J1930" i="3"/>
  <c r="G1930" i="3" s="1"/>
  <c r="J1922" i="3"/>
  <c r="G1922" i="3" s="1"/>
  <c r="J1924" i="3"/>
  <c r="G1924" i="3" s="1"/>
  <c r="J1928" i="3"/>
  <c r="G1928" i="3" s="1"/>
  <c r="J1932" i="3"/>
  <c r="G1932" i="3" s="1"/>
  <c r="J1911" i="3"/>
  <c r="G1911" i="3" s="1"/>
  <c r="J1915" i="3"/>
  <c r="G1915" i="3" s="1"/>
  <c r="J1919" i="3"/>
  <c r="G1919" i="3" s="1"/>
  <c r="J1912" i="3"/>
  <c r="G1912" i="3" s="1"/>
  <c r="J1916" i="3"/>
  <c r="G1916" i="3" s="1"/>
  <c r="J1920" i="3"/>
  <c r="G1920" i="3" s="1"/>
  <c r="J1913" i="3"/>
  <c r="G1913" i="3" s="1"/>
  <c r="J1917" i="3"/>
  <c r="G1917" i="3" s="1"/>
  <c r="J1921" i="3"/>
  <c r="G1921" i="3" s="1"/>
  <c r="J1914" i="3"/>
  <c r="G1914" i="3" s="1"/>
  <c r="J1918" i="3"/>
  <c r="G1918" i="3" s="1"/>
  <c r="J1910" i="3"/>
  <c r="G1910" i="3" s="1"/>
  <c r="J1905" i="3"/>
  <c r="G1905" i="3" s="1"/>
  <c r="J1909" i="3"/>
  <c r="G1909" i="3" s="1"/>
  <c r="J1907" i="3"/>
  <c r="G1907" i="3" s="1"/>
  <c r="J1908" i="3"/>
  <c r="G1908" i="3" s="1"/>
  <c r="J1906" i="3"/>
  <c r="G1906" i="3" s="1"/>
  <c r="J1904" i="3"/>
  <c r="G1904" i="3" s="1"/>
  <c r="J1893" i="3"/>
  <c r="G1893" i="3" s="1"/>
  <c r="J1897" i="3"/>
  <c r="G1897" i="3" s="1"/>
  <c r="J1901" i="3"/>
  <c r="G1901" i="3" s="1"/>
  <c r="J1894" i="3"/>
  <c r="G1894" i="3" s="1"/>
  <c r="J1898" i="3"/>
  <c r="G1898" i="3" s="1"/>
  <c r="J1902" i="3"/>
  <c r="G1902" i="3" s="1"/>
  <c r="J1895" i="3"/>
  <c r="G1895" i="3" s="1"/>
  <c r="J1899" i="3"/>
  <c r="G1899" i="3" s="1"/>
  <c r="J1903" i="3"/>
  <c r="G1903" i="3" s="1"/>
  <c r="J1896" i="3"/>
  <c r="G1896" i="3" s="1"/>
  <c r="J1900" i="3"/>
  <c r="G1900" i="3" s="1"/>
  <c r="J1892" i="3"/>
  <c r="G1892" i="3" s="1"/>
  <c r="J1881" i="3"/>
  <c r="G1881" i="3" s="1"/>
  <c r="J1885" i="3"/>
  <c r="G1885" i="3" s="1"/>
  <c r="J1889" i="3"/>
  <c r="G1889" i="3" s="1"/>
  <c r="J1882" i="3"/>
  <c r="G1882" i="3" s="1"/>
  <c r="J1886" i="3"/>
  <c r="G1886" i="3" s="1"/>
  <c r="J1890" i="3"/>
  <c r="G1890" i="3" s="1"/>
  <c r="J1883" i="3"/>
  <c r="G1883" i="3" s="1"/>
  <c r="J1887" i="3"/>
  <c r="G1887" i="3" s="1"/>
  <c r="J1891" i="3"/>
  <c r="G1891" i="3" s="1"/>
  <c r="J1884" i="3"/>
  <c r="G1884" i="3" s="1"/>
  <c r="J1888" i="3"/>
  <c r="G1888" i="3" s="1"/>
  <c r="J1880" i="3"/>
  <c r="G1880" i="3" s="1"/>
  <c r="J1869" i="3"/>
  <c r="G1869" i="3" s="1"/>
  <c r="J1873" i="3"/>
  <c r="G1873" i="3" s="1"/>
  <c r="J1877" i="3"/>
  <c r="G1877" i="3" s="1"/>
  <c r="J1871" i="3"/>
  <c r="G1871" i="3" s="1"/>
  <c r="J1875" i="3"/>
  <c r="G1875" i="3" s="1"/>
  <c r="J1879" i="3"/>
  <c r="G1879" i="3" s="1"/>
  <c r="J1872" i="3"/>
  <c r="G1872" i="3" s="1"/>
  <c r="J1876" i="3"/>
  <c r="G1876" i="3" s="1"/>
  <c r="J1868" i="3"/>
  <c r="G1868" i="3" s="1"/>
  <c r="J1870" i="3"/>
  <c r="G1870" i="3" s="1"/>
  <c r="J1874" i="3"/>
  <c r="G1874" i="3" s="1"/>
  <c r="J1878" i="3"/>
  <c r="G1878" i="3" s="1"/>
  <c r="J1857" i="3"/>
  <c r="G1857" i="3" s="1"/>
  <c r="J1861" i="3"/>
  <c r="G1861" i="3" s="1"/>
  <c r="J1865" i="3"/>
  <c r="G1865" i="3" s="1"/>
  <c r="J1859" i="3"/>
  <c r="G1859" i="3" s="1"/>
  <c r="J1863" i="3"/>
  <c r="G1863" i="3" s="1"/>
  <c r="J1867" i="3"/>
  <c r="G1867" i="3" s="1"/>
  <c r="J1860" i="3"/>
  <c r="G1860" i="3" s="1"/>
  <c r="J1864" i="3"/>
  <c r="G1864" i="3" s="1"/>
  <c r="J1856" i="3"/>
  <c r="G1856" i="3" s="1"/>
  <c r="J1858" i="3"/>
  <c r="G1858" i="3" s="1"/>
  <c r="J1862" i="3"/>
  <c r="G1862" i="3" s="1"/>
  <c r="J1866" i="3"/>
  <c r="G1866" i="3" s="1"/>
  <c r="J689" i="6"/>
  <c r="P689" i="6" s="1"/>
  <c r="J688" i="6"/>
  <c r="P688" i="6" s="1"/>
  <c r="J690" i="6"/>
  <c r="P690" i="6" s="1"/>
  <c r="J691" i="6"/>
  <c r="P691" i="6" s="1"/>
  <c r="J692" i="6"/>
  <c r="P692" i="6" s="1"/>
  <c r="J677" i="6"/>
  <c r="P677" i="6" s="1"/>
  <c r="J681" i="6"/>
  <c r="P681" i="6" s="1"/>
  <c r="J685" i="6"/>
  <c r="P685" i="6" s="1"/>
  <c r="J678" i="6"/>
  <c r="P678" i="6" s="1"/>
  <c r="J682" i="6"/>
  <c r="P682" i="6" s="1"/>
  <c r="J686" i="6"/>
  <c r="P686" i="6" s="1"/>
  <c r="J679" i="6"/>
  <c r="P679" i="6" s="1"/>
  <c r="J683" i="6"/>
  <c r="P683" i="6" s="1"/>
  <c r="J687" i="6"/>
  <c r="P687" i="6" s="1"/>
  <c r="J680" i="6"/>
  <c r="P680" i="6" s="1"/>
  <c r="J684" i="6"/>
  <c r="P684" i="6" s="1"/>
  <c r="J676" i="6"/>
  <c r="P676" i="6" s="1"/>
  <c r="J666" i="6"/>
  <c r="P666" i="6" s="1"/>
  <c r="J670" i="6"/>
  <c r="P670" i="6" s="1"/>
  <c r="J674" i="6"/>
  <c r="P674" i="6" s="1"/>
  <c r="J667" i="6"/>
  <c r="P667" i="6" s="1"/>
  <c r="J671" i="6"/>
  <c r="P671" i="6" s="1"/>
  <c r="J675" i="6"/>
  <c r="P675" i="6" s="1"/>
  <c r="J668" i="6"/>
  <c r="P668" i="6" s="1"/>
  <c r="J672" i="6"/>
  <c r="P672" i="6" s="1"/>
  <c r="J664" i="6"/>
  <c r="P664" i="6" s="1"/>
  <c r="J665" i="6"/>
  <c r="P665" i="6" s="1"/>
  <c r="J669" i="6"/>
  <c r="P669" i="6" s="1"/>
  <c r="J673" i="6"/>
  <c r="P673" i="6" s="1"/>
  <c r="J653" i="6"/>
  <c r="P653" i="6" s="1"/>
  <c r="J657" i="6"/>
  <c r="P657" i="6" s="1"/>
  <c r="J661" i="6"/>
  <c r="P661" i="6" s="1"/>
  <c r="J654" i="6"/>
  <c r="P654" i="6" s="1"/>
  <c r="J658" i="6"/>
  <c r="P658" i="6" s="1"/>
  <c r="J662" i="6"/>
  <c r="P662" i="6" s="1"/>
  <c r="J655" i="6"/>
  <c r="P655" i="6" s="1"/>
  <c r="J659" i="6"/>
  <c r="P659" i="6" s="1"/>
  <c r="J663" i="6"/>
  <c r="P663" i="6" s="1"/>
  <c r="J656" i="6"/>
  <c r="P656" i="6" s="1"/>
  <c r="J660" i="6"/>
  <c r="P660" i="6" s="1"/>
  <c r="J652" i="6"/>
  <c r="P652" i="6" s="1"/>
  <c r="J641" i="6"/>
  <c r="P641" i="6" s="1"/>
  <c r="J645" i="6"/>
  <c r="P645" i="6" s="1"/>
  <c r="J649" i="6"/>
  <c r="P649" i="6" s="1"/>
  <c r="J642" i="6"/>
  <c r="P642" i="6" s="1"/>
  <c r="J646" i="6"/>
  <c r="P646" i="6" s="1"/>
  <c r="J650" i="6"/>
  <c r="P650" i="6" s="1"/>
  <c r="J643" i="6"/>
  <c r="P643" i="6" s="1"/>
  <c r="J647" i="6"/>
  <c r="P647" i="6" s="1"/>
  <c r="J651" i="6"/>
  <c r="P651" i="6" s="1"/>
  <c r="J644" i="6"/>
  <c r="P644" i="6" s="1"/>
  <c r="J648" i="6"/>
  <c r="P648" i="6" s="1"/>
  <c r="J640" i="6"/>
  <c r="P640" i="6" s="1"/>
  <c r="J636" i="6"/>
  <c r="G636" i="6" s="1"/>
  <c r="J635" i="6"/>
  <c r="G635" i="6" s="1"/>
  <c r="J637" i="6"/>
  <c r="G637" i="6" s="1"/>
  <c r="J638" i="6"/>
  <c r="G638" i="6" s="1"/>
  <c r="J639" i="6"/>
  <c r="G639" i="6" s="1"/>
  <c r="J624" i="6"/>
  <c r="G624" i="6" s="1"/>
  <c r="J628" i="6"/>
  <c r="G628" i="6" s="1"/>
  <c r="J632" i="6"/>
  <c r="G632" i="6" s="1"/>
  <c r="J625" i="6"/>
  <c r="G625" i="6" s="1"/>
  <c r="J629" i="6"/>
  <c r="G629" i="6" s="1"/>
  <c r="J633" i="6"/>
  <c r="G633" i="6" s="1"/>
  <c r="J626" i="6"/>
  <c r="G626" i="6" s="1"/>
  <c r="J630" i="6"/>
  <c r="G630" i="6" s="1"/>
  <c r="J634" i="6"/>
  <c r="G634" i="6" s="1"/>
  <c r="J627" i="6"/>
  <c r="G627" i="6" s="1"/>
  <c r="J631" i="6"/>
  <c r="G631" i="6" s="1"/>
  <c r="J623" i="6"/>
  <c r="G623" i="6" s="1"/>
  <c r="J617" i="6"/>
  <c r="G617" i="6" s="1"/>
  <c r="J621" i="6"/>
  <c r="G621" i="6" s="1"/>
  <c r="J618" i="6"/>
  <c r="G618" i="6" s="1"/>
  <c r="J622" i="6"/>
  <c r="G622" i="6" s="1"/>
  <c r="J619" i="6"/>
  <c r="G619" i="6" s="1"/>
  <c r="J615" i="6"/>
  <c r="G615" i="6" s="1"/>
  <c r="J616" i="6"/>
  <c r="G616" i="6" s="1"/>
  <c r="J620" i="6"/>
  <c r="G620" i="6" s="1"/>
  <c r="J483" i="5"/>
  <c r="G483" i="5" s="1"/>
  <c r="J487" i="5"/>
  <c r="G487" i="5" s="1"/>
  <c r="J484" i="5"/>
  <c r="G484" i="5" s="1"/>
  <c r="J482" i="5"/>
  <c r="G482" i="5" s="1"/>
  <c r="J485" i="5"/>
  <c r="G485" i="5" s="1"/>
  <c r="J486" i="5"/>
  <c r="G486" i="5" s="1"/>
  <c r="J472" i="5"/>
  <c r="G472" i="5" s="1"/>
  <c r="J476" i="5"/>
  <c r="G476" i="5" s="1"/>
  <c r="J480" i="5"/>
  <c r="G480" i="5" s="1"/>
  <c r="J473" i="5"/>
  <c r="G473" i="5" s="1"/>
  <c r="J477" i="5"/>
  <c r="G477" i="5" s="1"/>
  <c r="J481" i="5"/>
  <c r="G481" i="5" s="1"/>
  <c r="J474" i="5"/>
  <c r="G474" i="5" s="1"/>
  <c r="J478" i="5"/>
  <c r="G478" i="5" s="1"/>
  <c r="J470" i="5"/>
  <c r="G470" i="5" s="1"/>
  <c r="J471" i="5"/>
  <c r="G471" i="5" s="1"/>
  <c r="J475" i="5"/>
  <c r="G475" i="5" s="1"/>
  <c r="J479" i="5"/>
  <c r="G479" i="5" s="1"/>
  <c r="J460" i="5"/>
  <c r="G460" i="5" s="1"/>
  <c r="J464" i="5"/>
  <c r="G464" i="5" s="1"/>
  <c r="J468" i="5"/>
  <c r="G468" i="5" s="1"/>
  <c r="J461" i="5"/>
  <c r="G461" i="5" s="1"/>
  <c r="J465" i="5"/>
  <c r="G465" i="5" s="1"/>
  <c r="J469" i="5"/>
  <c r="G469" i="5" s="1"/>
  <c r="J462" i="5"/>
  <c r="G462" i="5" s="1"/>
  <c r="J466" i="5"/>
  <c r="G466" i="5" s="1"/>
  <c r="J458" i="5"/>
  <c r="G458" i="5" s="1"/>
  <c r="J459" i="5"/>
  <c r="G459" i="5" s="1"/>
  <c r="J463" i="5"/>
  <c r="G463" i="5" s="1"/>
  <c r="J467" i="5"/>
  <c r="G467" i="5" s="1"/>
  <c r="J447" i="5"/>
  <c r="G447" i="5" s="1"/>
  <c r="J451" i="5"/>
  <c r="G451" i="5" s="1"/>
  <c r="J455" i="5"/>
  <c r="G455" i="5" s="1"/>
  <c r="J448" i="5"/>
  <c r="G448" i="5" s="1"/>
  <c r="J452" i="5"/>
  <c r="G452" i="5" s="1"/>
  <c r="J456" i="5"/>
  <c r="G456" i="5" s="1"/>
  <c r="J449" i="5"/>
  <c r="G449" i="5" s="1"/>
  <c r="J453" i="5"/>
  <c r="G453" i="5" s="1"/>
  <c r="J457" i="5"/>
  <c r="G457" i="5" s="1"/>
  <c r="J450" i="5"/>
  <c r="G450" i="5" s="1"/>
  <c r="J454" i="5"/>
  <c r="G454" i="5" s="1"/>
  <c r="J446" i="5"/>
  <c r="G446" i="5" s="1"/>
  <c r="J435" i="5"/>
  <c r="G435" i="5" s="1"/>
  <c r="J439" i="5"/>
  <c r="G439" i="5" s="1"/>
  <c r="J443" i="5"/>
  <c r="G443" i="5" s="1"/>
  <c r="J436" i="5"/>
  <c r="G436" i="5" s="1"/>
  <c r="J440" i="5"/>
  <c r="G440" i="5" s="1"/>
  <c r="J444" i="5"/>
  <c r="G444" i="5" s="1"/>
  <c r="J437" i="5"/>
  <c r="G437" i="5" s="1"/>
  <c r="J441" i="5"/>
  <c r="G441" i="5" s="1"/>
  <c r="J445" i="5"/>
  <c r="G445" i="5" s="1"/>
  <c r="J438" i="5"/>
  <c r="G438" i="5" s="1"/>
  <c r="J442" i="5"/>
  <c r="G442" i="5" s="1"/>
  <c r="J434" i="5"/>
  <c r="G434" i="5" s="1"/>
  <c r="J1851" i="3"/>
  <c r="G1851" i="3" s="1"/>
  <c r="J1855" i="3"/>
  <c r="G1855" i="3" s="1"/>
  <c r="J1852" i="3"/>
  <c r="G1852" i="3" s="1"/>
  <c r="J1850" i="3"/>
  <c r="G1850" i="3" s="1"/>
  <c r="J1853" i="3"/>
  <c r="G1853" i="3" s="1"/>
  <c r="J1854" i="3"/>
  <c r="G1854" i="3" s="1"/>
  <c r="J1839" i="3"/>
  <c r="G1839" i="3" s="1"/>
  <c r="J1843" i="3"/>
  <c r="G1843" i="3" s="1"/>
  <c r="J1847" i="3"/>
  <c r="G1847" i="3" s="1"/>
  <c r="J1840" i="3"/>
  <c r="G1840" i="3" s="1"/>
  <c r="J1844" i="3"/>
  <c r="G1844" i="3" s="1"/>
  <c r="J1848" i="3"/>
  <c r="G1848" i="3" s="1"/>
  <c r="J1841" i="3"/>
  <c r="G1841" i="3" s="1"/>
  <c r="J1845" i="3"/>
  <c r="G1845" i="3" s="1"/>
  <c r="J1849" i="3"/>
  <c r="G1849" i="3" s="1"/>
  <c r="J1842" i="3"/>
  <c r="G1842" i="3" s="1"/>
  <c r="J1846" i="3"/>
  <c r="G1846" i="3" s="1"/>
  <c r="J1838" i="3"/>
  <c r="G1838" i="3" s="1"/>
  <c r="J1827" i="3"/>
  <c r="G1827" i="3" s="1"/>
  <c r="J1831" i="3"/>
  <c r="G1831" i="3" s="1"/>
  <c r="J1835" i="3"/>
  <c r="G1835" i="3" s="1"/>
  <c r="J1828" i="3"/>
  <c r="G1828" i="3" s="1"/>
  <c r="J1832" i="3"/>
  <c r="G1832" i="3" s="1"/>
  <c r="J1836" i="3"/>
  <c r="G1836" i="3" s="1"/>
  <c r="J1829" i="3"/>
  <c r="G1829" i="3" s="1"/>
  <c r="J1833" i="3"/>
  <c r="G1833" i="3" s="1"/>
  <c r="J1837" i="3"/>
  <c r="G1837" i="3" s="1"/>
  <c r="J1830" i="3"/>
  <c r="G1830" i="3" s="1"/>
  <c r="J1834" i="3"/>
  <c r="G1834" i="3" s="1"/>
  <c r="J1826" i="3"/>
  <c r="G1826" i="3" s="1"/>
  <c r="J1815" i="3"/>
  <c r="G1815" i="3" s="1"/>
  <c r="J1819" i="3"/>
  <c r="G1819" i="3" s="1"/>
  <c r="J1823" i="3"/>
  <c r="G1823" i="3" s="1"/>
  <c r="J1816" i="3"/>
  <c r="G1816" i="3" s="1"/>
  <c r="J1820" i="3"/>
  <c r="G1820" i="3" s="1"/>
  <c r="J1824" i="3"/>
  <c r="G1824" i="3" s="1"/>
  <c r="J1817" i="3"/>
  <c r="G1817" i="3" s="1"/>
  <c r="J1821" i="3"/>
  <c r="G1821" i="3" s="1"/>
  <c r="J1825" i="3"/>
  <c r="G1825" i="3" s="1"/>
  <c r="J1818" i="3"/>
  <c r="G1818" i="3" s="1"/>
  <c r="J1822" i="3"/>
  <c r="G1822" i="3" s="1"/>
  <c r="J1814" i="3"/>
  <c r="G1814" i="3" s="1"/>
  <c r="J1808" i="3"/>
  <c r="G1808" i="3" s="1"/>
  <c r="J1812" i="3"/>
  <c r="G1812" i="3" s="1"/>
  <c r="J1809" i="3"/>
  <c r="G1809" i="3" s="1"/>
  <c r="J1813" i="3"/>
  <c r="G1813" i="3" s="1"/>
  <c r="J1810" i="3"/>
  <c r="G1810" i="3" s="1"/>
  <c r="J1807" i="3"/>
  <c r="G1807" i="3" s="1"/>
  <c r="J1811" i="3"/>
  <c r="G1811" i="3" s="1"/>
  <c r="J1803" i="3"/>
  <c r="G1803" i="3" s="1"/>
  <c r="J1801" i="3"/>
  <c r="G1801" i="3" s="1"/>
  <c r="J1804" i="3"/>
  <c r="G1804" i="3" s="1"/>
  <c r="J1805" i="3"/>
  <c r="G1805" i="3" s="1"/>
  <c r="J1802" i="3"/>
  <c r="G1802" i="3" s="1"/>
  <c r="J1806" i="3"/>
  <c r="G1806" i="3" s="1"/>
  <c r="J1790" i="3"/>
  <c r="G1790" i="3" s="1"/>
  <c r="J1794" i="3"/>
  <c r="G1794" i="3" s="1"/>
  <c r="J1798" i="3"/>
  <c r="G1798" i="3" s="1"/>
  <c r="J1791" i="3"/>
  <c r="G1791" i="3" s="1"/>
  <c r="J1795" i="3"/>
  <c r="G1795" i="3" s="1"/>
  <c r="J1799" i="3"/>
  <c r="G1799" i="3" s="1"/>
  <c r="J1792" i="3"/>
  <c r="G1792" i="3" s="1"/>
  <c r="J1796" i="3"/>
  <c r="G1796" i="3" s="1"/>
  <c r="J1800" i="3"/>
  <c r="G1800" i="3" s="1"/>
  <c r="J1793" i="3"/>
  <c r="G1793" i="3" s="1"/>
  <c r="J1797" i="3"/>
  <c r="G1797" i="3" s="1"/>
  <c r="J1789" i="3"/>
  <c r="G1789" i="3" s="1"/>
  <c r="J1778" i="3"/>
  <c r="G1778" i="3" s="1"/>
  <c r="J1782" i="3"/>
  <c r="G1782" i="3" s="1"/>
  <c r="J1786" i="3"/>
  <c r="G1786" i="3" s="1"/>
  <c r="J1779" i="3"/>
  <c r="G1779" i="3" s="1"/>
  <c r="J1783" i="3"/>
  <c r="G1783" i="3" s="1"/>
  <c r="J1787" i="3"/>
  <c r="G1787" i="3" s="1"/>
  <c r="J1780" i="3"/>
  <c r="G1780" i="3" s="1"/>
  <c r="J1784" i="3"/>
  <c r="G1784" i="3" s="1"/>
  <c r="J1788" i="3"/>
  <c r="G1788" i="3" s="1"/>
  <c r="J1781" i="3"/>
  <c r="G1781" i="3" s="1"/>
  <c r="J1785" i="3"/>
  <c r="G1785" i="3" s="1"/>
  <c r="J1777" i="3"/>
  <c r="G1777" i="3" s="1"/>
  <c r="J1766" i="3"/>
  <c r="G1766" i="3" s="1"/>
  <c r="J1770" i="3"/>
  <c r="G1770" i="3" s="1"/>
  <c r="J1774" i="3"/>
  <c r="G1774" i="3" s="1"/>
  <c r="J1767" i="3"/>
  <c r="G1767" i="3" s="1"/>
  <c r="J1771" i="3"/>
  <c r="G1771" i="3" s="1"/>
  <c r="J1775" i="3"/>
  <c r="G1775" i="3" s="1"/>
  <c r="J1768" i="3"/>
  <c r="G1768" i="3" s="1"/>
  <c r="J1772" i="3"/>
  <c r="G1772" i="3" s="1"/>
  <c r="J1776" i="3"/>
  <c r="G1776" i="3" s="1"/>
  <c r="J1769" i="3"/>
  <c r="G1769" i="3" s="1"/>
  <c r="J1773" i="3"/>
  <c r="G1773" i="3" s="1"/>
  <c r="J1765" i="3"/>
  <c r="G1765" i="3" s="1"/>
  <c r="J1755" i="3"/>
  <c r="G1755" i="3" s="1"/>
  <c r="J1759" i="3"/>
  <c r="G1759" i="3" s="1"/>
  <c r="J1763" i="3"/>
  <c r="G1763" i="3" s="1"/>
  <c r="J1756" i="3"/>
  <c r="G1756" i="3" s="1"/>
  <c r="J1760" i="3"/>
  <c r="G1760" i="3" s="1"/>
  <c r="J1764" i="3"/>
  <c r="G1764" i="3" s="1"/>
  <c r="J1757" i="3"/>
  <c r="G1757" i="3" s="1"/>
  <c r="J1761" i="3"/>
  <c r="G1761" i="3" s="1"/>
  <c r="J1753" i="3"/>
  <c r="G1753" i="3" s="1"/>
  <c r="J1754" i="3"/>
  <c r="G1754" i="3" s="1"/>
  <c r="J1758" i="3"/>
  <c r="G1758" i="3" s="1"/>
  <c r="J1762" i="3"/>
  <c r="G1762" i="3" s="1"/>
  <c r="J1748" i="3"/>
  <c r="G1748" i="3" s="1"/>
  <c r="J1752" i="3"/>
  <c r="G1752" i="3" s="1"/>
  <c r="J1749" i="3"/>
  <c r="G1749" i="3" s="1"/>
  <c r="J1747" i="3"/>
  <c r="G1747" i="3" s="1"/>
  <c r="J1750" i="3"/>
  <c r="G1750" i="3" s="1"/>
  <c r="J1751" i="3"/>
  <c r="G1751" i="3" s="1"/>
  <c r="J1737" i="3"/>
  <c r="G1737" i="3" s="1"/>
  <c r="J1741" i="3"/>
  <c r="G1741" i="3" s="1"/>
  <c r="J1745" i="3"/>
  <c r="G1745" i="3" s="1"/>
  <c r="J1738" i="3"/>
  <c r="G1738" i="3" s="1"/>
  <c r="J1742" i="3"/>
  <c r="G1742" i="3" s="1"/>
  <c r="J1746" i="3"/>
  <c r="G1746" i="3" s="1"/>
  <c r="J1739" i="3"/>
  <c r="G1739" i="3" s="1"/>
  <c r="J1743" i="3"/>
  <c r="G1743" i="3" s="1"/>
  <c r="J1735" i="3"/>
  <c r="G1735" i="3" s="1"/>
  <c r="J1736" i="3"/>
  <c r="G1736" i="3" s="1"/>
  <c r="J1740" i="3"/>
  <c r="G1740" i="3" s="1"/>
  <c r="J1744" i="3"/>
  <c r="G1744" i="3" s="1"/>
  <c r="J1724" i="3"/>
  <c r="G1724" i="3" s="1"/>
  <c r="J1728" i="3"/>
  <c r="G1728" i="3" s="1"/>
  <c r="J1732" i="3"/>
  <c r="G1732" i="3" s="1"/>
  <c r="J1725" i="3"/>
  <c r="G1725" i="3" s="1"/>
  <c r="J1729" i="3"/>
  <c r="G1729" i="3" s="1"/>
  <c r="J1733" i="3"/>
  <c r="G1733" i="3" s="1"/>
  <c r="J1726" i="3"/>
  <c r="G1726" i="3" s="1"/>
  <c r="J1730" i="3"/>
  <c r="G1730" i="3" s="1"/>
  <c r="J1734" i="3"/>
  <c r="G1734" i="3" s="1"/>
  <c r="J1727" i="3"/>
  <c r="G1727" i="3" s="1"/>
  <c r="J1731" i="3"/>
  <c r="G1731" i="3" s="1"/>
  <c r="J1723" i="3"/>
  <c r="G1723" i="3" s="1"/>
  <c r="J1712" i="3"/>
  <c r="G1712" i="3" s="1"/>
  <c r="J1716" i="3"/>
  <c r="G1716" i="3" s="1"/>
  <c r="J1720" i="3"/>
  <c r="G1720" i="3" s="1"/>
  <c r="J1713" i="3"/>
  <c r="G1713" i="3" s="1"/>
  <c r="J1717" i="3"/>
  <c r="G1717" i="3" s="1"/>
  <c r="J1721" i="3"/>
  <c r="G1721" i="3" s="1"/>
  <c r="J1714" i="3"/>
  <c r="G1714" i="3" s="1"/>
  <c r="J1718" i="3"/>
  <c r="G1718" i="3" s="1"/>
  <c r="J1722" i="3"/>
  <c r="G1722" i="3" s="1"/>
  <c r="J1715" i="3"/>
  <c r="G1715" i="3" s="1"/>
  <c r="J1719" i="3"/>
  <c r="G1719" i="3" s="1"/>
  <c r="J1711" i="3"/>
  <c r="G1711" i="3" s="1"/>
  <c r="J1700" i="3"/>
  <c r="G1700" i="3" s="1"/>
  <c r="J1704" i="3"/>
  <c r="G1704" i="3" s="1"/>
  <c r="J1708" i="3"/>
  <c r="G1708" i="3" s="1"/>
  <c r="J1701" i="3"/>
  <c r="G1701" i="3" s="1"/>
  <c r="J1705" i="3"/>
  <c r="G1705" i="3" s="1"/>
  <c r="J1709" i="3"/>
  <c r="G1709" i="3" s="1"/>
  <c r="J1702" i="3"/>
  <c r="G1702" i="3" s="1"/>
  <c r="J1706" i="3"/>
  <c r="G1706" i="3" s="1"/>
  <c r="J1710" i="3"/>
  <c r="G1710" i="3" s="1"/>
  <c r="J1703" i="3"/>
  <c r="G1703" i="3" s="1"/>
  <c r="J1707" i="3"/>
  <c r="G1707" i="3" s="1"/>
  <c r="J1699" i="3"/>
  <c r="G1699" i="3" s="1"/>
  <c r="J1694" i="3"/>
  <c r="G1694" i="3" s="1"/>
  <c r="J1698" i="3"/>
  <c r="G1698" i="3" s="1"/>
  <c r="J1695" i="3"/>
  <c r="G1695" i="3" s="1"/>
  <c r="J1693" i="3"/>
  <c r="G1693" i="3" s="1"/>
  <c r="J1696" i="3"/>
  <c r="G1696" i="3" s="1"/>
  <c r="J1697" i="3"/>
  <c r="G1697" i="3" s="1"/>
  <c r="J1682" i="3"/>
  <c r="G1682" i="3" s="1"/>
  <c r="J1686" i="3"/>
  <c r="G1686" i="3" s="1"/>
  <c r="J1690" i="3"/>
  <c r="G1690" i="3" s="1"/>
  <c r="J1683" i="3"/>
  <c r="G1683" i="3" s="1"/>
  <c r="J1687" i="3"/>
  <c r="G1687" i="3" s="1"/>
  <c r="J1691" i="3"/>
  <c r="G1691" i="3" s="1"/>
  <c r="J1684" i="3"/>
  <c r="G1684" i="3" s="1"/>
  <c r="J1688" i="3"/>
  <c r="G1688" i="3" s="1"/>
  <c r="J1692" i="3"/>
  <c r="G1692" i="3" s="1"/>
  <c r="J1685" i="3"/>
  <c r="G1685" i="3" s="1"/>
  <c r="J1689" i="3"/>
  <c r="G1689" i="3" s="1"/>
  <c r="J1681" i="3"/>
  <c r="G1681" i="3" s="1"/>
  <c r="J1658" i="3"/>
  <c r="J1662" i="3"/>
  <c r="J1666" i="3"/>
  <c r="G1666" i="3" s="1"/>
  <c r="J1659" i="3"/>
  <c r="G1659" i="3" s="1"/>
  <c r="J1663" i="3"/>
  <c r="G1663" i="3" s="1"/>
  <c r="J1667" i="3"/>
  <c r="G1667" i="3" s="1"/>
  <c r="J1660" i="3"/>
  <c r="G1660" i="3" s="1"/>
  <c r="J1664" i="3"/>
  <c r="G1664" i="3" s="1"/>
  <c r="J1668" i="3"/>
  <c r="G1668" i="3" s="1"/>
  <c r="J1661" i="3"/>
  <c r="G1661" i="3" s="1"/>
  <c r="J1665" i="3"/>
  <c r="G1665" i="3" s="1"/>
  <c r="J1657" i="3"/>
  <c r="G1657" i="3" s="1"/>
  <c r="J1646" i="3"/>
  <c r="G1646" i="3" s="1"/>
  <c r="J1650" i="3"/>
  <c r="G1650" i="3" s="1"/>
  <c r="J1654" i="3"/>
  <c r="G1654" i="3" s="1"/>
  <c r="J1647" i="3"/>
  <c r="G1647" i="3" s="1"/>
  <c r="J1651" i="3"/>
  <c r="G1651" i="3" s="1"/>
  <c r="J1655" i="3"/>
  <c r="G1655" i="3" s="1"/>
  <c r="J1648" i="3"/>
  <c r="G1648" i="3" s="1"/>
  <c r="J1652" i="3"/>
  <c r="G1652" i="3" s="1"/>
  <c r="J1656" i="3"/>
  <c r="G1656" i="3" s="1"/>
  <c r="J1649" i="3"/>
  <c r="G1649" i="3" s="1"/>
  <c r="J1653" i="3"/>
  <c r="G1653" i="3" s="1"/>
  <c r="J1645" i="3"/>
  <c r="G1645" i="3" s="1"/>
  <c r="J1670" i="3"/>
  <c r="G1670" i="3" s="1"/>
  <c r="J1674" i="3"/>
  <c r="G1674" i="3" s="1"/>
  <c r="J1678" i="3"/>
  <c r="G1678" i="3" s="1"/>
  <c r="J1671" i="3"/>
  <c r="G1671" i="3" s="1"/>
  <c r="J1675" i="3"/>
  <c r="G1675" i="3" s="1"/>
  <c r="J1679" i="3"/>
  <c r="G1679" i="3" s="1"/>
  <c r="J1672" i="3"/>
  <c r="G1672" i="3" s="1"/>
  <c r="J1676" i="3"/>
  <c r="G1676" i="3" s="1"/>
  <c r="J1680" i="3"/>
  <c r="G1680" i="3" s="1"/>
  <c r="J1673" i="3"/>
  <c r="G1673" i="3" s="1"/>
  <c r="J1677" i="3"/>
  <c r="G1677" i="3" s="1"/>
  <c r="J1669" i="3"/>
  <c r="G1669" i="3" s="1"/>
  <c r="G1658" i="3"/>
  <c r="G1662" i="3"/>
  <c r="J611" i="6"/>
  <c r="P611" i="6" s="1"/>
  <c r="J610" i="6"/>
  <c r="P610" i="6" s="1"/>
  <c r="J613" i="6"/>
  <c r="P613" i="6" s="1"/>
  <c r="J612" i="6"/>
  <c r="P612" i="6" s="1"/>
  <c r="J614" i="6"/>
  <c r="P614" i="6" s="1"/>
  <c r="J599" i="6"/>
  <c r="P599" i="6" s="1"/>
  <c r="J603" i="6"/>
  <c r="P603" i="6" s="1"/>
  <c r="J607" i="6"/>
  <c r="P607" i="6" s="1"/>
  <c r="J602" i="6"/>
  <c r="P602" i="6" s="1"/>
  <c r="J606" i="6"/>
  <c r="P606" i="6" s="1"/>
  <c r="J598" i="6"/>
  <c r="P598" i="6" s="1"/>
  <c r="J600" i="6"/>
  <c r="P600" i="6" s="1"/>
  <c r="J604" i="6"/>
  <c r="P604" i="6" s="1"/>
  <c r="J608" i="6"/>
  <c r="P608" i="6" s="1"/>
  <c r="J601" i="6"/>
  <c r="P601" i="6" s="1"/>
  <c r="J605" i="6"/>
  <c r="P605" i="6" s="1"/>
  <c r="J609" i="6"/>
  <c r="P609" i="6" s="1"/>
  <c r="J587" i="6"/>
  <c r="P587" i="6" s="1"/>
  <c r="J591" i="6"/>
  <c r="P591" i="6" s="1"/>
  <c r="J595" i="6"/>
  <c r="P595" i="6" s="1"/>
  <c r="J588" i="6"/>
  <c r="P588" i="6" s="1"/>
  <c r="J592" i="6"/>
  <c r="P592" i="6" s="1"/>
  <c r="J596" i="6"/>
  <c r="P596" i="6" s="1"/>
  <c r="J589" i="6"/>
  <c r="P589" i="6" s="1"/>
  <c r="J593" i="6"/>
  <c r="P593" i="6" s="1"/>
  <c r="J597" i="6"/>
  <c r="P597" i="6" s="1"/>
  <c r="J590" i="6"/>
  <c r="P590" i="6" s="1"/>
  <c r="J594" i="6"/>
  <c r="P594" i="6" s="1"/>
  <c r="J586" i="6"/>
  <c r="P586" i="6" s="1"/>
  <c r="K19" i="15" s="1"/>
  <c r="J575" i="6"/>
  <c r="P575" i="6" s="1"/>
  <c r="J579" i="6"/>
  <c r="P579" i="6" s="1"/>
  <c r="J583" i="6"/>
  <c r="P583" i="6" s="1"/>
  <c r="J576" i="6"/>
  <c r="P576" i="6" s="1"/>
  <c r="J580" i="6"/>
  <c r="P580" i="6" s="1"/>
  <c r="J584" i="6"/>
  <c r="P584" i="6" s="1"/>
  <c r="J577" i="6"/>
  <c r="P577" i="6" s="1"/>
  <c r="J581" i="6"/>
  <c r="P581" i="6" s="1"/>
  <c r="J585" i="6"/>
  <c r="P585" i="6" s="1"/>
  <c r="J578" i="6"/>
  <c r="P578" i="6" s="1"/>
  <c r="J582" i="6"/>
  <c r="P582" i="6" s="1"/>
  <c r="J574" i="6"/>
  <c r="P574" i="6" s="1"/>
  <c r="N19" i="15" s="1"/>
  <c r="J563" i="6"/>
  <c r="P563" i="6" s="1"/>
  <c r="J567" i="6"/>
  <c r="P567" i="6" s="1"/>
  <c r="J571" i="6"/>
  <c r="P571" i="6" s="1"/>
  <c r="J564" i="6"/>
  <c r="P564" i="6" s="1"/>
  <c r="J568" i="6"/>
  <c r="P568" i="6" s="1"/>
  <c r="J572" i="6"/>
  <c r="P572" i="6" s="1"/>
  <c r="J565" i="6"/>
  <c r="P565" i="6" s="1"/>
  <c r="J569" i="6"/>
  <c r="P569" i="6" s="1"/>
  <c r="J573" i="6"/>
  <c r="P573" i="6" s="1"/>
  <c r="J566" i="6"/>
  <c r="P566" i="6" s="1"/>
  <c r="J570" i="6"/>
  <c r="P570" i="6" s="1"/>
  <c r="J562" i="6"/>
  <c r="P562" i="6" s="1"/>
  <c r="Q19" i="15" s="1"/>
  <c r="J558" i="6"/>
  <c r="G558" i="6" s="1"/>
  <c r="J557" i="6"/>
  <c r="G557" i="6" s="1"/>
  <c r="J560" i="6"/>
  <c r="G560" i="6" s="1"/>
  <c r="J559" i="6"/>
  <c r="G559" i="6" s="1"/>
  <c r="J561" i="6"/>
  <c r="G561" i="6" s="1"/>
  <c r="J546" i="6"/>
  <c r="G546" i="6" s="1"/>
  <c r="J550" i="6"/>
  <c r="G550" i="6" s="1"/>
  <c r="J554" i="6"/>
  <c r="G554" i="6" s="1"/>
  <c r="J547" i="6"/>
  <c r="G547" i="6" s="1"/>
  <c r="J551" i="6"/>
  <c r="G551" i="6" s="1"/>
  <c r="J555" i="6"/>
  <c r="G555" i="6" s="1"/>
  <c r="J549" i="6"/>
  <c r="G549" i="6" s="1"/>
  <c r="J553" i="6"/>
  <c r="G553" i="6" s="1"/>
  <c r="J545" i="6"/>
  <c r="G545" i="6" s="1"/>
  <c r="J548" i="6"/>
  <c r="G548" i="6" s="1"/>
  <c r="J552" i="6"/>
  <c r="G552" i="6" s="1"/>
  <c r="J556" i="6"/>
  <c r="G556" i="6" s="1"/>
  <c r="J537" i="6"/>
  <c r="G537" i="6" s="1"/>
  <c r="J538" i="6"/>
  <c r="G538" i="6" s="1"/>
  <c r="J542" i="6"/>
  <c r="G542" i="6" s="1"/>
  <c r="J541" i="6"/>
  <c r="G541" i="6" s="1"/>
  <c r="J539" i="6"/>
  <c r="G539" i="6" s="1"/>
  <c r="J543" i="6"/>
  <c r="G543" i="6" s="1"/>
  <c r="J540" i="6"/>
  <c r="G540" i="6" s="1"/>
  <c r="J544" i="6"/>
  <c r="G544" i="6" s="1"/>
  <c r="J429" i="5"/>
  <c r="G429" i="5" s="1"/>
  <c r="J433" i="5"/>
  <c r="G433" i="5" s="1"/>
  <c r="J432" i="5"/>
  <c r="G432" i="5" s="1"/>
  <c r="J430" i="5"/>
  <c r="G430" i="5" s="1"/>
  <c r="J428" i="5"/>
  <c r="G428" i="5" s="1"/>
  <c r="J431" i="5"/>
  <c r="G431" i="5" s="1"/>
  <c r="J417" i="5"/>
  <c r="G417" i="5" s="1"/>
  <c r="J421" i="5"/>
  <c r="G421" i="5" s="1"/>
  <c r="J425" i="5"/>
  <c r="G425" i="5" s="1"/>
  <c r="J420" i="5"/>
  <c r="G420" i="5" s="1"/>
  <c r="J424" i="5"/>
  <c r="G424" i="5" s="1"/>
  <c r="J416" i="5"/>
  <c r="G416" i="5" s="1"/>
  <c r="J418" i="5"/>
  <c r="G418" i="5" s="1"/>
  <c r="J422" i="5"/>
  <c r="G422" i="5" s="1"/>
  <c r="J426" i="5"/>
  <c r="G426" i="5" s="1"/>
  <c r="J419" i="5"/>
  <c r="G419" i="5" s="1"/>
  <c r="J423" i="5"/>
  <c r="G423" i="5" s="1"/>
  <c r="J427" i="5"/>
  <c r="G427" i="5" s="1"/>
  <c r="J405" i="5"/>
  <c r="G405" i="5" s="1"/>
  <c r="J409" i="5"/>
  <c r="G409" i="5" s="1"/>
  <c r="J413" i="5"/>
  <c r="G413" i="5" s="1"/>
  <c r="J406" i="5"/>
  <c r="G406" i="5" s="1"/>
  <c r="J410" i="5"/>
  <c r="G410" i="5" s="1"/>
  <c r="J414" i="5"/>
  <c r="G414" i="5" s="1"/>
  <c r="J408" i="5"/>
  <c r="G408" i="5" s="1"/>
  <c r="J412" i="5"/>
  <c r="G412" i="5" s="1"/>
  <c r="J404" i="5"/>
  <c r="G404" i="5" s="1"/>
  <c r="J407" i="5"/>
  <c r="G407" i="5" s="1"/>
  <c r="J411" i="5"/>
  <c r="G411" i="5" s="1"/>
  <c r="J415" i="5"/>
  <c r="G415" i="5" s="1"/>
  <c r="J393" i="5"/>
  <c r="G393" i="5" s="1"/>
  <c r="J397" i="5"/>
  <c r="G397" i="5" s="1"/>
  <c r="J401" i="5"/>
  <c r="G401" i="5" s="1"/>
  <c r="J394" i="5"/>
  <c r="G394" i="5" s="1"/>
  <c r="J398" i="5"/>
  <c r="G398" i="5" s="1"/>
  <c r="J402" i="5"/>
  <c r="G402" i="5" s="1"/>
  <c r="J395" i="5"/>
  <c r="G395" i="5" s="1"/>
  <c r="J399" i="5"/>
  <c r="G399" i="5" s="1"/>
  <c r="J403" i="5"/>
  <c r="G403" i="5" s="1"/>
  <c r="J396" i="5"/>
  <c r="G396" i="5" s="1"/>
  <c r="J400" i="5"/>
  <c r="G400" i="5" s="1"/>
  <c r="J392" i="5"/>
  <c r="G392" i="5" s="1"/>
  <c r="J381" i="5"/>
  <c r="G381" i="5" s="1"/>
  <c r="J385" i="5"/>
  <c r="G385" i="5" s="1"/>
  <c r="J389" i="5"/>
  <c r="G389" i="5" s="1"/>
  <c r="J382" i="5"/>
  <c r="G382" i="5" s="1"/>
  <c r="J386" i="5"/>
  <c r="G386" i="5" s="1"/>
  <c r="J390" i="5"/>
  <c r="G390" i="5" s="1"/>
  <c r="J383" i="5"/>
  <c r="G383" i="5" s="1"/>
  <c r="J387" i="5"/>
  <c r="G387" i="5" s="1"/>
  <c r="J391" i="5"/>
  <c r="G391" i="5" s="1"/>
  <c r="J384" i="5"/>
  <c r="G384" i="5" s="1"/>
  <c r="J388" i="5"/>
  <c r="G388" i="5" s="1"/>
  <c r="J380" i="5"/>
  <c r="G380" i="5" s="1"/>
  <c r="J1640" i="3"/>
  <c r="G1640" i="3" s="1"/>
  <c r="J1644" i="3"/>
  <c r="G1644" i="3" s="1"/>
  <c r="J1642" i="3"/>
  <c r="G1642" i="3" s="1"/>
  <c r="J1641" i="3"/>
  <c r="G1641" i="3" s="1"/>
  <c r="J1639" i="3"/>
  <c r="G1639" i="3" s="1"/>
  <c r="J1643" i="3"/>
  <c r="G1643" i="3" s="1"/>
  <c r="J1628" i="3"/>
  <c r="G1628" i="3" s="1"/>
  <c r="J1632" i="3"/>
  <c r="G1632" i="3" s="1"/>
  <c r="J1636" i="3"/>
  <c r="G1636" i="3" s="1"/>
  <c r="J1630" i="3"/>
  <c r="G1630" i="3" s="1"/>
  <c r="J1634" i="3"/>
  <c r="G1634" i="3" s="1"/>
  <c r="J1638" i="3"/>
  <c r="G1638" i="3" s="1"/>
  <c r="J1629" i="3"/>
  <c r="G1629" i="3" s="1"/>
  <c r="J1633" i="3"/>
  <c r="G1633" i="3" s="1"/>
  <c r="J1637" i="3"/>
  <c r="G1637" i="3" s="1"/>
  <c r="J1631" i="3"/>
  <c r="G1631" i="3" s="1"/>
  <c r="J1635" i="3"/>
  <c r="G1635" i="3" s="1"/>
  <c r="J1627" i="3"/>
  <c r="G1627" i="3" s="1"/>
  <c r="J1616" i="3"/>
  <c r="G1616" i="3" s="1"/>
  <c r="J1620" i="3"/>
  <c r="G1620" i="3" s="1"/>
  <c r="J1624" i="3"/>
  <c r="G1624" i="3" s="1"/>
  <c r="J1617" i="3"/>
  <c r="G1617" i="3" s="1"/>
  <c r="J1621" i="3"/>
  <c r="G1621" i="3" s="1"/>
  <c r="J1625" i="3"/>
  <c r="G1625" i="3" s="1"/>
  <c r="J1618" i="3"/>
  <c r="G1618" i="3" s="1"/>
  <c r="J1622" i="3"/>
  <c r="G1622" i="3" s="1"/>
  <c r="J1626" i="3"/>
  <c r="G1626" i="3" s="1"/>
  <c r="J1619" i="3"/>
  <c r="G1619" i="3" s="1"/>
  <c r="J1623" i="3"/>
  <c r="G1623" i="3" s="1"/>
  <c r="J1615" i="3"/>
  <c r="G1615" i="3" s="1"/>
  <c r="J1604" i="3"/>
  <c r="G1604" i="3" s="1"/>
  <c r="J1608" i="3"/>
  <c r="G1608" i="3" s="1"/>
  <c r="J1612" i="3"/>
  <c r="G1612" i="3" s="1"/>
  <c r="J1605" i="3"/>
  <c r="G1605" i="3" s="1"/>
  <c r="J1609" i="3"/>
  <c r="G1609" i="3" s="1"/>
  <c r="J1613" i="3"/>
  <c r="G1613" i="3" s="1"/>
  <c r="J1606" i="3"/>
  <c r="G1606" i="3" s="1"/>
  <c r="J1610" i="3"/>
  <c r="G1610" i="3" s="1"/>
  <c r="J1614" i="3"/>
  <c r="G1614" i="3" s="1"/>
  <c r="J1607" i="3"/>
  <c r="G1607" i="3" s="1"/>
  <c r="J1611" i="3"/>
  <c r="G1611" i="3" s="1"/>
  <c r="J1603" i="3"/>
  <c r="G1603" i="3" s="1"/>
  <c r="J1592" i="3"/>
  <c r="G1592" i="3" s="1"/>
  <c r="J1596" i="3"/>
  <c r="G1596" i="3" s="1"/>
  <c r="J1600" i="3"/>
  <c r="G1600" i="3" s="1"/>
  <c r="J1595" i="3"/>
  <c r="G1595" i="3" s="1"/>
  <c r="J1599" i="3"/>
  <c r="G1599" i="3" s="1"/>
  <c r="J1591" i="3"/>
  <c r="G1591" i="3" s="1"/>
  <c r="J1593" i="3"/>
  <c r="G1593" i="3" s="1"/>
  <c r="J1597" i="3"/>
  <c r="G1597" i="3" s="1"/>
  <c r="J1601" i="3"/>
  <c r="G1601" i="3" s="1"/>
  <c r="J1594" i="3"/>
  <c r="G1594" i="3" s="1"/>
  <c r="J1598" i="3"/>
  <c r="G1598" i="3" s="1"/>
  <c r="J1602" i="3"/>
  <c r="G1602" i="3" s="1"/>
  <c r="J1586" i="3"/>
  <c r="G1586" i="3" s="1"/>
  <c r="J1590" i="3"/>
  <c r="G1590" i="3" s="1"/>
  <c r="J1587" i="3"/>
  <c r="G1587" i="3" s="1"/>
  <c r="J1585" i="3"/>
  <c r="G1585" i="3" s="1"/>
  <c r="J1588" i="3"/>
  <c r="G1588" i="3" s="1"/>
  <c r="J1589" i="3"/>
  <c r="G1589" i="3" s="1"/>
  <c r="J1574" i="3"/>
  <c r="G1574" i="3" s="1"/>
  <c r="J1578" i="3"/>
  <c r="G1578" i="3" s="1"/>
  <c r="J1582" i="3"/>
  <c r="G1582" i="3" s="1"/>
  <c r="J1577" i="3"/>
  <c r="G1577" i="3" s="1"/>
  <c r="J1581" i="3"/>
  <c r="G1581" i="3" s="1"/>
  <c r="J1573" i="3"/>
  <c r="G1573" i="3" s="1"/>
  <c r="J1575" i="3"/>
  <c r="G1575" i="3" s="1"/>
  <c r="J1579" i="3"/>
  <c r="G1579" i="3" s="1"/>
  <c r="J1583" i="3"/>
  <c r="G1583" i="3" s="1"/>
  <c r="J1576" i="3"/>
  <c r="G1576" i="3" s="1"/>
  <c r="J1580" i="3"/>
  <c r="G1580" i="3" s="1"/>
  <c r="J1584" i="3"/>
  <c r="G1584" i="3" s="1"/>
  <c r="J1562" i="3"/>
  <c r="G1562" i="3" s="1"/>
  <c r="J1566" i="3"/>
  <c r="G1566" i="3" s="1"/>
  <c r="J1570" i="3"/>
  <c r="G1570" i="3" s="1"/>
  <c r="J1565" i="3"/>
  <c r="G1565" i="3" s="1"/>
  <c r="J1569" i="3"/>
  <c r="G1569" i="3" s="1"/>
  <c r="J1561" i="3"/>
  <c r="G1561" i="3" s="1"/>
  <c r="J1563" i="3"/>
  <c r="G1563" i="3" s="1"/>
  <c r="J1567" i="3"/>
  <c r="G1567" i="3" s="1"/>
  <c r="J1571" i="3"/>
  <c r="G1571" i="3" s="1"/>
  <c r="J1564" i="3"/>
  <c r="G1564" i="3" s="1"/>
  <c r="J1568" i="3"/>
  <c r="G1568" i="3" s="1"/>
  <c r="J1572" i="3"/>
  <c r="G1572" i="3" s="1"/>
  <c r="J1550" i="3"/>
  <c r="G1550" i="3" s="1"/>
  <c r="J1554" i="3"/>
  <c r="G1554" i="3" s="1"/>
  <c r="J1558" i="3"/>
  <c r="G1558" i="3" s="1"/>
  <c r="J1553" i="3"/>
  <c r="G1553" i="3" s="1"/>
  <c r="J1557" i="3"/>
  <c r="G1557" i="3" s="1"/>
  <c r="J1549" i="3"/>
  <c r="G1549" i="3" s="1"/>
  <c r="J1551" i="3"/>
  <c r="G1551" i="3" s="1"/>
  <c r="J1555" i="3"/>
  <c r="G1555" i="3" s="1"/>
  <c r="J1559" i="3"/>
  <c r="G1559" i="3" s="1"/>
  <c r="J1552" i="3"/>
  <c r="G1552" i="3" s="1"/>
  <c r="J1556" i="3"/>
  <c r="G1556" i="3" s="1"/>
  <c r="J1560" i="3"/>
  <c r="G1560" i="3" s="1"/>
  <c r="J1538" i="3"/>
  <c r="G1538" i="3" s="1"/>
  <c r="J1542" i="3"/>
  <c r="G1542" i="3" s="1"/>
  <c r="J1546" i="3"/>
  <c r="G1546" i="3" s="1"/>
  <c r="J1541" i="3"/>
  <c r="G1541" i="3" s="1"/>
  <c r="J1545" i="3"/>
  <c r="G1545" i="3" s="1"/>
  <c r="J1537" i="3"/>
  <c r="G1537" i="3" s="1"/>
  <c r="J1539" i="3"/>
  <c r="G1539" i="3" s="1"/>
  <c r="J1543" i="3"/>
  <c r="G1543" i="3" s="1"/>
  <c r="J1547" i="3"/>
  <c r="G1547" i="3" s="1"/>
  <c r="J1540" i="3"/>
  <c r="G1540" i="3" s="1"/>
  <c r="J1544" i="3"/>
  <c r="G1544" i="3" s="1"/>
  <c r="J1548" i="3"/>
  <c r="G1548" i="3" s="1"/>
  <c r="J1532" i="3"/>
  <c r="G1532" i="3" s="1"/>
  <c r="J1536" i="3"/>
  <c r="G1536" i="3" s="1"/>
  <c r="J1533" i="3"/>
  <c r="G1533" i="3" s="1"/>
  <c r="J1531" i="3"/>
  <c r="G1531" i="3" s="1"/>
  <c r="J1534" i="3"/>
  <c r="G1534" i="3" s="1"/>
  <c r="J1535" i="3"/>
  <c r="G1535" i="3" s="1"/>
  <c r="J1520" i="3"/>
  <c r="G1520" i="3" s="1"/>
  <c r="J1524" i="3"/>
  <c r="G1524" i="3" s="1"/>
  <c r="J1528" i="3"/>
  <c r="G1528" i="3" s="1"/>
  <c r="J1521" i="3"/>
  <c r="G1521" i="3" s="1"/>
  <c r="J1525" i="3"/>
  <c r="G1525" i="3" s="1"/>
  <c r="J1529" i="3"/>
  <c r="G1529" i="3" s="1"/>
  <c r="J1522" i="3"/>
  <c r="G1522" i="3" s="1"/>
  <c r="J1526" i="3"/>
  <c r="G1526" i="3" s="1"/>
  <c r="J1530" i="3"/>
  <c r="G1530" i="3" s="1"/>
  <c r="J1523" i="3"/>
  <c r="G1523" i="3" s="1"/>
  <c r="J1527" i="3"/>
  <c r="G1527" i="3" s="1"/>
  <c r="J1519" i="3"/>
  <c r="G1519" i="3" s="1"/>
  <c r="J1508" i="3"/>
  <c r="G1508" i="3" s="1"/>
  <c r="J1512" i="3"/>
  <c r="G1512" i="3" s="1"/>
  <c r="J1516" i="3"/>
  <c r="G1516" i="3" s="1"/>
  <c r="J1509" i="3"/>
  <c r="G1509" i="3" s="1"/>
  <c r="J1513" i="3"/>
  <c r="G1513" i="3" s="1"/>
  <c r="J1517" i="3"/>
  <c r="G1517" i="3" s="1"/>
  <c r="J1510" i="3"/>
  <c r="G1510" i="3" s="1"/>
  <c r="J1514" i="3"/>
  <c r="G1514" i="3" s="1"/>
  <c r="J1518" i="3"/>
  <c r="G1518" i="3" s="1"/>
  <c r="J1511" i="3"/>
  <c r="G1511" i="3" s="1"/>
  <c r="J1515" i="3"/>
  <c r="G1515" i="3" s="1"/>
  <c r="J1507" i="3"/>
  <c r="G1507" i="3" s="1"/>
  <c r="J1496" i="3"/>
  <c r="G1496" i="3" s="1"/>
  <c r="J1500" i="3"/>
  <c r="G1500" i="3" s="1"/>
  <c r="J1504" i="3"/>
  <c r="G1504" i="3" s="1"/>
  <c r="J1497" i="3"/>
  <c r="G1497" i="3" s="1"/>
  <c r="J1501" i="3"/>
  <c r="G1501" i="3" s="1"/>
  <c r="J1505" i="3"/>
  <c r="G1505" i="3" s="1"/>
  <c r="J1498" i="3"/>
  <c r="G1498" i="3" s="1"/>
  <c r="J1502" i="3"/>
  <c r="G1502" i="3" s="1"/>
  <c r="J1506" i="3"/>
  <c r="G1506" i="3" s="1"/>
  <c r="J1499" i="3"/>
  <c r="G1499" i="3" s="1"/>
  <c r="J1503" i="3"/>
  <c r="G1503" i="3" s="1"/>
  <c r="J1495" i="3"/>
  <c r="G1495" i="3" s="1"/>
  <c r="J1484" i="3"/>
  <c r="G1484" i="3" s="1"/>
  <c r="J1488" i="3"/>
  <c r="G1488" i="3" s="1"/>
  <c r="J1492" i="3"/>
  <c r="G1492" i="3" s="1"/>
  <c r="J1487" i="3"/>
  <c r="G1487" i="3" s="1"/>
  <c r="J1491" i="3"/>
  <c r="G1491" i="3" s="1"/>
  <c r="J1483" i="3"/>
  <c r="G1483" i="3" s="1"/>
  <c r="J1485" i="3"/>
  <c r="G1485" i="3" s="1"/>
  <c r="J1489" i="3"/>
  <c r="G1489" i="3" s="1"/>
  <c r="J1493" i="3"/>
  <c r="G1493" i="3" s="1"/>
  <c r="J1486" i="3"/>
  <c r="G1486" i="3" s="1"/>
  <c r="J1490" i="3"/>
  <c r="G1490" i="3" s="1"/>
  <c r="J1494" i="3"/>
  <c r="G1494" i="3" s="1"/>
  <c r="J1478" i="3"/>
  <c r="G1478" i="3" s="1"/>
  <c r="J1482" i="3"/>
  <c r="G1482" i="3" s="1"/>
  <c r="J1479" i="3"/>
  <c r="G1479" i="3" s="1"/>
  <c r="J1477" i="3"/>
  <c r="G1477" i="3" s="1"/>
  <c r="J1480" i="3"/>
  <c r="G1480" i="3" s="1"/>
  <c r="J1481" i="3"/>
  <c r="G1481" i="3" s="1"/>
  <c r="J1466" i="3"/>
  <c r="G1466" i="3" s="1"/>
  <c r="J1470" i="3"/>
  <c r="G1470" i="3" s="1"/>
  <c r="J1474" i="3"/>
  <c r="G1474" i="3" s="1"/>
  <c r="J1467" i="3"/>
  <c r="G1467" i="3" s="1"/>
  <c r="J1471" i="3"/>
  <c r="G1471" i="3" s="1"/>
  <c r="J1475" i="3"/>
  <c r="G1475" i="3" s="1"/>
  <c r="J1468" i="3"/>
  <c r="G1468" i="3" s="1"/>
  <c r="J1472" i="3"/>
  <c r="G1472" i="3" s="1"/>
  <c r="J1476" i="3"/>
  <c r="G1476" i="3" s="1"/>
  <c r="J1469" i="3"/>
  <c r="G1469" i="3" s="1"/>
  <c r="J1473" i="3"/>
  <c r="G1473" i="3" s="1"/>
  <c r="J1465" i="3"/>
  <c r="G1465" i="3" s="1"/>
  <c r="J1454" i="3"/>
  <c r="G1454" i="3" s="1"/>
  <c r="J1458" i="3"/>
  <c r="G1458" i="3" s="1"/>
  <c r="J1462" i="3"/>
  <c r="G1462" i="3" s="1"/>
  <c r="J1455" i="3"/>
  <c r="G1455" i="3" s="1"/>
  <c r="J1459" i="3"/>
  <c r="G1459" i="3" s="1"/>
  <c r="J1463" i="3"/>
  <c r="G1463" i="3" s="1"/>
  <c r="J1456" i="3"/>
  <c r="G1456" i="3" s="1"/>
  <c r="J1460" i="3"/>
  <c r="G1460" i="3" s="1"/>
  <c r="J1464" i="3"/>
  <c r="G1464" i="3" s="1"/>
  <c r="J1457" i="3"/>
  <c r="G1457" i="3" s="1"/>
  <c r="J1461" i="3"/>
  <c r="G1461" i="3" s="1"/>
  <c r="J1453" i="3"/>
  <c r="G1453" i="3" s="1"/>
  <c r="J1442" i="3"/>
  <c r="G1442" i="3" s="1"/>
  <c r="J1446" i="3"/>
  <c r="G1446" i="3" s="1"/>
  <c r="J1450" i="3"/>
  <c r="G1450" i="3" s="1"/>
  <c r="J1443" i="3"/>
  <c r="G1443" i="3" s="1"/>
  <c r="J1447" i="3"/>
  <c r="G1447" i="3" s="1"/>
  <c r="J1451" i="3"/>
  <c r="G1451" i="3" s="1"/>
  <c r="J1444" i="3"/>
  <c r="G1444" i="3" s="1"/>
  <c r="J1448" i="3"/>
  <c r="G1448" i="3" s="1"/>
  <c r="J1452" i="3"/>
  <c r="G1452" i="3" s="1"/>
  <c r="J1445" i="3"/>
  <c r="G1445" i="3" s="1"/>
  <c r="J1449" i="3"/>
  <c r="G1449" i="3" s="1"/>
  <c r="J1441" i="3"/>
  <c r="G1441" i="3" s="1"/>
  <c r="J1430" i="3"/>
  <c r="G1430" i="3" s="1"/>
  <c r="J1434" i="3"/>
  <c r="G1434" i="3" s="1"/>
  <c r="J1438" i="3"/>
  <c r="G1438" i="3" s="1"/>
  <c r="J1431" i="3"/>
  <c r="G1431" i="3" s="1"/>
  <c r="J1435" i="3"/>
  <c r="G1435" i="3" s="1"/>
  <c r="J1439" i="3"/>
  <c r="G1439" i="3" s="1"/>
  <c r="J1432" i="3"/>
  <c r="G1432" i="3" s="1"/>
  <c r="J1436" i="3"/>
  <c r="G1436" i="3" s="1"/>
  <c r="J1440" i="3"/>
  <c r="G1440" i="3" s="1"/>
  <c r="J1433" i="3"/>
  <c r="G1433" i="3" s="1"/>
  <c r="J1437" i="3"/>
  <c r="G1437" i="3" s="1"/>
  <c r="J1429" i="3"/>
  <c r="G1429" i="3" s="1"/>
  <c r="J536" i="6"/>
  <c r="P536" i="6" s="1"/>
  <c r="J532" i="6"/>
  <c r="P532" i="6" s="1"/>
  <c r="J535" i="6"/>
  <c r="P535" i="6" s="1"/>
  <c r="J534" i="6"/>
  <c r="P534" i="6" s="1"/>
  <c r="J533" i="6"/>
  <c r="P533" i="6" s="1"/>
  <c r="J531" i="6"/>
  <c r="P531" i="6" s="1"/>
  <c r="J527" i="6"/>
  <c r="P527" i="6" s="1"/>
  <c r="J523" i="6"/>
  <c r="P523" i="6" s="1"/>
  <c r="J530" i="6"/>
  <c r="P530" i="6" s="1"/>
  <c r="J526" i="6"/>
  <c r="P526" i="6" s="1"/>
  <c r="J522" i="6"/>
  <c r="P522" i="6" s="1"/>
  <c r="J529" i="6"/>
  <c r="P529" i="6" s="1"/>
  <c r="J525" i="6"/>
  <c r="P525" i="6" s="1"/>
  <c r="J521" i="6"/>
  <c r="P521" i="6" s="1"/>
  <c r="J528" i="6"/>
  <c r="P528" i="6" s="1"/>
  <c r="J524" i="6"/>
  <c r="P524" i="6" s="1"/>
  <c r="J520" i="6"/>
  <c r="P520" i="6" s="1"/>
  <c r="H19" i="14" s="1"/>
  <c r="J519" i="6"/>
  <c r="P519" i="6" s="1"/>
  <c r="J515" i="6"/>
  <c r="P515" i="6" s="1"/>
  <c r="J511" i="6"/>
  <c r="P511" i="6" s="1"/>
  <c r="J518" i="6"/>
  <c r="P518" i="6" s="1"/>
  <c r="J514" i="6"/>
  <c r="P514" i="6" s="1"/>
  <c r="J510" i="6"/>
  <c r="P510" i="6" s="1"/>
  <c r="J516" i="6"/>
  <c r="P516" i="6" s="1"/>
  <c r="J512" i="6"/>
  <c r="P512" i="6" s="1"/>
  <c r="J508" i="6"/>
  <c r="P508" i="6" s="1"/>
  <c r="J517" i="6"/>
  <c r="P517" i="6" s="1"/>
  <c r="J513" i="6"/>
  <c r="P513" i="6" s="1"/>
  <c r="J509" i="6"/>
  <c r="P509" i="6" s="1"/>
  <c r="J497" i="6"/>
  <c r="P497" i="6" s="1"/>
  <c r="J501" i="6"/>
  <c r="P501" i="6" s="1"/>
  <c r="J505" i="6"/>
  <c r="P505" i="6" s="1"/>
  <c r="J500" i="6"/>
  <c r="P500" i="6" s="1"/>
  <c r="J504" i="6"/>
  <c r="P504" i="6" s="1"/>
  <c r="J496" i="6"/>
  <c r="P496" i="6" s="1"/>
  <c r="J498" i="6"/>
  <c r="P498" i="6" s="1"/>
  <c r="J502" i="6"/>
  <c r="P502" i="6" s="1"/>
  <c r="J506" i="6"/>
  <c r="P506" i="6" s="1"/>
  <c r="J499" i="6"/>
  <c r="P499" i="6" s="1"/>
  <c r="J503" i="6"/>
  <c r="P503" i="6" s="1"/>
  <c r="J507" i="6"/>
  <c r="P507" i="6" s="1"/>
  <c r="J485" i="6"/>
  <c r="P485" i="6" s="1"/>
  <c r="J489" i="6"/>
  <c r="P489" i="6" s="1"/>
  <c r="J493" i="6"/>
  <c r="P493" i="6" s="1"/>
  <c r="J486" i="6"/>
  <c r="P486" i="6" s="1"/>
  <c r="J490" i="6"/>
  <c r="P490" i="6" s="1"/>
  <c r="J494" i="6"/>
  <c r="P494" i="6" s="1"/>
  <c r="J488" i="6"/>
  <c r="P488" i="6" s="1"/>
  <c r="J492" i="6"/>
  <c r="P492" i="6" s="1"/>
  <c r="J484" i="6"/>
  <c r="P484" i="6" s="1"/>
  <c r="J487" i="6"/>
  <c r="P487" i="6" s="1"/>
  <c r="J491" i="6"/>
  <c r="P491" i="6" s="1"/>
  <c r="J495" i="6"/>
  <c r="P495" i="6" s="1"/>
  <c r="J483" i="6"/>
  <c r="G483" i="6" s="1"/>
  <c r="J479" i="6"/>
  <c r="G479" i="6" s="1"/>
  <c r="J481" i="6"/>
  <c r="G481" i="6" s="1"/>
  <c r="J480" i="6"/>
  <c r="G480" i="6" s="1"/>
  <c r="J482" i="6"/>
  <c r="G482" i="6" s="1"/>
  <c r="J478" i="6"/>
  <c r="G478" i="6" s="1"/>
  <c r="J474" i="6"/>
  <c r="G474" i="6" s="1"/>
  <c r="J470" i="6"/>
  <c r="G470" i="6" s="1"/>
  <c r="J477" i="6"/>
  <c r="G477" i="6" s="1"/>
  <c r="J473" i="6"/>
  <c r="G473" i="6" s="1"/>
  <c r="J469" i="6"/>
  <c r="G469" i="6" s="1"/>
  <c r="J476" i="6"/>
  <c r="G476" i="6" s="1"/>
  <c r="J472" i="6"/>
  <c r="G472" i="6" s="1"/>
  <c r="J468" i="6"/>
  <c r="G468" i="6" s="1"/>
  <c r="J475" i="6"/>
  <c r="G475" i="6" s="1"/>
  <c r="J471" i="6"/>
  <c r="G471" i="6" s="1"/>
  <c r="J467" i="6"/>
  <c r="G467" i="6" s="1"/>
  <c r="J466" i="6"/>
  <c r="G466" i="6" s="1"/>
  <c r="J462" i="6"/>
  <c r="G462" i="6" s="1"/>
  <c r="J463" i="6"/>
  <c r="G463" i="6" s="1"/>
  <c r="J459" i="6"/>
  <c r="G459" i="6" s="1"/>
  <c r="J465" i="6"/>
  <c r="G465" i="6" s="1"/>
  <c r="J461" i="6"/>
  <c r="G461" i="6" s="1"/>
  <c r="J464" i="6"/>
  <c r="G464" i="6" s="1"/>
  <c r="J460" i="6"/>
  <c r="G460" i="6" s="1"/>
  <c r="J375" i="5"/>
  <c r="G375" i="5" s="1"/>
  <c r="J379" i="5"/>
  <c r="G379" i="5" s="1"/>
  <c r="J376" i="5"/>
  <c r="G376" i="5" s="1"/>
  <c r="J374" i="5"/>
  <c r="G374" i="5" s="1"/>
  <c r="J377" i="5"/>
  <c r="G377" i="5" s="1"/>
  <c r="J378" i="5"/>
  <c r="G378" i="5" s="1"/>
  <c r="J363" i="5"/>
  <c r="G363" i="5" s="1"/>
  <c r="J367" i="5"/>
  <c r="G367" i="5" s="1"/>
  <c r="J371" i="5"/>
  <c r="G371" i="5" s="1"/>
  <c r="J364" i="5"/>
  <c r="G364" i="5" s="1"/>
  <c r="J368" i="5"/>
  <c r="G368" i="5" s="1"/>
  <c r="J372" i="5"/>
  <c r="G372" i="5" s="1"/>
  <c r="J365" i="5"/>
  <c r="G365" i="5" s="1"/>
  <c r="J369" i="5"/>
  <c r="G369" i="5" s="1"/>
  <c r="J373" i="5"/>
  <c r="G373" i="5" s="1"/>
  <c r="J366" i="5"/>
  <c r="G366" i="5" s="1"/>
  <c r="J370" i="5"/>
  <c r="G370" i="5" s="1"/>
  <c r="J362" i="5"/>
  <c r="G362" i="5" s="1"/>
  <c r="J351" i="5"/>
  <c r="G351" i="5" s="1"/>
  <c r="J355" i="5"/>
  <c r="G355" i="5" s="1"/>
  <c r="J359" i="5"/>
  <c r="G359" i="5" s="1"/>
  <c r="J352" i="5"/>
  <c r="G352" i="5" s="1"/>
  <c r="J356" i="5"/>
  <c r="G356" i="5" s="1"/>
  <c r="J360" i="5"/>
  <c r="G360" i="5" s="1"/>
  <c r="J353" i="5"/>
  <c r="G353" i="5" s="1"/>
  <c r="J357" i="5"/>
  <c r="G357" i="5" s="1"/>
  <c r="J361" i="5"/>
  <c r="G361" i="5" s="1"/>
  <c r="J354" i="5"/>
  <c r="G354" i="5" s="1"/>
  <c r="J358" i="5"/>
  <c r="G358" i="5" s="1"/>
  <c r="J350" i="5"/>
  <c r="G350" i="5" s="1"/>
  <c r="J339" i="5"/>
  <c r="G339" i="5" s="1"/>
  <c r="J343" i="5"/>
  <c r="G343" i="5" s="1"/>
  <c r="J347" i="5"/>
  <c r="G347" i="5" s="1"/>
  <c r="J340" i="5"/>
  <c r="G340" i="5" s="1"/>
  <c r="J344" i="5"/>
  <c r="G344" i="5" s="1"/>
  <c r="J348" i="5"/>
  <c r="G348" i="5" s="1"/>
  <c r="J342" i="5"/>
  <c r="G342" i="5" s="1"/>
  <c r="J346" i="5"/>
  <c r="G346" i="5" s="1"/>
  <c r="J338" i="5"/>
  <c r="G338" i="5" s="1"/>
  <c r="J341" i="5"/>
  <c r="G341" i="5" s="1"/>
  <c r="J345" i="5"/>
  <c r="G345" i="5" s="1"/>
  <c r="J349" i="5"/>
  <c r="G349" i="5" s="1"/>
  <c r="J327" i="5"/>
  <c r="G327" i="5" s="1"/>
  <c r="J331" i="5"/>
  <c r="G331" i="5" s="1"/>
  <c r="J335" i="5"/>
  <c r="G335" i="5" s="1"/>
  <c r="J328" i="5"/>
  <c r="G328" i="5" s="1"/>
  <c r="J332" i="5"/>
  <c r="G332" i="5" s="1"/>
  <c r="J336" i="5"/>
  <c r="G336" i="5" s="1"/>
  <c r="J330" i="5"/>
  <c r="G330" i="5" s="1"/>
  <c r="J334" i="5"/>
  <c r="G334" i="5" s="1"/>
  <c r="J326" i="5"/>
  <c r="G326" i="5" s="1"/>
  <c r="J329" i="5"/>
  <c r="G329" i="5" s="1"/>
  <c r="J333" i="5"/>
  <c r="G333" i="5" s="1"/>
  <c r="J337" i="5"/>
  <c r="G337" i="5" s="1"/>
  <c r="J1424" i="3"/>
  <c r="G1424" i="3" s="1"/>
  <c r="J1428" i="3"/>
  <c r="G1428" i="3" s="1"/>
  <c r="J1426" i="3"/>
  <c r="G1426" i="3" s="1"/>
  <c r="J1427" i="3"/>
  <c r="G1427" i="3" s="1"/>
  <c r="J1425" i="3"/>
  <c r="G1425" i="3" s="1"/>
  <c r="J1423" i="3"/>
  <c r="G1423" i="3" s="1"/>
  <c r="J1412" i="3"/>
  <c r="G1412" i="3" s="1"/>
  <c r="J1416" i="3"/>
  <c r="G1416" i="3" s="1"/>
  <c r="J1420" i="3"/>
  <c r="G1420" i="3" s="1"/>
  <c r="J1414" i="3"/>
  <c r="G1414" i="3" s="1"/>
  <c r="J1418" i="3"/>
  <c r="G1418" i="3" s="1"/>
  <c r="J1422" i="3"/>
  <c r="G1422" i="3" s="1"/>
  <c r="J1415" i="3"/>
  <c r="G1415" i="3" s="1"/>
  <c r="J1419" i="3"/>
  <c r="G1419" i="3" s="1"/>
  <c r="J1411" i="3"/>
  <c r="G1411" i="3" s="1"/>
  <c r="J1413" i="3"/>
  <c r="G1413" i="3" s="1"/>
  <c r="J1417" i="3"/>
  <c r="G1417" i="3" s="1"/>
  <c r="J1421" i="3"/>
  <c r="G1421" i="3" s="1"/>
  <c r="J1400" i="3"/>
  <c r="G1400" i="3" s="1"/>
  <c r="J1404" i="3"/>
  <c r="G1404" i="3" s="1"/>
  <c r="J1408" i="3"/>
  <c r="G1408" i="3" s="1"/>
  <c r="J1401" i="3"/>
  <c r="G1401" i="3" s="1"/>
  <c r="J1405" i="3"/>
  <c r="G1405" i="3" s="1"/>
  <c r="J1409" i="3"/>
  <c r="G1409" i="3" s="1"/>
  <c r="J1402" i="3"/>
  <c r="G1402" i="3" s="1"/>
  <c r="J1406" i="3"/>
  <c r="G1406" i="3" s="1"/>
  <c r="J1410" i="3"/>
  <c r="G1410" i="3" s="1"/>
  <c r="J1403" i="3"/>
  <c r="G1403" i="3" s="1"/>
  <c r="J1407" i="3"/>
  <c r="G1407" i="3" s="1"/>
  <c r="J1399" i="3"/>
  <c r="G1399" i="3" s="1"/>
  <c r="J1388" i="3"/>
  <c r="G1388" i="3" s="1"/>
  <c r="J1392" i="3"/>
  <c r="G1392" i="3" s="1"/>
  <c r="J1396" i="3"/>
  <c r="G1396" i="3" s="1"/>
  <c r="J1389" i="3"/>
  <c r="G1389" i="3" s="1"/>
  <c r="J1393" i="3"/>
  <c r="G1393" i="3" s="1"/>
  <c r="J1397" i="3"/>
  <c r="G1397" i="3" s="1"/>
  <c r="J1391" i="3"/>
  <c r="G1391" i="3" s="1"/>
  <c r="J1395" i="3"/>
  <c r="G1395" i="3" s="1"/>
  <c r="J1387" i="3"/>
  <c r="G1387" i="3" s="1"/>
  <c r="J1390" i="3"/>
  <c r="G1390" i="3" s="1"/>
  <c r="J1394" i="3"/>
  <c r="G1394" i="3" s="1"/>
  <c r="J1398" i="3"/>
  <c r="G1398" i="3" s="1"/>
  <c r="J1380" i="3"/>
  <c r="G1380" i="3" s="1"/>
  <c r="J1384" i="3"/>
  <c r="G1384" i="3" s="1"/>
  <c r="J1381" i="3"/>
  <c r="G1381" i="3" s="1"/>
  <c r="J1385" i="3"/>
  <c r="G1385" i="3" s="1"/>
  <c r="J1382" i="3"/>
  <c r="G1382" i="3" s="1"/>
  <c r="J1386" i="3"/>
  <c r="G1386" i="3" s="1"/>
  <c r="J1383" i="3"/>
  <c r="G1383" i="3" s="1"/>
  <c r="J1379" i="3"/>
  <c r="G1379" i="3" s="1"/>
  <c r="J1374" i="3"/>
  <c r="G1374" i="3" s="1"/>
  <c r="J1378" i="3"/>
  <c r="G1378" i="3" s="1"/>
  <c r="J1375" i="3"/>
  <c r="G1375" i="3" s="1"/>
  <c r="J1373" i="3"/>
  <c r="G1373" i="3" s="1"/>
  <c r="J1376" i="3"/>
  <c r="G1376" i="3" s="1"/>
  <c r="J1377" i="3"/>
  <c r="G1377" i="3" s="1"/>
  <c r="J1362" i="3"/>
  <c r="G1362" i="3" s="1"/>
  <c r="J1366" i="3"/>
  <c r="G1366" i="3" s="1"/>
  <c r="J1370" i="3"/>
  <c r="G1370" i="3" s="1"/>
  <c r="J1364" i="3"/>
  <c r="G1364" i="3" s="1"/>
  <c r="J1368" i="3"/>
  <c r="G1368" i="3" s="1"/>
  <c r="J1372" i="3"/>
  <c r="G1372" i="3" s="1"/>
  <c r="J1365" i="3"/>
  <c r="G1365" i="3" s="1"/>
  <c r="J1369" i="3"/>
  <c r="G1369" i="3" s="1"/>
  <c r="J1361" i="3"/>
  <c r="G1361" i="3" s="1"/>
  <c r="J1363" i="3"/>
  <c r="G1363" i="3" s="1"/>
  <c r="J1367" i="3"/>
  <c r="G1367" i="3" s="1"/>
  <c r="J1371" i="3"/>
  <c r="G1371" i="3" s="1"/>
  <c r="J1350" i="3"/>
  <c r="G1350" i="3" s="1"/>
  <c r="J1354" i="3"/>
  <c r="G1354" i="3" s="1"/>
  <c r="J1358" i="3"/>
  <c r="G1358" i="3" s="1"/>
  <c r="J1351" i="3"/>
  <c r="G1351" i="3" s="1"/>
  <c r="J1355" i="3"/>
  <c r="G1355" i="3" s="1"/>
  <c r="J1359" i="3"/>
  <c r="G1359" i="3" s="1"/>
  <c r="J1352" i="3"/>
  <c r="G1352" i="3" s="1"/>
  <c r="J1356" i="3"/>
  <c r="G1356" i="3" s="1"/>
  <c r="J1360" i="3"/>
  <c r="G1360" i="3" s="1"/>
  <c r="J1353" i="3"/>
  <c r="G1353" i="3" s="1"/>
  <c r="J1357" i="3"/>
  <c r="G1357" i="3" s="1"/>
  <c r="J1349" i="3"/>
  <c r="G1349" i="3" s="1"/>
  <c r="J1338" i="3"/>
  <c r="G1338" i="3" s="1"/>
  <c r="J1342" i="3"/>
  <c r="G1342" i="3" s="1"/>
  <c r="J1346" i="3"/>
  <c r="G1346" i="3" s="1"/>
  <c r="J1339" i="3"/>
  <c r="G1339" i="3" s="1"/>
  <c r="J1343" i="3"/>
  <c r="G1343" i="3" s="1"/>
  <c r="J1347" i="3"/>
  <c r="G1347" i="3" s="1"/>
  <c r="J1340" i="3"/>
  <c r="G1340" i="3" s="1"/>
  <c r="J1344" i="3"/>
  <c r="G1344" i="3" s="1"/>
  <c r="J1348" i="3"/>
  <c r="G1348" i="3" s="1"/>
  <c r="J1341" i="3"/>
  <c r="G1341" i="3" s="1"/>
  <c r="J1345" i="3"/>
  <c r="G1345" i="3" s="1"/>
  <c r="J1337" i="3"/>
  <c r="G1337" i="3" s="1"/>
  <c r="J1326" i="3"/>
  <c r="G1326" i="3" s="1"/>
  <c r="J1330" i="3"/>
  <c r="G1330" i="3" s="1"/>
  <c r="J1334" i="3"/>
  <c r="G1334" i="3" s="1"/>
  <c r="J1327" i="3"/>
  <c r="G1327" i="3" s="1"/>
  <c r="J1331" i="3"/>
  <c r="G1331" i="3" s="1"/>
  <c r="J1335" i="3"/>
  <c r="G1335" i="3" s="1"/>
  <c r="J1328" i="3"/>
  <c r="G1328" i="3" s="1"/>
  <c r="J1332" i="3"/>
  <c r="G1332" i="3" s="1"/>
  <c r="J1336" i="3"/>
  <c r="G1336" i="3" s="1"/>
  <c r="J1329" i="3"/>
  <c r="G1329" i="3" s="1"/>
  <c r="J1333" i="3"/>
  <c r="G1333" i="3" s="1"/>
  <c r="J1325" i="3"/>
  <c r="G1325" i="3" s="1"/>
  <c r="J1320" i="3"/>
  <c r="G1320" i="3" s="1"/>
  <c r="J1324" i="3"/>
  <c r="G1324" i="3" s="1"/>
  <c r="J1321" i="3"/>
  <c r="G1321" i="3" s="1"/>
  <c r="J1319" i="3"/>
  <c r="G1319" i="3" s="1"/>
  <c r="J1322" i="3"/>
  <c r="G1322" i="3" s="1"/>
  <c r="J1323" i="3"/>
  <c r="G1323" i="3" s="1"/>
  <c r="J1308" i="3"/>
  <c r="G1308" i="3" s="1"/>
  <c r="J1312" i="3"/>
  <c r="G1312" i="3" s="1"/>
  <c r="J1316" i="3"/>
  <c r="G1316" i="3" s="1"/>
  <c r="J1309" i="3"/>
  <c r="G1309" i="3" s="1"/>
  <c r="J1313" i="3"/>
  <c r="G1313" i="3" s="1"/>
  <c r="J1317" i="3"/>
  <c r="G1317" i="3" s="1"/>
  <c r="J1310" i="3"/>
  <c r="G1310" i="3" s="1"/>
  <c r="J1314" i="3"/>
  <c r="G1314" i="3" s="1"/>
  <c r="J1318" i="3"/>
  <c r="G1318" i="3" s="1"/>
  <c r="J1311" i="3"/>
  <c r="G1311" i="3" s="1"/>
  <c r="J1315" i="3"/>
  <c r="G1315" i="3" s="1"/>
  <c r="J1307" i="3"/>
  <c r="G1307" i="3" s="1"/>
  <c r="J1296" i="3"/>
  <c r="G1296" i="3" s="1"/>
  <c r="J1300" i="3"/>
  <c r="G1300" i="3" s="1"/>
  <c r="J1304" i="3"/>
  <c r="G1304" i="3" s="1"/>
  <c r="J1297" i="3"/>
  <c r="G1297" i="3" s="1"/>
  <c r="J1301" i="3"/>
  <c r="G1301" i="3" s="1"/>
  <c r="J1305" i="3"/>
  <c r="G1305" i="3" s="1"/>
  <c r="J1298" i="3"/>
  <c r="G1298" i="3" s="1"/>
  <c r="J1302" i="3"/>
  <c r="G1302" i="3" s="1"/>
  <c r="J1306" i="3"/>
  <c r="G1306" i="3" s="1"/>
  <c r="J1299" i="3"/>
  <c r="G1299" i="3" s="1"/>
  <c r="J1303" i="3"/>
  <c r="G1303" i="3" s="1"/>
  <c r="J1295" i="3"/>
  <c r="G1295" i="3" s="1"/>
  <c r="J1284" i="3"/>
  <c r="G1284" i="3" s="1"/>
  <c r="J1288" i="3"/>
  <c r="G1288" i="3" s="1"/>
  <c r="J1292" i="3"/>
  <c r="G1292" i="3" s="1"/>
  <c r="J1285" i="3"/>
  <c r="G1285" i="3" s="1"/>
  <c r="J1289" i="3"/>
  <c r="G1289" i="3" s="1"/>
  <c r="J1293" i="3"/>
  <c r="G1293" i="3" s="1"/>
  <c r="J1286" i="3"/>
  <c r="G1286" i="3" s="1"/>
  <c r="J1290" i="3"/>
  <c r="G1290" i="3" s="1"/>
  <c r="J1294" i="3"/>
  <c r="G1294" i="3" s="1"/>
  <c r="J1287" i="3"/>
  <c r="G1287" i="3" s="1"/>
  <c r="J1291" i="3"/>
  <c r="G1291" i="3" s="1"/>
  <c r="J1283" i="3"/>
  <c r="G1283" i="3" s="1"/>
  <c r="J1271" i="3"/>
  <c r="G1271" i="3" s="1"/>
  <c r="J1272" i="3"/>
  <c r="G1272" i="3" s="1"/>
  <c r="J1276" i="3"/>
  <c r="G1276" i="3" s="1"/>
  <c r="J1280" i="3"/>
  <c r="G1280" i="3" s="1"/>
  <c r="J1273" i="3"/>
  <c r="G1273" i="3" s="1"/>
  <c r="J1277" i="3"/>
  <c r="G1277" i="3" s="1"/>
  <c r="J1281" i="3"/>
  <c r="G1281" i="3" s="1"/>
  <c r="J1274" i="3"/>
  <c r="G1274" i="3" s="1"/>
  <c r="J1278" i="3"/>
  <c r="G1278" i="3" s="1"/>
  <c r="J1282" i="3"/>
  <c r="G1282" i="3" s="1"/>
  <c r="J1275" i="3"/>
  <c r="G1275" i="3" s="1"/>
  <c r="J1279" i="3"/>
  <c r="G1279" i="3" s="1"/>
  <c r="J1266" i="3"/>
  <c r="G1266" i="3" s="1"/>
  <c r="J1270" i="3"/>
  <c r="G1270" i="3" s="1"/>
  <c r="J1267" i="3"/>
  <c r="G1267" i="3" s="1"/>
  <c r="J1265" i="3"/>
  <c r="G1265" i="3" s="1"/>
  <c r="J1268" i="3"/>
  <c r="G1268" i="3" s="1"/>
  <c r="J1269" i="3"/>
  <c r="G1269" i="3" s="1"/>
  <c r="J1254" i="3"/>
  <c r="G1254" i="3" s="1"/>
  <c r="J1258" i="3"/>
  <c r="G1258" i="3" s="1"/>
  <c r="J1262" i="3"/>
  <c r="G1262" i="3" s="1"/>
  <c r="J1257" i="3"/>
  <c r="G1257" i="3" s="1"/>
  <c r="J1261" i="3"/>
  <c r="G1261" i="3" s="1"/>
  <c r="J1253" i="3"/>
  <c r="G1253" i="3" s="1"/>
  <c r="J1255" i="3"/>
  <c r="G1255" i="3" s="1"/>
  <c r="J1259" i="3"/>
  <c r="G1259" i="3" s="1"/>
  <c r="J1263" i="3"/>
  <c r="G1263" i="3" s="1"/>
  <c r="J1256" i="3"/>
  <c r="G1256" i="3" s="1"/>
  <c r="J1260" i="3"/>
  <c r="G1260" i="3" s="1"/>
  <c r="J1264" i="3"/>
  <c r="G1264" i="3" s="1"/>
  <c r="J1242" i="3"/>
  <c r="G1242" i="3" s="1"/>
  <c r="J1246" i="3"/>
  <c r="G1246" i="3" s="1"/>
  <c r="J1250" i="3"/>
  <c r="G1250" i="3" s="1"/>
  <c r="J1245" i="3"/>
  <c r="G1245" i="3" s="1"/>
  <c r="J1249" i="3"/>
  <c r="G1249" i="3" s="1"/>
  <c r="J1241" i="3"/>
  <c r="G1241" i="3" s="1"/>
  <c r="J1243" i="3"/>
  <c r="G1243" i="3" s="1"/>
  <c r="J1247" i="3"/>
  <c r="G1247" i="3" s="1"/>
  <c r="J1251" i="3"/>
  <c r="G1251" i="3" s="1"/>
  <c r="J1244" i="3"/>
  <c r="G1244" i="3" s="1"/>
  <c r="J1248" i="3"/>
  <c r="G1248" i="3" s="1"/>
  <c r="J1252" i="3"/>
  <c r="G1252" i="3" s="1"/>
  <c r="J1230" i="3"/>
  <c r="G1230" i="3" s="1"/>
  <c r="J1234" i="3"/>
  <c r="G1234" i="3" s="1"/>
  <c r="J1238" i="3"/>
  <c r="G1238" i="3" s="1"/>
  <c r="J1231" i="3"/>
  <c r="G1231" i="3" s="1"/>
  <c r="J1235" i="3"/>
  <c r="G1235" i="3" s="1"/>
  <c r="J1239" i="3"/>
  <c r="G1239" i="3" s="1"/>
  <c r="J1232" i="3"/>
  <c r="G1232" i="3" s="1"/>
  <c r="J1236" i="3"/>
  <c r="G1236" i="3" s="1"/>
  <c r="J1240" i="3"/>
  <c r="G1240" i="3" s="1"/>
  <c r="J1233" i="3"/>
  <c r="G1233" i="3" s="1"/>
  <c r="J1237" i="3"/>
  <c r="G1237" i="3" s="1"/>
  <c r="J1229" i="3"/>
  <c r="G1229" i="3" s="1"/>
  <c r="J1218" i="3"/>
  <c r="G1218" i="3" s="1"/>
  <c r="J1222" i="3"/>
  <c r="G1222" i="3" s="1"/>
  <c r="J1226" i="3"/>
  <c r="G1226" i="3" s="1"/>
  <c r="J1219" i="3"/>
  <c r="G1219" i="3" s="1"/>
  <c r="J1223" i="3"/>
  <c r="G1223" i="3" s="1"/>
  <c r="J1227" i="3"/>
  <c r="G1227" i="3" s="1"/>
  <c r="J1220" i="3"/>
  <c r="G1220" i="3" s="1"/>
  <c r="J1224" i="3"/>
  <c r="G1224" i="3" s="1"/>
  <c r="J1228" i="3"/>
  <c r="G1228" i="3" s="1"/>
  <c r="J1221" i="3"/>
  <c r="G1221" i="3" s="1"/>
  <c r="J1225" i="3"/>
  <c r="G1225" i="3" s="1"/>
  <c r="J1217" i="3"/>
  <c r="G1217" i="3" s="1"/>
  <c r="J405" i="6"/>
  <c r="G405" i="6" s="1"/>
  <c r="J401" i="6"/>
  <c r="G401" i="6" s="1"/>
  <c r="J402" i="6"/>
  <c r="G402" i="6" s="1"/>
  <c r="J404" i="6"/>
  <c r="J403" i="6"/>
  <c r="G403" i="6" s="1"/>
  <c r="J400" i="6"/>
  <c r="G400" i="6" s="1"/>
  <c r="J396" i="6"/>
  <c r="G396" i="6" s="1"/>
  <c r="J392" i="6"/>
  <c r="G392" i="6" s="1"/>
  <c r="J399" i="6"/>
  <c r="G399" i="6" s="1"/>
  <c r="J395" i="6"/>
  <c r="G395" i="6" s="1"/>
  <c r="J391" i="6"/>
  <c r="G391" i="6" s="1"/>
  <c r="J398" i="6"/>
  <c r="G398" i="6" s="1"/>
  <c r="J394" i="6"/>
  <c r="G394" i="6" s="1"/>
  <c r="J390" i="6"/>
  <c r="G390" i="6" s="1"/>
  <c r="J397" i="6"/>
  <c r="G397" i="6" s="1"/>
  <c r="J393" i="6"/>
  <c r="G393" i="6" s="1"/>
  <c r="J389" i="6"/>
  <c r="G389" i="6" s="1"/>
  <c r="J388" i="6"/>
  <c r="G388" i="6" s="1"/>
  <c r="J384" i="6"/>
  <c r="G384" i="6" s="1"/>
  <c r="J385" i="6"/>
  <c r="G385" i="6" s="1"/>
  <c r="J381" i="6"/>
  <c r="G381" i="6" s="1"/>
  <c r="J387" i="6"/>
  <c r="G387" i="6" s="1"/>
  <c r="J383" i="6"/>
  <c r="G383" i="6" s="1"/>
  <c r="J386" i="6"/>
  <c r="G386" i="6" s="1"/>
  <c r="J382" i="6"/>
  <c r="G382" i="6" s="1"/>
  <c r="J458" i="6"/>
  <c r="P458" i="6" s="1"/>
  <c r="J454" i="6"/>
  <c r="P454" i="6" s="1"/>
  <c r="J457" i="6"/>
  <c r="P457" i="6" s="1"/>
  <c r="J456" i="6"/>
  <c r="P456" i="6" s="1"/>
  <c r="J455" i="6"/>
  <c r="P455" i="6" s="1"/>
  <c r="J453" i="6"/>
  <c r="P453" i="6" s="1"/>
  <c r="J449" i="6"/>
  <c r="P449" i="6" s="1"/>
  <c r="J445" i="6"/>
  <c r="P445" i="6" s="1"/>
  <c r="J450" i="6"/>
  <c r="P450" i="6" s="1"/>
  <c r="J446" i="6"/>
  <c r="P446" i="6" s="1"/>
  <c r="J442" i="6"/>
  <c r="P442" i="6" s="1"/>
  <c r="J452" i="6"/>
  <c r="P452" i="6" s="1"/>
  <c r="J448" i="6"/>
  <c r="P448" i="6" s="1"/>
  <c r="J444" i="6"/>
  <c r="P444" i="6" s="1"/>
  <c r="J451" i="6"/>
  <c r="P451" i="6" s="1"/>
  <c r="J447" i="6"/>
  <c r="P447" i="6" s="1"/>
  <c r="J443" i="6"/>
  <c r="P443" i="6" s="1"/>
  <c r="J441" i="6"/>
  <c r="P441" i="6" s="1"/>
  <c r="J437" i="6"/>
  <c r="P437" i="6" s="1"/>
  <c r="J433" i="6"/>
  <c r="P433" i="6" s="1"/>
  <c r="J440" i="6"/>
  <c r="P440" i="6" s="1"/>
  <c r="J436" i="6"/>
  <c r="P436" i="6" s="1"/>
  <c r="J432" i="6"/>
  <c r="P432" i="6" s="1"/>
  <c r="J439" i="6"/>
  <c r="P439" i="6" s="1"/>
  <c r="J435" i="6"/>
  <c r="P435" i="6" s="1"/>
  <c r="J431" i="6"/>
  <c r="P431" i="6" s="1"/>
  <c r="J438" i="6"/>
  <c r="P438" i="6" s="1"/>
  <c r="J434" i="6"/>
  <c r="P434" i="6" s="1"/>
  <c r="J430" i="6"/>
  <c r="P430" i="6" s="1"/>
  <c r="J419" i="6"/>
  <c r="P419" i="6" s="1"/>
  <c r="J423" i="6"/>
  <c r="P423" i="6" s="1"/>
  <c r="J427" i="6"/>
  <c r="P427" i="6" s="1"/>
  <c r="J420" i="6"/>
  <c r="P420" i="6" s="1"/>
  <c r="J424" i="6"/>
  <c r="P424" i="6" s="1"/>
  <c r="J428" i="6"/>
  <c r="P428" i="6" s="1"/>
  <c r="J421" i="6"/>
  <c r="P421" i="6" s="1"/>
  <c r="J425" i="6"/>
  <c r="P425" i="6" s="1"/>
  <c r="J429" i="6"/>
  <c r="P429" i="6" s="1"/>
  <c r="J422" i="6"/>
  <c r="P422" i="6" s="1"/>
  <c r="J426" i="6"/>
  <c r="P426" i="6" s="1"/>
  <c r="J418" i="6"/>
  <c r="P418" i="6" s="1"/>
  <c r="J407" i="6"/>
  <c r="P407" i="6" s="1"/>
  <c r="J411" i="6"/>
  <c r="P411" i="6" s="1"/>
  <c r="J415" i="6"/>
  <c r="P415" i="6" s="1"/>
  <c r="J408" i="6"/>
  <c r="P408" i="6" s="1"/>
  <c r="J412" i="6"/>
  <c r="P412" i="6" s="1"/>
  <c r="J416" i="6"/>
  <c r="P416" i="6" s="1"/>
  <c r="J409" i="6"/>
  <c r="P409" i="6" s="1"/>
  <c r="J413" i="6"/>
  <c r="P413" i="6" s="1"/>
  <c r="J417" i="6"/>
  <c r="P417" i="6" s="1"/>
  <c r="J410" i="6"/>
  <c r="P410" i="6" s="1"/>
  <c r="J414" i="6"/>
  <c r="P414" i="6" s="1"/>
  <c r="J406" i="6"/>
  <c r="P406" i="6" s="1"/>
  <c r="G454" i="6"/>
  <c r="G404" i="6"/>
  <c r="J321" i="5"/>
  <c r="G321" i="5" s="1"/>
  <c r="J325" i="5"/>
  <c r="G325" i="5" s="1"/>
  <c r="J324" i="5"/>
  <c r="G324" i="5" s="1"/>
  <c r="J322" i="5"/>
  <c r="G322" i="5" s="1"/>
  <c r="J320" i="5"/>
  <c r="G320" i="5" s="1"/>
  <c r="J323" i="5"/>
  <c r="G323" i="5" s="1"/>
  <c r="J309" i="5"/>
  <c r="G309" i="5" s="1"/>
  <c r="J313" i="5"/>
  <c r="G313" i="5" s="1"/>
  <c r="J317" i="5"/>
  <c r="G317" i="5" s="1"/>
  <c r="J310" i="5"/>
  <c r="G310" i="5" s="1"/>
  <c r="J314" i="5"/>
  <c r="G314" i="5" s="1"/>
  <c r="J318" i="5"/>
  <c r="G318" i="5" s="1"/>
  <c r="J311" i="5"/>
  <c r="G311" i="5" s="1"/>
  <c r="J315" i="5"/>
  <c r="G315" i="5" s="1"/>
  <c r="J319" i="5"/>
  <c r="G319" i="5" s="1"/>
  <c r="J312" i="5"/>
  <c r="G312" i="5" s="1"/>
  <c r="J316" i="5"/>
  <c r="G316" i="5" s="1"/>
  <c r="J308" i="5"/>
  <c r="G308" i="5" s="1"/>
  <c r="J297" i="5"/>
  <c r="G297" i="5" s="1"/>
  <c r="J301" i="5"/>
  <c r="G301" i="5" s="1"/>
  <c r="J305" i="5"/>
  <c r="G305" i="5" s="1"/>
  <c r="J298" i="5"/>
  <c r="G298" i="5" s="1"/>
  <c r="J302" i="5"/>
  <c r="G302" i="5" s="1"/>
  <c r="J306" i="5"/>
  <c r="G306" i="5" s="1"/>
  <c r="J299" i="5"/>
  <c r="G299" i="5" s="1"/>
  <c r="J303" i="5"/>
  <c r="G303" i="5" s="1"/>
  <c r="J307" i="5"/>
  <c r="G307" i="5" s="1"/>
  <c r="J300" i="5"/>
  <c r="G300" i="5" s="1"/>
  <c r="J304" i="5"/>
  <c r="G304" i="5" s="1"/>
  <c r="J296" i="5"/>
  <c r="G296" i="5" s="1"/>
  <c r="J285" i="5"/>
  <c r="G285" i="5" s="1"/>
  <c r="J289" i="5"/>
  <c r="G289" i="5" s="1"/>
  <c r="J293" i="5"/>
  <c r="G293" i="5" s="1"/>
  <c r="J286" i="5"/>
  <c r="G286" i="5" s="1"/>
  <c r="J290" i="5"/>
  <c r="G290" i="5" s="1"/>
  <c r="J294" i="5"/>
  <c r="G294" i="5" s="1"/>
  <c r="J287" i="5"/>
  <c r="G287" i="5" s="1"/>
  <c r="J291" i="5"/>
  <c r="G291" i="5" s="1"/>
  <c r="J295" i="5"/>
  <c r="G295" i="5" s="1"/>
  <c r="J288" i="5"/>
  <c r="G288" i="5" s="1"/>
  <c r="J292" i="5"/>
  <c r="G292" i="5" s="1"/>
  <c r="J284" i="5"/>
  <c r="G284" i="5" s="1"/>
  <c r="J273" i="5"/>
  <c r="G273" i="5" s="1"/>
  <c r="J277" i="5"/>
  <c r="G277" i="5" s="1"/>
  <c r="J281" i="5"/>
  <c r="G281" i="5" s="1"/>
  <c r="J275" i="5"/>
  <c r="G275" i="5" s="1"/>
  <c r="J279" i="5"/>
  <c r="G279" i="5" s="1"/>
  <c r="J283" i="5"/>
  <c r="G283" i="5" s="1"/>
  <c r="J274" i="5"/>
  <c r="G274" i="5" s="1"/>
  <c r="J278" i="5"/>
  <c r="G278" i="5" s="1"/>
  <c r="J282" i="5"/>
  <c r="G282" i="5" s="1"/>
  <c r="J276" i="5"/>
  <c r="G276" i="5" s="1"/>
  <c r="J280" i="5"/>
  <c r="G280" i="5" s="1"/>
  <c r="J272" i="5"/>
  <c r="G272" i="5" s="1"/>
  <c r="J1212" i="3"/>
  <c r="G1212" i="3" s="1"/>
  <c r="J1216" i="3"/>
  <c r="G1216" i="3" s="1"/>
  <c r="J1215" i="3"/>
  <c r="G1215" i="3" s="1"/>
  <c r="J1213" i="3"/>
  <c r="G1213" i="3" s="1"/>
  <c r="J1211" i="3"/>
  <c r="G1211" i="3" s="1"/>
  <c r="J1214" i="3"/>
  <c r="G1214" i="3" s="1"/>
  <c r="J1200" i="3"/>
  <c r="G1200" i="3" s="1"/>
  <c r="J1204" i="3"/>
  <c r="G1204" i="3" s="1"/>
  <c r="J1208" i="3"/>
  <c r="G1208" i="3" s="1"/>
  <c r="J1201" i="3"/>
  <c r="G1201" i="3" s="1"/>
  <c r="J1205" i="3"/>
  <c r="G1205" i="3" s="1"/>
  <c r="J1209" i="3"/>
  <c r="G1209" i="3" s="1"/>
  <c r="J1202" i="3"/>
  <c r="G1202" i="3" s="1"/>
  <c r="J1206" i="3"/>
  <c r="G1206" i="3" s="1"/>
  <c r="J1210" i="3"/>
  <c r="G1210" i="3" s="1"/>
  <c r="J1203" i="3"/>
  <c r="G1203" i="3" s="1"/>
  <c r="J1207" i="3"/>
  <c r="G1207" i="3" s="1"/>
  <c r="J1199" i="3"/>
  <c r="G1199" i="3" s="1"/>
  <c r="J1188" i="3"/>
  <c r="G1188" i="3" s="1"/>
  <c r="J1192" i="3"/>
  <c r="G1192" i="3" s="1"/>
  <c r="J1196" i="3"/>
  <c r="G1196" i="3" s="1"/>
  <c r="J1191" i="3"/>
  <c r="G1191" i="3" s="1"/>
  <c r="J1195" i="3"/>
  <c r="G1195" i="3" s="1"/>
  <c r="J1187" i="3"/>
  <c r="G1187" i="3" s="1"/>
  <c r="J1189" i="3"/>
  <c r="G1189" i="3" s="1"/>
  <c r="J1193" i="3"/>
  <c r="G1193" i="3" s="1"/>
  <c r="J1197" i="3"/>
  <c r="G1197" i="3" s="1"/>
  <c r="J1190" i="3"/>
  <c r="G1190" i="3" s="1"/>
  <c r="J1194" i="3"/>
  <c r="G1194" i="3" s="1"/>
  <c r="J1198" i="3"/>
  <c r="G1198" i="3" s="1"/>
  <c r="J1176" i="3"/>
  <c r="G1176" i="3" s="1"/>
  <c r="J1180" i="3"/>
  <c r="G1180" i="3" s="1"/>
  <c r="J1184" i="3"/>
  <c r="G1184" i="3" s="1"/>
  <c r="J1178" i="3"/>
  <c r="G1178" i="3" s="1"/>
  <c r="J1182" i="3"/>
  <c r="G1182" i="3" s="1"/>
  <c r="J1186" i="3"/>
  <c r="G1186" i="3" s="1"/>
  <c r="J1177" i="3"/>
  <c r="G1177" i="3" s="1"/>
  <c r="J1181" i="3"/>
  <c r="G1181" i="3" s="1"/>
  <c r="J1185" i="3"/>
  <c r="G1185" i="3" s="1"/>
  <c r="J1179" i="3"/>
  <c r="G1179" i="3" s="1"/>
  <c r="J1183" i="3"/>
  <c r="G1183" i="3" s="1"/>
  <c r="J1175" i="3"/>
  <c r="G1175" i="3" s="1"/>
  <c r="J1166" i="3"/>
  <c r="G1166" i="3" s="1"/>
  <c r="J1170" i="3"/>
  <c r="G1170" i="3" s="1"/>
  <c r="J1174" i="3"/>
  <c r="G1174" i="3" s="1"/>
  <c r="J1167" i="3"/>
  <c r="G1167" i="3" s="1"/>
  <c r="J1171" i="3"/>
  <c r="G1171" i="3" s="1"/>
  <c r="J1165" i="3"/>
  <c r="G1165" i="3" s="1"/>
  <c r="J1168" i="3"/>
  <c r="G1168" i="3" s="1"/>
  <c r="J1172" i="3"/>
  <c r="G1172" i="3" s="1"/>
  <c r="J1169" i="3"/>
  <c r="G1169" i="3" s="1"/>
  <c r="J1173" i="3"/>
  <c r="G1173" i="3" s="1"/>
  <c r="J1160" i="3"/>
  <c r="G1160" i="3" s="1"/>
  <c r="J1164" i="3"/>
  <c r="G1164" i="3" s="1"/>
  <c r="J1163" i="3"/>
  <c r="G1163" i="3" s="1"/>
  <c r="J1161" i="3"/>
  <c r="G1161" i="3" s="1"/>
  <c r="J1159" i="3"/>
  <c r="G1159" i="3" s="1"/>
  <c r="J1162" i="3"/>
  <c r="G1162" i="3" s="1"/>
  <c r="J1148" i="3"/>
  <c r="G1148" i="3" s="1"/>
  <c r="J1152" i="3"/>
  <c r="G1152" i="3" s="1"/>
  <c r="J1156" i="3"/>
  <c r="G1156" i="3" s="1"/>
  <c r="J1149" i="3"/>
  <c r="G1149" i="3" s="1"/>
  <c r="J1153" i="3"/>
  <c r="G1153" i="3" s="1"/>
  <c r="J1157" i="3"/>
  <c r="G1157" i="3" s="1"/>
  <c r="J1151" i="3"/>
  <c r="G1151" i="3" s="1"/>
  <c r="J1155" i="3"/>
  <c r="G1155" i="3" s="1"/>
  <c r="J1147" i="3"/>
  <c r="G1147" i="3" s="1"/>
  <c r="J1150" i="3"/>
  <c r="G1150" i="3" s="1"/>
  <c r="J1154" i="3"/>
  <c r="G1154" i="3" s="1"/>
  <c r="J1158" i="3"/>
  <c r="G1158" i="3" s="1"/>
  <c r="J1136" i="3"/>
  <c r="G1136" i="3" s="1"/>
  <c r="J1140" i="3"/>
  <c r="G1140" i="3" s="1"/>
  <c r="J1144" i="3"/>
  <c r="G1144" i="3" s="1"/>
  <c r="J1138" i="3"/>
  <c r="G1138" i="3" s="1"/>
  <c r="J1142" i="3"/>
  <c r="G1142" i="3" s="1"/>
  <c r="J1146" i="3"/>
  <c r="G1146" i="3" s="1"/>
  <c r="J1139" i="3"/>
  <c r="G1139" i="3" s="1"/>
  <c r="J1143" i="3"/>
  <c r="G1143" i="3" s="1"/>
  <c r="J1135" i="3"/>
  <c r="G1135" i="3" s="1"/>
  <c r="J1137" i="3"/>
  <c r="G1137" i="3" s="1"/>
  <c r="J1141" i="3"/>
  <c r="G1141" i="3" s="1"/>
  <c r="J1145" i="3"/>
  <c r="G1145" i="3" s="1"/>
  <c r="J1124" i="3"/>
  <c r="G1124" i="3" s="1"/>
  <c r="J1128" i="3"/>
  <c r="G1128" i="3" s="1"/>
  <c r="J1132" i="3"/>
  <c r="G1132" i="3" s="1"/>
  <c r="J1125" i="3"/>
  <c r="G1125" i="3" s="1"/>
  <c r="J1129" i="3"/>
  <c r="G1129" i="3" s="1"/>
  <c r="J1133" i="3"/>
  <c r="G1133" i="3" s="1"/>
  <c r="J1126" i="3"/>
  <c r="G1126" i="3" s="1"/>
  <c r="J1130" i="3"/>
  <c r="G1130" i="3" s="1"/>
  <c r="J1134" i="3"/>
  <c r="G1134" i="3" s="1"/>
  <c r="J1127" i="3"/>
  <c r="G1127" i="3" s="1"/>
  <c r="J1131" i="3"/>
  <c r="G1131" i="3" s="1"/>
  <c r="J1123" i="3"/>
  <c r="G1123" i="3" s="1"/>
  <c r="J1112" i="3"/>
  <c r="G1112" i="3" s="1"/>
  <c r="J1116" i="3"/>
  <c r="G1116" i="3" s="1"/>
  <c r="J1120" i="3"/>
  <c r="G1120" i="3" s="1"/>
  <c r="J1113" i="3"/>
  <c r="G1113" i="3" s="1"/>
  <c r="J1117" i="3"/>
  <c r="G1117" i="3" s="1"/>
  <c r="J1121" i="3"/>
  <c r="G1121" i="3" s="1"/>
  <c r="J1114" i="3"/>
  <c r="G1114" i="3" s="1"/>
  <c r="J1118" i="3"/>
  <c r="G1118" i="3" s="1"/>
  <c r="J1122" i="3"/>
  <c r="G1122" i="3" s="1"/>
  <c r="J1115" i="3"/>
  <c r="G1115" i="3" s="1"/>
  <c r="J1119" i="3"/>
  <c r="G1119" i="3" s="1"/>
  <c r="J1111" i="3"/>
  <c r="G1111" i="3" s="1"/>
  <c r="J1106" i="3"/>
  <c r="G1106" i="3" s="1"/>
  <c r="J1110" i="3"/>
  <c r="G1110" i="3" s="1"/>
  <c r="J1107" i="3"/>
  <c r="G1107" i="3" s="1"/>
  <c r="J1105" i="3"/>
  <c r="G1105" i="3" s="1"/>
  <c r="J1108" i="3"/>
  <c r="G1108" i="3" s="1"/>
  <c r="J1109" i="3"/>
  <c r="G1109" i="3" s="1"/>
  <c r="J1094" i="3"/>
  <c r="G1094" i="3" s="1"/>
  <c r="J1098" i="3"/>
  <c r="G1098" i="3" s="1"/>
  <c r="J1102" i="3"/>
  <c r="G1102" i="3" s="1"/>
  <c r="J1096" i="3"/>
  <c r="G1096" i="3" s="1"/>
  <c r="J1100" i="3"/>
  <c r="G1100" i="3" s="1"/>
  <c r="J1104" i="3"/>
  <c r="G1104" i="3" s="1"/>
  <c r="J1095" i="3"/>
  <c r="G1095" i="3" s="1"/>
  <c r="J1099" i="3"/>
  <c r="G1099" i="3" s="1"/>
  <c r="J1103" i="3"/>
  <c r="G1103" i="3" s="1"/>
  <c r="J1097" i="3"/>
  <c r="G1097" i="3" s="1"/>
  <c r="J1101" i="3"/>
  <c r="G1101" i="3" s="1"/>
  <c r="J1093" i="3"/>
  <c r="G1093" i="3" s="1"/>
  <c r="J1082" i="3"/>
  <c r="G1082" i="3" s="1"/>
  <c r="J1086" i="3"/>
  <c r="G1086" i="3" s="1"/>
  <c r="J1090" i="3"/>
  <c r="G1090" i="3" s="1"/>
  <c r="J1083" i="3"/>
  <c r="G1083" i="3" s="1"/>
  <c r="J1087" i="3"/>
  <c r="G1087" i="3" s="1"/>
  <c r="J1091" i="3"/>
  <c r="G1091" i="3" s="1"/>
  <c r="J1084" i="3"/>
  <c r="G1084" i="3" s="1"/>
  <c r="J1088" i="3"/>
  <c r="G1088" i="3" s="1"/>
  <c r="J1092" i="3"/>
  <c r="G1092" i="3" s="1"/>
  <c r="J1085" i="3"/>
  <c r="G1085" i="3" s="1"/>
  <c r="J1089" i="3"/>
  <c r="G1089" i="3" s="1"/>
  <c r="J1081" i="3"/>
  <c r="G1081" i="3" s="1"/>
  <c r="J1070" i="3"/>
  <c r="G1070" i="3" s="1"/>
  <c r="J1074" i="3"/>
  <c r="G1074" i="3" s="1"/>
  <c r="J1078" i="3"/>
  <c r="G1078" i="3" s="1"/>
  <c r="J1071" i="3"/>
  <c r="G1071" i="3" s="1"/>
  <c r="J1075" i="3"/>
  <c r="G1075" i="3" s="1"/>
  <c r="J1079" i="3"/>
  <c r="G1079" i="3" s="1"/>
  <c r="J1072" i="3"/>
  <c r="G1072" i="3" s="1"/>
  <c r="J1076" i="3"/>
  <c r="G1076" i="3" s="1"/>
  <c r="J1080" i="3"/>
  <c r="G1080" i="3" s="1"/>
  <c r="J1073" i="3"/>
  <c r="G1073" i="3" s="1"/>
  <c r="J1077" i="3"/>
  <c r="G1077" i="3" s="1"/>
  <c r="J1069" i="3"/>
  <c r="G1069" i="3" s="1"/>
  <c r="J1058" i="3"/>
  <c r="G1058" i="3" s="1"/>
  <c r="J1062" i="3"/>
  <c r="G1062" i="3" s="1"/>
  <c r="J1066" i="3"/>
  <c r="G1066" i="3" s="1"/>
  <c r="J1059" i="3"/>
  <c r="G1059" i="3" s="1"/>
  <c r="J1063" i="3"/>
  <c r="G1063" i="3" s="1"/>
  <c r="J1067" i="3"/>
  <c r="G1067" i="3" s="1"/>
  <c r="J1060" i="3"/>
  <c r="G1060" i="3" s="1"/>
  <c r="J1064" i="3"/>
  <c r="G1064" i="3" s="1"/>
  <c r="J1068" i="3"/>
  <c r="G1068" i="3" s="1"/>
  <c r="J1061" i="3"/>
  <c r="G1061" i="3" s="1"/>
  <c r="J1065" i="3"/>
  <c r="G1065" i="3" s="1"/>
  <c r="J1057" i="3"/>
  <c r="G1057" i="3" s="1"/>
  <c r="J1052" i="3"/>
  <c r="G1052" i="3" s="1"/>
  <c r="J1056" i="3"/>
  <c r="G1056" i="3" s="1"/>
  <c r="J1053" i="3"/>
  <c r="G1053" i="3" s="1"/>
  <c r="J1051" i="3"/>
  <c r="G1051" i="3" s="1"/>
  <c r="J1054" i="3"/>
  <c r="G1054" i="3" s="1"/>
  <c r="J1055" i="3"/>
  <c r="G1055" i="3" s="1"/>
  <c r="J1040" i="3"/>
  <c r="G1040" i="3" s="1"/>
  <c r="J1044" i="3"/>
  <c r="G1044" i="3" s="1"/>
  <c r="J1048" i="3"/>
  <c r="G1048" i="3" s="1"/>
  <c r="J1041" i="3"/>
  <c r="G1041" i="3" s="1"/>
  <c r="J1045" i="3"/>
  <c r="G1045" i="3" s="1"/>
  <c r="J1049" i="3"/>
  <c r="G1049" i="3" s="1"/>
  <c r="J1042" i="3"/>
  <c r="G1042" i="3" s="1"/>
  <c r="J1046" i="3"/>
  <c r="G1046" i="3" s="1"/>
  <c r="J1050" i="3"/>
  <c r="G1050" i="3" s="1"/>
  <c r="J1043" i="3"/>
  <c r="G1043" i="3" s="1"/>
  <c r="J1047" i="3"/>
  <c r="G1047" i="3" s="1"/>
  <c r="J1039" i="3"/>
  <c r="G1039" i="3" s="1"/>
  <c r="J1028" i="3"/>
  <c r="G1028" i="3" s="1"/>
  <c r="J1032" i="3"/>
  <c r="G1032" i="3" s="1"/>
  <c r="J1036" i="3"/>
  <c r="G1036" i="3" s="1"/>
  <c r="J1029" i="3"/>
  <c r="G1029" i="3" s="1"/>
  <c r="J1033" i="3"/>
  <c r="G1033" i="3" s="1"/>
  <c r="J1037" i="3"/>
  <c r="G1037" i="3" s="1"/>
  <c r="J1030" i="3"/>
  <c r="G1030" i="3" s="1"/>
  <c r="J1034" i="3"/>
  <c r="G1034" i="3" s="1"/>
  <c r="J1038" i="3"/>
  <c r="G1038" i="3" s="1"/>
  <c r="J1031" i="3"/>
  <c r="G1031" i="3" s="1"/>
  <c r="J1035" i="3"/>
  <c r="G1035" i="3" s="1"/>
  <c r="J1027" i="3"/>
  <c r="G1027" i="3" s="1"/>
  <c r="J1016" i="3"/>
  <c r="G1016" i="3" s="1"/>
  <c r="J1020" i="3"/>
  <c r="G1020" i="3" s="1"/>
  <c r="J1024" i="3"/>
  <c r="G1024" i="3" s="1"/>
  <c r="J1018" i="3"/>
  <c r="G1018" i="3" s="1"/>
  <c r="J1022" i="3"/>
  <c r="G1022" i="3" s="1"/>
  <c r="J1026" i="3"/>
  <c r="G1026" i="3" s="1"/>
  <c r="J1019" i="3"/>
  <c r="G1019" i="3" s="1"/>
  <c r="J1023" i="3"/>
  <c r="G1023" i="3" s="1"/>
  <c r="J1015" i="3"/>
  <c r="G1015" i="3" s="1"/>
  <c r="J1017" i="3"/>
  <c r="G1017" i="3" s="1"/>
  <c r="J1021" i="3"/>
  <c r="G1021" i="3" s="1"/>
  <c r="J1025" i="3"/>
  <c r="G1025" i="3" s="1"/>
  <c r="J1004" i="3"/>
  <c r="G1004" i="3" s="1"/>
  <c r="J1008" i="3"/>
  <c r="G1008" i="3" s="1"/>
  <c r="J1012" i="3"/>
  <c r="G1012" i="3" s="1"/>
  <c r="J1005" i="3"/>
  <c r="G1005" i="3" s="1"/>
  <c r="J1009" i="3"/>
  <c r="G1009" i="3" s="1"/>
  <c r="J1013" i="3"/>
  <c r="G1013" i="3" s="1"/>
  <c r="J1006" i="3"/>
  <c r="G1006" i="3" s="1"/>
  <c r="J1010" i="3"/>
  <c r="G1010" i="3" s="1"/>
  <c r="J1014" i="3"/>
  <c r="G1014" i="3" s="1"/>
  <c r="J1007" i="3"/>
  <c r="G1007" i="3" s="1"/>
  <c r="J1011" i="3"/>
  <c r="G1011" i="3" s="1"/>
  <c r="J1003" i="3"/>
  <c r="G1003" i="3" s="1"/>
  <c r="J380" i="6"/>
  <c r="P380" i="6" s="1"/>
  <c r="J376" i="6"/>
  <c r="P376" i="6" s="1"/>
  <c r="J377" i="6"/>
  <c r="P377" i="6" s="1"/>
  <c r="J379" i="6"/>
  <c r="P379" i="6" s="1"/>
  <c r="J378" i="6"/>
  <c r="P378" i="6" s="1"/>
  <c r="J375" i="6"/>
  <c r="P375" i="6" s="1"/>
  <c r="J371" i="6"/>
  <c r="P371" i="6" s="1"/>
  <c r="J367" i="6"/>
  <c r="P367" i="6" s="1"/>
  <c r="J374" i="6"/>
  <c r="P374" i="6" s="1"/>
  <c r="J370" i="6"/>
  <c r="P370" i="6" s="1"/>
  <c r="J366" i="6"/>
  <c r="P366" i="6" s="1"/>
  <c r="J373" i="6"/>
  <c r="P373" i="6" s="1"/>
  <c r="J369" i="6"/>
  <c r="P369" i="6" s="1"/>
  <c r="J365" i="6"/>
  <c r="P365" i="6" s="1"/>
  <c r="J372" i="6"/>
  <c r="P372" i="6" s="1"/>
  <c r="J368" i="6"/>
  <c r="P368" i="6" s="1"/>
  <c r="J364" i="6"/>
  <c r="P364" i="6" s="1"/>
  <c r="J360" i="6"/>
  <c r="P360" i="6" s="1"/>
  <c r="J356" i="6"/>
  <c r="P356" i="6" s="1"/>
  <c r="J363" i="6"/>
  <c r="P363" i="6" s="1"/>
  <c r="J359" i="6"/>
  <c r="P359" i="6" s="1"/>
  <c r="J355" i="6"/>
  <c r="P355" i="6" s="1"/>
  <c r="J362" i="6"/>
  <c r="P362" i="6" s="1"/>
  <c r="J358" i="6"/>
  <c r="P358" i="6" s="1"/>
  <c r="J354" i="6"/>
  <c r="P354" i="6" s="1"/>
  <c r="K19" i="12" s="1"/>
  <c r="J361" i="6"/>
  <c r="P361" i="6" s="1"/>
  <c r="J357" i="6"/>
  <c r="P357" i="6" s="1"/>
  <c r="J347" i="6"/>
  <c r="P347" i="6" s="1"/>
  <c r="J351" i="6"/>
  <c r="P351" i="6" s="1"/>
  <c r="J348" i="6"/>
  <c r="P348" i="6" s="1"/>
  <c r="J352" i="6"/>
  <c r="P352" i="6" s="1"/>
  <c r="J349" i="6"/>
  <c r="P349" i="6" s="1"/>
  <c r="J353" i="6"/>
  <c r="P353" i="6" s="1"/>
  <c r="J350" i="6"/>
  <c r="P350" i="6" s="1"/>
  <c r="J346" i="6"/>
  <c r="P346" i="6" s="1"/>
  <c r="J340" i="6"/>
  <c r="P340" i="6" s="1"/>
  <c r="J344" i="6"/>
  <c r="P344" i="6" s="1"/>
  <c r="J341" i="6"/>
  <c r="P341" i="6" s="1"/>
  <c r="J345" i="6"/>
  <c r="P345" i="6" s="1"/>
  <c r="J342" i="6"/>
  <c r="P342" i="6" s="1"/>
  <c r="J339" i="6"/>
  <c r="P339" i="6" s="1"/>
  <c r="Q19" i="12" s="1"/>
  <c r="J343" i="6"/>
  <c r="P343" i="6" s="1"/>
  <c r="J338" i="6"/>
  <c r="G338" i="6" s="1"/>
  <c r="J334" i="6"/>
  <c r="G334" i="6" s="1"/>
  <c r="J336" i="6"/>
  <c r="G336" i="6" s="1"/>
  <c r="J335" i="6"/>
  <c r="G335" i="6" s="1"/>
  <c r="J337" i="6"/>
  <c r="G337" i="6" s="1"/>
  <c r="J333" i="6"/>
  <c r="G333" i="6" s="1"/>
  <c r="J329" i="6"/>
  <c r="G329" i="6" s="1"/>
  <c r="J325" i="6"/>
  <c r="G325" i="6" s="1"/>
  <c r="J332" i="6"/>
  <c r="G332" i="6" s="1"/>
  <c r="J328" i="6"/>
  <c r="G328" i="6" s="1"/>
  <c r="J324" i="6"/>
  <c r="G324" i="6" s="1"/>
  <c r="J331" i="6"/>
  <c r="G331" i="6" s="1"/>
  <c r="J327" i="6"/>
  <c r="G327" i="6" s="1"/>
  <c r="J323" i="6"/>
  <c r="G323" i="6" s="1"/>
  <c r="J330" i="6"/>
  <c r="G330" i="6" s="1"/>
  <c r="J326" i="6"/>
  <c r="G326" i="6" s="1"/>
  <c r="J322" i="6"/>
  <c r="G322" i="6" s="1"/>
  <c r="J314" i="6"/>
  <c r="G314" i="6" s="1"/>
  <c r="J321" i="6"/>
  <c r="G321" i="6" s="1"/>
  <c r="J317" i="6"/>
  <c r="G317" i="6" s="1"/>
  <c r="J320" i="6"/>
  <c r="G320" i="6" s="1"/>
  <c r="J316" i="6"/>
  <c r="G316" i="6" s="1"/>
  <c r="J319" i="6"/>
  <c r="G319" i="6" s="1"/>
  <c r="J315" i="6"/>
  <c r="G315" i="6" s="1"/>
  <c r="J318" i="6"/>
  <c r="G318" i="6" s="1"/>
  <c r="J267" i="5"/>
  <c r="G267" i="5" s="1"/>
  <c r="J271" i="5"/>
  <c r="G271" i="5" s="1"/>
  <c r="J268" i="5"/>
  <c r="G268" i="5" s="1"/>
  <c r="J266" i="5"/>
  <c r="G266" i="5" s="1"/>
  <c r="J269" i="5"/>
  <c r="G269" i="5" s="1"/>
  <c r="J270" i="5"/>
  <c r="G270" i="5" s="1"/>
  <c r="J255" i="5"/>
  <c r="G255" i="5" s="1"/>
  <c r="J259" i="5"/>
  <c r="G259" i="5" s="1"/>
  <c r="J263" i="5"/>
  <c r="G263" i="5" s="1"/>
  <c r="J256" i="5"/>
  <c r="G256" i="5" s="1"/>
  <c r="J260" i="5"/>
  <c r="G260" i="5" s="1"/>
  <c r="J264" i="5"/>
  <c r="G264" i="5" s="1"/>
  <c r="J257" i="5"/>
  <c r="G257" i="5" s="1"/>
  <c r="J261" i="5"/>
  <c r="G261" i="5" s="1"/>
  <c r="J265" i="5"/>
  <c r="G265" i="5" s="1"/>
  <c r="J258" i="5"/>
  <c r="G258" i="5" s="1"/>
  <c r="J262" i="5"/>
  <c r="G262" i="5" s="1"/>
  <c r="J254" i="5"/>
  <c r="G254" i="5" s="1"/>
  <c r="J243" i="5"/>
  <c r="G243" i="5" s="1"/>
  <c r="J247" i="5"/>
  <c r="G247" i="5" s="1"/>
  <c r="J251" i="5"/>
  <c r="G251" i="5" s="1"/>
  <c r="J244" i="5"/>
  <c r="G244" i="5" s="1"/>
  <c r="J248" i="5"/>
  <c r="G248" i="5" s="1"/>
  <c r="J252" i="5"/>
  <c r="G252" i="5" s="1"/>
  <c r="J246" i="5"/>
  <c r="G246" i="5" s="1"/>
  <c r="J250" i="5"/>
  <c r="G250" i="5" s="1"/>
  <c r="J242" i="5"/>
  <c r="G242" i="5" s="1"/>
  <c r="J245" i="5"/>
  <c r="G245" i="5" s="1"/>
  <c r="J249" i="5"/>
  <c r="G249" i="5" s="1"/>
  <c r="J253" i="5"/>
  <c r="G253" i="5" s="1"/>
  <c r="J231" i="5"/>
  <c r="G231" i="5" s="1"/>
  <c r="J235" i="5"/>
  <c r="G235" i="5" s="1"/>
  <c r="J239" i="5"/>
  <c r="G239" i="5" s="1"/>
  <c r="J232" i="5"/>
  <c r="G232" i="5" s="1"/>
  <c r="J236" i="5"/>
  <c r="G236" i="5" s="1"/>
  <c r="J240" i="5"/>
  <c r="G240" i="5" s="1"/>
  <c r="J234" i="5"/>
  <c r="G234" i="5" s="1"/>
  <c r="J238" i="5"/>
  <c r="G238" i="5" s="1"/>
  <c r="J230" i="5"/>
  <c r="G230" i="5" s="1"/>
  <c r="J233" i="5"/>
  <c r="G233" i="5" s="1"/>
  <c r="J237" i="5"/>
  <c r="G237" i="5" s="1"/>
  <c r="J241" i="5"/>
  <c r="G241" i="5" s="1"/>
  <c r="J219" i="5"/>
  <c r="G219" i="5" s="1"/>
  <c r="J223" i="5"/>
  <c r="G223" i="5" s="1"/>
  <c r="J227" i="5"/>
  <c r="G227" i="5" s="1"/>
  <c r="J221" i="5"/>
  <c r="G221" i="5" s="1"/>
  <c r="J225" i="5"/>
  <c r="G225" i="5" s="1"/>
  <c r="J229" i="5"/>
  <c r="G229" i="5" s="1"/>
  <c r="J222" i="5"/>
  <c r="G222" i="5" s="1"/>
  <c r="J226" i="5"/>
  <c r="G226" i="5" s="1"/>
  <c r="J218" i="5"/>
  <c r="G218" i="5" s="1"/>
  <c r="J220" i="5"/>
  <c r="G220" i="5" s="1"/>
  <c r="J224" i="5"/>
  <c r="G224" i="5" s="1"/>
  <c r="J228" i="5"/>
  <c r="G228" i="5" s="1"/>
  <c r="J999" i="3"/>
  <c r="G999" i="3" s="1"/>
  <c r="J998" i="3"/>
  <c r="G998" i="3" s="1"/>
  <c r="J1000" i="3"/>
  <c r="G1000" i="3" s="1"/>
  <c r="J1001" i="3"/>
  <c r="G1001" i="3" s="1"/>
  <c r="J1002" i="3"/>
  <c r="G1002" i="3" s="1"/>
  <c r="J988" i="3"/>
  <c r="G988" i="3" s="1"/>
  <c r="J992" i="3"/>
  <c r="G992" i="3" s="1"/>
  <c r="J996" i="3"/>
  <c r="G996" i="3" s="1"/>
  <c r="J989" i="3"/>
  <c r="G989" i="3" s="1"/>
  <c r="J993" i="3"/>
  <c r="G993" i="3" s="1"/>
  <c r="J997" i="3"/>
  <c r="G997" i="3" s="1"/>
  <c r="J990" i="3"/>
  <c r="G990" i="3" s="1"/>
  <c r="J994" i="3"/>
  <c r="G994" i="3" s="1"/>
  <c r="J987" i="3"/>
  <c r="G987" i="3" s="1"/>
  <c r="J991" i="3"/>
  <c r="G991" i="3" s="1"/>
  <c r="J995" i="3"/>
  <c r="G995" i="3" s="1"/>
  <c r="J978" i="3"/>
  <c r="G978" i="3" s="1"/>
  <c r="J982" i="3"/>
  <c r="G982" i="3" s="1"/>
  <c r="J986" i="3"/>
  <c r="G986" i="3" s="1"/>
  <c r="J980" i="3"/>
  <c r="G980" i="3" s="1"/>
  <c r="J984" i="3"/>
  <c r="G984" i="3" s="1"/>
  <c r="J981" i="3"/>
  <c r="G981" i="3" s="1"/>
  <c r="J985" i="3"/>
  <c r="G985" i="3" s="1"/>
  <c r="J979" i="3"/>
  <c r="G979" i="3" s="1"/>
  <c r="J983" i="3"/>
  <c r="G983" i="3" s="1"/>
  <c r="J977" i="3"/>
  <c r="G977" i="3" s="1"/>
  <c r="J971" i="3"/>
  <c r="G971" i="3" s="1"/>
  <c r="J975" i="3"/>
  <c r="G975" i="3" s="1"/>
  <c r="J972" i="3"/>
  <c r="G972" i="3" s="1"/>
  <c r="J976" i="3"/>
  <c r="G976" i="3" s="1"/>
  <c r="J973" i="3"/>
  <c r="G973" i="3" s="1"/>
  <c r="J970" i="3"/>
  <c r="G970" i="3" s="1"/>
  <c r="J974" i="3"/>
  <c r="G974" i="3" s="1"/>
  <c r="J967" i="3"/>
  <c r="G967" i="3" s="1"/>
  <c r="J968" i="3"/>
  <c r="G968" i="3" s="1"/>
  <c r="J969" i="3"/>
  <c r="G969" i="3" s="1"/>
  <c r="J966" i="3"/>
  <c r="G966" i="3" s="1"/>
  <c r="J961" i="3"/>
  <c r="G961" i="3" s="1"/>
  <c r="J965" i="3"/>
  <c r="G965" i="3" s="1"/>
  <c r="J962" i="3"/>
  <c r="G962" i="3" s="1"/>
  <c r="J960" i="3"/>
  <c r="G960" i="3" s="1"/>
  <c r="J963" i="3"/>
  <c r="G963" i="3" s="1"/>
  <c r="J964" i="3"/>
  <c r="G964" i="3" s="1"/>
  <c r="J949" i="3"/>
  <c r="G949" i="3" s="1"/>
  <c r="J953" i="3"/>
  <c r="G953" i="3" s="1"/>
  <c r="J957" i="3"/>
  <c r="G957" i="3" s="1"/>
  <c r="J951" i="3"/>
  <c r="G951" i="3" s="1"/>
  <c r="J955" i="3"/>
  <c r="G955" i="3" s="1"/>
  <c r="J959" i="3"/>
  <c r="G959" i="3" s="1"/>
  <c r="J952" i="3"/>
  <c r="G952" i="3" s="1"/>
  <c r="J956" i="3"/>
  <c r="G956" i="3" s="1"/>
  <c r="J948" i="3"/>
  <c r="G948" i="3" s="1"/>
  <c r="J950" i="3"/>
  <c r="G950" i="3" s="1"/>
  <c r="J954" i="3"/>
  <c r="G954" i="3" s="1"/>
  <c r="J958" i="3"/>
  <c r="G958" i="3" s="1"/>
  <c r="J938" i="3"/>
  <c r="G938" i="3" s="1"/>
  <c r="J942" i="3"/>
  <c r="G942" i="3" s="1"/>
  <c r="J946" i="3"/>
  <c r="G946" i="3" s="1"/>
  <c r="J939" i="3"/>
  <c r="G939" i="3" s="1"/>
  <c r="J943" i="3"/>
  <c r="G943" i="3" s="1"/>
  <c r="J947" i="3"/>
  <c r="G947" i="3" s="1"/>
  <c r="J940" i="3"/>
  <c r="G940" i="3" s="1"/>
  <c r="J944" i="3"/>
  <c r="G944" i="3" s="1"/>
  <c r="J937" i="3"/>
  <c r="G937" i="3" s="1"/>
  <c r="J941" i="3"/>
  <c r="G941" i="3" s="1"/>
  <c r="J945" i="3"/>
  <c r="G945" i="3" s="1"/>
  <c r="J930" i="3"/>
  <c r="G930" i="3" s="1"/>
  <c r="J934" i="3"/>
  <c r="G934" i="3" s="1"/>
  <c r="J931" i="3"/>
  <c r="G931" i="3" s="1"/>
  <c r="J935" i="3"/>
  <c r="G935" i="3" s="1"/>
  <c r="J932" i="3"/>
  <c r="G932" i="3" s="1"/>
  <c r="J936" i="3"/>
  <c r="G936" i="3" s="1"/>
  <c r="J933" i="3"/>
  <c r="G933" i="3" s="1"/>
  <c r="J929" i="3"/>
  <c r="G929" i="3" s="1"/>
  <c r="J926" i="3"/>
  <c r="G926" i="3" s="1"/>
  <c r="J927" i="3"/>
  <c r="G927" i="3" s="1"/>
  <c r="J928" i="3"/>
  <c r="G928" i="3" s="1"/>
  <c r="J925" i="3"/>
  <c r="G925" i="3" s="1"/>
  <c r="J923" i="3"/>
  <c r="G923" i="3" s="1"/>
  <c r="J924" i="3"/>
  <c r="G924" i="3" s="1"/>
  <c r="J922" i="3"/>
  <c r="G922" i="3" s="1"/>
  <c r="J911" i="3"/>
  <c r="G911" i="3" s="1"/>
  <c r="J915" i="3"/>
  <c r="G915" i="3" s="1"/>
  <c r="J919" i="3"/>
  <c r="G919" i="3" s="1"/>
  <c r="J912" i="3"/>
  <c r="G912" i="3" s="1"/>
  <c r="J916" i="3"/>
  <c r="G916" i="3" s="1"/>
  <c r="J920" i="3"/>
  <c r="G920" i="3" s="1"/>
  <c r="J913" i="3"/>
  <c r="G913" i="3" s="1"/>
  <c r="J917" i="3"/>
  <c r="G917" i="3" s="1"/>
  <c r="J921" i="3"/>
  <c r="G921" i="3" s="1"/>
  <c r="J914" i="3"/>
  <c r="G914" i="3" s="1"/>
  <c r="J918" i="3"/>
  <c r="G918" i="3" s="1"/>
  <c r="J910" i="3"/>
  <c r="G910" i="3" s="1"/>
  <c r="J900" i="3"/>
  <c r="G900" i="3" s="1"/>
  <c r="J904" i="3"/>
  <c r="G904" i="3" s="1"/>
  <c r="J908" i="3"/>
  <c r="G908" i="3" s="1"/>
  <c r="J901" i="3"/>
  <c r="G901" i="3" s="1"/>
  <c r="J905" i="3"/>
  <c r="G905" i="3" s="1"/>
  <c r="J909" i="3"/>
  <c r="G909" i="3" s="1"/>
  <c r="J902" i="3"/>
  <c r="G902" i="3" s="1"/>
  <c r="J906" i="3"/>
  <c r="G906" i="3" s="1"/>
  <c r="J899" i="3"/>
  <c r="G899" i="3" s="1"/>
  <c r="J903" i="3"/>
  <c r="G903" i="3" s="1"/>
  <c r="J907" i="3"/>
  <c r="G907" i="3" s="1"/>
  <c r="J890" i="3"/>
  <c r="G890" i="3" s="1"/>
  <c r="J894" i="3"/>
  <c r="G894" i="3" s="1"/>
  <c r="J898" i="3"/>
  <c r="G898" i="3" s="1"/>
  <c r="J891" i="3"/>
  <c r="G891" i="3" s="1"/>
  <c r="J895" i="3"/>
  <c r="G895" i="3" s="1"/>
  <c r="J889" i="3"/>
  <c r="G889" i="3" s="1"/>
  <c r="J892" i="3"/>
  <c r="G892" i="3" s="1"/>
  <c r="J896" i="3"/>
  <c r="G896" i="3" s="1"/>
  <c r="J893" i="3"/>
  <c r="G893" i="3" s="1"/>
  <c r="J897" i="3"/>
  <c r="G897" i="3" s="1"/>
  <c r="J886" i="3"/>
  <c r="G886" i="3" s="1"/>
  <c r="J885" i="3"/>
  <c r="G885" i="3" s="1"/>
  <c r="J887" i="3"/>
  <c r="G887" i="3" s="1"/>
  <c r="J888" i="3"/>
  <c r="G888" i="3" s="1"/>
  <c r="J880" i="3"/>
  <c r="G880" i="3" s="1"/>
  <c r="J884" i="3"/>
  <c r="G884" i="3" s="1"/>
  <c r="J881" i="3"/>
  <c r="G881" i="3" s="1"/>
  <c r="J879" i="3"/>
  <c r="G879" i="3" s="1"/>
  <c r="J882" i="3"/>
  <c r="G882" i="3" s="1"/>
  <c r="J883" i="3"/>
  <c r="G883" i="3" s="1"/>
  <c r="J868" i="3"/>
  <c r="G868" i="3" s="1"/>
  <c r="J872" i="3"/>
  <c r="G872" i="3" s="1"/>
  <c r="J876" i="3"/>
  <c r="G876" i="3" s="1"/>
  <c r="J869" i="3"/>
  <c r="G869" i="3" s="1"/>
  <c r="J873" i="3"/>
  <c r="G873" i="3" s="1"/>
  <c r="J877" i="3"/>
  <c r="G877" i="3" s="1"/>
  <c r="J870" i="3"/>
  <c r="G870" i="3" s="1"/>
  <c r="J874" i="3"/>
  <c r="G874" i="3" s="1"/>
  <c r="J878" i="3"/>
  <c r="G878" i="3" s="1"/>
  <c r="J871" i="3"/>
  <c r="G871" i="3" s="1"/>
  <c r="J875" i="3"/>
  <c r="G875" i="3" s="1"/>
  <c r="J867" i="3"/>
  <c r="G867" i="3" s="1"/>
  <c r="J856" i="3"/>
  <c r="G856" i="3" s="1"/>
  <c r="J860" i="3"/>
  <c r="G860" i="3" s="1"/>
  <c r="J864" i="3"/>
  <c r="G864" i="3" s="1"/>
  <c r="J858" i="3"/>
  <c r="G858" i="3" s="1"/>
  <c r="J862" i="3"/>
  <c r="G862" i="3" s="1"/>
  <c r="J866" i="3"/>
  <c r="G866" i="3" s="1"/>
  <c r="J859" i="3"/>
  <c r="G859" i="3" s="1"/>
  <c r="J863" i="3"/>
  <c r="G863" i="3" s="1"/>
  <c r="J855" i="3"/>
  <c r="G855" i="3" s="1"/>
  <c r="J857" i="3"/>
  <c r="G857" i="3" s="1"/>
  <c r="J861" i="3"/>
  <c r="G861" i="3" s="1"/>
  <c r="J865" i="3"/>
  <c r="G865" i="3" s="1"/>
  <c r="J844" i="3"/>
  <c r="G844" i="3" s="1"/>
  <c r="J848" i="3"/>
  <c r="G848" i="3" s="1"/>
  <c r="J852" i="3"/>
  <c r="G852" i="3" s="1"/>
  <c r="J846" i="3"/>
  <c r="G846" i="3" s="1"/>
  <c r="J850" i="3"/>
  <c r="G850" i="3" s="1"/>
  <c r="J854" i="3"/>
  <c r="G854" i="3" s="1"/>
  <c r="J847" i="3"/>
  <c r="G847" i="3" s="1"/>
  <c r="J851" i="3"/>
  <c r="G851" i="3" s="1"/>
  <c r="J843" i="3"/>
  <c r="G843" i="3" s="1"/>
  <c r="J845" i="3"/>
  <c r="G845" i="3" s="1"/>
  <c r="J849" i="3"/>
  <c r="G849" i="3" s="1"/>
  <c r="J853" i="3"/>
  <c r="G853" i="3" s="1"/>
  <c r="J832" i="3"/>
  <c r="G832" i="3" s="1"/>
  <c r="J836" i="3"/>
  <c r="G836" i="3" s="1"/>
  <c r="J840" i="3"/>
  <c r="G840" i="3" s="1"/>
  <c r="J833" i="3"/>
  <c r="G833" i="3" s="1"/>
  <c r="J837" i="3"/>
  <c r="G837" i="3" s="1"/>
  <c r="J841" i="3"/>
  <c r="G841" i="3" s="1"/>
  <c r="J834" i="3"/>
  <c r="G834" i="3" s="1"/>
  <c r="J838" i="3"/>
  <c r="G838" i="3" s="1"/>
  <c r="J842" i="3"/>
  <c r="G842" i="3" s="1"/>
  <c r="J835" i="3"/>
  <c r="G835" i="3" s="1"/>
  <c r="J839" i="3"/>
  <c r="G839" i="3" s="1"/>
  <c r="J831" i="3"/>
  <c r="G831" i="3" s="1"/>
  <c r="J260" i="6"/>
  <c r="G260" i="6" s="1"/>
  <c r="J256" i="6"/>
  <c r="G256" i="6" s="1"/>
  <c r="J259" i="6"/>
  <c r="G259" i="6" s="1"/>
  <c r="J258" i="6"/>
  <c r="G258" i="6" s="1"/>
  <c r="J257" i="6"/>
  <c r="G257" i="6" s="1"/>
  <c r="J255" i="6"/>
  <c r="G255" i="6" s="1"/>
  <c r="J251" i="6"/>
  <c r="G251" i="6" s="1"/>
  <c r="J247" i="6"/>
  <c r="G247" i="6" s="1"/>
  <c r="J254" i="6"/>
  <c r="G254" i="6" s="1"/>
  <c r="J250" i="6"/>
  <c r="G250" i="6" s="1"/>
  <c r="J246" i="6"/>
  <c r="G246" i="6" s="1"/>
  <c r="J253" i="6"/>
  <c r="G253" i="6" s="1"/>
  <c r="J249" i="6"/>
  <c r="G249" i="6" s="1"/>
  <c r="J245" i="6"/>
  <c r="G245" i="6" s="1"/>
  <c r="J252" i="6"/>
  <c r="G252" i="6" s="1"/>
  <c r="J248" i="6"/>
  <c r="G248" i="6" s="1"/>
  <c r="J244" i="6"/>
  <c r="G244" i="6" s="1"/>
  <c r="J243" i="6"/>
  <c r="G243" i="6" s="1"/>
  <c r="J239" i="6"/>
  <c r="G239" i="6" s="1"/>
  <c r="J242" i="6"/>
  <c r="G242" i="6" s="1"/>
  <c r="J238" i="6"/>
  <c r="G238" i="6" s="1"/>
  <c r="J241" i="6"/>
  <c r="G241" i="6" s="1"/>
  <c r="J237" i="6"/>
  <c r="G237" i="6" s="1"/>
  <c r="J240" i="6"/>
  <c r="G240" i="6" s="1"/>
  <c r="J236" i="6"/>
  <c r="G236" i="6" s="1"/>
  <c r="J312" i="6"/>
  <c r="P312" i="6" s="1"/>
  <c r="J311" i="6"/>
  <c r="P311" i="6" s="1"/>
  <c r="J310" i="6"/>
  <c r="P310" i="6" s="1"/>
  <c r="J313" i="6"/>
  <c r="P313" i="6" s="1"/>
  <c r="J309" i="6"/>
  <c r="P309" i="6" s="1"/>
  <c r="J308" i="6"/>
  <c r="P308" i="6" s="1"/>
  <c r="J304" i="6"/>
  <c r="P304" i="6" s="1"/>
  <c r="J300" i="6"/>
  <c r="P300" i="6" s="1"/>
  <c r="J307" i="6"/>
  <c r="P307" i="6" s="1"/>
  <c r="J303" i="6"/>
  <c r="P303" i="6" s="1"/>
  <c r="J299" i="6"/>
  <c r="P299" i="6" s="1"/>
  <c r="J306" i="6"/>
  <c r="P306" i="6" s="1"/>
  <c r="J302" i="6"/>
  <c r="P302" i="6" s="1"/>
  <c r="J298" i="6"/>
  <c r="P298" i="6" s="1"/>
  <c r="J305" i="6"/>
  <c r="P305" i="6" s="1"/>
  <c r="J301" i="6"/>
  <c r="P301" i="6" s="1"/>
  <c r="J297" i="6"/>
  <c r="P297" i="6" s="1"/>
  <c r="J295" i="6"/>
  <c r="P295" i="6" s="1"/>
  <c r="J291" i="6"/>
  <c r="P291" i="6" s="1"/>
  <c r="J287" i="6"/>
  <c r="P287" i="6" s="1"/>
  <c r="J294" i="6"/>
  <c r="P294" i="6" s="1"/>
  <c r="J290" i="6"/>
  <c r="P290" i="6" s="1"/>
  <c r="J286" i="6"/>
  <c r="P286" i="6" s="1"/>
  <c r="J293" i="6"/>
  <c r="P293" i="6" s="1"/>
  <c r="J289" i="6"/>
  <c r="P289" i="6" s="1"/>
  <c r="J285" i="6"/>
  <c r="P285" i="6" s="1"/>
  <c r="J296" i="6"/>
  <c r="P296" i="6" s="1"/>
  <c r="J292" i="6"/>
  <c r="P292" i="6" s="1"/>
  <c r="J288" i="6"/>
  <c r="P288" i="6" s="1"/>
  <c r="J275" i="6"/>
  <c r="P275" i="6" s="1"/>
  <c r="J279" i="6"/>
  <c r="P279" i="6" s="1"/>
  <c r="J283" i="6"/>
  <c r="P283" i="6" s="1"/>
  <c r="J276" i="6"/>
  <c r="P276" i="6" s="1"/>
  <c r="J280" i="6"/>
  <c r="P280" i="6" s="1"/>
  <c r="J284" i="6"/>
  <c r="P284" i="6" s="1"/>
  <c r="J277" i="6"/>
  <c r="P277" i="6" s="1"/>
  <c r="J281" i="6"/>
  <c r="P281" i="6" s="1"/>
  <c r="J273" i="6"/>
  <c r="P273" i="6" s="1"/>
  <c r="J274" i="6"/>
  <c r="P274" i="6" s="1"/>
  <c r="J278" i="6"/>
  <c r="P278" i="6" s="1"/>
  <c r="J282" i="6"/>
  <c r="P282" i="6" s="1"/>
  <c r="J262" i="6"/>
  <c r="P262" i="6" s="1"/>
  <c r="J266" i="6"/>
  <c r="P266" i="6" s="1"/>
  <c r="J270" i="6"/>
  <c r="P270" i="6" s="1"/>
  <c r="J263" i="6"/>
  <c r="P263" i="6" s="1"/>
  <c r="J267" i="6"/>
  <c r="P267" i="6" s="1"/>
  <c r="J271" i="6"/>
  <c r="P271" i="6" s="1"/>
  <c r="J264" i="6"/>
  <c r="P264" i="6" s="1"/>
  <c r="J268" i="6"/>
  <c r="P268" i="6" s="1"/>
  <c r="J272" i="6"/>
  <c r="P272" i="6" s="1"/>
  <c r="J265" i="6"/>
  <c r="P265" i="6" s="1"/>
  <c r="J269" i="6"/>
  <c r="P269" i="6" s="1"/>
  <c r="J261" i="6"/>
  <c r="P261" i="6" s="1"/>
  <c r="J213" i="5"/>
  <c r="G213" i="5" s="1"/>
  <c r="J217" i="5"/>
  <c r="G217" i="5" s="1"/>
  <c r="J214" i="5"/>
  <c r="G214" i="5" s="1"/>
  <c r="J212" i="5"/>
  <c r="G212" i="5" s="1"/>
  <c r="J215" i="5"/>
  <c r="G215" i="5" s="1"/>
  <c r="J216" i="5"/>
  <c r="G216" i="5" s="1"/>
  <c r="J201" i="5"/>
  <c r="G201" i="5" s="1"/>
  <c r="J205" i="5"/>
  <c r="G205" i="5" s="1"/>
  <c r="J209" i="5"/>
  <c r="G209" i="5" s="1"/>
  <c r="J202" i="5"/>
  <c r="G202" i="5" s="1"/>
  <c r="J206" i="5"/>
  <c r="G206" i="5" s="1"/>
  <c r="J210" i="5"/>
  <c r="G210" i="5" s="1"/>
  <c r="J203" i="5"/>
  <c r="G203" i="5" s="1"/>
  <c r="J207" i="5"/>
  <c r="G207" i="5" s="1"/>
  <c r="J211" i="5"/>
  <c r="G211" i="5" s="1"/>
  <c r="J204" i="5"/>
  <c r="G204" i="5" s="1"/>
  <c r="J208" i="5"/>
  <c r="G208" i="5" s="1"/>
  <c r="J200" i="5"/>
  <c r="G200" i="5" s="1"/>
  <c r="J190" i="5"/>
  <c r="G190" i="5" s="1"/>
  <c r="J194" i="5"/>
  <c r="G194" i="5" s="1"/>
  <c r="J198" i="5"/>
  <c r="G198" i="5" s="1"/>
  <c r="J191" i="5"/>
  <c r="G191" i="5" s="1"/>
  <c r="J195" i="5"/>
  <c r="G195" i="5" s="1"/>
  <c r="J199" i="5"/>
  <c r="G199" i="5" s="1"/>
  <c r="J192" i="5"/>
  <c r="G192" i="5" s="1"/>
  <c r="J196" i="5"/>
  <c r="G196" i="5" s="1"/>
  <c r="J188" i="5"/>
  <c r="G188" i="5" s="1"/>
  <c r="J189" i="5"/>
  <c r="G189" i="5" s="1"/>
  <c r="J193" i="5"/>
  <c r="G193" i="5" s="1"/>
  <c r="J197" i="5"/>
  <c r="G197" i="5" s="1"/>
  <c r="J177" i="5"/>
  <c r="G177" i="5" s="1"/>
  <c r="J181" i="5"/>
  <c r="G181" i="5" s="1"/>
  <c r="J185" i="5"/>
  <c r="G185" i="5" s="1"/>
  <c r="J178" i="5"/>
  <c r="G178" i="5" s="1"/>
  <c r="J182" i="5"/>
  <c r="G182" i="5" s="1"/>
  <c r="J186" i="5"/>
  <c r="G186" i="5" s="1"/>
  <c r="J179" i="5"/>
  <c r="G179" i="5" s="1"/>
  <c r="J183" i="5"/>
  <c r="G183" i="5" s="1"/>
  <c r="J187" i="5"/>
  <c r="G187" i="5" s="1"/>
  <c r="J180" i="5"/>
  <c r="G180" i="5" s="1"/>
  <c r="J184" i="5"/>
  <c r="G184" i="5" s="1"/>
  <c r="J176" i="5"/>
  <c r="G176" i="5" s="1"/>
  <c r="J166" i="5"/>
  <c r="G166" i="5" s="1"/>
  <c r="J170" i="5"/>
  <c r="G170" i="5" s="1"/>
  <c r="J174" i="5"/>
  <c r="G174" i="5" s="1"/>
  <c r="J167" i="5"/>
  <c r="G167" i="5" s="1"/>
  <c r="J171" i="5"/>
  <c r="G171" i="5" s="1"/>
  <c r="J175" i="5"/>
  <c r="G175" i="5" s="1"/>
  <c r="J168" i="5"/>
  <c r="G168" i="5" s="1"/>
  <c r="J172" i="5"/>
  <c r="G172" i="5" s="1"/>
  <c r="J164" i="5"/>
  <c r="G164" i="5" s="1"/>
  <c r="J165" i="5"/>
  <c r="G165" i="5" s="1"/>
  <c r="J169" i="5"/>
  <c r="G169" i="5" s="1"/>
  <c r="J173" i="5"/>
  <c r="G173" i="5" s="1"/>
  <c r="J830" i="3"/>
  <c r="G830" i="3" s="1"/>
  <c r="J826" i="3"/>
  <c r="G826" i="3" s="1"/>
  <c r="J827" i="3"/>
  <c r="G827" i="3" s="1"/>
  <c r="J829" i="3"/>
  <c r="G829" i="3" s="1"/>
  <c r="J825" i="3"/>
  <c r="G825" i="3" s="1"/>
  <c r="J828" i="3"/>
  <c r="G828" i="3" s="1"/>
  <c r="J814" i="3"/>
  <c r="G814" i="3" s="1"/>
  <c r="J818" i="3"/>
  <c r="G818" i="3" s="1"/>
  <c r="J822" i="3"/>
  <c r="G822" i="3" s="1"/>
  <c r="J815" i="3"/>
  <c r="G815" i="3" s="1"/>
  <c r="J819" i="3"/>
  <c r="G819" i="3" s="1"/>
  <c r="J823" i="3"/>
  <c r="G823" i="3" s="1"/>
  <c r="J816" i="3"/>
  <c r="G816" i="3" s="1"/>
  <c r="J820" i="3"/>
  <c r="G820" i="3" s="1"/>
  <c r="J824" i="3"/>
  <c r="G824" i="3" s="1"/>
  <c r="J817" i="3"/>
  <c r="G817" i="3" s="1"/>
  <c r="J821" i="3"/>
  <c r="G821" i="3" s="1"/>
  <c r="J813" i="3"/>
  <c r="G813" i="3" s="1"/>
  <c r="J802" i="3"/>
  <c r="G802" i="3" s="1"/>
  <c r="J806" i="3"/>
  <c r="G806" i="3" s="1"/>
  <c r="J810" i="3"/>
  <c r="G810" i="3" s="1"/>
  <c r="J803" i="3"/>
  <c r="G803" i="3" s="1"/>
  <c r="J807" i="3"/>
  <c r="G807" i="3" s="1"/>
  <c r="J811" i="3"/>
  <c r="G811" i="3" s="1"/>
  <c r="J804" i="3"/>
  <c r="G804" i="3" s="1"/>
  <c r="J808" i="3"/>
  <c r="G808" i="3" s="1"/>
  <c r="J812" i="3"/>
  <c r="G812" i="3" s="1"/>
  <c r="J805" i="3"/>
  <c r="G805" i="3" s="1"/>
  <c r="J809" i="3"/>
  <c r="G809" i="3" s="1"/>
  <c r="J801" i="3"/>
  <c r="G801" i="3" s="1"/>
  <c r="J792" i="3"/>
  <c r="G792" i="3" s="1"/>
  <c r="J796" i="3"/>
  <c r="G796" i="3" s="1"/>
  <c r="J800" i="3"/>
  <c r="G800" i="3" s="1"/>
  <c r="J793" i="3"/>
  <c r="G793" i="3" s="1"/>
  <c r="J797" i="3"/>
  <c r="G797" i="3" s="1"/>
  <c r="J791" i="3"/>
  <c r="G791" i="3" s="1"/>
  <c r="J794" i="3"/>
  <c r="G794" i="3" s="1"/>
  <c r="J798" i="3"/>
  <c r="G798" i="3" s="1"/>
  <c r="J795" i="3"/>
  <c r="G795" i="3" s="1"/>
  <c r="J799" i="3"/>
  <c r="G799" i="3" s="1"/>
  <c r="J790" i="3"/>
  <c r="G790" i="3" s="1"/>
  <c r="J789" i="3"/>
  <c r="G789" i="3" s="1"/>
  <c r="J784" i="3"/>
  <c r="G784" i="3" s="1"/>
  <c r="J788" i="3"/>
  <c r="G788" i="3" s="1"/>
  <c r="J785" i="3"/>
  <c r="G785" i="3" s="1"/>
  <c r="J783" i="3"/>
  <c r="G783" i="3" s="1"/>
  <c r="J786" i="3"/>
  <c r="G786" i="3" s="1"/>
  <c r="J787" i="3"/>
  <c r="G787" i="3" s="1"/>
  <c r="J772" i="3"/>
  <c r="G772" i="3" s="1"/>
  <c r="J776" i="3"/>
  <c r="G776" i="3" s="1"/>
  <c r="J780" i="3"/>
  <c r="G780" i="3" s="1"/>
  <c r="J778" i="3"/>
  <c r="G778" i="3" s="1"/>
  <c r="J782" i="3"/>
  <c r="G782" i="3" s="1"/>
  <c r="J773" i="3"/>
  <c r="G773" i="3" s="1"/>
  <c r="J777" i="3"/>
  <c r="G777" i="3" s="1"/>
  <c r="J781" i="3"/>
  <c r="G781" i="3" s="1"/>
  <c r="J774" i="3"/>
  <c r="G774" i="3" s="1"/>
  <c r="J775" i="3"/>
  <c r="G775" i="3" s="1"/>
  <c r="J779" i="3"/>
  <c r="G779" i="3" s="1"/>
  <c r="J771" i="3"/>
  <c r="G771" i="3" s="1"/>
  <c r="J760" i="3"/>
  <c r="G760" i="3" s="1"/>
  <c r="J764" i="3"/>
  <c r="G764" i="3" s="1"/>
  <c r="J768" i="3"/>
  <c r="G768" i="3" s="1"/>
  <c r="J761" i="3"/>
  <c r="G761" i="3" s="1"/>
  <c r="J765" i="3"/>
  <c r="G765" i="3" s="1"/>
  <c r="J769" i="3"/>
  <c r="G769" i="3" s="1"/>
  <c r="J762" i="3"/>
  <c r="G762" i="3" s="1"/>
  <c r="J766" i="3"/>
  <c r="G766" i="3" s="1"/>
  <c r="J770" i="3"/>
  <c r="G770" i="3" s="1"/>
  <c r="J763" i="3"/>
  <c r="G763" i="3" s="1"/>
  <c r="J767" i="3"/>
  <c r="G767" i="3" s="1"/>
  <c r="J759" i="3"/>
  <c r="G759" i="3" s="1"/>
  <c r="J749" i="3"/>
  <c r="G749" i="3" s="1"/>
  <c r="J753" i="3"/>
  <c r="G753" i="3" s="1"/>
  <c r="J757" i="3"/>
  <c r="G757" i="3" s="1"/>
  <c r="J750" i="3"/>
  <c r="G750" i="3" s="1"/>
  <c r="J754" i="3"/>
  <c r="G754" i="3" s="1"/>
  <c r="J758" i="3"/>
  <c r="G758" i="3" s="1"/>
  <c r="J751" i="3"/>
  <c r="G751" i="3" s="1"/>
  <c r="J755" i="3"/>
  <c r="G755" i="3" s="1"/>
  <c r="J748" i="3"/>
  <c r="G748" i="3" s="1"/>
  <c r="J752" i="3"/>
  <c r="G752" i="3" s="1"/>
  <c r="J756" i="3"/>
  <c r="G756" i="3" s="1"/>
  <c r="J740" i="3"/>
  <c r="G740" i="3" s="1"/>
  <c r="J744" i="3"/>
  <c r="G744" i="3" s="1"/>
  <c r="J739" i="3"/>
  <c r="G739" i="3" s="1"/>
  <c r="J741" i="3"/>
  <c r="G741" i="3" s="1"/>
  <c r="J745" i="3"/>
  <c r="G745" i="3" s="1"/>
  <c r="J742" i="3"/>
  <c r="G742" i="3" s="1"/>
  <c r="J746" i="3"/>
  <c r="G746" i="3" s="1"/>
  <c r="J747" i="3"/>
  <c r="G747" i="3" s="1"/>
  <c r="J743" i="3"/>
  <c r="G743" i="3" s="1"/>
  <c r="J734" i="3"/>
  <c r="G734" i="3" s="1"/>
  <c r="J738" i="3"/>
  <c r="G738" i="3" s="1"/>
  <c r="J735" i="3"/>
  <c r="G735" i="3" s="1"/>
  <c r="J733" i="3"/>
  <c r="G733" i="3" s="1"/>
  <c r="J736" i="3"/>
  <c r="G736" i="3" s="1"/>
  <c r="J737" i="3"/>
  <c r="G737" i="3" s="1"/>
  <c r="J722" i="3"/>
  <c r="G722" i="3" s="1"/>
  <c r="J726" i="3"/>
  <c r="G726" i="3" s="1"/>
  <c r="J730" i="3"/>
  <c r="G730" i="3" s="1"/>
  <c r="J721" i="3"/>
  <c r="G721" i="3" s="1"/>
  <c r="J723" i="3"/>
  <c r="G723" i="3" s="1"/>
  <c r="J727" i="3"/>
  <c r="G727" i="3" s="1"/>
  <c r="J731" i="3"/>
  <c r="G731" i="3" s="1"/>
  <c r="J724" i="3"/>
  <c r="G724" i="3" s="1"/>
  <c r="J728" i="3"/>
  <c r="G728" i="3" s="1"/>
  <c r="J732" i="3"/>
  <c r="G732" i="3" s="1"/>
  <c r="J729" i="3"/>
  <c r="G729" i="3" s="1"/>
  <c r="J725" i="3"/>
  <c r="G725" i="3" s="1"/>
  <c r="J710" i="3"/>
  <c r="G710" i="3" s="1"/>
  <c r="J714" i="3"/>
  <c r="G714" i="3" s="1"/>
  <c r="J718" i="3"/>
  <c r="G718" i="3" s="1"/>
  <c r="J716" i="3"/>
  <c r="G716" i="3" s="1"/>
  <c r="J720" i="3"/>
  <c r="G720" i="3" s="1"/>
  <c r="J711" i="3"/>
  <c r="G711" i="3" s="1"/>
  <c r="J715" i="3"/>
  <c r="G715" i="3" s="1"/>
  <c r="J719" i="3"/>
  <c r="G719" i="3" s="1"/>
  <c r="J712" i="3"/>
  <c r="G712" i="3" s="1"/>
  <c r="J713" i="3"/>
  <c r="G713" i="3" s="1"/>
  <c r="J717" i="3"/>
  <c r="G717" i="3" s="1"/>
  <c r="J709" i="3"/>
  <c r="G709" i="3" s="1"/>
  <c r="J698" i="3"/>
  <c r="G698" i="3" s="1"/>
  <c r="J702" i="3"/>
  <c r="G702" i="3" s="1"/>
  <c r="J706" i="3"/>
  <c r="G706" i="3" s="1"/>
  <c r="J699" i="3"/>
  <c r="G699" i="3" s="1"/>
  <c r="J703" i="3"/>
  <c r="G703" i="3" s="1"/>
  <c r="J707" i="3"/>
  <c r="G707" i="3" s="1"/>
  <c r="J704" i="3"/>
  <c r="G704" i="3" s="1"/>
  <c r="J697" i="3"/>
  <c r="G697" i="3" s="1"/>
  <c r="J708" i="3"/>
  <c r="G708" i="3" s="1"/>
  <c r="J700" i="3"/>
  <c r="G700" i="3" s="1"/>
  <c r="J701" i="3"/>
  <c r="G701" i="3" s="1"/>
  <c r="J705" i="3"/>
  <c r="G705" i="3" s="1"/>
  <c r="J688" i="3"/>
  <c r="G688" i="3" s="1"/>
  <c r="J692" i="3"/>
  <c r="G692" i="3" s="1"/>
  <c r="J696" i="3"/>
  <c r="G696" i="3" s="1"/>
  <c r="J694" i="3"/>
  <c r="G694" i="3" s="1"/>
  <c r="J689" i="3"/>
  <c r="G689" i="3" s="1"/>
  <c r="J693" i="3"/>
  <c r="G693" i="3" s="1"/>
  <c r="J687" i="3"/>
  <c r="G687" i="3" s="1"/>
  <c r="J690" i="3"/>
  <c r="G690" i="3" s="1"/>
  <c r="J691" i="3"/>
  <c r="G691" i="3" s="1"/>
  <c r="J695" i="3"/>
  <c r="G695" i="3" s="1"/>
  <c r="J682" i="3"/>
  <c r="G682" i="3" s="1"/>
  <c r="J686" i="3"/>
  <c r="G686" i="3" s="1"/>
  <c r="J685" i="3"/>
  <c r="G685" i="3" s="1"/>
  <c r="J683" i="3"/>
  <c r="G683" i="3" s="1"/>
  <c r="J681" i="3"/>
  <c r="G681" i="3" s="1"/>
  <c r="J684" i="3"/>
  <c r="G684" i="3" s="1"/>
  <c r="J670" i="3"/>
  <c r="G670" i="3" s="1"/>
  <c r="J674" i="3"/>
  <c r="G674" i="3" s="1"/>
  <c r="J678" i="3"/>
  <c r="G678" i="3" s="1"/>
  <c r="J671" i="3"/>
  <c r="G671" i="3" s="1"/>
  <c r="J675" i="3"/>
  <c r="G675" i="3" s="1"/>
  <c r="J679" i="3"/>
  <c r="G679" i="3" s="1"/>
  <c r="J672" i="3"/>
  <c r="G672" i="3" s="1"/>
  <c r="J676" i="3"/>
  <c r="G676" i="3" s="1"/>
  <c r="J680" i="3"/>
  <c r="G680" i="3" s="1"/>
  <c r="J673" i="3"/>
  <c r="G673" i="3" s="1"/>
  <c r="J677" i="3"/>
  <c r="G677" i="3" s="1"/>
  <c r="J669" i="3"/>
  <c r="G669" i="3" s="1"/>
  <c r="J658" i="3"/>
  <c r="G658" i="3" s="1"/>
  <c r="J662" i="3"/>
  <c r="G662" i="3" s="1"/>
  <c r="J666" i="3"/>
  <c r="G666" i="3" s="1"/>
  <c r="J659" i="3"/>
  <c r="G659" i="3" s="1"/>
  <c r="J663" i="3"/>
  <c r="G663" i="3" s="1"/>
  <c r="J667" i="3"/>
  <c r="G667" i="3" s="1"/>
  <c r="J668" i="3"/>
  <c r="G668" i="3" s="1"/>
  <c r="J660" i="3"/>
  <c r="G660" i="3" s="1"/>
  <c r="J664" i="3"/>
  <c r="G664" i="3" s="1"/>
  <c r="J661" i="3"/>
  <c r="G661" i="3" s="1"/>
  <c r="J665" i="3"/>
  <c r="G665" i="3" s="1"/>
  <c r="J657" i="3"/>
  <c r="G657" i="3" s="1"/>
  <c r="J646" i="3"/>
  <c r="G646" i="3" s="1"/>
  <c r="J650" i="3"/>
  <c r="G650" i="3" s="1"/>
  <c r="J654" i="3"/>
  <c r="G654" i="3" s="1"/>
  <c r="J647" i="3"/>
  <c r="G647" i="3" s="1"/>
  <c r="J651" i="3"/>
  <c r="G651" i="3" s="1"/>
  <c r="J655" i="3"/>
  <c r="G655" i="3" s="1"/>
  <c r="J652" i="3"/>
  <c r="G652" i="3" s="1"/>
  <c r="J656" i="3"/>
  <c r="G656" i="3" s="1"/>
  <c r="J648" i="3"/>
  <c r="G648" i="3" s="1"/>
  <c r="J649" i="3"/>
  <c r="G649" i="3" s="1"/>
  <c r="J653" i="3"/>
  <c r="G653" i="3" s="1"/>
  <c r="J645" i="3"/>
  <c r="G645" i="3" s="1"/>
  <c r="J633" i="3"/>
  <c r="G633" i="3" s="1"/>
  <c r="J634" i="3"/>
  <c r="G634" i="3" s="1"/>
  <c r="J638" i="3"/>
  <c r="G638" i="3" s="1"/>
  <c r="J642" i="3"/>
  <c r="G642" i="3" s="1"/>
  <c r="J635" i="3"/>
  <c r="G635" i="3" s="1"/>
  <c r="J639" i="3"/>
  <c r="G639" i="3" s="1"/>
  <c r="J643" i="3"/>
  <c r="G643" i="3" s="1"/>
  <c r="J640" i="3"/>
  <c r="G640" i="3" s="1"/>
  <c r="J644" i="3"/>
  <c r="G644" i="3" s="1"/>
  <c r="J636" i="3"/>
  <c r="G636" i="3" s="1"/>
  <c r="J637" i="3"/>
  <c r="G637" i="3" s="1"/>
  <c r="J641" i="3"/>
  <c r="G641" i="3" s="1"/>
  <c r="J628" i="3"/>
  <c r="G628" i="3" s="1"/>
  <c r="J632" i="3"/>
  <c r="G632" i="3" s="1"/>
  <c r="J629" i="3"/>
  <c r="G629" i="3" s="1"/>
  <c r="J627" i="3"/>
  <c r="G627" i="3" s="1"/>
  <c r="J630" i="3"/>
  <c r="G630" i="3" s="1"/>
  <c r="J631" i="3"/>
  <c r="G631" i="3" s="1"/>
  <c r="J616" i="3"/>
  <c r="G616" i="3" s="1"/>
  <c r="J620" i="3"/>
  <c r="G620" i="3" s="1"/>
  <c r="J624" i="3"/>
  <c r="G624" i="3" s="1"/>
  <c r="J617" i="3"/>
  <c r="G617" i="3" s="1"/>
  <c r="J621" i="3"/>
  <c r="G621" i="3" s="1"/>
  <c r="J625" i="3"/>
  <c r="G625" i="3" s="1"/>
  <c r="J622" i="3"/>
  <c r="G622" i="3" s="1"/>
  <c r="J626" i="3"/>
  <c r="G626" i="3" s="1"/>
  <c r="J618" i="3"/>
  <c r="G618" i="3" s="1"/>
  <c r="J619" i="3"/>
  <c r="G619" i="3" s="1"/>
  <c r="J623" i="3"/>
  <c r="G623" i="3" s="1"/>
  <c r="J615" i="3"/>
  <c r="G615" i="3" s="1"/>
  <c r="J604" i="3"/>
  <c r="G604" i="3" s="1"/>
  <c r="J608" i="3"/>
  <c r="G608" i="3" s="1"/>
  <c r="J612" i="3"/>
  <c r="G612" i="3" s="1"/>
  <c r="J614" i="3"/>
  <c r="G614" i="3" s="1"/>
  <c r="J605" i="3"/>
  <c r="G605" i="3" s="1"/>
  <c r="J609" i="3"/>
  <c r="G609" i="3" s="1"/>
  <c r="J613" i="3"/>
  <c r="G613" i="3" s="1"/>
  <c r="J606" i="3"/>
  <c r="G606" i="3" s="1"/>
  <c r="J610" i="3"/>
  <c r="G610" i="3" s="1"/>
  <c r="J607" i="3"/>
  <c r="G607" i="3" s="1"/>
  <c r="J611" i="3"/>
  <c r="G611" i="3" s="1"/>
  <c r="J603" i="3"/>
  <c r="G603" i="3" s="1"/>
  <c r="J592" i="3"/>
  <c r="G592" i="3" s="1"/>
  <c r="J596" i="3"/>
  <c r="G596" i="3" s="1"/>
  <c r="J600" i="3"/>
  <c r="G600" i="3" s="1"/>
  <c r="J593" i="3"/>
  <c r="G593" i="3" s="1"/>
  <c r="J597" i="3"/>
  <c r="G597" i="3" s="1"/>
  <c r="J601" i="3"/>
  <c r="G601" i="3" s="1"/>
  <c r="J602" i="3"/>
  <c r="G602" i="3" s="1"/>
  <c r="J594" i="3"/>
  <c r="G594" i="3" s="1"/>
  <c r="J598" i="3"/>
  <c r="G598" i="3" s="1"/>
  <c r="J595" i="3"/>
  <c r="G595" i="3" s="1"/>
  <c r="J599" i="3"/>
  <c r="G599" i="3" s="1"/>
  <c r="J591" i="3"/>
  <c r="G591" i="3" s="1"/>
  <c r="J581" i="3"/>
  <c r="G581" i="3" s="1"/>
  <c r="J582" i="3"/>
  <c r="G582" i="3" s="1"/>
  <c r="J586" i="3"/>
  <c r="G586" i="3" s="1"/>
  <c r="J590" i="3"/>
  <c r="G590" i="3" s="1"/>
  <c r="J588" i="3"/>
  <c r="G588" i="3" s="1"/>
  <c r="J583" i="3"/>
  <c r="G583" i="3" s="1"/>
  <c r="J587" i="3"/>
  <c r="G587" i="3" s="1"/>
  <c r="J584" i="3"/>
  <c r="G584" i="3" s="1"/>
  <c r="J585" i="3"/>
  <c r="G585" i="3" s="1"/>
  <c r="J589" i="3"/>
  <c r="G589" i="3" s="1"/>
  <c r="J235" i="6"/>
  <c r="P235" i="6" s="1"/>
  <c r="J231" i="6"/>
  <c r="P231" i="6" s="1"/>
  <c r="E19" i="10" s="1"/>
  <c r="J234" i="6"/>
  <c r="P234" i="6" s="1"/>
  <c r="J233" i="6"/>
  <c r="P233" i="6" s="1"/>
  <c r="J232" i="6"/>
  <c r="P232" i="6" s="1"/>
  <c r="J230" i="6"/>
  <c r="P230" i="6" s="1"/>
  <c r="J226" i="6"/>
  <c r="P226" i="6" s="1"/>
  <c r="J222" i="6"/>
  <c r="P222" i="6" s="1"/>
  <c r="J223" i="6"/>
  <c r="P223" i="6" s="1"/>
  <c r="J229" i="6"/>
  <c r="P229" i="6" s="1"/>
  <c r="J225" i="6"/>
  <c r="P225" i="6" s="1"/>
  <c r="J221" i="6"/>
  <c r="P221" i="6" s="1"/>
  <c r="J228" i="6"/>
  <c r="P228" i="6" s="1"/>
  <c r="J224" i="6"/>
  <c r="P224" i="6" s="1"/>
  <c r="J220" i="6"/>
  <c r="P220" i="6" s="1"/>
  <c r="J227" i="6"/>
  <c r="P227" i="6" s="1"/>
  <c r="J219" i="6"/>
  <c r="P219" i="6" s="1"/>
  <c r="J218" i="6"/>
  <c r="P218" i="6" s="1"/>
  <c r="J214" i="6"/>
  <c r="P214" i="6" s="1"/>
  <c r="J210" i="6"/>
  <c r="P210" i="6" s="1"/>
  <c r="J217" i="6"/>
  <c r="P217" i="6" s="1"/>
  <c r="J213" i="6"/>
  <c r="P213" i="6" s="1"/>
  <c r="J209" i="6"/>
  <c r="P209" i="6" s="1"/>
  <c r="J216" i="6"/>
  <c r="P216" i="6" s="1"/>
  <c r="J212" i="6"/>
  <c r="P212" i="6" s="1"/>
  <c r="J208" i="6"/>
  <c r="P208" i="6" s="1"/>
  <c r="J215" i="6"/>
  <c r="P215" i="6" s="1"/>
  <c r="J211" i="6"/>
  <c r="P211" i="6" s="1"/>
  <c r="J207" i="6"/>
  <c r="P207" i="6" s="1"/>
  <c r="J196" i="6"/>
  <c r="P196" i="6" s="1"/>
  <c r="J200" i="6"/>
  <c r="P200" i="6" s="1"/>
  <c r="J204" i="6"/>
  <c r="P204" i="6" s="1"/>
  <c r="J197" i="6"/>
  <c r="P197" i="6" s="1"/>
  <c r="J201" i="6"/>
  <c r="P201" i="6" s="1"/>
  <c r="J205" i="6"/>
  <c r="P205" i="6" s="1"/>
  <c r="J198" i="6"/>
  <c r="P198" i="6" s="1"/>
  <c r="J202" i="6"/>
  <c r="P202" i="6" s="1"/>
  <c r="J206" i="6"/>
  <c r="P206" i="6" s="1"/>
  <c r="J199" i="6"/>
  <c r="P199" i="6" s="1"/>
  <c r="J203" i="6"/>
  <c r="P203" i="6" s="1"/>
  <c r="J195" i="6"/>
  <c r="P195" i="6" s="1"/>
  <c r="J183" i="6"/>
  <c r="P183" i="6" s="1"/>
  <c r="J184" i="6"/>
  <c r="P184" i="6" s="1"/>
  <c r="J188" i="6"/>
  <c r="P188" i="6" s="1"/>
  <c r="J192" i="6"/>
  <c r="P192" i="6" s="1"/>
  <c r="J185" i="6"/>
  <c r="P185" i="6" s="1"/>
  <c r="J189" i="6"/>
  <c r="P189" i="6" s="1"/>
  <c r="J193" i="6"/>
  <c r="P193" i="6" s="1"/>
  <c r="J186" i="6"/>
  <c r="P186" i="6" s="1"/>
  <c r="J190" i="6"/>
  <c r="P190" i="6" s="1"/>
  <c r="J194" i="6"/>
  <c r="P194" i="6" s="1"/>
  <c r="J187" i="6"/>
  <c r="P187" i="6" s="1"/>
  <c r="J191" i="6"/>
  <c r="P191" i="6" s="1"/>
  <c r="J182" i="6"/>
  <c r="G182" i="6" s="1"/>
  <c r="J178" i="6"/>
  <c r="G178" i="6" s="1"/>
  <c r="J181" i="6"/>
  <c r="G181" i="6" s="1"/>
  <c r="J180" i="6"/>
  <c r="G180" i="6" s="1"/>
  <c r="J179" i="6"/>
  <c r="G179" i="6" s="1"/>
  <c r="J177" i="6"/>
  <c r="G177" i="6" s="1"/>
  <c r="J173" i="6"/>
  <c r="G173" i="6" s="1"/>
  <c r="J169" i="6"/>
  <c r="G169" i="6" s="1"/>
  <c r="J176" i="6"/>
  <c r="G176" i="6" s="1"/>
  <c r="J172" i="6"/>
  <c r="G172" i="6" s="1"/>
  <c r="J168" i="6"/>
  <c r="G168" i="6" s="1"/>
  <c r="J175" i="6"/>
  <c r="G175" i="6" s="1"/>
  <c r="J171" i="6"/>
  <c r="G171" i="6" s="1"/>
  <c r="J167" i="6"/>
  <c r="G167" i="6" s="1"/>
  <c r="J174" i="6"/>
  <c r="G174" i="6" s="1"/>
  <c r="J170" i="6"/>
  <c r="G170" i="6" s="1"/>
  <c r="J166" i="6"/>
  <c r="G166" i="6" s="1"/>
  <c r="J165" i="6"/>
  <c r="G165" i="6" s="1"/>
  <c r="J161" i="6"/>
  <c r="G161" i="6" s="1"/>
  <c r="J164" i="6"/>
  <c r="G164" i="6" s="1"/>
  <c r="J160" i="6"/>
  <c r="G160" i="6" s="1"/>
  <c r="J163" i="6"/>
  <c r="G163" i="6" s="1"/>
  <c r="J159" i="6"/>
  <c r="G159" i="6" s="1"/>
  <c r="J162" i="6"/>
  <c r="G162" i="6" s="1"/>
  <c r="J158" i="6"/>
  <c r="G158" i="6" s="1"/>
  <c r="J159" i="5"/>
  <c r="G159" i="5" s="1"/>
  <c r="J163" i="5"/>
  <c r="G163" i="5" s="1"/>
  <c r="J160" i="5"/>
  <c r="G160" i="5" s="1"/>
  <c r="J158" i="5"/>
  <c r="G158" i="5" s="1"/>
  <c r="J162" i="5"/>
  <c r="G162" i="5" s="1"/>
  <c r="J161" i="5"/>
  <c r="G161" i="5" s="1"/>
  <c r="J147" i="5"/>
  <c r="G147" i="5" s="1"/>
  <c r="J151" i="5"/>
  <c r="G151" i="5" s="1"/>
  <c r="J155" i="5"/>
  <c r="G155" i="5" s="1"/>
  <c r="J149" i="5"/>
  <c r="G149" i="5" s="1"/>
  <c r="J153" i="5"/>
  <c r="G153" i="5" s="1"/>
  <c r="J157" i="5"/>
  <c r="G157" i="5" s="1"/>
  <c r="J148" i="5"/>
  <c r="G148" i="5" s="1"/>
  <c r="J152" i="5"/>
  <c r="G152" i="5" s="1"/>
  <c r="J156" i="5"/>
  <c r="G156" i="5" s="1"/>
  <c r="J150" i="5"/>
  <c r="G150" i="5" s="1"/>
  <c r="J154" i="5"/>
  <c r="G154" i="5" s="1"/>
  <c r="J146" i="5"/>
  <c r="G146" i="5" s="1"/>
  <c r="J135" i="5"/>
  <c r="G135" i="5" s="1"/>
  <c r="J139" i="5"/>
  <c r="G139" i="5" s="1"/>
  <c r="J143" i="5"/>
  <c r="G143" i="5" s="1"/>
  <c r="J136" i="5"/>
  <c r="G136" i="5" s="1"/>
  <c r="J140" i="5"/>
  <c r="G140" i="5" s="1"/>
  <c r="J144" i="5"/>
  <c r="G144" i="5" s="1"/>
  <c r="J137" i="5"/>
  <c r="G137" i="5" s="1"/>
  <c r="J141" i="5"/>
  <c r="G141" i="5" s="1"/>
  <c r="J145" i="5"/>
  <c r="G145" i="5" s="1"/>
  <c r="J138" i="5"/>
  <c r="G138" i="5" s="1"/>
  <c r="J142" i="5"/>
  <c r="G142" i="5" s="1"/>
  <c r="J134" i="5"/>
  <c r="G134" i="5" s="1"/>
  <c r="J123" i="5"/>
  <c r="G123" i="5" s="1"/>
  <c r="J127" i="5"/>
  <c r="G127" i="5" s="1"/>
  <c r="J131" i="5"/>
  <c r="G131" i="5" s="1"/>
  <c r="J124" i="5"/>
  <c r="G124" i="5" s="1"/>
  <c r="J128" i="5"/>
  <c r="G128" i="5" s="1"/>
  <c r="J132" i="5"/>
  <c r="G132" i="5" s="1"/>
  <c r="J125" i="5"/>
  <c r="G125" i="5" s="1"/>
  <c r="J133" i="5"/>
  <c r="G133" i="5" s="1"/>
  <c r="J126" i="5"/>
  <c r="G126" i="5" s="1"/>
  <c r="J130" i="5"/>
  <c r="G130" i="5" s="1"/>
  <c r="J122" i="5"/>
  <c r="G122" i="5" s="1"/>
  <c r="J129" i="5"/>
  <c r="G129" i="5" s="1"/>
  <c r="J111" i="5"/>
  <c r="G111" i="5" s="1"/>
  <c r="J115" i="5"/>
  <c r="G115" i="5" s="1"/>
  <c r="J119" i="5"/>
  <c r="G119" i="5" s="1"/>
  <c r="J113" i="5"/>
  <c r="G113" i="5" s="1"/>
  <c r="J117" i="5"/>
  <c r="G117" i="5" s="1"/>
  <c r="J121" i="5"/>
  <c r="G121" i="5" s="1"/>
  <c r="J118" i="5"/>
  <c r="G118" i="5" s="1"/>
  <c r="J112" i="5"/>
  <c r="G112" i="5" s="1"/>
  <c r="J116" i="5"/>
  <c r="G116" i="5" s="1"/>
  <c r="J120" i="5"/>
  <c r="G120" i="5" s="1"/>
  <c r="J114" i="5"/>
  <c r="G114" i="5" s="1"/>
  <c r="J110" i="5"/>
  <c r="G110" i="5" s="1"/>
  <c r="J576" i="3"/>
  <c r="G576" i="3" s="1"/>
  <c r="J580" i="3"/>
  <c r="G580" i="3" s="1"/>
  <c r="J578" i="3"/>
  <c r="G578" i="3" s="1"/>
  <c r="J577" i="3"/>
  <c r="G577" i="3" s="1"/>
  <c r="J575" i="3"/>
  <c r="G575" i="3" s="1"/>
  <c r="J579" i="3"/>
  <c r="G579" i="3" s="1"/>
  <c r="J564" i="3"/>
  <c r="G564" i="3" s="1"/>
  <c r="J568" i="3"/>
  <c r="G568" i="3" s="1"/>
  <c r="J572" i="3"/>
  <c r="G572" i="3" s="1"/>
  <c r="J565" i="3"/>
  <c r="G565" i="3" s="1"/>
  <c r="J569" i="3"/>
  <c r="G569" i="3" s="1"/>
  <c r="J573" i="3"/>
  <c r="G573" i="3" s="1"/>
  <c r="J570" i="3"/>
  <c r="G570" i="3" s="1"/>
  <c r="J574" i="3"/>
  <c r="G574" i="3" s="1"/>
  <c r="J566" i="3"/>
  <c r="G566" i="3" s="1"/>
  <c r="J567" i="3"/>
  <c r="G567" i="3" s="1"/>
  <c r="J571" i="3"/>
  <c r="G571" i="3" s="1"/>
  <c r="J563" i="3"/>
  <c r="G563" i="3" s="1"/>
  <c r="J552" i="3"/>
  <c r="G552" i="3" s="1"/>
  <c r="J556" i="3"/>
  <c r="G556" i="3" s="1"/>
  <c r="J560" i="3"/>
  <c r="G560" i="3" s="1"/>
  <c r="J553" i="3"/>
  <c r="G553" i="3" s="1"/>
  <c r="J557" i="3"/>
  <c r="G557" i="3" s="1"/>
  <c r="J561" i="3"/>
  <c r="G561" i="3" s="1"/>
  <c r="J554" i="3"/>
  <c r="G554" i="3" s="1"/>
  <c r="J558" i="3"/>
  <c r="G558" i="3" s="1"/>
  <c r="J562" i="3"/>
  <c r="G562" i="3" s="1"/>
  <c r="J555" i="3"/>
  <c r="G555" i="3" s="1"/>
  <c r="J559" i="3"/>
  <c r="G559" i="3" s="1"/>
  <c r="J551" i="3"/>
  <c r="G551" i="3" s="1"/>
  <c r="J540" i="3"/>
  <c r="G540" i="3" s="1"/>
  <c r="J544" i="3"/>
  <c r="G544" i="3" s="1"/>
  <c r="J548" i="3"/>
  <c r="G548" i="3" s="1"/>
  <c r="J541" i="3"/>
  <c r="G541" i="3" s="1"/>
  <c r="J545" i="3"/>
  <c r="G545" i="3" s="1"/>
  <c r="J549" i="3"/>
  <c r="G549" i="3" s="1"/>
  <c r="J546" i="3"/>
  <c r="G546" i="3" s="1"/>
  <c r="J550" i="3"/>
  <c r="G550" i="3" s="1"/>
  <c r="J542" i="3"/>
  <c r="G542" i="3" s="1"/>
  <c r="J543" i="3"/>
  <c r="G543" i="3" s="1"/>
  <c r="J547" i="3"/>
  <c r="G547" i="3" s="1"/>
  <c r="J539" i="3"/>
  <c r="G539" i="3" s="1"/>
  <c r="J529" i="3"/>
  <c r="G529" i="3" s="1"/>
  <c r="J530" i="3"/>
  <c r="G530" i="3" s="1"/>
  <c r="J534" i="3"/>
  <c r="G534" i="3" s="1"/>
  <c r="J538" i="3"/>
  <c r="G538" i="3" s="1"/>
  <c r="J531" i="3"/>
  <c r="G531" i="3" s="1"/>
  <c r="J535" i="3"/>
  <c r="G535" i="3" s="1"/>
  <c r="J536" i="3"/>
  <c r="G536" i="3" s="1"/>
  <c r="J532" i="3"/>
  <c r="G532" i="3" s="1"/>
  <c r="J533" i="3"/>
  <c r="G533" i="3" s="1"/>
  <c r="J537" i="3"/>
  <c r="G537" i="3" s="1"/>
  <c r="J524" i="3"/>
  <c r="G524" i="3" s="1"/>
  <c r="J528" i="3"/>
  <c r="G528" i="3" s="1"/>
  <c r="J525" i="3"/>
  <c r="G525" i="3" s="1"/>
  <c r="J523" i="3"/>
  <c r="G523" i="3" s="1"/>
  <c r="J526" i="3"/>
  <c r="G526" i="3" s="1"/>
  <c r="J527" i="3"/>
  <c r="G527" i="3" s="1"/>
  <c r="J512" i="3"/>
  <c r="G512" i="3" s="1"/>
  <c r="J516" i="3"/>
  <c r="G516" i="3" s="1"/>
  <c r="J520" i="3"/>
  <c r="G520" i="3" s="1"/>
  <c r="J513" i="3"/>
  <c r="G513" i="3" s="1"/>
  <c r="J517" i="3"/>
  <c r="G517" i="3" s="1"/>
  <c r="J521" i="3"/>
  <c r="G521" i="3" s="1"/>
  <c r="J522" i="3"/>
  <c r="G522" i="3" s="1"/>
  <c r="J514" i="3"/>
  <c r="G514" i="3" s="1"/>
  <c r="J518" i="3"/>
  <c r="G518" i="3" s="1"/>
  <c r="J515" i="3"/>
  <c r="G515" i="3" s="1"/>
  <c r="J519" i="3"/>
  <c r="G519" i="3" s="1"/>
  <c r="J511" i="3"/>
  <c r="G511" i="3" s="1"/>
  <c r="J500" i="3"/>
  <c r="G500" i="3" s="1"/>
  <c r="J504" i="3"/>
  <c r="G504" i="3" s="1"/>
  <c r="J508" i="3"/>
  <c r="G508" i="3" s="1"/>
  <c r="J501" i="3"/>
  <c r="G501" i="3" s="1"/>
  <c r="J505" i="3"/>
  <c r="G505" i="3" s="1"/>
  <c r="J509" i="3"/>
  <c r="G509" i="3" s="1"/>
  <c r="J502" i="3"/>
  <c r="G502" i="3" s="1"/>
  <c r="J506" i="3"/>
  <c r="G506" i="3" s="1"/>
  <c r="J510" i="3"/>
  <c r="G510" i="3" s="1"/>
  <c r="J503" i="3"/>
  <c r="G503" i="3" s="1"/>
  <c r="J507" i="3"/>
  <c r="G507" i="3" s="1"/>
  <c r="J499" i="3"/>
  <c r="G499" i="3" s="1"/>
  <c r="J488" i="3"/>
  <c r="G488" i="3" s="1"/>
  <c r="J492" i="3"/>
  <c r="G492" i="3" s="1"/>
  <c r="J496" i="3"/>
  <c r="G496" i="3" s="1"/>
  <c r="J489" i="3"/>
  <c r="G489" i="3" s="1"/>
  <c r="J493" i="3"/>
  <c r="G493" i="3" s="1"/>
  <c r="J497" i="3"/>
  <c r="G497" i="3" s="1"/>
  <c r="J494" i="3"/>
  <c r="G494" i="3" s="1"/>
  <c r="J498" i="3"/>
  <c r="G498" i="3" s="1"/>
  <c r="J490" i="3"/>
  <c r="G490" i="3" s="1"/>
  <c r="J491" i="3"/>
  <c r="G491" i="3" s="1"/>
  <c r="J495" i="3"/>
  <c r="G495" i="3" s="1"/>
  <c r="J487" i="3"/>
  <c r="G487" i="3" s="1"/>
  <c r="J475" i="3"/>
  <c r="G475" i="3" s="1"/>
  <c r="J476" i="3"/>
  <c r="G476" i="3" s="1"/>
  <c r="J480" i="3"/>
  <c r="G480" i="3" s="1"/>
  <c r="J484" i="3"/>
  <c r="G484" i="3" s="1"/>
  <c r="J477" i="3"/>
  <c r="G477" i="3" s="1"/>
  <c r="J481" i="3"/>
  <c r="G481" i="3" s="1"/>
  <c r="J485" i="3"/>
  <c r="G485" i="3" s="1"/>
  <c r="J478" i="3"/>
  <c r="G478" i="3" s="1"/>
  <c r="J482" i="3"/>
  <c r="G482" i="3" s="1"/>
  <c r="J486" i="3"/>
  <c r="G486" i="3" s="1"/>
  <c r="J479" i="3"/>
  <c r="G479" i="3" s="1"/>
  <c r="J483" i="3"/>
  <c r="G483" i="3" s="1"/>
  <c r="J470" i="3"/>
  <c r="G470" i="3" s="1"/>
  <c r="J474" i="3"/>
  <c r="G474" i="3" s="1"/>
  <c r="J471" i="3"/>
  <c r="G471" i="3" s="1"/>
  <c r="J469" i="3"/>
  <c r="G469" i="3" s="1"/>
  <c r="J472" i="3"/>
  <c r="G472" i="3" s="1"/>
  <c r="J473" i="3"/>
  <c r="G473" i="3" s="1"/>
  <c r="J458" i="3"/>
  <c r="G458" i="3" s="1"/>
  <c r="J462" i="3"/>
  <c r="G462" i="3" s="1"/>
  <c r="J466" i="3"/>
  <c r="G466" i="3" s="1"/>
  <c r="J459" i="3"/>
  <c r="G459" i="3" s="1"/>
  <c r="J463" i="3"/>
  <c r="G463" i="3" s="1"/>
  <c r="J467" i="3"/>
  <c r="G467" i="3" s="1"/>
  <c r="J468" i="3"/>
  <c r="G468" i="3" s="1"/>
  <c r="J460" i="3"/>
  <c r="G460" i="3" s="1"/>
  <c r="J464" i="3"/>
  <c r="G464" i="3" s="1"/>
  <c r="J461" i="3"/>
  <c r="G461" i="3" s="1"/>
  <c r="J465" i="3"/>
  <c r="G465" i="3" s="1"/>
  <c r="J457" i="3"/>
  <c r="G457" i="3" s="1"/>
  <c r="J446" i="3"/>
  <c r="G446" i="3" s="1"/>
  <c r="J450" i="3"/>
  <c r="G450" i="3" s="1"/>
  <c r="J454" i="3"/>
  <c r="G454" i="3" s="1"/>
  <c r="J447" i="3"/>
  <c r="G447" i="3" s="1"/>
  <c r="J451" i="3"/>
  <c r="G451" i="3" s="1"/>
  <c r="J455" i="3"/>
  <c r="G455" i="3" s="1"/>
  <c r="J452" i="3"/>
  <c r="G452" i="3" s="1"/>
  <c r="J456" i="3"/>
  <c r="G456" i="3" s="1"/>
  <c r="J448" i="3"/>
  <c r="G448" i="3" s="1"/>
  <c r="J449" i="3"/>
  <c r="G449" i="3" s="1"/>
  <c r="J453" i="3"/>
  <c r="G453" i="3" s="1"/>
  <c r="J445" i="3"/>
  <c r="G445" i="3" s="1"/>
  <c r="J434" i="3"/>
  <c r="G434" i="3" s="1"/>
  <c r="J438" i="3"/>
  <c r="G438" i="3" s="1"/>
  <c r="J442" i="3"/>
  <c r="G442" i="3" s="1"/>
  <c r="J435" i="3"/>
  <c r="G435" i="3" s="1"/>
  <c r="J439" i="3"/>
  <c r="G439" i="3" s="1"/>
  <c r="J443" i="3"/>
  <c r="G443" i="3" s="1"/>
  <c r="J436" i="3"/>
  <c r="G436" i="3" s="1"/>
  <c r="J440" i="3"/>
  <c r="G440" i="3" s="1"/>
  <c r="J444" i="3"/>
  <c r="G444" i="3" s="1"/>
  <c r="J437" i="3"/>
  <c r="G437" i="3" s="1"/>
  <c r="J441" i="3"/>
  <c r="G441" i="3" s="1"/>
  <c r="J433" i="3"/>
  <c r="G433" i="3" s="1"/>
  <c r="J422" i="3"/>
  <c r="G422" i="3" s="1"/>
  <c r="J426" i="3"/>
  <c r="G426" i="3" s="1"/>
  <c r="J430" i="3"/>
  <c r="G430" i="3" s="1"/>
  <c r="J432" i="3"/>
  <c r="G432" i="3" s="1"/>
  <c r="J423" i="3"/>
  <c r="G423" i="3" s="1"/>
  <c r="J427" i="3"/>
  <c r="G427" i="3" s="1"/>
  <c r="J431" i="3"/>
  <c r="G431" i="3" s="1"/>
  <c r="J424" i="3"/>
  <c r="G424" i="3" s="1"/>
  <c r="J428" i="3"/>
  <c r="G428" i="3" s="1"/>
  <c r="J425" i="3"/>
  <c r="G425" i="3" s="1"/>
  <c r="J429" i="3"/>
  <c r="G429" i="3" s="1"/>
  <c r="J421" i="3"/>
  <c r="G421" i="3" s="1"/>
  <c r="J104" i="6"/>
  <c r="G104" i="6" s="1"/>
  <c r="J100" i="6"/>
  <c r="G100" i="6" s="1"/>
  <c r="J103" i="6"/>
  <c r="G103" i="6" s="1"/>
  <c r="J102" i="6"/>
  <c r="G102" i="6" s="1"/>
  <c r="J101" i="6"/>
  <c r="G101" i="6" s="1"/>
  <c r="J99" i="6"/>
  <c r="G99" i="6" s="1"/>
  <c r="J95" i="6"/>
  <c r="G95" i="6" s="1"/>
  <c r="J91" i="6"/>
  <c r="G91" i="6" s="1"/>
  <c r="J98" i="6"/>
  <c r="G98" i="6" s="1"/>
  <c r="J94" i="6"/>
  <c r="G94" i="6" s="1"/>
  <c r="J90" i="6"/>
  <c r="G90" i="6" s="1"/>
  <c r="J97" i="6"/>
  <c r="G97" i="6" s="1"/>
  <c r="J93" i="6"/>
  <c r="G93" i="6" s="1"/>
  <c r="J89" i="6"/>
  <c r="G89" i="6" s="1"/>
  <c r="J92" i="6"/>
  <c r="G92" i="6" s="1"/>
  <c r="J88" i="6"/>
  <c r="G88" i="6" s="1"/>
  <c r="J96" i="6"/>
  <c r="G96" i="6" s="1"/>
  <c r="J87" i="6"/>
  <c r="G87" i="6" s="1"/>
  <c r="J83" i="6"/>
  <c r="G83" i="6" s="1"/>
  <c r="J86" i="6"/>
  <c r="G86" i="6" s="1"/>
  <c r="J82" i="6"/>
  <c r="G82" i="6" s="1"/>
  <c r="J85" i="6"/>
  <c r="G85" i="6" s="1"/>
  <c r="J81" i="6"/>
  <c r="G81" i="6" s="1"/>
  <c r="J80" i="6"/>
  <c r="G80" i="6" s="1"/>
  <c r="J84" i="6"/>
  <c r="G84" i="6" s="1"/>
  <c r="J157" i="6"/>
  <c r="P157" i="6" s="1"/>
  <c r="J153" i="6"/>
  <c r="P153" i="6" s="1"/>
  <c r="J156" i="6"/>
  <c r="P156" i="6" s="1"/>
  <c r="J155" i="6"/>
  <c r="P155" i="6" s="1"/>
  <c r="J154" i="6"/>
  <c r="P154" i="6" s="1"/>
  <c r="J152" i="6"/>
  <c r="P152" i="6" s="1"/>
  <c r="J148" i="6"/>
  <c r="P148" i="6" s="1"/>
  <c r="J144" i="6"/>
  <c r="P144" i="6" s="1"/>
  <c r="J151" i="6"/>
  <c r="P151" i="6" s="1"/>
  <c r="J147" i="6"/>
  <c r="P147" i="6" s="1"/>
  <c r="J143" i="6"/>
  <c r="P143" i="6" s="1"/>
  <c r="J150" i="6"/>
  <c r="P150" i="6" s="1"/>
  <c r="J146" i="6"/>
  <c r="P146" i="6" s="1"/>
  <c r="J142" i="6"/>
  <c r="P142" i="6" s="1"/>
  <c r="J145" i="6"/>
  <c r="P145" i="6" s="1"/>
  <c r="J141" i="6"/>
  <c r="P141" i="6" s="1"/>
  <c r="J149" i="6"/>
  <c r="P149" i="6" s="1"/>
  <c r="J140" i="6"/>
  <c r="P140" i="6" s="1"/>
  <c r="J136" i="6"/>
  <c r="P136" i="6" s="1"/>
  <c r="J132" i="6"/>
  <c r="P132" i="6" s="1"/>
  <c r="J139" i="6"/>
  <c r="P139" i="6" s="1"/>
  <c r="J135" i="6"/>
  <c r="P135" i="6" s="1"/>
  <c r="J131" i="6"/>
  <c r="P131" i="6" s="1"/>
  <c r="J138" i="6"/>
  <c r="P138" i="6" s="1"/>
  <c r="J134" i="6"/>
  <c r="P134" i="6" s="1"/>
  <c r="J130" i="6"/>
  <c r="P130" i="6" s="1"/>
  <c r="J133" i="6"/>
  <c r="P133" i="6" s="1"/>
  <c r="J129" i="6"/>
  <c r="P129" i="6" s="1"/>
  <c r="J137" i="6"/>
  <c r="P137" i="6" s="1"/>
  <c r="J118" i="6"/>
  <c r="P118" i="6" s="1"/>
  <c r="J122" i="6"/>
  <c r="P122" i="6" s="1"/>
  <c r="J126" i="6"/>
  <c r="P126" i="6" s="1"/>
  <c r="J119" i="6"/>
  <c r="P119" i="6" s="1"/>
  <c r="J123" i="6"/>
  <c r="P123" i="6" s="1"/>
  <c r="J127" i="6"/>
  <c r="P127" i="6" s="1"/>
  <c r="J120" i="6"/>
  <c r="P120" i="6" s="1"/>
  <c r="J124" i="6"/>
  <c r="P124" i="6" s="1"/>
  <c r="J128" i="6"/>
  <c r="P128" i="6" s="1"/>
  <c r="J125" i="6"/>
  <c r="P125" i="6" s="1"/>
  <c r="J117" i="6"/>
  <c r="P117" i="6" s="1"/>
  <c r="J121" i="6"/>
  <c r="P121" i="6" s="1"/>
  <c r="J105" i="6"/>
  <c r="P105" i="6" s="1"/>
  <c r="J106" i="6"/>
  <c r="P106" i="6" s="1"/>
  <c r="J107" i="6"/>
  <c r="P107" i="6" s="1"/>
  <c r="J111" i="6"/>
  <c r="P111" i="6" s="1"/>
  <c r="J115" i="6"/>
  <c r="P115" i="6" s="1"/>
  <c r="J108" i="6"/>
  <c r="P108" i="6" s="1"/>
  <c r="J112" i="6"/>
  <c r="P112" i="6" s="1"/>
  <c r="J116" i="6"/>
  <c r="P116" i="6" s="1"/>
  <c r="J109" i="6"/>
  <c r="P109" i="6" s="1"/>
  <c r="J113" i="6"/>
  <c r="P113" i="6" s="1"/>
  <c r="J110" i="6"/>
  <c r="P110" i="6" s="1"/>
  <c r="J114" i="6"/>
  <c r="P114" i="6" s="1"/>
  <c r="J105" i="5"/>
  <c r="G105" i="5" s="1"/>
  <c r="J109" i="5"/>
  <c r="G109" i="5" s="1"/>
  <c r="J106" i="5"/>
  <c r="G106" i="5" s="1"/>
  <c r="J104" i="5"/>
  <c r="G104" i="5" s="1"/>
  <c r="J107" i="5"/>
  <c r="G107" i="5" s="1"/>
  <c r="J108" i="5"/>
  <c r="G108" i="5" s="1"/>
  <c r="J93" i="5"/>
  <c r="G93" i="5" s="1"/>
  <c r="J97" i="5"/>
  <c r="G97" i="5" s="1"/>
  <c r="J101" i="5"/>
  <c r="G101" i="5" s="1"/>
  <c r="J94" i="5"/>
  <c r="G94" i="5" s="1"/>
  <c r="J98" i="5"/>
  <c r="G98" i="5" s="1"/>
  <c r="J102" i="5"/>
  <c r="G102" i="5" s="1"/>
  <c r="J95" i="5"/>
  <c r="G95" i="5" s="1"/>
  <c r="J99" i="5"/>
  <c r="G99" i="5" s="1"/>
  <c r="J103" i="5"/>
  <c r="G103" i="5" s="1"/>
  <c r="J96" i="5"/>
  <c r="G96" i="5" s="1"/>
  <c r="J100" i="5"/>
  <c r="G100" i="5" s="1"/>
  <c r="J92" i="5"/>
  <c r="G92" i="5" s="1"/>
  <c r="J81" i="5"/>
  <c r="G81" i="5" s="1"/>
  <c r="J85" i="5"/>
  <c r="G85" i="5" s="1"/>
  <c r="J89" i="5"/>
  <c r="G89" i="5" s="1"/>
  <c r="J82" i="5"/>
  <c r="G82" i="5" s="1"/>
  <c r="J86" i="5"/>
  <c r="G86" i="5" s="1"/>
  <c r="J90" i="5"/>
  <c r="G90" i="5" s="1"/>
  <c r="J83" i="5"/>
  <c r="G83" i="5" s="1"/>
  <c r="J87" i="5"/>
  <c r="G87" i="5" s="1"/>
  <c r="J91" i="5"/>
  <c r="G91" i="5" s="1"/>
  <c r="J84" i="5"/>
  <c r="G84" i="5" s="1"/>
  <c r="J88" i="5"/>
  <c r="G88" i="5" s="1"/>
  <c r="J80" i="5"/>
  <c r="G80" i="5" s="1"/>
  <c r="J69" i="5"/>
  <c r="G69" i="5" s="1"/>
  <c r="J73" i="5"/>
  <c r="G73" i="5" s="1"/>
  <c r="J77" i="5"/>
  <c r="G77" i="5" s="1"/>
  <c r="J70" i="5"/>
  <c r="G70" i="5" s="1"/>
  <c r="J74" i="5"/>
  <c r="G74" i="5" s="1"/>
  <c r="J78" i="5"/>
  <c r="G78" i="5" s="1"/>
  <c r="J71" i="5"/>
  <c r="G71" i="5" s="1"/>
  <c r="J75" i="5"/>
  <c r="G75" i="5" s="1"/>
  <c r="J79" i="5"/>
  <c r="G79" i="5" s="1"/>
  <c r="J72" i="5"/>
  <c r="G72" i="5" s="1"/>
  <c r="J76" i="5"/>
  <c r="G76" i="5" s="1"/>
  <c r="J68" i="5"/>
  <c r="G68" i="5" s="1"/>
  <c r="J57" i="5"/>
  <c r="G57" i="5" s="1"/>
  <c r="J61" i="5"/>
  <c r="G61" i="5" s="1"/>
  <c r="J65" i="5"/>
  <c r="G65" i="5" s="1"/>
  <c r="J58" i="5"/>
  <c r="G58" i="5" s="1"/>
  <c r="J62" i="5"/>
  <c r="G62" i="5" s="1"/>
  <c r="J66" i="5"/>
  <c r="G66" i="5" s="1"/>
  <c r="J59" i="5"/>
  <c r="G59" i="5" s="1"/>
  <c r="J63" i="5"/>
  <c r="G63" i="5" s="1"/>
  <c r="J67" i="5"/>
  <c r="G67" i="5" s="1"/>
  <c r="J60" i="5"/>
  <c r="G60" i="5" s="1"/>
  <c r="J64" i="5"/>
  <c r="G64" i="5" s="1"/>
  <c r="J56" i="5"/>
  <c r="G56" i="5" s="1"/>
  <c r="J416" i="3"/>
  <c r="G416" i="3" s="1"/>
  <c r="J420" i="3"/>
  <c r="G420" i="3" s="1"/>
  <c r="J417" i="3"/>
  <c r="G417" i="3" s="1"/>
  <c r="J415" i="3"/>
  <c r="G415" i="3" s="1"/>
  <c r="J418" i="3"/>
  <c r="G418" i="3" s="1"/>
  <c r="J419" i="3"/>
  <c r="G419" i="3" s="1"/>
  <c r="J404" i="3"/>
  <c r="G404" i="3" s="1"/>
  <c r="J408" i="3"/>
  <c r="G408" i="3" s="1"/>
  <c r="J412" i="3"/>
  <c r="G412" i="3" s="1"/>
  <c r="J405" i="3"/>
  <c r="G405" i="3" s="1"/>
  <c r="J409" i="3"/>
  <c r="G409" i="3" s="1"/>
  <c r="J413" i="3"/>
  <c r="G413" i="3" s="1"/>
  <c r="J406" i="3"/>
  <c r="G406" i="3" s="1"/>
  <c r="J410" i="3"/>
  <c r="G410" i="3" s="1"/>
  <c r="J414" i="3"/>
  <c r="G414" i="3" s="1"/>
  <c r="J407" i="3"/>
  <c r="G407" i="3" s="1"/>
  <c r="J411" i="3"/>
  <c r="G411" i="3" s="1"/>
  <c r="J403" i="3"/>
  <c r="G403" i="3" s="1"/>
  <c r="J392" i="3"/>
  <c r="G392" i="3" s="1"/>
  <c r="J396" i="3"/>
  <c r="G396" i="3" s="1"/>
  <c r="J400" i="3"/>
  <c r="G400" i="3" s="1"/>
  <c r="J397" i="3"/>
  <c r="G397" i="3" s="1"/>
  <c r="J401" i="3"/>
  <c r="G401" i="3" s="1"/>
  <c r="J402" i="3"/>
  <c r="G402" i="3" s="1"/>
  <c r="J393" i="3"/>
  <c r="G393" i="3" s="1"/>
  <c r="J391" i="3"/>
  <c r="G391" i="3" s="1"/>
  <c r="J394" i="3"/>
  <c r="G394" i="3" s="1"/>
  <c r="J398" i="3"/>
  <c r="G398" i="3" s="1"/>
  <c r="J395" i="3"/>
  <c r="G395" i="3" s="1"/>
  <c r="J399" i="3"/>
  <c r="G399" i="3" s="1"/>
  <c r="J382" i="3"/>
  <c r="G382" i="3" s="1"/>
  <c r="J386" i="3"/>
  <c r="G386" i="3" s="1"/>
  <c r="J390" i="3"/>
  <c r="G390" i="3" s="1"/>
  <c r="J387" i="3"/>
  <c r="G387" i="3" s="1"/>
  <c r="J381" i="3"/>
  <c r="G381" i="3" s="1"/>
  <c r="J383" i="3"/>
  <c r="G383" i="3" s="1"/>
  <c r="J384" i="3"/>
  <c r="G384" i="3" s="1"/>
  <c r="J388" i="3"/>
  <c r="G388" i="3" s="1"/>
  <c r="J385" i="3"/>
  <c r="G385" i="3" s="1"/>
  <c r="J389" i="3"/>
  <c r="G389" i="3" s="1"/>
  <c r="J377" i="3"/>
  <c r="G377" i="3" s="1"/>
  <c r="J376" i="3"/>
  <c r="G376" i="3" s="1"/>
  <c r="J378" i="3"/>
  <c r="G378" i="3" s="1"/>
  <c r="J379" i="3"/>
  <c r="G379" i="3" s="1"/>
  <c r="J380" i="3"/>
  <c r="G380" i="3" s="1"/>
  <c r="J371" i="3"/>
  <c r="G371" i="3" s="1"/>
  <c r="J375" i="3"/>
  <c r="G375" i="3" s="1"/>
  <c r="J372" i="3"/>
  <c r="G372" i="3" s="1"/>
  <c r="J370" i="3"/>
  <c r="G370" i="3" s="1"/>
  <c r="J373" i="3"/>
  <c r="G373" i="3" s="1"/>
  <c r="J374" i="3"/>
  <c r="G374" i="3" s="1"/>
  <c r="J359" i="3"/>
  <c r="G359" i="3" s="1"/>
  <c r="J363" i="3"/>
  <c r="G363" i="3" s="1"/>
  <c r="J367" i="3"/>
  <c r="G367" i="3" s="1"/>
  <c r="J364" i="3"/>
  <c r="G364" i="3" s="1"/>
  <c r="J368" i="3"/>
  <c r="G368" i="3" s="1"/>
  <c r="J369" i="3"/>
  <c r="G369" i="3" s="1"/>
  <c r="J360" i="3"/>
  <c r="G360" i="3" s="1"/>
  <c r="J361" i="3"/>
  <c r="G361" i="3" s="1"/>
  <c r="J365" i="3"/>
  <c r="G365" i="3" s="1"/>
  <c r="J362" i="3"/>
  <c r="G362" i="3" s="1"/>
  <c r="J366" i="3"/>
  <c r="G366" i="3" s="1"/>
  <c r="J358" i="3"/>
  <c r="G358" i="3" s="1"/>
  <c r="J347" i="3"/>
  <c r="G347" i="3" s="1"/>
  <c r="J351" i="3"/>
  <c r="G351" i="3" s="1"/>
  <c r="J355" i="3"/>
  <c r="G355" i="3" s="1"/>
  <c r="J352" i="3"/>
  <c r="G352" i="3" s="1"/>
  <c r="J356" i="3"/>
  <c r="G356" i="3" s="1"/>
  <c r="J357" i="3"/>
  <c r="G357" i="3" s="1"/>
  <c r="J348" i="3"/>
  <c r="G348" i="3" s="1"/>
  <c r="J349" i="3"/>
  <c r="G349" i="3" s="1"/>
  <c r="J353" i="3"/>
  <c r="G353" i="3" s="1"/>
  <c r="J350" i="3"/>
  <c r="G350" i="3" s="1"/>
  <c r="J354" i="3"/>
  <c r="G354" i="3" s="1"/>
  <c r="J346" i="3"/>
  <c r="G346" i="3" s="1"/>
  <c r="J336" i="3"/>
  <c r="G336" i="3" s="1"/>
  <c r="J340" i="3"/>
  <c r="G340" i="3" s="1"/>
  <c r="J344" i="3"/>
  <c r="G344" i="3" s="1"/>
  <c r="J341" i="3"/>
  <c r="G341" i="3" s="1"/>
  <c r="J345" i="3"/>
  <c r="G345" i="3" s="1"/>
  <c r="J335" i="3"/>
  <c r="G335" i="3" s="1"/>
  <c r="J337" i="3"/>
  <c r="G337" i="3" s="1"/>
  <c r="J338" i="3"/>
  <c r="G338" i="3" s="1"/>
  <c r="J342" i="3"/>
  <c r="G342" i="3" s="1"/>
  <c r="J339" i="3"/>
  <c r="G339" i="3" s="1"/>
  <c r="J343" i="3"/>
  <c r="G343" i="3" s="1"/>
  <c r="J327" i="3"/>
  <c r="G327" i="3" s="1"/>
  <c r="J331" i="3"/>
  <c r="G331" i="3" s="1"/>
  <c r="J326" i="3"/>
  <c r="G326" i="3" s="1"/>
  <c r="J332" i="3"/>
  <c r="G332" i="3" s="1"/>
  <c r="J328" i="3"/>
  <c r="G328" i="3" s="1"/>
  <c r="J329" i="3"/>
  <c r="G329" i="3" s="1"/>
  <c r="J333" i="3"/>
  <c r="G333" i="3" s="1"/>
  <c r="J330" i="3"/>
  <c r="G330" i="3" s="1"/>
  <c r="J334" i="3"/>
  <c r="G334" i="3" s="1"/>
  <c r="J321" i="3"/>
  <c r="G321" i="3" s="1"/>
  <c r="J325" i="3"/>
  <c r="G325" i="3" s="1"/>
  <c r="J320" i="3"/>
  <c r="G320" i="3" s="1"/>
  <c r="J322" i="3"/>
  <c r="G322" i="3" s="1"/>
  <c r="J323" i="3"/>
  <c r="G323" i="3" s="1"/>
  <c r="J324" i="3"/>
  <c r="G324" i="3" s="1"/>
  <c r="J309" i="3"/>
  <c r="G309" i="3" s="1"/>
  <c r="J313" i="3"/>
  <c r="G313" i="3" s="1"/>
  <c r="J317" i="3"/>
  <c r="G317" i="3" s="1"/>
  <c r="J314" i="3"/>
  <c r="G314" i="3" s="1"/>
  <c r="J318" i="3"/>
  <c r="G318" i="3" s="1"/>
  <c r="J319" i="3"/>
  <c r="G319" i="3" s="1"/>
  <c r="J310" i="3"/>
  <c r="G310" i="3" s="1"/>
  <c r="J311" i="3"/>
  <c r="G311" i="3" s="1"/>
  <c r="J315" i="3"/>
  <c r="G315" i="3" s="1"/>
  <c r="J312" i="3"/>
  <c r="G312" i="3" s="1"/>
  <c r="J316" i="3"/>
  <c r="G316" i="3" s="1"/>
  <c r="J308" i="3"/>
  <c r="G308" i="3" s="1"/>
  <c r="J297" i="3"/>
  <c r="G297" i="3" s="1"/>
  <c r="J301" i="3"/>
  <c r="G301" i="3" s="1"/>
  <c r="J305" i="3"/>
  <c r="G305" i="3" s="1"/>
  <c r="J302" i="3"/>
  <c r="G302" i="3" s="1"/>
  <c r="J306" i="3"/>
  <c r="G306" i="3" s="1"/>
  <c r="J307" i="3"/>
  <c r="G307" i="3" s="1"/>
  <c r="J298" i="3"/>
  <c r="G298" i="3" s="1"/>
  <c r="J299" i="3"/>
  <c r="G299" i="3" s="1"/>
  <c r="J303" i="3"/>
  <c r="G303" i="3" s="1"/>
  <c r="J300" i="3"/>
  <c r="G300" i="3" s="1"/>
  <c r="J304" i="3"/>
  <c r="G304" i="3" s="1"/>
  <c r="J296" i="3"/>
  <c r="G296" i="3" s="1"/>
  <c r="J285" i="3"/>
  <c r="G285" i="3" s="1"/>
  <c r="J289" i="3"/>
  <c r="G289" i="3" s="1"/>
  <c r="J293" i="3"/>
  <c r="G293" i="3" s="1"/>
  <c r="J290" i="3"/>
  <c r="G290" i="3" s="1"/>
  <c r="J294" i="3"/>
  <c r="G294" i="3" s="1"/>
  <c r="J295" i="3"/>
  <c r="G295" i="3" s="1"/>
  <c r="J286" i="3"/>
  <c r="G286" i="3" s="1"/>
  <c r="J287" i="3"/>
  <c r="G287" i="3" s="1"/>
  <c r="J291" i="3"/>
  <c r="G291" i="3" s="1"/>
  <c r="J288" i="3"/>
  <c r="G288" i="3" s="1"/>
  <c r="J292" i="3"/>
  <c r="G292" i="3" s="1"/>
  <c r="J284" i="3"/>
  <c r="G284" i="3" s="1"/>
  <c r="J272" i="3"/>
  <c r="G272" i="3" s="1"/>
  <c r="J273" i="3"/>
  <c r="G273" i="3" s="1"/>
  <c r="J277" i="3"/>
  <c r="G277" i="3" s="1"/>
  <c r="J281" i="3"/>
  <c r="G281" i="3" s="1"/>
  <c r="J278" i="3"/>
  <c r="G278" i="3" s="1"/>
  <c r="J282" i="3"/>
  <c r="G282" i="3" s="1"/>
  <c r="J283" i="3"/>
  <c r="G283" i="3" s="1"/>
  <c r="J274" i="3"/>
  <c r="G274" i="3" s="1"/>
  <c r="J275" i="3"/>
  <c r="G275" i="3" s="1"/>
  <c r="J279" i="3"/>
  <c r="G279" i="3" s="1"/>
  <c r="J276" i="3"/>
  <c r="G276" i="3" s="1"/>
  <c r="J280" i="3"/>
  <c r="G280" i="3" s="1"/>
  <c r="J268" i="3"/>
  <c r="G268" i="3" s="1"/>
  <c r="J266" i="3"/>
  <c r="G266" i="3" s="1"/>
  <c r="J269" i="3"/>
  <c r="G269" i="3" s="1"/>
  <c r="J270" i="3"/>
  <c r="G270" i="3" s="1"/>
  <c r="J267" i="3"/>
  <c r="G267" i="3" s="1"/>
  <c r="J271" i="3"/>
  <c r="G271" i="3" s="1"/>
  <c r="J255" i="3"/>
  <c r="G255" i="3" s="1"/>
  <c r="J259" i="3"/>
  <c r="G259" i="3" s="1"/>
  <c r="J263" i="3"/>
  <c r="G263" i="3" s="1"/>
  <c r="J256" i="3"/>
  <c r="G256" i="3" s="1"/>
  <c r="J260" i="3"/>
  <c r="G260" i="3" s="1"/>
  <c r="J264" i="3"/>
  <c r="G264" i="3" s="1"/>
  <c r="J261" i="3"/>
  <c r="G261" i="3" s="1"/>
  <c r="J265" i="3"/>
  <c r="G265" i="3" s="1"/>
  <c r="J254" i="3"/>
  <c r="G254" i="3" s="1"/>
  <c r="J257" i="3"/>
  <c r="G257" i="3" s="1"/>
  <c r="J258" i="3"/>
  <c r="G258" i="3" s="1"/>
  <c r="J262" i="3"/>
  <c r="G262" i="3" s="1"/>
  <c r="J243" i="3"/>
  <c r="G243" i="3" s="1"/>
  <c r="J247" i="3"/>
  <c r="G247" i="3" s="1"/>
  <c r="J251" i="3"/>
  <c r="G251" i="3" s="1"/>
  <c r="J248" i="3"/>
  <c r="G248" i="3" s="1"/>
  <c r="J252" i="3"/>
  <c r="G252" i="3" s="1"/>
  <c r="J253" i="3"/>
  <c r="G253" i="3" s="1"/>
  <c r="J244" i="3"/>
  <c r="G244" i="3" s="1"/>
  <c r="J245" i="3"/>
  <c r="G245" i="3" s="1"/>
  <c r="J249" i="3"/>
  <c r="G249" i="3" s="1"/>
  <c r="J246" i="3"/>
  <c r="G246" i="3" s="1"/>
  <c r="J250" i="3"/>
  <c r="G250" i="3" s="1"/>
  <c r="J242" i="3"/>
  <c r="G242" i="3" s="1"/>
  <c r="J231" i="3"/>
  <c r="G231" i="3" s="1"/>
  <c r="J235" i="3"/>
  <c r="G235" i="3" s="1"/>
  <c r="J239" i="3"/>
  <c r="G239" i="3" s="1"/>
  <c r="J236" i="3"/>
  <c r="G236" i="3" s="1"/>
  <c r="J240" i="3"/>
  <c r="G240" i="3" s="1"/>
  <c r="J241" i="3"/>
  <c r="G241" i="3" s="1"/>
  <c r="J232" i="3"/>
  <c r="G232" i="3" s="1"/>
  <c r="J233" i="3"/>
  <c r="G233" i="3" s="1"/>
  <c r="J237" i="3"/>
  <c r="G237" i="3" s="1"/>
  <c r="J234" i="3"/>
  <c r="G234" i="3" s="1"/>
  <c r="J238" i="3"/>
  <c r="G238" i="3" s="1"/>
  <c r="J230" i="3"/>
  <c r="G230" i="3" s="1"/>
  <c r="J219" i="3"/>
  <c r="G219" i="3" s="1"/>
  <c r="J223" i="3"/>
  <c r="G223" i="3" s="1"/>
  <c r="J227" i="3"/>
  <c r="G227" i="3" s="1"/>
  <c r="J224" i="3"/>
  <c r="G224" i="3" s="1"/>
  <c r="J228" i="3"/>
  <c r="G228" i="3" s="1"/>
  <c r="J229" i="3"/>
  <c r="G229" i="3" s="1"/>
  <c r="J220" i="3"/>
  <c r="G220" i="3" s="1"/>
  <c r="J221" i="3"/>
  <c r="G221" i="3" s="1"/>
  <c r="J225" i="3"/>
  <c r="G225" i="3" s="1"/>
  <c r="J222" i="3"/>
  <c r="G222" i="3" s="1"/>
  <c r="J226" i="3"/>
  <c r="G226" i="3" s="1"/>
  <c r="J218" i="3"/>
  <c r="G218" i="3" s="1"/>
  <c r="G54" i="4"/>
  <c r="I4" i="12" s="1"/>
  <c r="J67" i="4"/>
  <c r="R4" i="13" s="1"/>
  <c r="G106" i="4"/>
  <c r="I4" i="16" s="1"/>
  <c r="I132" i="4"/>
  <c r="O4" i="18" s="1"/>
  <c r="E47" i="4"/>
  <c r="E151" i="4"/>
  <c r="E118" i="4"/>
  <c r="E131" i="4"/>
  <c r="E144" i="4"/>
  <c r="E157" i="4"/>
  <c r="E170" i="4"/>
  <c r="J28" i="6"/>
  <c r="P28" i="6" s="1"/>
  <c r="J32" i="6"/>
  <c r="P32" i="6" s="1"/>
  <c r="J36" i="6"/>
  <c r="P36" i="6" s="1"/>
  <c r="J29" i="6"/>
  <c r="P29" i="6" s="1"/>
  <c r="J33" i="6"/>
  <c r="P33" i="6" s="1"/>
  <c r="J37" i="6"/>
  <c r="P37" i="6" s="1"/>
  <c r="J30" i="6"/>
  <c r="P30" i="6" s="1"/>
  <c r="J34" i="6"/>
  <c r="P34" i="6" s="1"/>
  <c r="J38" i="6"/>
  <c r="P38" i="6" s="1"/>
  <c r="J31" i="6"/>
  <c r="P31" i="6" s="1"/>
  <c r="J35" i="6"/>
  <c r="P35" i="6" s="1"/>
  <c r="J27" i="6"/>
  <c r="P27" i="6" s="1"/>
  <c r="J41" i="6"/>
  <c r="P41" i="6" s="1"/>
  <c r="J45" i="6"/>
  <c r="P45" i="6" s="1"/>
  <c r="J49" i="6"/>
  <c r="P49" i="6" s="1"/>
  <c r="J42" i="6"/>
  <c r="P42" i="6" s="1"/>
  <c r="J46" i="6"/>
  <c r="P46" i="6" s="1"/>
  <c r="J50" i="6"/>
  <c r="P50" i="6" s="1"/>
  <c r="J43" i="6"/>
  <c r="P43" i="6" s="1"/>
  <c r="J47" i="6"/>
  <c r="P47" i="6" s="1"/>
  <c r="J39" i="6"/>
  <c r="P39" i="6" s="1"/>
  <c r="J40" i="6"/>
  <c r="P40" i="6" s="1"/>
  <c r="J44" i="6"/>
  <c r="P44" i="6" s="1"/>
  <c r="J48" i="6"/>
  <c r="P48" i="6" s="1"/>
  <c r="J62" i="6"/>
  <c r="P62" i="6" s="1"/>
  <c r="J58" i="6"/>
  <c r="P58" i="6" s="1"/>
  <c r="J54" i="6"/>
  <c r="P54" i="6" s="1"/>
  <c r="J61" i="6"/>
  <c r="P61" i="6" s="1"/>
  <c r="J57" i="6"/>
  <c r="P57" i="6" s="1"/>
  <c r="J53" i="6"/>
  <c r="P53" i="6" s="1"/>
  <c r="J60" i="6"/>
  <c r="P60" i="6" s="1"/>
  <c r="J56" i="6"/>
  <c r="P56" i="6" s="1"/>
  <c r="J52" i="6"/>
  <c r="P52" i="6" s="1"/>
  <c r="J59" i="6"/>
  <c r="P59" i="6" s="1"/>
  <c r="J55" i="6"/>
  <c r="P55" i="6" s="1"/>
  <c r="J51" i="6"/>
  <c r="P51" i="6" s="1"/>
  <c r="J73" i="6"/>
  <c r="P73" i="6" s="1"/>
  <c r="J69" i="6"/>
  <c r="P69" i="6" s="1"/>
  <c r="J65" i="6"/>
  <c r="P65" i="6" s="1"/>
  <c r="J72" i="6"/>
  <c r="P72" i="6" s="1"/>
  <c r="J68" i="6"/>
  <c r="P68" i="6" s="1"/>
  <c r="J64" i="6"/>
  <c r="P64" i="6" s="1"/>
  <c r="J71" i="6"/>
  <c r="P71" i="6" s="1"/>
  <c r="J67" i="6"/>
  <c r="P67" i="6" s="1"/>
  <c r="J63" i="6"/>
  <c r="P63" i="6" s="1"/>
  <c r="J74" i="6"/>
  <c r="P74" i="6" s="1"/>
  <c r="J70" i="6"/>
  <c r="P70" i="6" s="1"/>
  <c r="J66" i="6"/>
  <c r="P66" i="6" s="1"/>
  <c r="G79" i="6"/>
  <c r="J75" i="6"/>
  <c r="P75" i="6" s="1"/>
  <c r="J78" i="6"/>
  <c r="P78" i="6" s="1"/>
  <c r="J77" i="6"/>
  <c r="P77" i="6" s="1"/>
  <c r="J76" i="6"/>
  <c r="P76" i="6" s="1"/>
  <c r="E38" i="4"/>
  <c r="E90" i="4"/>
  <c r="E142" i="4"/>
  <c r="J26" i="6"/>
  <c r="G26" i="6" s="1"/>
  <c r="J22" i="6"/>
  <c r="G22" i="6" s="1"/>
  <c r="J25" i="6"/>
  <c r="G25" i="6" s="1"/>
  <c r="J24" i="6"/>
  <c r="G24" i="6" s="1"/>
  <c r="J23" i="6"/>
  <c r="G23" i="6" s="1"/>
  <c r="J21" i="6"/>
  <c r="G21" i="6" s="1"/>
  <c r="J17" i="6"/>
  <c r="G17" i="6" s="1"/>
  <c r="J13" i="6"/>
  <c r="G13" i="6" s="1"/>
  <c r="J20" i="6"/>
  <c r="G20" i="6" s="1"/>
  <c r="J16" i="6"/>
  <c r="G16" i="6" s="1"/>
  <c r="J12" i="6"/>
  <c r="G12" i="6" s="1"/>
  <c r="J19" i="6"/>
  <c r="G19" i="6" s="1"/>
  <c r="J15" i="6"/>
  <c r="G15" i="6" s="1"/>
  <c r="J11" i="6"/>
  <c r="G11" i="6" s="1"/>
  <c r="J18" i="6"/>
  <c r="G18" i="6" s="1"/>
  <c r="J14" i="6"/>
  <c r="G14" i="6" s="1"/>
  <c r="J10" i="6"/>
  <c r="G10" i="6" s="1"/>
  <c r="E79" i="4"/>
  <c r="E92" i="4"/>
  <c r="E105" i="4"/>
  <c r="J9" i="6"/>
  <c r="G9" i="6" s="1"/>
  <c r="J5" i="6"/>
  <c r="G5" i="6" s="1"/>
  <c r="J8" i="6"/>
  <c r="G8" i="6" s="1"/>
  <c r="J4" i="6"/>
  <c r="G4" i="6" s="1"/>
  <c r="J7" i="6"/>
  <c r="G7" i="6" s="1"/>
  <c r="J3" i="6"/>
  <c r="G3" i="6" s="1"/>
  <c r="J6" i="6"/>
  <c r="G6" i="6" s="1"/>
  <c r="E51" i="4"/>
  <c r="E103" i="4"/>
  <c r="E155" i="4"/>
  <c r="E14" i="4"/>
  <c r="E27" i="4"/>
  <c r="E40" i="4"/>
  <c r="E53" i="4"/>
  <c r="E66" i="4"/>
  <c r="E12" i="4"/>
  <c r="E64" i="4"/>
  <c r="E116" i="4"/>
  <c r="E168" i="4"/>
  <c r="E25" i="4"/>
  <c r="E77" i="4"/>
  <c r="E129" i="4"/>
  <c r="E13" i="4"/>
  <c r="E26" i="4"/>
  <c r="E39" i="4"/>
  <c r="E52" i="4"/>
  <c r="E65" i="4"/>
  <c r="E78" i="4"/>
  <c r="E91" i="4"/>
  <c r="E104" i="4"/>
  <c r="E117" i="4"/>
  <c r="E130" i="4"/>
  <c r="E143" i="4"/>
  <c r="E156" i="4"/>
  <c r="E169" i="4"/>
  <c r="J51" i="5"/>
  <c r="G51" i="5" s="1"/>
  <c r="J55" i="5"/>
  <c r="G55" i="5" s="1"/>
  <c r="J52" i="5"/>
  <c r="G52" i="5" s="1"/>
  <c r="J50" i="5"/>
  <c r="G50" i="5" s="1"/>
  <c r="J53" i="5"/>
  <c r="G53" i="5" s="1"/>
  <c r="J54" i="5"/>
  <c r="G54" i="5" s="1"/>
  <c r="J40" i="5"/>
  <c r="G40" i="5" s="1"/>
  <c r="J44" i="5"/>
  <c r="G44" i="5" s="1"/>
  <c r="J48" i="5"/>
  <c r="G48" i="5" s="1"/>
  <c r="J41" i="5"/>
  <c r="G41" i="5" s="1"/>
  <c r="J45" i="5"/>
  <c r="G45" i="5" s="1"/>
  <c r="J49" i="5"/>
  <c r="G49" i="5" s="1"/>
  <c r="J42" i="5"/>
  <c r="G42" i="5" s="1"/>
  <c r="J46" i="5"/>
  <c r="G46" i="5" s="1"/>
  <c r="J38" i="5"/>
  <c r="G38" i="5" s="1"/>
  <c r="J39" i="5"/>
  <c r="G39" i="5" s="1"/>
  <c r="J43" i="5"/>
  <c r="G43" i="5" s="1"/>
  <c r="J47" i="5"/>
  <c r="G47" i="5" s="1"/>
  <c r="J27" i="5"/>
  <c r="G27" i="5" s="1"/>
  <c r="J31" i="5"/>
  <c r="G31" i="5" s="1"/>
  <c r="J35" i="5"/>
  <c r="G35" i="5" s="1"/>
  <c r="J28" i="5"/>
  <c r="G28" i="5" s="1"/>
  <c r="J32" i="5"/>
  <c r="G32" i="5" s="1"/>
  <c r="J36" i="5"/>
  <c r="G36" i="5" s="1"/>
  <c r="J29" i="5"/>
  <c r="G29" i="5" s="1"/>
  <c r="J33" i="5"/>
  <c r="G33" i="5" s="1"/>
  <c r="J37" i="5"/>
  <c r="G37" i="5" s="1"/>
  <c r="J30" i="5"/>
  <c r="G30" i="5" s="1"/>
  <c r="J34" i="5"/>
  <c r="G34" i="5" s="1"/>
  <c r="J26" i="5"/>
  <c r="G26" i="5" s="1"/>
  <c r="J15" i="5"/>
  <c r="G15" i="5" s="1"/>
  <c r="J19" i="5"/>
  <c r="G19" i="5" s="1"/>
  <c r="J23" i="5"/>
  <c r="G23" i="5" s="1"/>
  <c r="J16" i="5"/>
  <c r="G16" i="5" s="1"/>
  <c r="J20" i="5"/>
  <c r="G20" i="5" s="1"/>
  <c r="J24" i="5"/>
  <c r="G24" i="5" s="1"/>
  <c r="J17" i="5"/>
  <c r="G17" i="5" s="1"/>
  <c r="J21" i="5"/>
  <c r="G21" i="5" s="1"/>
  <c r="J25" i="5"/>
  <c r="G25" i="5" s="1"/>
  <c r="J18" i="5"/>
  <c r="G18" i="5" s="1"/>
  <c r="J22" i="5"/>
  <c r="G22" i="5" s="1"/>
  <c r="J14" i="5"/>
  <c r="G14" i="5" s="1"/>
  <c r="D15" i="4"/>
  <c r="E34" i="4"/>
  <c r="E86" i="4"/>
  <c r="E138" i="4"/>
  <c r="E10" i="4"/>
  <c r="E22" i="4"/>
  <c r="E24" i="4"/>
  <c r="E36" i="4"/>
  <c r="E48" i="4"/>
  <c r="E50" i="4"/>
  <c r="E62" i="4"/>
  <c r="E74" i="4"/>
  <c r="E76" i="4"/>
  <c r="E88" i="4"/>
  <c r="E100" i="4"/>
  <c r="E102" i="4"/>
  <c r="E114" i="4"/>
  <c r="E126" i="4"/>
  <c r="E128" i="4"/>
  <c r="E140" i="4"/>
  <c r="E152" i="4"/>
  <c r="E154" i="4"/>
  <c r="E166" i="4"/>
  <c r="J3" i="5"/>
  <c r="G3" i="5" s="1"/>
  <c r="J7" i="5"/>
  <c r="G7" i="5" s="1"/>
  <c r="J11" i="5"/>
  <c r="G11" i="5" s="1"/>
  <c r="J4" i="5"/>
  <c r="G4" i="5" s="1"/>
  <c r="J8" i="5"/>
  <c r="G8" i="5" s="1"/>
  <c r="J12" i="5"/>
  <c r="G12" i="5" s="1"/>
  <c r="J5" i="5"/>
  <c r="G5" i="5" s="1"/>
  <c r="J9" i="5"/>
  <c r="G9" i="5" s="1"/>
  <c r="J13" i="5"/>
  <c r="G13" i="5" s="1"/>
  <c r="J6" i="5"/>
  <c r="G6" i="5" s="1"/>
  <c r="J10" i="5"/>
  <c r="G10" i="5" s="1"/>
  <c r="J2" i="5"/>
  <c r="G2" i="5" s="1"/>
  <c r="G15" i="4"/>
  <c r="I4" i="9" s="1"/>
  <c r="E112" i="4"/>
  <c r="E164" i="4"/>
  <c r="E9" i="4"/>
  <c r="E11" i="4"/>
  <c r="E23" i="4"/>
  <c r="E35" i="4"/>
  <c r="E37" i="4"/>
  <c r="E49" i="4"/>
  <c r="E61" i="4"/>
  <c r="E63" i="4"/>
  <c r="E75" i="4"/>
  <c r="E87" i="4"/>
  <c r="E89" i="4"/>
  <c r="E101" i="4"/>
  <c r="E113" i="4"/>
  <c r="E115" i="4"/>
  <c r="E127" i="4"/>
  <c r="E139" i="4"/>
  <c r="E141" i="4"/>
  <c r="E153" i="4"/>
  <c r="E165" i="4"/>
  <c r="E167" i="4"/>
  <c r="E99" i="4"/>
  <c r="E8" i="4"/>
  <c r="E60" i="4"/>
  <c r="E21" i="4"/>
  <c r="E73" i="4"/>
  <c r="E125" i="4"/>
  <c r="J105" i="3"/>
  <c r="G105" i="3" s="1"/>
  <c r="J109" i="3"/>
  <c r="G109" i="3" s="1"/>
  <c r="J106" i="3"/>
  <c r="G106" i="3" s="1"/>
  <c r="J104" i="3"/>
  <c r="G104" i="3" s="1"/>
  <c r="J107" i="3"/>
  <c r="G107" i="3" s="1"/>
  <c r="J108" i="3"/>
  <c r="G108" i="3" s="1"/>
  <c r="J213" i="3"/>
  <c r="G213" i="3" s="1"/>
  <c r="J217" i="3"/>
  <c r="G217" i="3" s="1"/>
  <c r="J214" i="3"/>
  <c r="G214" i="3" s="1"/>
  <c r="J212" i="3"/>
  <c r="G212" i="3" s="1"/>
  <c r="J215" i="3"/>
  <c r="G215" i="3" s="1"/>
  <c r="J216" i="3"/>
  <c r="G216" i="3" s="1"/>
  <c r="J161" i="3"/>
  <c r="G161" i="3" s="1"/>
  <c r="J162" i="3"/>
  <c r="G162" i="3" s="1"/>
  <c r="J159" i="3"/>
  <c r="G159" i="3" s="1"/>
  <c r="J163" i="3"/>
  <c r="G163" i="3" s="1"/>
  <c r="J160" i="3"/>
  <c r="G160" i="3" s="1"/>
  <c r="J158" i="3"/>
  <c r="G158" i="3" s="1"/>
  <c r="J53" i="3"/>
  <c r="G53" i="3" s="1"/>
  <c r="J54" i="3"/>
  <c r="G54" i="3" s="1"/>
  <c r="J51" i="3"/>
  <c r="G51" i="3" s="1"/>
  <c r="J55" i="3"/>
  <c r="G55" i="3" s="1"/>
  <c r="J52" i="3"/>
  <c r="G52" i="3" s="1"/>
  <c r="J50" i="3"/>
  <c r="G50" i="3" s="1"/>
  <c r="J93" i="3"/>
  <c r="G93" i="3" s="1"/>
  <c r="J97" i="3"/>
  <c r="G97" i="3" s="1"/>
  <c r="J101" i="3"/>
  <c r="G101" i="3" s="1"/>
  <c r="J94" i="3"/>
  <c r="G94" i="3" s="1"/>
  <c r="J98" i="3"/>
  <c r="G98" i="3" s="1"/>
  <c r="J102" i="3"/>
  <c r="G102" i="3" s="1"/>
  <c r="J95" i="3"/>
  <c r="G95" i="3" s="1"/>
  <c r="J99" i="3"/>
  <c r="G99" i="3" s="1"/>
  <c r="J103" i="3"/>
  <c r="G103" i="3" s="1"/>
  <c r="J96" i="3"/>
  <c r="G96" i="3" s="1"/>
  <c r="J100" i="3"/>
  <c r="G100" i="3" s="1"/>
  <c r="J92" i="3"/>
  <c r="G92" i="3" s="1"/>
  <c r="J201" i="3"/>
  <c r="G201" i="3" s="1"/>
  <c r="J205" i="3"/>
  <c r="G205" i="3" s="1"/>
  <c r="J209" i="3"/>
  <c r="G209" i="3" s="1"/>
  <c r="J202" i="3"/>
  <c r="G202" i="3" s="1"/>
  <c r="J206" i="3"/>
  <c r="G206" i="3" s="1"/>
  <c r="J210" i="3"/>
  <c r="G210" i="3" s="1"/>
  <c r="J203" i="3"/>
  <c r="G203" i="3" s="1"/>
  <c r="J207" i="3"/>
  <c r="G207" i="3" s="1"/>
  <c r="J211" i="3"/>
  <c r="G211" i="3" s="1"/>
  <c r="J204" i="3"/>
  <c r="G204" i="3" s="1"/>
  <c r="J208" i="3"/>
  <c r="G208" i="3" s="1"/>
  <c r="J200" i="3"/>
  <c r="G200" i="3" s="1"/>
  <c r="J39" i="3"/>
  <c r="G39" i="3" s="1"/>
  <c r="J43" i="3"/>
  <c r="G43" i="3" s="1"/>
  <c r="J47" i="3"/>
  <c r="G47" i="3" s="1"/>
  <c r="J40" i="3"/>
  <c r="G40" i="3" s="1"/>
  <c r="J44" i="3"/>
  <c r="G44" i="3" s="1"/>
  <c r="J48" i="3"/>
  <c r="G48" i="3" s="1"/>
  <c r="J41" i="3"/>
  <c r="G41" i="3" s="1"/>
  <c r="J45" i="3"/>
  <c r="G45" i="3" s="1"/>
  <c r="J49" i="3"/>
  <c r="G49" i="3" s="1"/>
  <c r="J42" i="3"/>
  <c r="G42" i="3" s="1"/>
  <c r="J46" i="3"/>
  <c r="G46" i="3" s="1"/>
  <c r="J38" i="3"/>
  <c r="G38" i="3" s="1"/>
  <c r="J147" i="3"/>
  <c r="G147" i="3" s="1"/>
  <c r="J151" i="3"/>
  <c r="G151" i="3" s="1"/>
  <c r="J155" i="3"/>
  <c r="G155" i="3" s="1"/>
  <c r="J148" i="3"/>
  <c r="G148" i="3" s="1"/>
  <c r="J152" i="3"/>
  <c r="G152" i="3" s="1"/>
  <c r="J156" i="3"/>
  <c r="G156" i="3" s="1"/>
  <c r="J149" i="3"/>
  <c r="G149" i="3" s="1"/>
  <c r="J153" i="3"/>
  <c r="G153" i="3" s="1"/>
  <c r="J157" i="3"/>
  <c r="G157" i="3" s="1"/>
  <c r="J150" i="3"/>
  <c r="G150" i="3" s="1"/>
  <c r="J154" i="3"/>
  <c r="G154" i="3" s="1"/>
  <c r="J146" i="3"/>
  <c r="G146" i="3" s="1"/>
  <c r="J27" i="3"/>
  <c r="G27" i="3" s="1"/>
  <c r="J31" i="3"/>
  <c r="G31" i="3" s="1"/>
  <c r="J35" i="3"/>
  <c r="G35" i="3" s="1"/>
  <c r="J28" i="3"/>
  <c r="G28" i="3" s="1"/>
  <c r="J32" i="3"/>
  <c r="G32" i="3" s="1"/>
  <c r="J36" i="3"/>
  <c r="G36" i="3" s="1"/>
  <c r="J29" i="3"/>
  <c r="G29" i="3" s="1"/>
  <c r="J33" i="3"/>
  <c r="G33" i="3" s="1"/>
  <c r="J37" i="3"/>
  <c r="G37" i="3" s="1"/>
  <c r="J30" i="3"/>
  <c r="G30" i="3" s="1"/>
  <c r="J34" i="3"/>
  <c r="G34" i="3" s="1"/>
  <c r="J26" i="3"/>
  <c r="G26" i="3" s="1"/>
  <c r="J135" i="3"/>
  <c r="G135" i="3" s="1"/>
  <c r="J139" i="3"/>
  <c r="G139" i="3" s="1"/>
  <c r="J143" i="3"/>
  <c r="G143" i="3" s="1"/>
  <c r="J136" i="3"/>
  <c r="G136" i="3" s="1"/>
  <c r="J140" i="3"/>
  <c r="G140" i="3" s="1"/>
  <c r="J144" i="3"/>
  <c r="G144" i="3" s="1"/>
  <c r="J137" i="3"/>
  <c r="G137" i="3" s="1"/>
  <c r="J141" i="3"/>
  <c r="G141" i="3" s="1"/>
  <c r="J145" i="3"/>
  <c r="G145" i="3" s="1"/>
  <c r="J138" i="3"/>
  <c r="G138" i="3" s="1"/>
  <c r="J142" i="3"/>
  <c r="G142" i="3" s="1"/>
  <c r="J134" i="3"/>
  <c r="G134" i="3" s="1"/>
  <c r="J81" i="3"/>
  <c r="G81" i="3" s="1"/>
  <c r="J85" i="3"/>
  <c r="G85" i="3" s="1"/>
  <c r="J89" i="3"/>
  <c r="G89" i="3" s="1"/>
  <c r="J82" i="3"/>
  <c r="G82" i="3" s="1"/>
  <c r="J86" i="3"/>
  <c r="G86" i="3" s="1"/>
  <c r="J90" i="3"/>
  <c r="G90" i="3" s="1"/>
  <c r="J83" i="3"/>
  <c r="G83" i="3" s="1"/>
  <c r="J87" i="3"/>
  <c r="G87" i="3" s="1"/>
  <c r="J91" i="3"/>
  <c r="G91" i="3" s="1"/>
  <c r="J84" i="3"/>
  <c r="G84" i="3" s="1"/>
  <c r="J88" i="3"/>
  <c r="G88" i="3" s="1"/>
  <c r="J80" i="3"/>
  <c r="G80" i="3" s="1"/>
  <c r="J189" i="3"/>
  <c r="G189" i="3" s="1"/>
  <c r="J193" i="3"/>
  <c r="G193" i="3" s="1"/>
  <c r="J197" i="3"/>
  <c r="G197" i="3" s="1"/>
  <c r="J190" i="3"/>
  <c r="G190" i="3" s="1"/>
  <c r="J194" i="3"/>
  <c r="G194" i="3" s="1"/>
  <c r="J198" i="3"/>
  <c r="G198" i="3" s="1"/>
  <c r="J191" i="3"/>
  <c r="G191" i="3" s="1"/>
  <c r="J195" i="3"/>
  <c r="G195" i="3" s="1"/>
  <c r="J199" i="3"/>
  <c r="G199" i="3" s="1"/>
  <c r="J192" i="3"/>
  <c r="G192" i="3" s="1"/>
  <c r="J196" i="3"/>
  <c r="G196" i="3" s="1"/>
  <c r="J188" i="3"/>
  <c r="G188" i="3" s="1"/>
  <c r="J15" i="3"/>
  <c r="G15" i="3" s="1"/>
  <c r="J19" i="3"/>
  <c r="G19" i="3" s="1"/>
  <c r="J23" i="3"/>
  <c r="G23" i="3" s="1"/>
  <c r="J16" i="3"/>
  <c r="G16" i="3" s="1"/>
  <c r="J20" i="3"/>
  <c r="G20" i="3" s="1"/>
  <c r="J24" i="3"/>
  <c r="G24" i="3" s="1"/>
  <c r="J17" i="3"/>
  <c r="G17" i="3" s="1"/>
  <c r="J21" i="3"/>
  <c r="G21" i="3" s="1"/>
  <c r="J25" i="3"/>
  <c r="G25" i="3" s="1"/>
  <c r="J18" i="3"/>
  <c r="G18" i="3" s="1"/>
  <c r="J22" i="3"/>
  <c r="G22" i="3" s="1"/>
  <c r="J14" i="3"/>
  <c r="G14" i="3" s="1"/>
  <c r="J123" i="3"/>
  <c r="G123" i="3" s="1"/>
  <c r="J127" i="3"/>
  <c r="G127" i="3" s="1"/>
  <c r="J131" i="3"/>
  <c r="G131" i="3" s="1"/>
  <c r="J124" i="3"/>
  <c r="G124" i="3" s="1"/>
  <c r="J128" i="3"/>
  <c r="G128" i="3" s="1"/>
  <c r="J132" i="3"/>
  <c r="G132" i="3" s="1"/>
  <c r="J125" i="3"/>
  <c r="G125" i="3" s="1"/>
  <c r="J129" i="3"/>
  <c r="G129" i="3" s="1"/>
  <c r="J133" i="3"/>
  <c r="G133" i="3" s="1"/>
  <c r="J126" i="3"/>
  <c r="G126" i="3" s="1"/>
  <c r="J130" i="3"/>
  <c r="G130" i="3" s="1"/>
  <c r="J122" i="3"/>
  <c r="G122" i="3" s="1"/>
  <c r="J69" i="3"/>
  <c r="G69" i="3" s="1"/>
  <c r="J73" i="3"/>
  <c r="G73" i="3" s="1"/>
  <c r="J77" i="3"/>
  <c r="G77" i="3" s="1"/>
  <c r="J70" i="3"/>
  <c r="G70" i="3" s="1"/>
  <c r="J74" i="3"/>
  <c r="G74" i="3" s="1"/>
  <c r="J78" i="3"/>
  <c r="G78" i="3" s="1"/>
  <c r="J71" i="3"/>
  <c r="G71" i="3" s="1"/>
  <c r="J75" i="3"/>
  <c r="G75" i="3" s="1"/>
  <c r="J79" i="3"/>
  <c r="G79" i="3" s="1"/>
  <c r="J72" i="3"/>
  <c r="G72" i="3" s="1"/>
  <c r="J76" i="3"/>
  <c r="G76" i="3" s="1"/>
  <c r="J68" i="3"/>
  <c r="G68" i="3" s="1"/>
  <c r="J177" i="3"/>
  <c r="G177" i="3" s="1"/>
  <c r="J181" i="3"/>
  <c r="G181" i="3" s="1"/>
  <c r="J185" i="3"/>
  <c r="G185" i="3" s="1"/>
  <c r="J178" i="3"/>
  <c r="G178" i="3" s="1"/>
  <c r="J182" i="3"/>
  <c r="G182" i="3" s="1"/>
  <c r="J186" i="3"/>
  <c r="G186" i="3" s="1"/>
  <c r="J179" i="3"/>
  <c r="G179" i="3" s="1"/>
  <c r="J183" i="3"/>
  <c r="G183" i="3" s="1"/>
  <c r="J187" i="3"/>
  <c r="G187" i="3" s="1"/>
  <c r="J180" i="3"/>
  <c r="G180" i="3" s="1"/>
  <c r="J184" i="3"/>
  <c r="G184" i="3" s="1"/>
  <c r="J176" i="3"/>
  <c r="G176" i="3" s="1"/>
  <c r="J168" i="3"/>
  <c r="G168" i="3" s="1"/>
  <c r="J172" i="3"/>
  <c r="G172" i="3" s="1"/>
  <c r="J164" i="3"/>
  <c r="G164" i="3" s="1"/>
  <c r="J165" i="3"/>
  <c r="G165" i="3" s="1"/>
  <c r="J169" i="3"/>
  <c r="G169" i="3" s="1"/>
  <c r="J173" i="3"/>
  <c r="G173" i="3" s="1"/>
  <c r="J166" i="3"/>
  <c r="G166" i="3" s="1"/>
  <c r="J170" i="3"/>
  <c r="G170" i="3" s="1"/>
  <c r="J174" i="3"/>
  <c r="G174" i="3" s="1"/>
  <c r="J167" i="3"/>
  <c r="G167" i="3" s="1"/>
  <c r="J171" i="3"/>
  <c r="G171" i="3" s="1"/>
  <c r="J175" i="3"/>
  <c r="G175" i="3" s="1"/>
  <c r="J60" i="3"/>
  <c r="G60" i="3" s="1"/>
  <c r="J64" i="3"/>
  <c r="G64" i="3" s="1"/>
  <c r="J56" i="3"/>
  <c r="G56" i="3" s="1"/>
  <c r="J57" i="3"/>
  <c r="G57" i="3" s="1"/>
  <c r="J61" i="3"/>
  <c r="G61" i="3" s="1"/>
  <c r="J65" i="3"/>
  <c r="G65" i="3" s="1"/>
  <c r="J58" i="3"/>
  <c r="G58" i="3" s="1"/>
  <c r="J62" i="3"/>
  <c r="G62" i="3" s="1"/>
  <c r="J66" i="3"/>
  <c r="G66" i="3" s="1"/>
  <c r="J59" i="3"/>
  <c r="G59" i="3" s="1"/>
  <c r="J63" i="3"/>
  <c r="G63" i="3" s="1"/>
  <c r="J67" i="3"/>
  <c r="G67" i="3" s="1"/>
  <c r="E120" i="4"/>
  <c r="E3" i="4"/>
  <c r="E29" i="4"/>
  <c r="E81" i="4"/>
  <c r="E133" i="4"/>
  <c r="E4" i="4"/>
  <c r="J6" i="3"/>
  <c r="G6" i="3" s="1"/>
  <c r="J10" i="3"/>
  <c r="G10" i="3" s="1"/>
  <c r="J2" i="3"/>
  <c r="G2" i="3" s="1"/>
  <c r="J3" i="3"/>
  <c r="G3" i="3" s="1"/>
  <c r="J7" i="3"/>
  <c r="G7" i="3" s="1"/>
  <c r="J11" i="3"/>
  <c r="G11" i="3" s="1"/>
  <c r="J4" i="3"/>
  <c r="G4" i="3" s="1"/>
  <c r="J8" i="3"/>
  <c r="G8" i="3" s="1"/>
  <c r="J12" i="3"/>
  <c r="G12" i="3" s="1"/>
  <c r="J5" i="3"/>
  <c r="G5" i="3" s="1"/>
  <c r="J9" i="3"/>
  <c r="G9" i="3" s="1"/>
  <c r="J13" i="3"/>
  <c r="G13" i="3" s="1"/>
  <c r="E6" i="4"/>
  <c r="J114" i="3"/>
  <c r="G114" i="3" s="1"/>
  <c r="J118" i="3"/>
  <c r="G118" i="3" s="1"/>
  <c r="J110" i="3"/>
  <c r="G110" i="3" s="1"/>
  <c r="J111" i="3"/>
  <c r="G111" i="3" s="1"/>
  <c r="J115" i="3"/>
  <c r="G115" i="3" s="1"/>
  <c r="J119" i="3"/>
  <c r="G119" i="3" s="1"/>
  <c r="J112" i="3"/>
  <c r="G112" i="3" s="1"/>
  <c r="J116" i="3"/>
  <c r="G116" i="3" s="1"/>
  <c r="J120" i="3"/>
  <c r="G120" i="3" s="1"/>
  <c r="J113" i="3"/>
  <c r="G113" i="3" s="1"/>
  <c r="J117" i="3"/>
  <c r="G117" i="3" s="1"/>
  <c r="J121" i="3"/>
  <c r="G121" i="3" s="1"/>
  <c r="E17" i="4"/>
  <c r="E19" i="4"/>
  <c r="E30" i="4"/>
  <c r="E32" i="4"/>
  <c r="E43" i="4"/>
  <c r="E45" i="4"/>
  <c r="E56" i="4"/>
  <c r="E161" i="4"/>
  <c r="E163" i="4"/>
  <c r="E149" i="4"/>
  <c r="E160" i="4"/>
  <c r="E94" i="4"/>
  <c r="E16" i="4"/>
  <c r="E55" i="4"/>
  <c r="E107" i="4"/>
  <c r="E159" i="4"/>
  <c r="E5" i="4"/>
  <c r="E7" i="4"/>
  <c r="E18" i="4"/>
  <c r="E20" i="4"/>
  <c r="E31" i="4"/>
  <c r="E33" i="4"/>
  <c r="E44" i="4"/>
  <c r="E46" i="4"/>
  <c r="E57" i="4"/>
  <c r="E59" i="4"/>
  <c r="E70" i="4"/>
  <c r="E72" i="4"/>
  <c r="E83" i="4"/>
  <c r="E85" i="4"/>
  <c r="E96" i="4"/>
  <c r="E98" i="4"/>
  <c r="E109" i="4"/>
  <c r="E111" i="4"/>
  <c r="E122" i="4"/>
  <c r="E124" i="4"/>
  <c r="E135" i="4"/>
  <c r="E137" i="4"/>
  <c r="E148" i="4"/>
  <c r="E150" i="4"/>
  <c r="E58" i="4"/>
  <c r="E69" i="4"/>
  <c r="E71" i="4"/>
  <c r="E82" i="4"/>
  <c r="E84" i="4"/>
  <c r="E95" i="4"/>
  <c r="E97" i="4"/>
  <c r="E108" i="4"/>
  <c r="E110" i="4"/>
  <c r="E121" i="4"/>
  <c r="E123" i="4"/>
  <c r="E134" i="4"/>
  <c r="E136" i="4"/>
  <c r="E147" i="4"/>
  <c r="E162" i="4"/>
  <c r="E42" i="4"/>
  <c r="E146" i="4"/>
  <c r="F67" i="4"/>
  <c r="F4" i="13" s="1"/>
  <c r="E68" i="4"/>
  <c r="G145" i="4"/>
  <c r="I4" i="19" s="1"/>
  <c r="F158" i="4"/>
  <c r="F4" i="20" s="1"/>
  <c r="J132" i="4"/>
  <c r="R4" i="18" s="1"/>
  <c r="H158" i="4"/>
  <c r="L4" i="20" s="1"/>
  <c r="H54" i="4"/>
  <c r="L4" i="12" s="1"/>
  <c r="G119" i="4"/>
  <c r="I4" i="17" s="1"/>
  <c r="J93" i="4"/>
  <c r="R4" i="15" s="1"/>
  <c r="F145" i="4"/>
  <c r="F4" i="19" s="1"/>
  <c r="J145" i="4"/>
  <c r="R4" i="19" s="1"/>
  <c r="F54" i="4"/>
  <c r="F4" i="12" s="1"/>
  <c r="J15" i="4"/>
  <c r="R4" i="9" s="1"/>
  <c r="G2" i="4"/>
  <c r="H145" i="4"/>
  <c r="L4" i="19" s="1"/>
  <c r="I145" i="4"/>
  <c r="O4" i="19" s="1"/>
  <c r="H119" i="4"/>
  <c r="L4" i="17" s="1"/>
  <c r="I93" i="4"/>
  <c r="O4" i="15" s="1"/>
  <c r="F80" i="4"/>
  <c r="G67" i="4"/>
  <c r="I4" i="13" s="1"/>
  <c r="H67" i="4"/>
  <c r="L4" i="13" s="1"/>
  <c r="I41" i="4"/>
  <c r="O4" i="11" s="1"/>
  <c r="H28" i="4"/>
  <c r="J28" i="4"/>
  <c r="H15" i="4"/>
  <c r="L4" i="9" s="1"/>
  <c r="F15" i="4"/>
  <c r="F4" i="9" s="1"/>
  <c r="H2" i="4"/>
  <c r="J158" i="4"/>
  <c r="R4" i="20" s="1"/>
  <c r="I158" i="4"/>
  <c r="O4" i="20" s="1"/>
  <c r="G158" i="4"/>
  <c r="I4" i="20" s="1"/>
  <c r="F132" i="4"/>
  <c r="F4" i="18" s="1"/>
  <c r="G132" i="4"/>
  <c r="I4" i="18" s="1"/>
  <c r="H132" i="4"/>
  <c r="L4" i="18" s="1"/>
  <c r="I119" i="4"/>
  <c r="O4" i="17" s="1"/>
  <c r="F119" i="4"/>
  <c r="F4" i="17" s="1"/>
  <c r="J119" i="4"/>
  <c r="R4" i="17" s="1"/>
  <c r="H106" i="4"/>
  <c r="L4" i="16" s="1"/>
  <c r="I106" i="4"/>
  <c r="O4" i="16" s="1"/>
  <c r="F106" i="4"/>
  <c r="F4" i="16" s="1"/>
  <c r="J106" i="4"/>
  <c r="R4" i="16" s="1"/>
  <c r="F93" i="4"/>
  <c r="F4" i="15" s="1"/>
  <c r="G93" i="4"/>
  <c r="I4" i="15" s="1"/>
  <c r="H93" i="4"/>
  <c r="L4" i="15" s="1"/>
  <c r="J80" i="4"/>
  <c r="G80" i="4"/>
  <c r="H80" i="4"/>
  <c r="I80" i="4"/>
  <c r="I67" i="4"/>
  <c r="O4" i="13" s="1"/>
  <c r="J54" i="4"/>
  <c r="R4" i="12" s="1"/>
  <c r="I54" i="4"/>
  <c r="O4" i="12" s="1"/>
  <c r="G41" i="4"/>
  <c r="I4" i="11" s="1"/>
  <c r="F41" i="4"/>
  <c r="F4" i="11" s="1"/>
  <c r="J41" i="4"/>
  <c r="R4" i="11" s="1"/>
  <c r="H41" i="4"/>
  <c r="L4" i="11" s="1"/>
  <c r="G28" i="4"/>
  <c r="I28" i="4"/>
  <c r="F28" i="4"/>
  <c r="I15" i="4"/>
  <c r="O4" i="9" s="1"/>
  <c r="J2" i="4"/>
  <c r="I2" i="4"/>
  <c r="D106" i="4"/>
  <c r="D158" i="4"/>
  <c r="D67" i="4"/>
  <c r="D119" i="4"/>
  <c r="D28" i="4"/>
  <c r="D80" i="4"/>
  <c r="D132" i="4"/>
  <c r="D41" i="4"/>
  <c r="D93" i="4"/>
  <c r="D145" i="4"/>
  <c r="D54" i="4"/>
  <c r="F2" i="4"/>
  <c r="D2" i="4"/>
  <c r="K19" i="16" l="1"/>
  <c r="E19" i="19"/>
  <c r="E11" i="20"/>
  <c r="E19" i="16"/>
  <c r="E19" i="18"/>
  <c r="E9" i="20"/>
  <c r="E19" i="20"/>
  <c r="Q19" i="10"/>
  <c r="Q19" i="16"/>
  <c r="Q19" i="18"/>
  <c r="H19" i="18"/>
  <c r="K19" i="19"/>
  <c r="N19" i="20"/>
  <c r="K19" i="20"/>
  <c r="H19" i="20"/>
  <c r="N19" i="9"/>
  <c r="K19" i="9"/>
  <c r="H19" i="9"/>
  <c r="N19" i="10"/>
  <c r="K19" i="10"/>
  <c r="H19" i="10"/>
  <c r="N19" i="11"/>
  <c r="K19" i="11"/>
  <c r="H19" i="13"/>
  <c r="N19" i="16"/>
  <c r="H19" i="16"/>
  <c r="G12" i="7" s="1"/>
  <c r="Q19" i="17"/>
  <c r="N19" i="18"/>
  <c r="K19" i="18"/>
  <c r="Q19" i="19"/>
  <c r="N19" i="19"/>
  <c r="H19" i="19"/>
  <c r="G15" i="7" s="1"/>
  <c r="Q19" i="20"/>
  <c r="Q19" i="11"/>
  <c r="H19" i="11"/>
  <c r="E19" i="11"/>
  <c r="N19" i="12"/>
  <c r="E19" i="13"/>
  <c r="N19" i="14"/>
  <c r="H19" i="15"/>
  <c r="E19" i="17"/>
  <c r="Q19" i="9"/>
  <c r="E19" i="9"/>
  <c r="H19" i="12"/>
  <c r="E19" i="12"/>
  <c r="Q19" i="13"/>
  <c r="N19" i="13"/>
  <c r="K19" i="13"/>
  <c r="Q19" i="14"/>
  <c r="K19" i="14"/>
  <c r="E19" i="14"/>
  <c r="E19" i="15"/>
  <c r="G11" i="7" s="1"/>
  <c r="N19" i="17"/>
  <c r="K19" i="17"/>
  <c r="H19" i="17"/>
  <c r="K19" i="8"/>
  <c r="Q19" i="8"/>
  <c r="E19" i="8"/>
  <c r="H19" i="8"/>
  <c r="N19" i="8"/>
  <c r="G77" i="6"/>
  <c r="N77" i="6"/>
  <c r="L77" i="6"/>
  <c r="G66" i="6"/>
  <c r="N66" i="6"/>
  <c r="L66" i="6"/>
  <c r="G67" i="6"/>
  <c r="N67" i="6"/>
  <c r="L67" i="6"/>
  <c r="G72" i="6"/>
  <c r="N72" i="6"/>
  <c r="L72" i="6"/>
  <c r="G51" i="6"/>
  <c r="L51" i="6"/>
  <c r="N51" i="6"/>
  <c r="G56" i="6"/>
  <c r="N56" i="6"/>
  <c r="L56" i="6"/>
  <c r="G61" i="6"/>
  <c r="N61" i="6"/>
  <c r="L61" i="6"/>
  <c r="G48" i="6"/>
  <c r="N48" i="6"/>
  <c r="L48" i="6"/>
  <c r="G47" i="6"/>
  <c r="N47" i="6"/>
  <c r="L47" i="6"/>
  <c r="G42" i="6"/>
  <c r="N42" i="6"/>
  <c r="L42" i="6"/>
  <c r="G27" i="6"/>
  <c r="N27" i="6"/>
  <c r="L27" i="6"/>
  <c r="G34" i="6"/>
  <c r="N34" i="6"/>
  <c r="L34" i="6"/>
  <c r="G29" i="6"/>
  <c r="N29" i="6"/>
  <c r="L29" i="6"/>
  <c r="G114" i="6"/>
  <c r="N114" i="6"/>
  <c r="L114" i="6"/>
  <c r="G116" i="6"/>
  <c r="N116" i="6"/>
  <c r="L116" i="6"/>
  <c r="G111" i="6"/>
  <c r="L111" i="6"/>
  <c r="N111" i="6"/>
  <c r="G121" i="6"/>
  <c r="N121" i="6"/>
  <c r="L121" i="6"/>
  <c r="G124" i="6"/>
  <c r="N124" i="6"/>
  <c r="L124" i="6"/>
  <c r="G119" i="6"/>
  <c r="N119" i="6"/>
  <c r="L119" i="6"/>
  <c r="G137" i="6"/>
  <c r="N137" i="6"/>
  <c r="L137" i="6"/>
  <c r="G134" i="6"/>
  <c r="N134" i="6"/>
  <c r="L134" i="6"/>
  <c r="G139" i="6"/>
  <c r="N139" i="6"/>
  <c r="L139" i="6"/>
  <c r="G149" i="6"/>
  <c r="N149" i="6"/>
  <c r="L149" i="6"/>
  <c r="G146" i="6"/>
  <c r="N146" i="6"/>
  <c r="L146" i="6"/>
  <c r="G151" i="6"/>
  <c r="N151" i="6"/>
  <c r="L151" i="6"/>
  <c r="G154" i="6"/>
  <c r="N154" i="6"/>
  <c r="L154" i="6"/>
  <c r="G157" i="6"/>
  <c r="N157" i="6"/>
  <c r="L157" i="6"/>
  <c r="G190" i="6"/>
  <c r="N190" i="6"/>
  <c r="L190" i="6"/>
  <c r="G185" i="6"/>
  <c r="N185" i="6"/>
  <c r="L185" i="6"/>
  <c r="G183" i="6"/>
  <c r="N183" i="6"/>
  <c r="L183" i="6"/>
  <c r="G206" i="6"/>
  <c r="N206" i="6"/>
  <c r="L206" i="6"/>
  <c r="G201" i="6"/>
  <c r="N201" i="6"/>
  <c r="L201" i="6"/>
  <c r="G196" i="6"/>
  <c r="N196" i="6"/>
  <c r="L196" i="6"/>
  <c r="G208" i="6"/>
  <c r="N208" i="6"/>
  <c r="L208" i="6"/>
  <c r="G213" i="6"/>
  <c r="N213" i="6"/>
  <c r="L213" i="6"/>
  <c r="G218" i="6"/>
  <c r="N218" i="6"/>
  <c r="L218" i="6"/>
  <c r="G224" i="6"/>
  <c r="N224" i="6"/>
  <c r="L224" i="6"/>
  <c r="G229" i="6"/>
  <c r="N229" i="6"/>
  <c r="L229" i="6"/>
  <c r="G230" i="6"/>
  <c r="N230" i="6"/>
  <c r="L230" i="6"/>
  <c r="G231" i="6"/>
  <c r="N231" i="6"/>
  <c r="L231" i="6"/>
  <c r="G265" i="6"/>
  <c r="N265" i="6"/>
  <c r="L265" i="6"/>
  <c r="G271" i="6"/>
  <c r="N271" i="6"/>
  <c r="L271" i="6"/>
  <c r="G266" i="6"/>
  <c r="N266" i="6"/>
  <c r="L266" i="6"/>
  <c r="G274" i="6"/>
  <c r="N274" i="6"/>
  <c r="L274" i="6"/>
  <c r="G284" i="6"/>
  <c r="N284" i="6"/>
  <c r="L284" i="6"/>
  <c r="G279" i="6"/>
  <c r="N279" i="6"/>
  <c r="L279" i="6"/>
  <c r="G296" i="6"/>
  <c r="N296" i="6"/>
  <c r="L296" i="6"/>
  <c r="G286" i="6"/>
  <c r="N286" i="6"/>
  <c r="L286" i="6"/>
  <c r="G291" i="6"/>
  <c r="N291" i="6"/>
  <c r="L291" i="6"/>
  <c r="G305" i="6"/>
  <c r="N305" i="6"/>
  <c r="L305" i="6"/>
  <c r="G299" i="6"/>
  <c r="N299" i="6"/>
  <c r="L299" i="6"/>
  <c r="G304" i="6"/>
  <c r="N304" i="6"/>
  <c r="L304" i="6"/>
  <c r="G310" i="6"/>
  <c r="N310" i="6"/>
  <c r="L310" i="6"/>
  <c r="G339" i="6"/>
  <c r="N339" i="6"/>
  <c r="L339" i="6"/>
  <c r="G344" i="6"/>
  <c r="N344" i="6"/>
  <c r="L344" i="6"/>
  <c r="G353" i="6"/>
  <c r="N353" i="6"/>
  <c r="L353" i="6"/>
  <c r="G351" i="6"/>
  <c r="N351" i="6"/>
  <c r="L351" i="6"/>
  <c r="G354" i="6"/>
  <c r="N354" i="6"/>
  <c r="L354" i="6"/>
  <c r="G359" i="6"/>
  <c r="N359" i="6"/>
  <c r="L359" i="6"/>
  <c r="G364" i="6"/>
  <c r="N364" i="6"/>
  <c r="L364" i="6"/>
  <c r="G369" i="6"/>
  <c r="N369" i="6"/>
  <c r="L369" i="6"/>
  <c r="G374" i="6"/>
  <c r="N374" i="6"/>
  <c r="L374" i="6"/>
  <c r="G378" i="6"/>
  <c r="L378" i="6"/>
  <c r="N378" i="6"/>
  <c r="G380" i="6"/>
  <c r="N380" i="6"/>
  <c r="L380" i="6"/>
  <c r="G414" i="6"/>
  <c r="N414" i="6"/>
  <c r="L414" i="6"/>
  <c r="G409" i="6"/>
  <c r="N409" i="6"/>
  <c r="L409" i="6"/>
  <c r="G415" i="6"/>
  <c r="N415" i="6"/>
  <c r="L415" i="6"/>
  <c r="G426" i="6"/>
  <c r="N426" i="6"/>
  <c r="L426" i="6"/>
  <c r="G421" i="6"/>
  <c r="N421" i="6"/>
  <c r="L421" i="6"/>
  <c r="G427" i="6"/>
  <c r="N427" i="6"/>
  <c r="L427" i="6"/>
  <c r="G434" i="6"/>
  <c r="N434" i="6"/>
  <c r="L434" i="6"/>
  <c r="G439" i="6"/>
  <c r="N439" i="6"/>
  <c r="L439" i="6"/>
  <c r="G433" i="6"/>
  <c r="N433" i="6"/>
  <c r="L433" i="6"/>
  <c r="G447" i="6"/>
  <c r="N447" i="6"/>
  <c r="L447" i="6"/>
  <c r="G452" i="6"/>
  <c r="N452" i="6"/>
  <c r="L452" i="6"/>
  <c r="G445" i="6"/>
  <c r="N445" i="6"/>
  <c r="L445" i="6"/>
  <c r="G456" i="6"/>
  <c r="N456" i="6"/>
  <c r="L456" i="6"/>
  <c r="G495" i="6"/>
  <c r="N495" i="6"/>
  <c r="L495" i="6"/>
  <c r="G492" i="6"/>
  <c r="L492" i="6"/>
  <c r="N492" i="6"/>
  <c r="G486" i="6"/>
  <c r="N486" i="6"/>
  <c r="L486" i="6"/>
  <c r="G507" i="6"/>
  <c r="L507" i="6"/>
  <c r="N507" i="6"/>
  <c r="G502" i="6"/>
  <c r="N502" i="6"/>
  <c r="L502" i="6"/>
  <c r="G500" i="6"/>
  <c r="N500" i="6"/>
  <c r="L500" i="6"/>
  <c r="G509" i="6"/>
  <c r="N509" i="6"/>
  <c r="L509" i="6"/>
  <c r="G512" i="6"/>
  <c r="N512" i="6"/>
  <c r="L512" i="6"/>
  <c r="G518" i="6"/>
  <c r="N518" i="6"/>
  <c r="L518" i="6"/>
  <c r="G520" i="6"/>
  <c r="N520" i="6"/>
  <c r="L520" i="6"/>
  <c r="G525" i="6"/>
  <c r="N525" i="6"/>
  <c r="L525" i="6"/>
  <c r="G530" i="6"/>
  <c r="N530" i="6"/>
  <c r="L530" i="6"/>
  <c r="G533" i="6"/>
  <c r="L533" i="6"/>
  <c r="N533" i="6"/>
  <c r="G536" i="6"/>
  <c r="N536" i="6"/>
  <c r="L536" i="6"/>
  <c r="G562" i="6"/>
  <c r="N562" i="6"/>
  <c r="L562" i="6"/>
  <c r="G569" i="6"/>
  <c r="N569" i="6"/>
  <c r="L569" i="6"/>
  <c r="G564" i="6"/>
  <c r="L564" i="6"/>
  <c r="N564" i="6"/>
  <c r="G574" i="6"/>
  <c r="N574" i="6"/>
  <c r="L574" i="6"/>
  <c r="G581" i="6"/>
  <c r="L581" i="6"/>
  <c r="N581" i="6"/>
  <c r="G576" i="6"/>
  <c r="N576" i="6"/>
  <c r="L576" i="6"/>
  <c r="G586" i="6"/>
  <c r="N586" i="6"/>
  <c r="L586" i="6"/>
  <c r="G593" i="6"/>
  <c r="N593" i="6"/>
  <c r="L593" i="6"/>
  <c r="G588" i="6"/>
  <c r="N588" i="6"/>
  <c r="L588" i="6"/>
  <c r="G609" i="6"/>
  <c r="N609" i="6"/>
  <c r="L609" i="6"/>
  <c r="G604" i="6"/>
  <c r="N604" i="6"/>
  <c r="L604" i="6"/>
  <c r="G602" i="6"/>
  <c r="N602" i="6"/>
  <c r="L602" i="6"/>
  <c r="G614" i="6"/>
  <c r="N614" i="6"/>
  <c r="L614" i="6"/>
  <c r="G611" i="6"/>
  <c r="N611" i="6"/>
  <c r="L611" i="6"/>
  <c r="G651" i="6"/>
  <c r="N651" i="6"/>
  <c r="L651" i="6"/>
  <c r="G646" i="6"/>
  <c r="N646" i="6"/>
  <c r="L646" i="6"/>
  <c r="G641" i="6"/>
  <c r="N641" i="6"/>
  <c r="L641" i="6"/>
  <c r="G663" i="6"/>
  <c r="N663" i="6"/>
  <c r="L663" i="6"/>
  <c r="G658" i="6"/>
  <c r="L658" i="6"/>
  <c r="N658" i="6"/>
  <c r="G653" i="6"/>
  <c r="N653" i="6"/>
  <c r="L653" i="6"/>
  <c r="G664" i="6"/>
  <c r="N664" i="6"/>
  <c r="L664" i="6"/>
  <c r="G671" i="6"/>
  <c r="N671" i="6"/>
  <c r="L671" i="6"/>
  <c r="G666" i="6"/>
  <c r="N666" i="6"/>
  <c r="L666" i="6"/>
  <c r="G687" i="6"/>
  <c r="N687" i="6"/>
  <c r="L687" i="6"/>
  <c r="G682" i="6"/>
  <c r="N682" i="6"/>
  <c r="L682" i="6"/>
  <c r="G677" i="6"/>
  <c r="N677" i="6"/>
  <c r="L677" i="6"/>
  <c r="G688" i="6"/>
  <c r="N688" i="6"/>
  <c r="L688" i="6"/>
  <c r="G729" i="6"/>
  <c r="N729" i="6"/>
  <c r="L729" i="6"/>
  <c r="G724" i="6"/>
  <c r="N724" i="6"/>
  <c r="L724" i="6"/>
  <c r="G719" i="6"/>
  <c r="N719" i="6"/>
  <c r="L719" i="6"/>
  <c r="G739" i="6"/>
  <c r="N739" i="6"/>
  <c r="L739" i="6"/>
  <c r="G738" i="6"/>
  <c r="L738" i="6"/>
  <c r="N738" i="6"/>
  <c r="G733" i="6"/>
  <c r="N733" i="6"/>
  <c r="L733" i="6"/>
  <c r="G751" i="6"/>
  <c r="N751" i="6"/>
  <c r="L751" i="6"/>
  <c r="G750" i="6"/>
  <c r="N750" i="6"/>
  <c r="L750" i="6"/>
  <c r="G745" i="6"/>
  <c r="N745" i="6"/>
  <c r="L745" i="6"/>
  <c r="G763" i="6"/>
  <c r="L763" i="6"/>
  <c r="N763" i="6"/>
  <c r="G762" i="6"/>
  <c r="N762" i="6"/>
  <c r="L762" i="6"/>
  <c r="G757" i="6"/>
  <c r="N757" i="6"/>
  <c r="L757" i="6"/>
  <c r="G770" i="6"/>
  <c r="L770" i="6"/>
  <c r="N770" i="6"/>
  <c r="G807" i="6"/>
  <c r="N807" i="6"/>
  <c r="L807" i="6"/>
  <c r="G802" i="6"/>
  <c r="N802" i="6"/>
  <c r="L802" i="6"/>
  <c r="G797" i="6"/>
  <c r="N797" i="6"/>
  <c r="L797" i="6"/>
  <c r="G819" i="6"/>
  <c r="N819" i="6"/>
  <c r="L819" i="6"/>
  <c r="G814" i="6"/>
  <c r="N814" i="6"/>
  <c r="L814" i="6"/>
  <c r="G809" i="6"/>
  <c r="N809" i="6"/>
  <c r="L809" i="6"/>
  <c r="G831" i="6"/>
  <c r="N831" i="6"/>
  <c r="L831" i="6"/>
  <c r="G826" i="6"/>
  <c r="N826" i="6"/>
  <c r="L826" i="6"/>
  <c r="G821" i="6"/>
  <c r="N821" i="6"/>
  <c r="L821" i="6"/>
  <c r="G843" i="6"/>
  <c r="N843" i="6"/>
  <c r="L843" i="6"/>
  <c r="G838" i="6"/>
  <c r="N838" i="6"/>
  <c r="L838" i="6"/>
  <c r="G833" i="6"/>
  <c r="N833" i="6"/>
  <c r="L833" i="6"/>
  <c r="G844" i="6"/>
  <c r="L844" i="6"/>
  <c r="N844" i="6"/>
  <c r="G885" i="6"/>
  <c r="L885" i="6"/>
  <c r="N885" i="6"/>
  <c r="G880" i="6"/>
  <c r="N880" i="6"/>
  <c r="L880" i="6"/>
  <c r="G875" i="6"/>
  <c r="N875" i="6"/>
  <c r="L875" i="6"/>
  <c r="G897" i="6"/>
  <c r="N897" i="6"/>
  <c r="L897" i="6"/>
  <c r="G892" i="6"/>
  <c r="N892" i="6"/>
  <c r="L892" i="6"/>
  <c r="G887" i="6"/>
  <c r="N887" i="6"/>
  <c r="L887" i="6"/>
  <c r="G909" i="6"/>
  <c r="L909" i="6"/>
  <c r="N909" i="6"/>
  <c r="G904" i="6"/>
  <c r="N904" i="6"/>
  <c r="L904" i="6"/>
  <c r="G899" i="6"/>
  <c r="N899" i="6"/>
  <c r="L899" i="6"/>
  <c r="G921" i="6"/>
  <c r="N921" i="6"/>
  <c r="L921" i="6"/>
  <c r="G916" i="6"/>
  <c r="N916" i="6"/>
  <c r="L916" i="6"/>
  <c r="G911" i="6"/>
  <c r="N911" i="6"/>
  <c r="L911" i="6"/>
  <c r="G922" i="6"/>
  <c r="N922" i="6"/>
  <c r="L922" i="6"/>
  <c r="G963" i="6"/>
  <c r="N963" i="6"/>
  <c r="L963" i="6"/>
  <c r="G958" i="6"/>
  <c r="L958" i="6"/>
  <c r="N958" i="6"/>
  <c r="G953" i="6"/>
  <c r="N953" i="6"/>
  <c r="L953" i="6"/>
  <c r="G975" i="6"/>
  <c r="L975" i="6"/>
  <c r="N975" i="6"/>
  <c r="G970" i="6"/>
  <c r="N970" i="6"/>
  <c r="L970" i="6"/>
  <c r="G965" i="6"/>
  <c r="N965" i="6"/>
  <c r="L965" i="6"/>
  <c r="G987" i="6"/>
  <c r="N987" i="6"/>
  <c r="L987" i="6"/>
  <c r="G982" i="6"/>
  <c r="L982" i="6"/>
  <c r="N982" i="6"/>
  <c r="G977" i="6"/>
  <c r="N977" i="6"/>
  <c r="L977" i="6"/>
  <c r="G999" i="6"/>
  <c r="N999" i="6"/>
  <c r="L999" i="6"/>
  <c r="G994" i="6"/>
  <c r="N994" i="6"/>
  <c r="L994" i="6"/>
  <c r="G989" i="6"/>
  <c r="N989" i="6"/>
  <c r="L989" i="6"/>
  <c r="G1000" i="6"/>
  <c r="N1000" i="6"/>
  <c r="L1000" i="6"/>
  <c r="G78" i="6"/>
  <c r="N78" i="6"/>
  <c r="L78" i="6"/>
  <c r="G70" i="6"/>
  <c r="N70" i="6"/>
  <c r="L70" i="6"/>
  <c r="G71" i="6"/>
  <c r="N71" i="6"/>
  <c r="L71" i="6"/>
  <c r="G65" i="6"/>
  <c r="N65" i="6"/>
  <c r="L65" i="6"/>
  <c r="G55" i="6"/>
  <c r="N55" i="6"/>
  <c r="L55" i="6"/>
  <c r="G60" i="6"/>
  <c r="N60" i="6"/>
  <c r="L60" i="6"/>
  <c r="G54" i="6"/>
  <c r="N54" i="6"/>
  <c r="L54" i="6"/>
  <c r="G44" i="6"/>
  <c r="N44" i="6"/>
  <c r="L44" i="6"/>
  <c r="G43" i="6"/>
  <c r="N43" i="6"/>
  <c r="L43" i="6"/>
  <c r="G49" i="6"/>
  <c r="L49" i="6"/>
  <c r="N49" i="6"/>
  <c r="G35" i="6"/>
  <c r="L35" i="6"/>
  <c r="N35" i="6"/>
  <c r="G30" i="6"/>
  <c r="N30" i="6"/>
  <c r="L30" i="6"/>
  <c r="G36" i="6"/>
  <c r="N36" i="6"/>
  <c r="L36" i="6"/>
  <c r="G110" i="6"/>
  <c r="N110" i="6"/>
  <c r="L110" i="6"/>
  <c r="G112" i="6"/>
  <c r="N112" i="6"/>
  <c r="L112" i="6"/>
  <c r="G107" i="6"/>
  <c r="N107" i="6"/>
  <c r="L107" i="6"/>
  <c r="G117" i="6"/>
  <c r="N117" i="6"/>
  <c r="L117" i="6"/>
  <c r="G120" i="6"/>
  <c r="N120" i="6"/>
  <c r="L120" i="6"/>
  <c r="G126" i="6"/>
  <c r="N126" i="6"/>
  <c r="L126" i="6"/>
  <c r="G129" i="6"/>
  <c r="N129" i="6"/>
  <c r="L129" i="6"/>
  <c r="G138" i="6"/>
  <c r="N138" i="6"/>
  <c r="L138" i="6"/>
  <c r="G132" i="6"/>
  <c r="N132" i="6"/>
  <c r="L132" i="6"/>
  <c r="G141" i="6"/>
  <c r="N141" i="6"/>
  <c r="L141" i="6"/>
  <c r="G150" i="6"/>
  <c r="N150" i="6"/>
  <c r="L150" i="6"/>
  <c r="G144" i="6"/>
  <c r="N144" i="6"/>
  <c r="L144" i="6"/>
  <c r="G155" i="6"/>
  <c r="N155" i="6"/>
  <c r="L155" i="6"/>
  <c r="G191" i="6"/>
  <c r="N191" i="6"/>
  <c r="L191" i="6"/>
  <c r="G186" i="6"/>
  <c r="N186" i="6"/>
  <c r="L186" i="6"/>
  <c r="G192" i="6"/>
  <c r="N192" i="6"/>
  <c r="L192" i="6"/>
  <c r="G195" i="6"/>
  <c r="N195" i="6"/>
  <c r="L195" i="6"/>
  <c r="G202" i="6"/>
  <c r="N202" i="6"/>
  <c r="L202" i="6"/>
  <c r="G197" i="6"/>
  <c r="N197" i="6"/>
  <c r="L197" i="6"/>
  <c r="G207" i="6"/>
  <c r="N207" i="6"/>
  <c r="L207" i="6"/>
  <c r="G212" i="6"/>
  <c r="N212" i="6"/>
  <c r="L212" i="6"/>
  <c r="G217" i="6"/>
  <c r="N217" i="6"/>
  <c r="L217" i="6"/>
  <c r="G219" i="6"/>
  <c r="N219" i="6"/>
  <c r="L219" i="6"/>
  <c r="G228" i="6"/>
  <c r="N228" i="6"/>
  <c r="L228" i="6"/>
  <c r="G223" i="6"/>
  <c r="N223" i="6"/>
  <c r="L223" i="6"/>
  <c r="G232" i="6"/>
  <c r="L232" i="6"/>
  <c r="N232" i="6"/>
  <c r="G235" i="6"/>
  <c r="N235" i="6"/>
  <c r="L235" i="6"/>
  <c r="G272" i="6"/>
  <c r="N272" i="6"/>
  <c r="L272" i="6"/>
  <c r="G267" i="6"/>
  <c r="N267" i="6"/>
  <c r="L267" i="6"/>
  <c r="G262" i="6"/>
  <c r="N262" i="6"/>
  <c r="L262" i="6"/>
  <c r="G273" i="6"/>
  <c r="N273" i="6"/>
  <c r="L273" i="6"/>
  <c r="G280" i="6"/>
  <c r="N280" i="6"/>
  <c r="L280" i="6"/>
  <c r="G275" i="6"/>
  <c r="N275" i="6"/>
  <c r="L275" i="6"/>
  <c r="G285" i="6"/>
  <c r="N285" i="6"/>
  <c r="L285" i="6"/>
  <c r="G290" i="6"/>
  <c r="N290" i="6"/>
  <c r="L290" i="6"/>
  <c r="G295" i="6"/>
  <c r="N295" i="6"/>
  <c r="L295" i="6"/>
  <c r="G298" i="6"/>
  <c r="N298" i="6"/>
  <c r="L298" i="6"/>
  <c r="G303" i="6"/>
  <c r="N303" i="6"/>
  <c r="L303" i="6"/>
  <c r="G308" i="6"/>
  <c r="N308" i="6"/>
  <c r="L308" i="6"/>
  <c r="G311" i="6"/>
  <c r="N311" i="6"/>
  <c r="L311" i="6"/>
  <c r="G342" i="6"/>
  <c r="N342" i="6"/>
  <c r="L342" i="6"/>
  <c r="G340" i="6"/>
  <c r="N340" i="6"/>
  <c r="L340" i="6"/>
  <c r="G349" i="6"/>
  <c r="N349" i="6"/>
  <c r="L349" i="6"/>
  <c r="G347" i="6"/>
  <c r="N347" i="6"/>
  <c r="L347" i="6"/>
  <c r="G358" i="6"/>
  <c r="N358" i="6"/>
  <c r="L358" i="6"/>
  <c r="G363" i="6"/>
  <c r="N363" i="6"/>
  <c r="L363" i="6"/>
  <c r="G368" i="6"/>
  <c r="N368" i="6"/>
  <c r="L368" i="6"/>
  <c r="G373" i="6"/>
  <c r="N373" i="6"/>
  <c r="L373" i="6"/>
  <c r="G367" i="6"/>
  <c r="N367" i="6"/>
  <c r="L367" i="6"/>
  <c r="G379" i="6"/>
  <c r="N379" i="6"/>
  <c r="L379" i="6"/>
  <c r="G410" i="6"/>
  <c r="N410" i="6"/>
  <c r="L410" i="6"/>
  <c r="G416" i="6"/>
  <c r="N416" i="6"/>
  <c r="L416" i="6"/>
  <c r="G411" i="6"/>
  <c r="N411" i="6"/>
  <c r="L411" i="6"/>
  <c r="G422" i="6"/>
  <c r="N422" i="6"/>
  <c r="L422" i="6"/>
  <c r="G428" i="6"/>
  <c r="N428" i="6"/>
  <c r="L428" i="6"/>
  <c r="G423" i="6"/>
  <c r="N423" i="6"/>
  <c r="L423" i="6"/>
  <c r="G438" i="6"/>
  <c r="N438" i="6"/>
  <c r="L438" i="6"/>
  <c r="G432" i="6"/>
  <c r="N432" i="6"/>
  <c r="L432" i="6"/>
  <c r="G437" i="6"/>
  <c r="N437" i="6"/>
  <c r="L437" i="6"/>
  <c r="G451" i="6"/>
  <c r="N451" i="6"/>
  <c r="L451" i="6"/>
  <c r="G442" i="6"/>
  <c r="N442" i="6"/>
  <c r="L442" i="6"/>
  <c r="G449" i="6"/>
  <c r="N449" i="6"/>
  <c r="L449" i="6"/>
  <c r="G457" i="6"/>
  <c r="N457" i="6"/>
  <c r="L457" i="6"/>
  <c r="G491" i="6"/>
  <c r="N491" i="6"/>
  <c r="L491" i="6"/>
  <c r="G488" i="6"/>
  <c r="N488" i="6"/>
  <c r="L488" i="6"/>
  <c r="G493" i="6"/>
  <c r="N493" i="6"/>
  <c r="L493" i="6"/>
  <c r="G503" i="6"/>
  <c r="L503" i="6"/>
  <c r="N503" i="6"/>
  <c r="G498" i="6"/>
  <c r="N498" i="6"/>
  <c r="L498" i="6"/>
  <c r="G505" i="6"/>
  <c r="N505" i="6"/>
  <c r="L505" i="6"/>
  <c r="G513" i="6"/>
  <c r="N513" i="6"/>
  <c r="L513" i="6"/>
  <c r="G516" i="6"/>
  <c r="N516" i="6"/>
  <c r="L516" i="6"/>
  <c r="G511" i="6"/>
  <c r="N511" i="6"/>
  <c r="L511" i="6"/>
  <c r="G524" i="6"/>
  <c r="N524" i="6"/>
  <c r="L524" i="6"/>
  <c r="G529" i="6"/>
  <c r="N529" i="6"/>
  <c r="L529" i="6"/>
  <c r="G523" i="6"/>
  <c r="L523" i="6"/>
  <c r="N523" i="6"/>
  <c r="G534" i="6"/>
  <c r="N534" i="6"/>
  <c r="L534" i="6"/>
  <c r="G570" i="6"/>
  <c r="N570" i="6"/>
  <c r="L570" i="6"/>
  <c r="G565" i="6"/>
  <c r="N565" i="6"/>
  <c r="L565" i="6"/>
  <c r="G571" i="6"/>
  <c r="N571" i="6"/>
  <c r="L571" i="6"/>
  <c r="G582" i="6"/>
  <c r="N582" i="6"/>
  <c r="L582" i="6"/>
  <c r="G577" i="6"/>
  <c r="N577" i="6"/>
  <c r="L577" i="6"/>
  <c r="G583" i="6"/>
  <c r="N583" i="6"/>
  <c r="L583" i="6"/>
  <c r="G594" i="6"/>
  <c r="N594" i="6"/>
  <c r="L594" i="6"/>
  <c r="G589" i="6"/>
  <c r="N589" i="6"/>
  <c r="L589" i="6"/>
  <c r="G595" i="6"/>
  <c r="N595" i="6"/>
  <c r="L595" i="6"/>
  <c r="G605" i="6"/>
  <c r="N605" i="6"/>
  <c r="L605" i="6"/>
  <c r="G600" i="6"/>
  <c r="N600" i="6"/>
  <c r="L600" i="6"/>
  <c r="G607" i="6"/>
  <c r="N607" i="6"/>
  <c r="L607" i="6"/>
  <c r="G612" i="6"/>
  <c r="N612" i="6"/>
  <c r="L612" i="6"/>
  <c r="G640" i="6"/>
  <c r="N640" i="6"/>
  <c r="L640" i="6"/>
  <c r="G647" i="6"/>
  <c r="N647" i="6"/>
  <c r="L647" i="6"/>
  <c r="G642" i="6"/>
  <c r="L642" i="6"/>
  <c r="N642" i="6"/>
  <c r="G652" i="6"/>
  <c r="N652" i="6"/>
  <c r="L652" i="6"/>
  <c r="G659" i="6"/>
  <c r="N659" i="6"/>
  <c r="L659" i="6"/>
  <c r="G654" i="6"/>
  <c r="L654" i="6"/>
  <c r="N654" i="6"/>
  <c r="G673" i="6"/>
  <c r="N673" i="6"/>
  <c r="L673" i="6"/>
  <c r="G672" i="6"/>
  <c r="N672" i="6"/>
  <c r="L672" i="6"/>
  <c r="G667" i="6"/>
  <c r="N667" i="6"/>
  <c r="L667" i="6"/>
  <c r="G676" i="6"/>
  <c r="N676" i="6"/>
  <c r="L676" i="6"/>
  <c r="G683" i="6"/>
  <c r="N683" i="6"/>
  <c r="L683" i="6"/>
  <c r="G678" i="6"/>
  <c r="N678" i="6"/>
  <c r="L678" i="6"/>
  <c r="G692" i="6"/>
  <c r="N692" i="6"/>
  <c r="L692" i="6"/>
  <c r="G689" i="6"/>
  <c r="N689" i="6"/>
  <c r="L689" i="6"/>
  <c r="G718" i="6"/>
  <c r="N718" i="6"/>
  <c r="L718" i="6"/>
  <c r="G725" i="6"/>
  <c r="N725" i="6"/>
  <c r="L725" i="6"/>
  <c r="G720" i="6"/>
  <c r="N720" i="6"/>
  <c r="L720" i="6"/>
  <c r="G740" i="6"/>
  <c r="N740" i="6"/>
  <c r="L740" i="6"/>
  <c r="G735" i="6"/>
  <c r="N735" i="6"/>
  <c r="L735" i="6"/>
  <c r="G734" i="6"/>
  <c r="N734" i="6"/>
  <c r="L734" i="6"/>
  <c r="G752" i="6"/>
  <c r="N752" i="6"/>
  <c r="L752" i="6"/>
  <c r="G747" i="6"/>
  <c r="L747" i="6"/>
  <c r="N747" i="6"/>
  <c r="G746" i="6"/>
  <c r="N746" i="6"/>
  <c r="L746" i="6"/>
  <c r="G764" i="6"/>
  <c r="N764" i="6"/>
  <c r="L764" i="6"/>
  <c r="G759" i="6"/>
  <c r="L759" i="6"/>
  <c r="N759" i="6"/>
  <c r="G758" i="6"/>
  <c r="L758" i="6"/>
  <c r="N758" i="6"/>
  <c r="G768" i="6"/>
  <c r="N768" i="6"/>
  <c r="L768" i="6"/>
  <c r="G769" i="6"/>
  <c r="N769" i="6"/>
  <c r="L769" i="6"/>
  <c r="G796" i="6"/>
  <c r="N796" i="6"/>
  <c r="L796" i="6"/>
  <c r="G803" i="6"/>
  <c r="N803" i="6"/>
  <c r="L803" i="6"/>
  <c r="G798" i="6"/>
  <c r="N798" i="6"/>
  <c r="L798" i="6"/>
  <c r="G808" i="6"/>
  <c r="N808" i="6"/>
  <c r="L808" i="6"/>
  <c r="G815" i="6"/>
  <c r="N815" i="6"/>
  <c r="L815" i="6"/>
  <c r="G810" i="6"/>
  <c r="N810" i="6"/>
  <c r="L810" i="6"/>
  <c r="G820" i="6"/>
  <c r="L820" i="6"/>
  <c r="N820" i="6"/>
  <c r="G827" i="6"/>
  <c r="N827" i="6"/>
  <c r="L827" i="6"/>
  <c r="G822" i="6"/>
  <c r="N822" i="6"/>
  <c r="L822" i="6"/>
  <c r="G832" i="6"/>
  <c r="N832" i="6"/>
  <c r="L832" i="6"/>
  <c r="G839" i="6"/>
  <c r="N839" i="6"/>
  <c r="L839" i="6"/>
  <c r="G834" i="6"/>
  <c r="N834" i="6"/>
  <c r="L834" i="6"/>
  <c r="G846" i="6"/>
  <c r="N846" i="6"/>
  <c r="L846" i="6"/>
  <c r="G845" i="6"/>
  <c r="L845" i="6"/>
  <c r="N845" i="6"/>
  <c r="G874" i="6"/>
  <c r="N874" i="6"/>
  <c r="L874" i="6"/>
  <c r="G881" i="6"/>
  <c r="N881" i="6"/>
  <c r="L881" i="6"/>
  <c r="G876" i="6"/>
  <c r="N876" i="6"/>
  <c r="L876" i="6"/>
  <c r="G886" i="6"/>
  <c r="L886" i="6"/>
  <c r="N886" i="6"/>
  <c r="G893" i="6"/>
  <c r="L893" i="6"/>
  <c r="N893" i="6"/>
  <c r="G888" i="6"/>
  <c r="N888" i="6"/>
  <c r="L888" i="6"/>
  <c r="G898" i="6"/>
  <c r="N898" i="6"/>
  <c r="L898" i="6"/>
  <c r="G905" i="6"/>
  <c r="N905" i="6"/>
  <c r="L905" i="6"/>
  <c r="G900" i="6"/>
  <c r="N900" i="6"/>
  <c r="L900" i="6"/>
  <c r="G910" i="6"/>
  <c r="N910" i="6"/>
  <c r="L910" i="6"/>
  <c r="G917" i="6"/>
  <c r="L917" i="6"/>
  <c r="N917" i="6"/>
  <c r="G912" i="6"/>
  <c r="N912" i="6"/>
  <c r="L912" i="6"/>
  <c r="G926" i="6"/>
  <c r="N926" i="6"/>
  <c r="L926" i="6"/>
  <c r="G923" i="6"/>
  <c r="N923" i="6"/>
  <c r="L923" i="6"/>
  <c r="G952" i="6"/>
  <c r="N952" i="6"/>
  <c r="L952" i="6"/>
  <c r="G959" i="6"/>
  <c r="L959" i="6"/>
  <c r="N959" i="6"/>
  <c r="G954" i="6"/>
  <c r="N954" i="6"/>
  <c r="L954" i="6"/>
  <c r="G964" i="6"/>
  <c r="N964" i="6"/>
  <c r="L964" i="6"/>
  <c r="G971" i="6"/>
  <c r="N971" i="6"/>
  <c r="L971" i="6"/>
  <c r="G966" i="6"/>
  <c r="L966" i="6"/>
  <c r="N966" i="6"/>
  <c r="G976" i="6"/>
  <c r="N976" i="6"/>
  <c r="L976" i="6"/>
  <c r="G983" i="6"/>
  <c r="N983" i="6"/>
  <c r="L983" i="6"/>
  <c r="G978" i="6"/>
  <c r="N978" i="6"/>
  <c r="L978" i="6"/>
  <c r="G988" i="6"/>
  <c r="N988" i="6"/>
  <c r="L988" i="6"/>
  <c r="G995" i="6"/>
  <c r="N995" i="6"/>
  <c r="L995" i="6"/>
  <c r="G990" i="6"/>
  <c r="L990" i="6"/>
  <c r="N990" i="6"/>
  <c r="G1004" i="6"/>
  <c r="N1004" i="6"/>
  <c r="L1004" i="6"/>
  <c r="G1001" i="6"/>
  <c r="N1001" i="6"/>
  <c r="L1001" i="6"/>
  <c r="G75" i="6"/>
  <c r="N75" i="6"/>
  <c r="L75" i="6"/>
  <c r="G74" i="6"/>
  <c r="N74" i="6"/>
  <c r="L74" i="6"/>
  <c r="G64" i="6"/>
  <c r="N64" i="6"/>
  <c r="L64" i="6"/>
  <c r="G69" i="6"/>
  <c r="N69" i="6"/>
  <c r="L69" i="6"/>
  <c r="G59" i="6"/>
  <c r="N59" i="6"/>
  <c r="L59" i="6"/>
  <c r="G53" i="6"/>
  <c r="L53" i="6"/>
  <c r="N53" i="6"/>
  <c r="G58" i="6"/>
  <c r="N58" i="6"/>
  <c r="L58" i="6"/>
  <c r="G40" i="6"/>
  <c r="N40" i="6"/>
  <c r="L40" i="6"/>
  <c r="G50" i="6"/>
  <c r="N50" i="6"/>
  <c r="L50" i="6"/>
  <c r="G45" i="6"/>
  <c r="N45" i="6"/>
  <c r="L45" i="6"/>
  <c r="G31" i="6"/>
  <c r="N31" i="6"/>
  <c r="L31" i="6"/>
  <c r="G37" i="6"/>
  <c r="L37" i="6"/>
  <c r="N37" i="6"/>
  <c r="G32" i="6"/>
  <c r="N32" i="6"/>
  <c r="L32" i="6"/>
  <c r="G113" i="6"/>
  <c r="N113" i="6"/>
  <c r="L113" i="6"/>
  <c r="G108" i="6"/>
  <c r="N108" i="6"/>
  <c r="L108" i="6"/>
  <c r="G106" i="6"/>
  <c r="N106" i="6"/>
  <c r="L106" i="6"/>
  <c r="G125" i="6"/>
  <c r="N125" i="6"/>
  <c r="L125" i="6"/>
  <c r="G127" i="6"/>
  <c r="N127" i="6"/>
  <c r="L127" i="6"/>
  <c r="G122" i="6"/>
  <c r="N122" i="6"/>
  <c r="L122" i="6"/>
  <c r="G133" i="6"/>
  <c r="N133" i="6"/>
  <c r="L133" i="6"/>
  <c r="G131" i="6"/>
  <c r="N131" i="6"/>
  <c r="L131" i="6"/>
  <c r="G136" i="6"/>
  <c r="N136" i="6"/>
  <c r="L136" i="6"/>
  <c r="G145" i="6"/>
  <c r="N145" i="6"/>
  <c r="L145" i="6"/>
  <c r="G143" i="6"/>
  <c r="L143" i="6"/>
  <c r="N143" i="6"/>
  <c r="G148" i="6"/>
  <c r="N148" i="6"/>
  <c r="L148" i="6"/>
  <c r="G156" i="6"/>
  <c r="N156" i="6"/>
  <c r="L156" i="6"/>
  <c r="G187" i="6"/>
  <c r="N187" i="6"/>
  <c r="L187" i="6"/>
  <c r="G193" i="6"/>
  <c r="N193" i="6"/>
  <c r="L193" i="6"/>
  <c r="G188" i="6"/>
  <c r="N188" i="6"/>
  <c r="L188" i="6"/>
  <c r="G203" i="6"/>
  <c r="N203" i="6"/>
  <c r="L203" i="6"/>
  <c r="G198" i="6"/>
  <c r="N198" i="6"/>
  <c r="L198" i="6"/>
  <c r="G204" i="6"/>
  <c r="N204" i="6"/>
  <c r="L204" i="6"/>
  <c r="G211" i="6"/>
  <c r="N211" i="6"/>
  <c r="L211" i="6"/>
  <c r="G216" i="6"/>
  <c r="N216" i="6"/>
  <c r="L216" i="6"/>
  <c r="G210" i="6"/>
  <c r="N210" i="6"/>
  <c r="L210" i="6"/>
  <c r="G227" i="6"/>
  <c r="N227" i="6"/>
  <c r="L227" i="6"/>
  <c r="G221" i="6"/>
  <c r="N221" i="6"/>
  <c r="L221" i="6"/>
  <c r="G222" i="6"/>
  <c r="N222" i="6"/>
  <c r="L222" i="6"/>
  <c r="G233" i="6"/>
  <c r="N233" i="6"/>
  <c r="L233" i="6"/>
  <c r="G261" i="6"/>
  <c r="N261" i="6"/>
  <c r="L261" i="6"/>
  <c r="G268" i="6"/>
  <c r="N268" i="6"/>
  <c r="L268" i="6"/>
  <c r="G263" i="6"/>
  <c r="N263" i="6"/>
  <c r="L263" i="6"/>
  <c r="G282" i="6"/>
  <c r="N282" i="6"/>
  <c r="L282" i="6"/>
  <c r="G281" i="6"/>
  <c r="N281" i="6"/>
  <c r="L281" i="6"/>
  <c r="G276" i="6"/>
  <c r="N276" i="6"/>
  <c r="L276" i="6"/>
  <c r="G288" i="6"/>
  <c r="N288" i="6"/>
  <c r="L288" i="6"/>
  <c r="G289" i="6"/>
  <c r="L289" i="6"/>
  <c r="N289" i="6"/>
  <c r="G294" i="6"/>
  <c r="N294" i="6"/>
  <c r="L294" i="6"/>
  <c r="G297" i="6"/>
  <c r="N297" i="6"/>
  <c r="L297" i="6"/>
  <c r="G302" i="6"/>
  <c r="N302" i="6"/>
  <c r="L302" i="6"/>
  <c r="G307" i="6"/>
  <c r="N307" i="6"/>
  <c r="L307" i="6"/>
  <c r="G309" i="6"/>
  <c r="N309" i="6"/>
  <c r="L309" i="6"/>
  <c r="G312" i="6"/>
  <c r="N312" i="6"/>
  <c r="L312" i="6"/>
  <c r="G345" i="6"/>
  <c r="N345" i="6"/>
  <c r="L345" i="6"/>
  <c r="G346" i="6"/>
  <c r="L346" i="6"/>
  <c r="N346" i="6"/>
  <c r="G352" i="6"/>
  <c r="N352" i="6"/>
  <c r="L352" i="6"/>
  <c r="G357" i="6"/>
  <c r="N357" i="6"/>
  <c r="L357" i="6"/>
  <c r="G362" i="6"/>
  <c r="N362" i="6"/>
  <c r="L362" i="6"/>
  <c r="G356" i="6"/>
  <c r="N356" i="6"/>
  <c r="L356" i="6"/>
  <c r="G372" i="6"/>
  <c r="N372" i="6"/>
  <c r="L372" i="6"/>
  <c r="G366" i="6"/>
  <c r="N366" i="6"/>
  <c r="L366" i="6"/>
  <c r="G371" i="6"/>
  <c r="N371" i="6"/>
  <c r="L371" i="6"/>
  <c r="G377" i="6"/>
  <c r="N377" i="6"/>
  <c r="L377" i="6"/>
  <c r="G417" i="6"/>
  <c r="N417" i="6"/>
  <c r="L417" i="6"/>
  <c r="G412" i="6"/>
  <c r="N412" i="6"/>
  <c r="L412" i="6"/>
  <c r="G407" i="6"/>
  <c r="N407" i="6"/>
  <c r="L407" i="6"/>
  <c r="G429" i="6"/>
  <c r="N429" i="6"/>
  <c r="L429" i="6"/>
  <c r="G424" i="6"/>
  <c r="N424" i="6"/>
  <c r="L424" i="6"/>
  <c r="G419" i="6"/>
  <c r="N419" i="6"/>
  <c r="L419" i="6"/>
  <c r="G431" i="6"/>
  <c r="N431" i="6"/>
  <c r="L431" i="6"/>
  <c r="G436" i="6"/>
  <c r="N436" i="6"/>
  <c r="L436" i="6"/>
  <c r="G441" i="6"/>
  <c r="N441" i="6"/>
  <c r="L441" i="6"/>
  <c r="G444" i="6"/>
  <c r="N444" i="6"/>
  <c r="L444" i="6"/>
  <c r="G446" i="6"/>
  <c r="N446" i="6"/>
  <c r="L446" i="6"/>
  <c r="G453" i="6"/>
  <c r="N453" i="6"/>
  <c r="L453" i="6"/>
  <c r="N454" i="6"/>
  <c r="L454" i="6"/>
  <c r="G487" i="6"/>
  <c r="N487" i="6"/>
  <c r="L487" i="6"/>
  <c r="G494" i="6"/>
  <c r="N494" i="6"/>
  <c r="L494" i="6"/>
  <c r="G489" i="6"/>
  <c r="N489" i="6"/>
  <c r="L489" i="6"/>
  <c r="G499" i="6"/>
  <c r="N499" i="6"/>
  <c r="L499" i="6"/>
  <c r="G496" i="6"/>
  <c r="N496" i="6"/>
  <c r="L496" i="6"/>
  <c r="G501" i="6"/>
  <c r="N501" i="6"/>
  <c r="L501" i="6"/>
  <c r="G517" i="6"/>
  <c r="N517" i="6"/>
  <c r="L517" i="6"/>
  <c r="G510" i="6"/>
  <c r="N510" i="6"/>
  <c r="L510" i="6"/>
  <c r="G515" i="6"/>
  <c r="N515" i="6"/>
  <c r="L515" i="6"/>
  <c r="G528" i="6"/>
  <c r="N528" i="6"/>
  <c r="L528" i="6"/>
  <c r="G522" i="6"/>
  <c r="N522" i="6"/>
  <c r="L522" i="6"/>
  <c r="G527" i="6"/>
  <c r="N527" i="6"/>
  <c r="L527" i="6"/>
  <c r="G535" i="6"/>
  <c r="L535" i="6"/>
  <c r="N535" i="6"/>
  <c r="G566" i="6"/>
  <c r="N566" i="6"/>
  <c r="L566" i="6"/>
  <c r="G572" i="6"/>
  <c r="N572" i="6"/>
  <c r="L572" i="6"/>
  <c r="G567" i="6"/>
  <c r="N567" i="6"/>
  <c r="L567" i="6"/>
  <c r="G578" i="6"/>
  <c r="N578" i="6"/>
  <c r="L578" i="6"/>
  <c r="G584" i="6"/>
  <c r="N584" i="6"/>
  <c r="L584" i="6"/>
  <c r="G579" i="6"/>
  <c r="N579" i="6"/>
  <c r="L579" i="6"/>
  <c r="G590" i="6"/>
  <c r="N590" i="6"/>
  <c r="L590" i="6"/>
  <c r="G596" i="6"/>
  <c r="N596" i="6"/>
  <c r="L596" i="6"/>
  <c r="G591" i="6"/>
  <c r="N591" i="6"/>
  <c r="L591" i="6"/>
  <c r="G601" i="6"/>
  <c r="L601" i="6"/>
  <c r="N601" i="6"/>
  <c r="G598" i="6"/>
  <c r="N598" i="6"/>
  <c r="L598" i="6"/>
  <c r="G603" i="6"/>
  <c r="N603" i="6"/>
  <c r="L603" i="6"/>
  <c r="G613" i="6"/>
  <c r="L613" i="6"/>
  <c r="N613" i="6"/>
  <c r="G648" i="6"/>
  <c r="N648" i="6"/>
  <c r="L648" i="6"/>
  <c r="G643" i="6"/>
  <c r="N643" i="6"/>
  <c r="L643" i="6"/>
  <c r="G649" i="6"/>
  <c r="L649" i="6"/>
  <c r="N649" i="6"/>
  <c r="G660" i="6"/>
  <c r="N660" i="6"/>
  <c r="L660" i="6"/>
  <c r="G655" i="6"/>
  <c r="N655" i="6"/>
  <c r="L655" i="6"/>
  <c r="G661" i="6"/>
  <c r="N661" i="6"/>
  <c r="L661" i="6"/>
  <c r="G669" i="6"/>
  <c r="L669" i="6"/>
  <c r="N669" i="6"/>
  <c r="G668" i="6"/>
  <c r="N668" i="6"/>
  <c r="L668" i="6"/>
  <c r="G674" i="6"/>
  <c r="L674" i="6"/>
  <c r="N674" i="6"/>
  <c r="G684" i="6"/>
  <c r="N684" i="6"/>
  <c r="L684" i="6"/>
  <c r="G679" i="6"/>
  <c r="N679" i="6"/>
  <c r="L679" i="6"/>
  <c r="G685" i="6"/>
  <c r="N685" i="6"/>
  <c r="L685" i="6"/>
  <c r="G691" i="6"/>
  <c r="N691" i="6"/>
  <c r="L691" i="6"/>
  <c r="G726" i="6"/>
  <c r="L726" i="6"/>
  <c r="N726" i="6"/>
  <c r="G721" i="6"/>
  <c r="N721" i="6"/>
  <c r="L721" i="6"/>
  <c r="G727" i="6"/>
  <c r="L727" i="6"/>
  <c r="N727" i="6"/>
  <c r="G736" i="6"/>
  <c r="N736" i="6"/>
  <c r="L736" i="6"/>
  <c r="G731" i="6"/>
  <c r="L731" i="6"/>
  <c r="N731" i="6"/>
  <c r="G741" i="6"/>
  <c r="N741" i="6"/>
  <c r="L741" i="6"/>
  <c r="G748" i="6"/>
  <c r="N748" i="6"/>
  <c r="L748" i="6"/>
  <c r="G743" i="6"/>
  <c r="L743" i="6"/>
  <c r="N743" i="6"/>
  <c r="G753" i="6"/>
  <c r="N753" i="6"/>
  <c r="L753" i="6"/>
  <c r="G760" i="6"/>
  <c r="N760" i="6"/>
  <c r="L760" i="6"/>
  <c r="G755" i="6"/>
  <c r="N755" i="6"/>
  <c r="L755" i="6"/>
  <c r="G765" i="6"/>
  <c r="N765" i="6"/>
  <c r="L765" i="6"/>
  <c r="G766" i="6"/>
  <c r="N766" i="6"/>
  <c r="L766" i="6"/>
  <c r="G804" i="6"/>
  <c r="L804" i="6"/>
  <c r="N804" i="6"/>
  <c r="G799" i="6"/>
  <c r="N799" i="6"/>
  <c r="L799" i="6"/>
  <c r="G805" i="6"/>
  <c r="N805" i="6"/>
  <c r="L805" i="6"/>
  <c r="G816" i="6"/>
  <c r="L816" i="6"/>
  <c r="N816" i="6"/>
  <c r="G811" i="6"/>
  <c r="N811" i="6"/>
  <c r="L811" i="6"/>
  <c r="G817" i="6"/>
  <c r="N817" i="6"/>
  <c r="L817" i="6"/>
  <c r="G828" i="6"/>
  <c r="L828" i="6"/>
  <c r="N828" i="6"/>
  <c r="G823" i="6"/>
  <c r="N823" i="6"/>
  <c r="L823" i="6"/>
  <c r="G829" i="6"/>
  <c r="L829" i="6"/>
  <c r="N829" i="6"/>
  <c r="G840" i="6"/>
  <c r="N840" i="6"/>
  <c r="L840" i="6"/>
  <c r="G835" i="6"/>
  <c r="N835" i="6"/>
  <c r="L835" i="6"/>
  <c r="G841" i="6"/>
  <c r="N841" i="6"/>
  <c r="L841" i="6"/>
  <c r="G848" i="6"/>
  <c r="N848" i="6"/>
  <c r="L848" i="6"/>
  <c r="G882" i="6"/>
  <c r="N882" i="6"/>
  <c r="L882" i="6"/>
  <c r="G877" i="6"/>
  <c r="L877" i="6"/>
  <c r="N877" i="6"/>
  <c r="G883" i="6"/>
  <c r="N883" i="6"/>
  <c r="L883" i="6"/>
  <c r="G894" i="6"/>
  <c r="N894" i="6"/>
  <c r="L894" i="6"/>
  <c r="G889" i="6"/>
  <c r="N889" i="6"/>
  <c r="L889" i="6"/>
  <c r="G895" i="6"/>
  <c r="N895" i="6"/>
  <c r="L895" i="6"/>
  <c r="G906" i="6"/>
  <c r="N906" i="6"/>
  <c r="L906" i="6"/>
  <c r="G901" i="6"/>
  <c r="L901" i="6"/>
  <c r="N901" i="6"/>
  <c r="G907" i="6"/>
  <c r="N907" i="6"/>
  <c r="L907" i="6"/>
  <c r="G918" i="6"/>
  <c r="L918" i="6"/>
  <c r="N918" i="6"/>
  <c r="G913" i="6"/>
  <c r="N913" i="6"/>
  <c r="L913" i="6"/>
  <c r="G919" i="6"/>
  <c r="N919" i="6"/>
  <c r="L919" i="6"/>
  <c r="G925" i="6"/>
  <c r="L925" i="6"/>
  <c r="N925" i="6"/>
  <c r="G960" i="6"/>
  <c r="N960" i="6"/>
  <c r="L960" i="6"/>
  <c r="G955" i="6"/>
  <c r="N955" i="6"/>
  <c r="L955" i="6"/>
  <c r="G961" i="6"/>
  <c r="N961" i="6"/>
  <c r="L961" i="6"/>
  <c r="G972" i="6"/>
  <c r="N972" i="6"/>
  <c r="L972" i="6"/>
  <c r="G967" i="6"/>
  <c r="N967" i="6"/>
  <c r="L967" i="6"/>
  <c r="G973" i="6"/>
  <c r="N973" i="6"/>
  <c r="L973" i="6"/>
  <c r="G984" i="6"/>
  <c r="N984" i="6"/>
  <c r="L984" i="6"/>
  <c r="G979" i="6"/>
  <c r="N979" i="6"/>
  <c r="L979" i="6"/>
  <c r="G985" i="6"/>
  <c r="N985" i="6"/>
  <c r="L985" i="6"/>
  <c r="G996" i="6"/>
  <c r="N996" i="6"/>
  <c r="L996" i="6"/>
  <c r="G991" i="6"/>
  <c r="L991" i="6"/>
  <c r="N991" i="6"/>
  <c r="G997" i="6"/>
  <c r="N997" i="6"/>
  <c r="L997" i="6"/>
  <c r="G1003" i="6"/>
  <c r="N1003" i="6"/>
  <c r="L1003" i="6"/>
  <c r="G76" i="6"/>
  <c r="N76" i="6"/>
  <c r="L76" i="6"/>
  <c r="G63" i="6"/>
  <c r="N63" i="6"/>
  <c r="L63" i="6"/>
  <c r="G68" i="6"/>
  <c r="N68" i="6"/>
  <c r="L68" i="6"/>
  <c r="G73" i="6"/>
  <c r="N73" i="6"/>
  <c r="L73" i="6"/>
  <c r="G52" i="6"/>
  <c r="N52" i="6"/>
  <c r="L52" i="6"/>
  <c r="G57" i="6"/>
  <c r="L57" i="6"/>
  <c r="N57" i="6"/>
  <c r="G62" i="6"/>
  <c r="N62" i="6"/>
  <c r="L62" i="6"/>
  <c r="G39" i="6"/>
  <c r="N39" i="6"/>
  <c r="L39" i="6"/>
  <c r="G46" i="6"/>
  <c r="N46" i="6"/>
  <c r="L46" i="6"/>
  <c r="G41" i="6"/>
  <c r="L41" i="6"/>
  <c r="N41" i="6"/>
  <c r="G38" i="6"/>
  <c r="N38" i="6"/>
  <c r="L38" i="6"/>
  <c r="G33" i="6"/>
  <c r="L33" i="6"/>
  <c r="N33" i="6"/>
  <c r="G28" i="6"/>
  <c r="N28" i="6"/>
  <c r="L28" i="6"/>
  <c r="G109" i="6"/>
  <c r="N109" i="6"/>
  <c r="L109" i="6"/>
  <c r="G115" i="6"/>
  <c r="N115" i="6"/>
  <c r="L115" i="6"/>
  <c r="G105" i="6"/>
  <c r="N105" i="6"/>
  <c r="L105" i="6"/>
  <c r="G128" i="6"/>
  <c r="N128" i="6"/>
  <c r="L128" i="6"/>
  <c r="G123" i="6"/>
  <c r="N123" i="6"/>
  <c r="L123" i="6"/>
  <c r="G118" i="6"/>
  <c r="N118" i="6"/>
  <c r="L118" i="6"/>
  <c r="G130" i="6"/>
  <c r="N130" i="6"/>
  <c r="L130" i="6"/>
  <c r="G135" i="6"/>
  <c r="N135" i="6"/>
  <c r="L135" i="6"/>
  <c r="G140" i="6"/>
  <c r="N140" i="6"/>
  <c r="L140" i="6"/>
  <c r="G142" i="6"/>
  <c r="N142" i="6"/>
  <c r="L142" i="6"/>
  <c r="G147" i="6"/>
  <c r="N147" i="6"/>
  <c r="L147" i="6"/>
  <c r="G152" i="6"/>
  <c r="N152" i="6"/>
  <c r="L152" i="6"/>
  <c r="G153" i="6"/>
  <c r="N153" i="6"/>
  <c r="L153" i="6"/>
  <c r="G194" i="6"/>
  <c r="N194" i="6"/>
  <c r="L194" i="6"/>
  <c r="G189" i="6"/>
  <c r="N189" i="6"/>
  <c r="L189" i="6"/>
  <c r="G184" i="6"/>
  <c r="N184" i="6"/>
  <c r="L184" i="6"/>
  <c r="G199" i="6"/>
  <c r="N199" i="6"/>
  <c r="L199" i="6"/>
  <c r="G205" i="6"/>
  <c r="N205" i="6"/>
  <c r="L205" i="6"/>
  <c r="G200" i="6"/>
  <c r="L200" i="6"/>
  <c r="N200" i="6"/>
  <c r="G215" i="6"/>
  <c r="N215" i="6"/>
  <c r="L215" i="6"/>
  <c r="G209" i="6"/>
  <c r="N209" i="6"/>
  <c r="L209" i="6"/>
  <c r="G214" i="6"/>
  <c r="N214" i="6"/>
  <c r="L214" i="6"/>
  <c r="G220" i="6"/>
  <c r="N220" i="6"/>
  <c r="L220" i="6"/>
  <c r="G225" i="6"/>
  <c r="N225" i="6"/>
  <c r="L225" i="6"/>
  <c r="G226" i="6"/>
  <c r="N226" i="6"/>
  <c r="L226" i="6"/>
  <c r="G234" i="6"/>
  <c r="N234" i="6"/>
  <c r="L234" i="6"/>
  <c r="G269" i="6"/>
  <c r="N269" i="6"/>
  <c r="L269" i="6"/>
  <c r="G264" i="6"/>
  <c r="N264" i="6"/>
  <c r="L264" i="6"/>
  <c r="G270" i="6"/>
  <c r="N270" i="6"/>
  <c r="L270" i="6"/>
  <c r="G278" i="6"/>
  <c r="N278" i="6"/>
  <c r="L278" i="6"/>
  <c r="G277" i="6"/>
  <c r="N277" i="6"/>
  <c r="L277" i="6"/>
  <c r="G283" i="6"/>
  <c r="N283" i="6"/>
  <c r="L283" i="6"/>
  <c r="G292" i="6"/>
  <c r="N292" i="6"/>
  <c r="L292" i="6"/>
  <c r="G293" i="6"/>
  <c r="N293" i="6"/>
  <c r="L293" i="6"/>
  <c r="G287" i="6"/>
  <c r="N287" i="6"/>
  <c r="L287" i="6"/>
  <c r="G301" i="6"/>
  <c r="N301" i="6"/>
  <c r="L301" i="6"/>
  <c r="G306" i="6"/>
  <c r="N306" i="6"/>
  <c r="L306" i="6"/>
  <c r="G300" i="6"/>
  <c r="N300" i="6"/>
  <c r="L300" i="6"/>
  <c r="G313" i="6"/>
  <c r="N313" i="6"/>
  <c r="L313" i="6"/>
  <c r="G343" i="6"/>
  <c r="N343" i="6"/>
  <c r="L343" i="6"/>
  <c r="G341" i="6"/>
  <c r="N341" i="6"/>
  <c r="L341" i="6"/>
  <c r="G350" i="6"/>
  <c r="N350" i="6"/>
  <c r="L350" i="6"/>
  <c r="G348" i="6"/>
  <c r="N348" i="6"/>
  <c r="L348" i="6"/>
  <c r="G361" i="6"/>
  <c r="N361" i="6"/>
  <c r="L361" i="6"/>
  <c r="G355" i="6"/>
  <c r="N355" i="6"/>
  <c r="L355" i="6"/>
  <c r="G360" i="6"/>
  <c r="N360" i="6"/>
  <c r="L360" i="6"/>
  <c r="G365" i="6"/>
  <c r="N365" i="6"/>
  <c r="L365" i="6"/>
  <c r="G370" i="6"/>
  <c r="N370" i="6"/>
  <c r="L370" i="6"/>
  <c r="G375" i="6"/>
  <c r="N375" i="6"/>
  <c r="L375" i="6"/>
  <c r="G376" i="6"/>
  <c r="N376" i="6"/>
  <c r="L376" i="6"/>
  <c r="G406" i="6"/>
  <c r="N406" i="6"/>
  <c r="L406" i="6"/>
  <c r="G413" i="6"/>
  <c r="N413" i="6"/>
  <c r="L413" i="6"/>
  <c r="G408" i="6"/>
  <c r="N408" i="6"/>
  <c r="L408" i="6"/>
  <c r="G418" i="6"/>
  <c r="N418" i="6"/>
  <c r="L418" i="6"/>
  <c r="G425" i="6"/>
  <c r="N425" i="6"/>
  <c r="L425" i="6"/>
  <c r="G420" i="6"/>
  <c r="N420" i="6"/>
  <c r="L420" i="6"/>
  <c r="G430" i="6"/>
  <c r="N430" i="6"/>
  <c r="L430" i="6"/>
  <c r="G435" i="6"/>
  <c r="L435" i="6"/>
  <c r="N435" i="6"/>
  <c r="G440" i="6"/>
  <c r="N440" i="6"/>
  <c r="L440" i="6"/>
  <c r="G443" i="6"/>
  <c r="N443" i="6"/>
  <c r="L443" i="6"/>
  <c r="G448" i="6"/>
  <c r="N448" i="6"/>
  <c r="L448" i="6"/>
  <c r="G450" i="6"/>
  <c r="N450" i="6"/>
  <c r="L450" i="6"/>
  <c r="G455" i="6"/>
  <c r="N455" i="6"/>
  <c r="L455" i="6"/>
  <c r="G458" i="6"/>
  <c r="N458" i="6"/>
  <c r="L458" i="6"/>
  <c r="G484" i="6"/>
  <c r="N484" i="6"/>
  <c r="L484" i="6"/>
  <c r="G490" i="6"/>
  <c r="N490" i="6"/>
  <c r="L490" i="6"/>
  <c r="G485" i="6"/>
  <c r="N485" i="6"/>
  <c r="L485" i="6"/>
  <c r="G506" i="6"/>
  <c r="N506" i="6"/>
  <c r="L506" i="6"/>
  <c r="G504" i="6"/>
  <c r="N504" i="6"/>
  <c r="L504" i="6"/>
  <c r="G497" i="6"/>
  <c r="N497" i="6"/>
  <c r="L497" i="6"/>
  <c r="G508" i="6"/>
  <c r="N508" i="6"/>
  <c r="L508" i="6"/>
  <c r="G514" i="6"/>
  <c r="N514" i="6"/>
  <c r="L514" i="6"/>
  <c r="G519" i="6"/>
  <c r="N519" i="6"/>
  <c r="L519" i="6"/>
  <c r="G521" i="6"/>
  <c r="N521" i="6"/>
  <c r="L521" i="6"/>
  <c r="G526" i="6"/>
  <c r="N526" i="6"/>
  <c r="L526" i="6"/>
  <c r="G531" i="6"/>
  <c r="N531" i="6"/>
  <c r="L531" i="6"/>
  <c r="G532" i="6"/>
  <c r="N532" i="6"/>
  <c r="L532" i="6"/>
  <c r="G573" i="6"/>
  <c r="N573" i="6"/>
  <c r="L573" i="6"/>
  <c r="G568" i="6"/>
  <c r="N568" i="6"/>
  <c r="L568" i="6"/>
  <c r="G563" i="6"/>
  <c r="N563" i="6"/>
  <c r="L563" i="6"/>
  <c r="G585" i="6"/>
  <c r="L585" i="6"/>
  <c r="N585" i="6"/>
  <c r="G580" i="6"/>
  <c r="L580" i="6"/>
  <c r="N580" i="6"/>
  <c r="G575" i="6"/>
  <c r="N575" i="6"/>
  <c r="L575" i="6"/>
  <c r="G597" i="6"/>
  <c r="L597" i="6"/>
  <c r="N597" i="6"/>
  <c r="G592" i="6"/>
  <c r="L592" i="6"/>
  <c r="N592" i="6"/>
  <c r="G587" i="6"/>
  <c r="N587" i="6"/>
  <c r="L587" i="6"/>
  <c r="G608" i="6"/>
  <c r="N608" i="6"/>
  <c r="L608" i="6"/>
  <c r="G606" i="6"/>
  <c r="N606" i="6"/>
  <c r="L606" i="6"/>
  <c r="G599" i="6"/>
  <c r="N599" i="6"/>
  <c r="L599" i="6"/>
  <c r="G610" i="6"/>
  <c r="N610" i="6"/>
  <c r="L610" i="6"/>
  <c r="G644" i="6"/>
  <c r="N644" i="6"/>
  <c r="L644" i="6"/>
  <c r="G650" i="6"/>
  <c r="N650" i="6"/>
  <c r="L650" i="6"/>
  <c r="G645" i="6"/>
  <c r="N645" i="6"/>
  <c r="L645" i="6"/>
  <c r="G656" i="6"/>
  <c r="N656" i="6"/>
  <c r="L656" i="6"/>
  <c r="G662" i="6"/>
  <c r="N662" i="6"/>
  <c r="L662" i="6"/>
  <c r="G657" i="6"/>
  <c r="N657" i="6"/>
  <c r="L657" i="6"/>
  <c r="G665" i="6"/>
  <c r="N665" i="6"/>
  <c r="L665" i="6"/>
  <c r="G675" i="6"/>
  <c r="N675" i="6"/>
  <c r="L675" i="6"/>
  <c r="G670" i="6"/>
  <c r="L670" i="6"/>
  <c r="N670" i="6"/>
  <c r="G680" i="6"/>
  <c r="N680" i="6"/>
  <c r="L680" i="6"/>
  <c r="G686" i="6"/>
  <c r="L686" i="6"/>
  <c r="N686" i="6"/>
  <c r="G681" i="6"/>
  <c r="L681" i="6"/>
  <c r="N681" i="6"/>
  <c r="G690" i="6"/>
  <c r="L690" i="6"/>
  <c r="N690" i="6"/>
  <c r="G722" i="6"/>
  <c r="N722" i="6"/>
  <c r="L722" i="6"/>
  <c r="G728" i="6"/>
  <c r="N728" i="6"/>
  <c r="L728" i="6"/>
  <c r="G723" i="6"/>
  <c r="N723" i="6"/>
  <c r="L723" i="6"/>
  <c r="G732" i="6"/>
  <c r="N732" i="6"/>
  <c r="L732" i="6"/>
  <c r="G730" i="6"/>
  <c r="N730" i="6"/>
  <c r="L730" i="6"/>
  <c r="G737" i="6"/>
  <c r="N737" i="6"/>
  <c r="L737" i="6"/>
  <c r="G744" i="6"/>
  <c r="N744" i="6"/>
  <c r="L744" i="6"/>
  <c r="G742" i="6"/>
  <c r="N742" i="6"/>
  <c r="L742" i="6"/>
  <c r="G749" i="6"/>
  <c r="N749" i="6"/>
  <c r="L749" i="6"/>
  <c r="G756" i="6"/>
  <c r="N756" i="6"/>
  <c r="L756" i="6"/>
  <c r="G754" i="6"/>
  <c r="N754" i="6"/>
  <c r="L754" i="6"/>
  <c r="G761" i="6"/>
  <c r="N761" i="6"/>
  <c r="L761" i="6"/>
  <c r="G767" i="6"/>
  <c r="N767" i="6"/>
  <c r="L767" i="6"/>
  <c r="G800" i="6"/>
  <c r="L800" i="6"/>
  <c r="N800" i="6"/>
  <c r="G806" i="6"/>
  <c r="N806" i="6"/>
  <c r="L806" i="6"/>
  <c r="G801" i="6"/>
  <c r="N801" i="6"/>
  <c r="L801" i="6"/>
  <c r="G812" i="6"/>
  <c r="N812" i="6"/>
  <c r="L812" i="6"/>
  <c r="G818" i="6"/>
  <c r="N818" i="6"/>
  <c r="L818" i="6"/>
  <c r="G813" i="6"/>
  <c r="N813" i="6"/>
  <c r="L813" i="6"/>
  <c r="G824" i="6"/>
  <c r="N824" i="6"/>
  <c r="L824" i="6"/>
  <c r="G830" i="6"/>
  <c r="N830" i="6"/>
  <c r="L830" i="6"/>
  <c r="G825" i="6"/>
  <c r="N825" i="6"/>
  <c r="L825" i="6"/>
  <c r="G836" i="6"/>
  <c r="L836" i="6"/>
  <c r="N836" i="6"/>
  <c r="G842" i="6"/>
  <c r="N842" i="6"/>
  <c r="L842" i="6"/>
  <c r="G837" i="6"/>
  <c r="N837" i="6"/>
  <c r="L837" i="6"/>
  <c r="G847" i="6"/>
  <c r="N847" i="6"/>
  <c r="L847" i="6"/>
  <c r="G878" i="6"/>
  <c r="N878" i="6"/>
  <c r="L878" i="6"/>
  <c r="G884" i="6"/>
  <c r="N884" i="6"/>
  <c r="L884" i="6"/>
  <c r="G879" i="6"/>
  <c r="N879" i="6"/>
  <c r="L879" i="6"/>
  <c r="G890" i="6"/>
  <c r="N890" i="6"/>
  <c r="L890" i="6"/>
  <c r="G896" i="6"/>
  <c r="N896" i="6"/>
  <c r="L896" i="6"/>
  <c r="G891" i="6"/>
  <c r="N891" i="6"/>
  <c r="L891" i="6"/>
  <c r="G902" i="6"/>
  <c r="L902" i="6"/>
  <c r="N902" i="6"/>
  <c r="G908" i="6"/>
  <c r="N908" i="6"/>
  <c r="L908" i="6"/>
  <c r="G903" i="6"/>
  <c r="N903" i="6"/>
  <c r="L903" i="6"/>
  <c r="G914" i="6"/>
  <c r="N914" i="6"/>
  <c r="L914" i="6"/>
  <c r="G920" i="6"/>
  <c r="N920" i="6"/>
  <c r="L920" i="6"/>
  <c r="G915" i="6"/>
  <c r="N915" i="6"/>
  <c r="L915" i="6"/>
  <c r="G924" i="6"/>
  <c r="N924" i="6"/>
  <c r="L924" i="6"/>
  <c r="G956" i="6"/>
  <c r="N956" i="6"/>
  <c r="L956" i="6"/>
  <c r="G962" i="6"/>
  <c r="N962" i="6"/>
  <c r="L962" i="6"/>
  <c r="G957" i="6"/>
  <c r="N957" i="6"/>
  <c r="L957" i="6"/>
  <c r="G968" i="6"/>
  <c r="N968" i="6"/>
  <c r="L968" i="6"/>
  <c r="G974" i="6"/>
  <c r="L974" i="6"/>
  <c r="N974" i="6"/>
  <c r="G969" i="6"/>
  <c r="N969" i="6"/>
  <c r="L969" i="6"/>
  <c r="G980" i="6"/>
  <c r="N980" i="6"/>
  <c r="L980" i="6"/>
  <c r="G986" i="6"/>
  <c r="N986" i="6"/>
  <c r="L986" i="6"/>
  <c r="G981" i="6"/>
  <c r="N981" i="6"/>
  <c r="L981" i="6"/>
  <c r="G992" i="6"/>
  <c r="N992" i="6"/>
  <c r="L992" i="6"/>
  <c r="G998" i="6"/>
  <c r="L998" i="6"/>
  <c r="N998" i="6"/>
  <c r="G993" i="6"/>
  <c r="N993" i="6"/>
  <c r="L993" i="6"/>
  <c r="G1002" i="6"/>
  <c r="N1002" i="6"/>
  <c r="L1002" i="6"/>
  <c r="S5" i="20"/>
  <c r="S14" i="20"/>
  <c r="S10" i="20"/>
  <c r="G14" i="20"/>
  <c r="G5" i="20"/>
  <c r="G10" i="20"/>
  <c r="J10" i="20"/>
  <c r="J14" i="20"/>
  <c r="J5" i="20"/>
  <c r="M5" i="20"/>
  <c r="M14" i="20"/>
  <c r="M10" i="20"/>
  <c r="P5" i="20"/>
  <c r="P10" i="20"/>
  <c r="P14" i="20"/>
  <c r="E15" i="20"/>
  <c r="K15" i="19"/>
  <c r="K15" i="20"/>
  <c r="H15" i="20"/>
  <c r="Q11" i="20"/>
  <c r="Q10" i="20" s="1"/>
  <c r="H11" i="20"/>
  <c r="H10" i="20" s="1"/>
  <c r="K11" i="20"/>
  <c r="K10" i="20" s="1"/>
  <c r="N11" i="20"/>
  <c r="N10" i="20" s="1"/>
  <c r="H9" i="20"/>
  <c r="E7" i="20"/>
  <c r="Q8" i="20"/>
  <c r="N8" i="20"/>
  <c r="H8" i="20"/>
  <c r="K8" i="20"/>
  <c r="E6" i="19"/>
  <c r="Q7" i="19"/>
  <c r="E6" i="20"/>
  <c r="K7" i="20"/>
  <c r="H7" i="20"/>
  <c r="N7" i="20"/>
  <c r="Q7" i="20"/>
  <c r="N6" i="20"/>
  <c r="K6" i="20"/>
  <c r="H6" i="20"/>
  <c r="N7" i="19"/>
  <c r="K7" i="19"/>
  <c r="H7" i="19"/>
  <c r="E8" i="19"/>
  <c r="Q9" i="19"/>
  <c r="E9" i="19"/>
  <c r="N9" i="19"/>
  <c r="Q6" i="20"/>
  <c r="K9" i="19"/>
  <c r="E11" i="19"/>
  <c r="E10" i="19" s="1"/>
  <c r="E10" i="20"/>
  <c r="Q11" i="18"/>
  <c r="Q10" i="18" s="1"/>
  <c r="K11" i="18"/>
  <c r="K10" i="18" s="1"/>
  <c r="E7" i="19"/>
  <c r="Q8" i="19"/>
  <c r="Q11" i="19"/>
  <c r="Q10" i="19" s="1"/>
  <c r="N11" i="19"/>
  <c r="N10" i="19" s="1"/>
  <c r="H11" i="19"/>
  <c r="H10" i="19" s="1"/>
  <c r="E15" i="19"/>
  <c r="H15" i="19"/>
  <c r="K11" i="19"/>
  <c r="K10" i="19" s="1"/>
  <c r="P14" i="19"/>
  <c r="P5" i="19"/>
  <c r="P10" i="19"/>
  <c r="N6" i="19"/>
  <c r="H6" i="19"/>
  <c r="K8" i="19"/>
  <c r="H8" i="19"/>
  <c r="Q6" i="19"/>
  <c r="K6" i="19"/>
  <c r="N8" i="19"/>
  <c r="M10" i="19"/>
  <c r="M14" i="19"/>
  <c r="M5" i="19"/>
  <c r="S5" i="19"/>
  <c r="S14" i="19"/>
  <c r="S10" i="19"/>
  <c r="J10" i="19"/>
  <c r="J5" i="19"/>
  <c r="J14" i="19"/>
  <c r="G14" i="19"/>
  <c r="G5" i="19"/>
  <c r="G10" i="19"/>
  <c r="H9" i="19"/>
  <c r="K6" i="17"/>
  <c r="H6" i="17"/>
  <c r="E6" i="17"/>
  <c r="E7" i="17"/>
  <c r="E7" i="18"/>
  <c r="Q8" i="18"/>
  <c r="N8" i="18"/>
  <c r="E6" i="18"/>
  <c r="N7" i="18"/>
  <c r="E11" i="18"/>
  <c r="E10" i="18" s="1"/>
  <c r="K15" i="18"/>
  <c r="Q7" i="18"/>
  <c r="E15" i="18"/>
  <c r="H15" i="18"/>
  <c r="H11" i="18"/>
  <c r="H10" i="18" s="1"/>
  <c r="N11" i="18"/>
  <c r="N10" i="18" s="1"/>
  <c r="E9" i="18"/>
  <c r="K7" i="18"/>
  <c r="Q9" i="18"/>
  <c r="N9" i="18"/>
  <c r="K9" i="18"/>
  <c r="H7" i="18"/>
  <c r="E8" i="18"/>
  <c r="Q6" i="18"/>
  <c r="K6" i="18"/>
  <c r="H6" i="18"/>
  <c r="K8" i="18"/>
  <c r="H8" i="18"/>
  <c r="P5" i="18"/>
  <c r="P14" i="18"/>
  <c r="P10" i="18"/>
  <c r="N6" i="18"/>
  <c r="G10" i="18"/>
  <c r="G5" i="18"/>
  <c r="G14" i="18"/>
  <c r="H9" i="18"/>
  <c r="J14" i="18"/>
  <c r="J5" i="18"/>
  <c r="J10" i="18"/>
  <c r="M14" i="18"/>
  <c r="M10" i="18"/>
  <c r="M5" i="18"/>
  <c r="S14" i="18"/>
  <c r="S10" i="18"/>
  <c r="S5" i="18"/>
  <c r="E11" i="17"/>
  <c r="E10" i="17" s="1"/>
  <c r="Q8" i="17"/>
  <c r="K11" i="17"/>
  <c r="K10" i="17" s="1"/>
  <c r="H11" i="17"/>
  <c r="H10" i="17" s="1"/>
  <c r="E15" i="17"/>
  <c r="K15" i="17"/>
  <c r="H15" i="17"/>
  <c r="Q11" i="17"/>
  <c r="Q10" i="17" s="1"/>
  <c r="N11" i="17"/>
  <c r="N10" i="17" s="1"/>
  <c r="E9" i="17"/>
  <c r="E8" i="17"/>
  <c r="N9" i="17"/>
  <c r="K8" i="17"/>
  <c r="H8" i="17"/>
  <c r="J10" i="17"/>
  <c r="J5" i="17"/>
  <c r="J14" i="17"/>
  <c r="N7" i="17"/>
  <c r="K9" i="17"/>
  <c r="G10" i="17"/>
  <c r="G5" i="17"/>
  <c r="G14" i="17"/>
  <c r="P10" i="17"/>
  <c r="P5" i="17"/>
  <c r="P14" i="17"/>
  <c r="Q7" i="17"/>
  <c r="H7" i="17"/>
  <c r="N8" i="17"/>
  <c r="Q9" i="17"/>
  <c r="H9" i="17"/>
  <c r="S10" i="17"/>
  <c r="S5" i="17"/>
  <c r="S14" i="17"/>
  <c r="K7" i="17"/>
  <c r="M10" i="17"/>
  <c r="M14" i="17"/>
  <c r="M5" i="17"/>
  <c r="Q6" i="17"/>
  <c r="N6" i="17"/>
  <c r="Q11" i="16"/>
  <c r="Q10" i="16" s="1"/>
  <c r="N11" i="16"/>
  <c r="N10" i="16" s="1"/>
  <c r="H6" i="16"/>
  <c r="N8" i="16"/>
  <c r="N9" i="16"/>
  <c r="K9" i="16"/>
  <c r="K6" i="16"/>
  <c r="E7" i="16"/>
  <c r="K8" i="16"/>
  <c r="K15" i="16"/>
  <c r="E15" i="16"/>
  <c r="H15" i="16"/>
  <c r="E11" i="16"/>
  <c r="E10" i="16" s="1"/>
  <c r="K11" i="16"/>
  <c r="K10" i="16" s="1"/>
  <c r="H11" i="16"/>
  <c r="H10" i="16" s="1"/>
  <c r="S14" i="16"/>
  <c r="S10" i="16"/>
  <c r="S5" i="16"/>
  <c r="G14" i="16"/>
  <c r="G5" i="16"/>
  <c r="G10" i="16"/>
  <c r="J10" i="16"/>
  <c r="J14" i="16"/>
  <c r="J5" i="16"/>
  <c r="P14" i="16"/>
  <c r="P10" i="16"/>
  <c r="P5" i="16"/>
  <c r="Q8" i="16"/>
  <c r="Q9" i="16"/>
  <c r="E9" i="16"/>
  <c r="H8" i="16"/>
  <c r="E8" i="16"/>
  <c r="Q6" i="16"/>
  <c r="N6" i="16"/>
  <c r="H7" i="16"/>
  <c r="H9" i="16"/>
  <c r="M14" i="16"/>
  <c r="M10" i="16"/>
  <c r="M5" i="16"/>
  <c r="E6" i="16"/>
  <c r="Q7" i="16"/>
  <c r="N7" i="16"/>
  <c r="K7" i="16"/>
  <c r="E11" i="15"/>
  <c r="E10" i="15" s="1"/>
  <c r="E6" i="15"/>
  <c r="K7" i="15"/>
  <c r="N8" i="15"/>
  <c r="H8" i="15"/>
  <c r="N9" i="15"/>
  <c r="K9" i="15"/>
  <c r="H15" i="15"/>
  <c r="E15" i="15"/>
  <c r="N7" i="15"/>
  <c r="H7" i="15"/>
  <c r="K8" i="15"/>
  <c r="E8" i="15"/>
  <c r="E9" i="15"/>
  <c r="Q11" i="15"/>
  <c r="Q10" i="15" s="1"/>
  <c r="N11" i="15"/>
  <c r="N10" i="15" s="1"/>
  <c r="H11" i="15"/>
  <c r="H10" i="15" s="1"/>
  <c r="K11" i="15"/>
  <c r="K10" i="15" s="1"/>
  <c r="Q8" i="15"/>
  <c r="N6" i="15"/>
  <c r="K6" i="15"/>
  <c r="E7" i="15"/>
  <c r="Q9" i="15"/>
  <c r="Q6" i="15"/>
  <c r="H6" i="15"/>
  <c r="Q7" i="15"/>
  <c r="H9" i="15"/>
  <c r="K15" i="15"/>
  <c r="O4" i="14"/>
  <c r="P14" i="14" s="1"/>
  <c r="L4" i="14"/>
  <c r="M14" i="14" s="1"/>
  <c r="I4" i="14"/>
  <c r="J14" i="14" s="1"/>
  <c r="F4" i="14"/>
  <c r="G5" i="14" s="1"/>
  <c r="R4" i="14"/>
  <c r="S10" i="14" s="1"/>
  <c r="K11" i="14"/>
  <c r="K10" i="14" s="1"/>
  <c r="H11" i="14"/>
  <c r="H10" i="14" s="1"/>
  <c r="N7" i="14"/>
  <c r="H7" i="14"/>
  <c r="E8" i="14"/>
  <c r="Q9" i="14"/>
  <c r="E9" i="14"/>
  <c r="E6" i="14"/>
  <c r="K7" i="14"/>
  <c r="K9" i="14"/>
  <c r="H15" i="14"/>
  <c r="E15" i="14"/>
  <c r="K15" i="14"/>
  <c r="E11" i="14"/>
  <c r="E10" i="14" s="1"/>
  <c r="Q11" i="14"/>
  <c r="Q10" i="14" s="1"/>
  <c r="N11" i="14"/>
  <c r="N10" i="14" s="1"/>
  <c r="K6" i="14"/>
  <c r="N6" i="14"/>
  <c r="E7" i="14"/>
  <c r="Q8" i="14"/>
  <c r="N8" i="14"/>
  <c r="K8" i="14"/>
  <c r="Q6" i="14"/>
  <c r="Q7" i="14"/>
  <c r="N9" i="14"/>
  <c r="H9" i="14"/>
  <c r="H6" i="14"/>
  <c r="H8" i="14"/>
  <c r="N9" i="13"/>
  <c r="K11" i="13"/>
  <c r="K10" i="13" s="1"/>
  <c r="E15" i="13"/>
  <c r="Q11" i="13"/>
  <c r="Q10" i="13" s="1"/>
  <c r="H11" i="13"/>
  <c r="H10" i="13" s="1"/>
  <c r="N11" i="13"/>
  <c r="N10" i="13" s="1"/>
  <c r="E11" i="13"/>
  <c r="E10" i="13" s="1"/>
  <c r="K15" i="13"/>
  <c r="H15" i="13"/>
  <c r="E6" i="13"/>
  <c r="Q7" i="13"/>
  <c r="K8" i="13"/>
  <c r="N6" i="13"/>
  <c r="N7" i="13"/>
  <c r="K7" i="13"/>
  <c r="H7" i="13"/>
  <c r="Q9" i="13"/>
  <c r="K9" i="13"/>
  <c r="P14" i="13"/>
  <c r="P10" i="13"/>
  <c r="P5" i="13"/>
  <c r="H8" i="13"/>
  <c r="Q6" i="13"/>
  <c r="H6" i="13"/>
  <c r="N8" i="13"/>
  <c r="H9" i="13"/>
  <c r="J5" i="13"/>
  <c r="J14" i="13"/>
  <c r="J10" i="13"/>
  <c r="S5" i="13"/>
  <c r="S14" i="13"/>
  <c r="S10" i="13"/>
  <c r="K6" i="13"/>
  <c r="E7" i="13"/>
  <c r="Q8" i="13"/>
  <c r="M14" i="13"/>
  <c r="M10" i="13"/>
  <c r="M5" i="13"/>
  <c r="G14" i="13"/>
  <c r="G5" i="13"/>
  <c r="G10" i="13"/>
  <c r="E8" i="13"/>
  <c r="E9" i="13"/>
  <c r="H15" i="12"/>
  <c r="E11" i="12"/>
  <c r="E10" i="12" s="1"/>
  <c r="E6" i="12"/>
  <c r="K7" i="12"/>
  <c r="Q8" i="12"/>
  <c r="N8" i="12"/>
  <c r="E9" i="12"/>
  <c r="K9" i="12"/>
  <c r="E7" i="12"/>
  <c r="N7" i="12"/>
  <c r="K15" i="12"/>
  <c r="E15" i="12"/>
  <c r="N11" i="12"/>
  <c r="N10" i="12" s="1"/>
  <c r="Q11" i="12"/>
  <c r="Q10" i="12" s="1"/>
  <c r="K11" i="12"/>
  <c r="K10" i="12" s="1"/>
  <c r="H11" i="12"/>
  <c r="H10" i="12" s="1"/>
  <c r="H9" i="12"/>
  <c r="G14" i="12"/>
  <c r="G5" i="12"/>
  <c r="G10" i="12"/>
  <c r="K6" i="12"/>
  <c r="Q6" i="12"/>
  <c r="H6" i="12"/>
  <c r="H8" i="12"/>
  <c r="P10" i="12"/>
  <c r="P14" i="12"/>
  <c r="P5" i="12"/>
  <c r="E8" i="12"/>
  <c r="Q9" i="12"/>
  <c r="S14" i="12"/>
  <c r="S5" i="12"/>
  <c r="S10" i="12"/>
  <c r="J14" i="12"/>
  <c r="J10" i="12"/>
  <c r="J5" i="12"/>
  <c r="N6" i="12"/>
  <c r="H7" i="12"/>
  <c r="M14" i="12"/>
  <c r="M10" i="12"/>
  <c r="M5" i="12"/>
  <c r="Q7" i="12"/>
  <c r="K8" i="12"/>
  <c r="N9" i="12"/>
  <c r="Q9" i="11"/>
  <c r="K6" i="11"/>
  <c r="N7" i="11"/>
  <c r="N11" i="11"/>
  <c r="N10" i="11" s="1"/>
  <c r="N6" i="11"/>
  <c r="H6" i="11"/>
  <c r="K7" i="11"/>
  <c r="H7" i="11"/>
  <c r="Q8" i="11"/>
  <c r="E8" i="11"/>
  <c r="K15" i="11"/>
  <c r="E15" i="11"/>
  <c r="H15" i="11"/>
  <c r="H11" i="11"/>
  <c r="H10" i="11" s="1"/>
  <c r="E11" i="11"/>
  <c r="E10" i="11" s="1"/>
  <c r="Q11" i="11"/>
  <c r="Q10" i="11" s="1"/>
  <c r="K11" i="11"/>
  <c r="K10" i="11" s="1"/>
  <c r="E7" i="11"/>
  <c r="K8" i="11"/>
  <c r="H8" i="11"/>
  <c r="N9" i="11"/>
  <c r="Q6" i="11"/>
  <c r="K9" i="11"/>
  <c r="H9" i="11"/>
  <c r="E6" i="11"/>
  <c r="Q7" i="11"/>
  <c r="N8" i="11"/>
  <c r="E9" i="11"/>
  <c r="F4" i="10"/>
  <c r="G10" i="10" s="1"/>
  <c r="O4" i="10"/>
  <c r="P14" i="10" s="1"/>
  <c r="R4" i="10"/>
  <c r="S14" i="10" s="1"/>
  <c r="I4" i="10"/>
  <c r="J5" i="10" s="1"/>
  <c r="L4" i="10"/>
  <c r="M14" i="10" s="1"/>
  <c r="E9" i="10"/>
  <c r="N9" i="10"/>
  <c r="H9" i="10"/>
  <c r="K9" i="10"/>
  <c r="Q9" i="10"/>
  <c r="E15" i="10"/>
  <c r="E6" i="10"/>
  <c r="K7" i="10"/>
  <c r="H7" i="10"/>
  <c r="K15" i="10"/>
  <c r="N11" i="10"/>
  <c r="N10" i="10" s="1"/>
  <c r="N7" i="10"/>
  <c r="E8" i="10"/>
  <c r="H15" i="10"/>
  <c r="Q11" i="10"/>
  <c r="Q10" i="10" s="1"/>
  <c r="K11" i="10"/>
  <c r="K10" i="10" s="1"/>
  <c r="H11" i="10"/>
  <c r="H10" i="10" s="1"/>
  <c r="E11" i="10"/>
  <c r="E10" i="10" s="1"/>
  <c r="Q6" i="10"/>
  <c r="K6" i="10"/>
  <c r="H6" i="10"/>
  <c r="E7" i="10"/>
  <c r="E9" i="9"/>
  <c r="N6" i="10"/>
  <c r="Q7" i="10"/>
  <c r="Q8" i="10"/>
  <c r="N8" i="10"/>
  <c r="K8" i="10"/>
  <c r="H8" i="10"/>
  <c r="K15" i="9"/>
  <c r="H15" i="9"/>
  <c r="Q11" i="9"/>
  <c r="Q10" i="9" s="1"/>
  <c r="N11" i="9"/>
  <c r="N10" i="9" s="1"/>
  <c r="K11" i="9"/>
  <c r="K10" i="9" s="1"/>
  <c r="H11" i="9"/>
  <c r="H10" i="9" s="1"/>
  <c r="H6" i="9"/>
  <c r="E11" i="9"/>
  <c r="E10" i="9" s="1"/>
  <c r="E15" i="9"/>
  <c r="N9" i="8"/>
  <c r="Q6" i="9"/>
  <c r="N6" i="9"/>
  <c r="K6" i="9"/>
  <c r="E6" i="9"/>
  <c r="K8" i="9"/>
  <c r="H8" i="9"/>
  <c r="N9" i="9"/>
  <c r="Q7" i="9"/>
  <c r="E7" i="9"/>
  <c r="Q9" i="9"/>
  <c r="K9" i="9"/>
  <c r="H9" i="9"/>
  <c r="N7" i="9"/>
  <c r="K7" i="9"/>
  <c r="H7" i="9"/>
  <c r="Q8" i="9"/>
  <c r="N8" i="9"/>
  <c r="E8" i="9"/>
  <c r="F4" i="8"/>
  <c r="G5" i="8" s="1"/>
  <c r="O4" i="8"/>
  <c r="P10" i="8" s="1"/>
  <c r="R4" i="8"/>
  <c r="S14" i="8" s="1"/>
  <c r="L4" i="8"/>
  <c r="M10" i="8" s="1"/>
  <c r="I4" i="8"/>
  <c r="J14" i="8" s="1"/>
  <c r="H15" i="8"/>
  <c r="Q11" i="8"/>
  <c r="Q10" i="8" s="1"/>
  <c r="E11" i="8"/>
  <c r="E10" i="8" s="1"/>
  <c r="K15" i="8"/>
  <c r="N11" i="8"/>
  <c r="N10" i="8" s="1"/>
  <c r="K11" i="8"/>
  <c r="K10" i="8" s="1"/>
  <c r="H11" i="8"/>
  <c r="H10" i="8" s="1"/>
  <c r="E15" i="8"/>
  <c r="Q6" i="8"/>
  <c r="N7" i="8"/>
  <c r="K8" i="8"/>
  <c r="H8" i="8"/>
  <c r="H6" i="8"/>
  <c r="H7" i="8"/>
  <c r="E6" i="8"/>
  <c r="E7" i="8"/>
  <c r="N8" i="8"/>
  <c r="N6" i="8"/>
  <c r="K7" i="8"/>
  <c r="K6" i="8"/>
  <c r="H9" i="8"/>
  <c r="Q7" i="8"/>
  <c r="Q9" i="8"/>
  <c r="K9" i="8"/>
  <c r="Q8" i="8"/>
  <c r="E8" i="8"/>
  <c r="E9" i="8"/>
  <c r="E2" i="4"/>
  <c r="E54" i="4"/>
  <c r="E15" i="4"/>
  <c r="E106" i="4"/>
  <c r="E41" i="4"/>
  <c r="E158" i="4"/>
  <c r="E80" i="4"/>
  <c r="E119" i="4"/>
  <c r="E132" i="4"/>
  <c r="E145" i="4"/>
  <c r="E28" i="4"/>
  <c r="E93" i="4"/>
  <c r="E67" i="4"/>
  <c r="N18" i="17" l="1"/>
  <c r="E17" i="14"/>
  <c r="M10" i="10"/>
  <c r="Q16" i="19"/>
  <c r="Q14" i="19" s="1"/>
  <c r="N16" i="16"/>
  <c r="N14" i="16" s="1"/>
  <c r="E16" i="10"/>
  <c r="Q16" i="8"/>
  <c r="Q14" i="8" s="1"/>
  <c r="K16" i="16"/>
  <c r="K14" i="16" s="1"/>
  <c r="G16" i="7"/>
  <c r="G14" i="7"/>
  <c r="E16" i="11"/>
  <c r="E14" i="11" s="1"/>
  <c r="G6" i="7"/>
  <c r="Q17" i="14"/>
  <c r="K17" i="13"/>
  <c r="E17" i="9"/>
  <c r="N16" i="8"/>
  <c r="N14" i="8" s="1"/>
  <c r="H16" i="9"/>
  <c r="E17" i="15"/>
  <c r="E18" i="14"/>
  <c r="Q18" i="14"/>
  <c r="K18" i="13"/>
  <c r="N17" i="13"/>
  <c r="E17" i="12"/>
  <c r="E18" i="9"/>
  <c r="N18" i="12"/>
  <c r="G10" i="7"/>
  <c r="G5" i="7"/>
  <c r="H18" i="19"/>
  <c r="Q17" i="18"/>
  <c r="H18" i="13"/>
  <c r="N18" i="10"/>
  <c r="H17" i="9"/>
  <c r="K18" i="16"/>
  <c r="Q18" i="15"/>
  <c r="E18" i="10"/>
  <c r="H17" i="17"/>
  <c r="N18" i="14"/>
  <c r="Q17" i="20"/>
  <c r="N18" i="18"/>
  <c r="Q17" i="16"/>
  <c r="E17" i="19"/>
  <c r="H18" i="17"/>
  <c r="E18" i="15"/>
  <c r="N18" i="13"/>
  <c r="E18" i="12"/>
  <c r="E16" i="9"/>
  <c r="Q17" i="9"/>
  <c r="E17" i="11"/>
  <c r="Q17" i="11"/>
  <c r="Q18" i="20"/>
  <c r="N18" i="19"/>
  <c r="Q18" i="18"/>
  <c r="Q18" i="16"/>
  <c r="K18" i="11"/>
  <c r="N17" i="11"/>
  <c r="H17" i="10"/>
  <c r="H18" i="9"/>
  <c r="K17" i="9"/>
  <c r="E17" i="20"/>
  <c r="E18" i="19"/>
  <c r="E17" i="16"/>
  <c r="K17" i="15"/>
  <c r="K17" i="12"/>
  <c r="Q17" i="12"/>
  <c r="Q17" i="10"/>
  <c r="G4" i="7"/>
  <c r="G9" i="7"/>
  <c r="N18" i="20"/>
  <c r="K17" i="19"/>
  <c r="N18" i="16"/>
  <c r="K17" i="11"/>
  <c r="E17" i="18"/>
  <c r="K17" i="17"/>
  <c r="K17" i="14"/>
  <c r="Q17" i="13"/>
  <c r="H17" i="12"/>
  <c r="N17" i="12"/>
  <c r="H17" i="20"/>
  <c r="K18" i="19"/>
  <c r="H17" i="18"/>
  <c r="H17" i="16"/>
  <c r="K18" i="17"/>
  <c r="N17" i="17"/>
  <c r="K18" i="14"/>
  <c r="Q18" i="13"/>
  <c r="H18" i="12"/>
  <c r="Q18" i="9"/>
  <c r="E17" i="17"/>
  <c r="H17" i="15"/>
  <c r="E11" i="7" s="1"/>
  <c r="E17" i="13"/>
  <c r="E18" i="11"/>
  <c r="H17" i="11"/>
  <c r="Q18" i="11"/>
  <c r="H18" i="20"/>
  <c r="K17" i="20"/>
  <c r="N17" i="19"/>
  <c r="Q17" i="19"/>
  <c r="H18" i="18"/>
  <c r="K18" i="18"/>
  <c r="Q17" i="17"/>
  <c r="H18" i="16"/>
  <c r="N18" i="11"/>
  <c r="H18" i="10"/>
  <c r="K17" i="10"/>
  <c r="K18" i="9"/>
  <c r="N17" i="9"/>
  <c r="E18" i="20"/>
  <c r="E18" i="16"/>
  <c r="K18" i="15"/>
  <c r="N17" i="15"/>
  <c r="H17" i="14"/>
  <c r="K18" i="12"/>
  <c r="Q18" i="12"/>
  <c r="Q18" i="10"/>
  <c r="G8" i="7"/>
  <c r="G13" i="7"/>
  <c r="E18" i="17"/>
  <c r="F13" i="7" s="1"/>
  <c r="H18" i="15"/>
  <c r="N17" i="14"/>
  <c r="E18" i="13"/>
  <c r="H18" i="11"/>
  <c r="K18" i="20"/>
  <c r="N17" i="20"/>
  <c r="H17" i="19"/>
  <c r="Q18" i="19"/>
  <c r="K17" i="18"/>
  <c r="N17" i="18"/>
  <c r="Q18" i="17"/>
  <c r="N17" i="16"/>
  <c r="H17" i="13"/>
  <c r="K18" i="10"/>
  <c r="N17" i="10"/>
  <c r="N18" i="9"/>
  <c r="E16" i="20"/>
  <c r="E18" i="18"/>
  <c r="K17" i="16"/>
  <c r="N18" i="15"/>
  <c r="Q17" i="15"/>
  <c r="H18" i="14"/>
  <c r="E17" i="10"/>
  <c r="E6" i="7" s="1"/>
  <c r="G7" i="7"/>
  <c r="M10" i="14"/>
  <c r="Q16" i="20"/>
  <c r="Q14" i="20" s="1"/>
  <c r="K16" i="17"/>
  <c r="K14" i="17" s="1"/>
  <c r="Q16" i="14"/>
  <c r="Q14" i="14" s="1"/>
  <c r="E16" i="12"/>
  <c r="E14" i="12" s="1"/>
  <c r="N18" i="8"/>
  <c r="E16" i="16"/>
  <c r="E14" i="16" s="1"/>
  <c r="E16" i="14"/>
  <c r="E14" i="14" s="1"/>
  <c r="E14" i="9"/>
  <c r="Q16" i="18"/>
  <c r="Q14" i="18" s="1"/>
  <c r="H16" i="17"/>
  <c r="H14" i="17" s="1"/>
  <c r="H16" i="15"/>
  <c r="H14" i="15" s="1"/>
  <c r="E16" i="17"/>
  <c r="K16" i="13"/>
  <c r="K14" i="13" s="1"/>
  <c r="K16" i="12"/>
  <c r="K14" i="12" s="1"/>
  <c r="K16" i="10"/>
  <c r="K14" i="10" s="1"/>
  <c r="Q16" i="9"/>
  <c r="Q14" i="9" s="1"/>
  <c r="N17" i="8"/>
  <c r="H16" i="8"/>
  <c r="H14" i="8" s="1"/>
  <c r="N16" i="20"/>
  <c r="N14" i="20" s="1"/>
  <c r="K16" i="18"/>
  <c r="K14" i="18" s="1"/>
  <c r="Q17" i="8"/>
  <c r="E17" i="8"/>
  <c r="Q16" i="12"/>
  <c r="Q14" i="12" s="1"/>
  <c r="E16" i="19"/>
  <c r="E14" i="19" s="1"/>
  <c r="Q16" i="17"/>
  <c r="Q14" i="17" s="1"/>
  <c r="K16" i="14"/>
  <c r="K14" i="14" s="1"/>
  <c r="E16" i="13"/>
  <c r="E14" i="13" s="1"/>
  <c r="Q16" i="10"/>
  <c r="Q14" i="10" s="1"/>
  <c r="K18" i="8"/>
  <c r="H17" i="8"/>
  <c r="E18" i="8"/>
  <c r="Q18" i="8"/>
  <c r="K17" i="8"/>
  <c r="H18" i="8"/>
  <c r="E16" i="8"/>
  <c r="E14" i="8" s="1"/>
  <c r="K16" i="19"/>
  <c r="K14" i="19" s="1"/>
  <c r="N16" i="14"/>
  <c r="N14" i="14" s="1"/>
  <c r="Q16" i="13"/>
  <c r="Q14" i="13" s="1"/>
  <c r="Q16" i="11"/>
  <c r="Q14" i="11" s="1"/>
  <c r="H16" i="10"/>
  <c r="H14" i="10" s="1"/>
  <c r="K16" i="8"/>
  <c r="K14" i="8" s="1"/>
  <c r="H16" i="19"/>
  <c r="H14" i="19" s="1"/>
  <c r="N16" i="19"/>
  <c r="N14" i="19" s="1"/>
  <c r="H16" i="18"/>
  <c r="H14" i="18" s="1"/>
  <c r="N16" i="18"/>
  <c r="N14" i="18" s="1"/>
  <c r="H16" i="16"/>
  <c r="H14" i="16" s="1"/>
  <c r="E16" i="15"/>
  <c r="E14" i="15" s="1"/>
  <c r="N16" i="15"/>
  <c r="N14" i="15" s="1"/>
  <c r="H16" i="14"/>
  <c r="H14" i="14" s="1"/>
  <c r="H16" i="13"/>
  <c r="H14" i="13" s="1"/>
  <c r="H16" i="12"/>
  <c r="H14" i="12" s="1"/>
  <c r="H16" i="11"/>
  <c r="H14" i="11" s="1"/>
  <c r="N16" i="10"/>
  <c r="N14" i="10" s="1"/>
  <c r="K16" i="9"/>
  <c r="K14" i="9" s="1"/>
  <c r="N16" i="9"/>
  <c r="N14" i="9" s="1"/>
  <c r="E16" i="18"/>
  <c r="E14" i="18" s="1"/>
  <c r="D14" i="7" s="1"/>
  <c r="N16" i="17"/>
  <c r="N14" i="17" s="1"/>
  <c r="Q16" i="16"/>
  <c r="Q14" i="16" s="1"/>
  <c r="K16" i="15"/>
  <c r="K14" i="15" s="1"/>
  <c r="Q16" i="15"/>
  <c r="Q14" i="15" s="1"/>
  <c r="N16" i="13"/>
  <c r="N14" i="13" s="1"/>
  <c r="N16" i="12"/>
  <c r="N14" i="12" s="1"/>
  <c r="K16" i="11"/>
  <c r="K14" i="11" s="1"/>
  <c r="N16" i="11"/>
  <c r="N14" i="11" s="1"/>
  <c r="E14" i="10"/>
  <c r="H16" i="20"/>
  <c r="H14" i="20" s="1"/>
  <c r="E14" i="20"/>
  <c r="K16" i="20"/>
  <c r="K14" i="20" s="1"/>
  <c r="I16" i="7"/>
  <c r="I15" i="7"/>
  <c r="E5" i="20"/>
  <c r="H5" i="20"/>
  <c r="K5" i="20"/>
  <c r="N5" i="20"/>
  <c r="Q5" i="20"/>
  <c r="E5" i="19"/>
  <c r="N5" i="19"/>
  <c r="H5" i="19"/>
  <c r="I14" i="7"/>
  <c r="Q5" i="19"/>
  <c r="K5" i="19"/>
  <c r="N5" i="18"/>
  <c r="Q5" i="18"/>
  <c r="I13" i="7"/>
  <c r="E5" i="18"/>
  <c r="K5" i="18"/>
  <c r="H5" i="18"/>
  <c r="E14" i="17"/>
  <c r="N5" i="17"/>
  <c r="Q5" i="17"/>
  <c r="I12" i="7"/>
  <c r="H5" i="17"/>
  <c r="E5" i="17"/>
  <c r="K5" i="17"/>
  <c r="E5" i="16"/>
  <c r="I11" i="7"/>
  <c r="K5" i="16"/>
  <c r="H5" i="16"/>
  <c r="N5" i="16"/>
  <c r="N4" i="16" s="1"/>
  <c r="Q5" i="16"/>
  <c r="I6" i="7"/>
  <c r="M5" i="14"/>
  <c r="E5" i="15"/>
  <c r="J10" i="14"/>
  <c r="J5" i="14"/>
  <c r="H5" i="15"/>
  <c r="K5" i="15"/>
  <c r="N5" i="15"/>
  <c r="I9" i="7"/>
  <c r="I7" i="7"/>
  <c r="I4" i="7"/>
  <c r="I5" i="7"/>
  <c r="I8" i="7"/>
  <c r="P10" i="14"/>
  <c r="I10" i="7"/>
  <c r="Q5" i="15"/>
  <c r="S5" i="14"/>
  <c r="S14" i="14"/>
  <c r="S5" i="15"/>
  <c r="S10" i="15"/>
  <c r="S14" i="15"/>
  <c r="G10" i="14"/>
  <c r="P5" i="14"/>
  <c r="G14" i="14"/>
  <c r="G10" i="15"/>
  <c r="G5" i="15"/>
  <c r="G14" i="15"/>
  <c r="P10" i="15"/>
  <c r="P14" i="15"/>
  <c r="P5" i="15"/>
  <c r="J10" i="15"/>
  <c r="J5" i="15"/>
  <c r="J14" i="15"/>
  <c r="M14" i="15"/>
  <c r="M10" i="15"/>
  <c r="M5" i="15"/>
  <c r="K5" i="14"/>
  <c r="E5" i="14"/>
  <c r="Q5" i="14"/>
  <c r="H5" i="14"/>
  <c r="N5" i="14"/>
  <c r="K5" i="13"/>
  <c r="E5" i="13"/>
  <c r="N5" i="13"/>
  <c r="H5" i="13"/>
  <c r="Q5" i="13"/>
  <c r="E5" i="12"/>
  <c r="N5" i="12"/>
  <c r="Q5" i="12"/>
  <c r="H5" i="12"/>
  <c r="K5" i="12"/>
  <c r="J14" i="10"/>
  <c r="P5" i="10"/>
  <c r="M5" i="10"/>
  <c r="G5" i="10"/>
  <c r="G14" i="10"/>
  <c r="N5" i="11"/>
  <c r="H5" i="11"/>
  <c r="K5" i="11"/>
  <c r="J10" i="10"/>
  <c r="S5" i="10"/>
  <c r="Q5" i="11"/>
  <c r="P10" i="10"/>
  <c r="S10" i="10"/>
  <c r="E5" i="11"/>
  <c r="J14" i="11"/>
  <c r="J10" i="11"/>
  <c r="J5" i="11"/>
  <c r="P5" i="11"/>
  <c r="P10" i="11"/>
  <c r="P14" i="11"/>
  <c r="M14" i="11"/>
  <c r="M5" i="11"/>
  <c r="M10" i="11"/>
  <c r="S14" i="11"/>
  <c r="S5" i="11"/>
  <c r="S10" i="11"/>
  <c r="G10" i="11"/>
  <c r="G14" i="11"/>
  <c r="G5" i="11"/>
  <c r="E5" i="10"/>
  <c r="N5" i="10"/>
  <c r="H14" i="9"/>
  <c r="H5" i="10"/>
  <c r="K5" i="10"/>
  <c r="Q5" i="10"/>
  <c r="G14" i="8"/>
  <c r="M5" i="8"/>
  <c r="M14" i="8"/>
  <c r="P14" i="8"/>
  <c r="P5" i="8"/>
  <c r="H5" i="9"/>
  <c r="S5" i="8"/>
  <c r="G10" i="8"/>
  <c r="J10" i="8"/>
  <c r="K5" i="9"/>
  <c r="N5" i="9"/>
  <c r="S10" i="8"/>
  <c r="Q5" i="9"/>
  <c r="Q4" i="9" s="1"/>
  <c r="J5" i="8"/>
  <c r="E5" i="9"/>
  <c r="J14" i="9"/>
  <c r="J10" i="9"/>
  <c r="J5" i="9"/>
  <c r="P5" i="9"/>
  <c r="P10" i="9"/>
  <c r="P14" i="9"/>
  <c r="G5" i="9"/>
  <c r="G10" i="9"/>
  <c r="G14" i="9"/>
  <c r="S5" i="9"/>
  <c r="S14" i="9"/>
  <c r="S10" i="9"/>
  <c r="M5" i="9"/>
  <c r="M10" i="9"/>
  <c r="M14" i="9"/>
  <c r="N5" i="8"/>
  <c r="Q5" i="8"/>
  <c r="Q4" i="8" s="1"/>
  <c r="K5" i="8"/>
  <c r="E5" i="8"/>
  <c r="H5" i="8"/>
  <c r="F9" i="7" l="1"/>
  <c r="E10" i="7"/>
  <c r="Q4" i="19"/>
  <c r="F10" i="7"/>
  <c r="D13" i="7"/>
  <c r="N4" i="8"/>
  <c r="Q4" i="20"/>
  <c r="F5" i="7"/>
  <c r="N4" i="10"/>
  <c r="E5" i="7"/>
  <c r="E4" i="13"/>
  <c r="D7" i="7"/>
  <c r="D6" i="7"/>
  <c r="F14" i="7"/>
  <c r="Q4" i="12"/>
  <c r="N4" i="20"/>
  <c r="F12" i="7"/>
  <c r="E13" i="7"/>
  <c r="E8" i="7"/>
  <c r="D12" i="7"/>
  <c r="N4" i="17"/>
  <c r="D16" i="7"/>
  <c r="D11" i="7"/>
  <c r="F4" i="7"/>
  <c r="D10" i="7"/>
  <c r="F16" i="7"/>
  <c r="F7" i="7"/>
  <c r="E12" i="7"/>
  <c r="F8" i="7"/>
  <c r="E15" i="7"/>
  <c r="E4" i="7"/>
  <c r="E9" i="7"/>
  <c r="F15" i="7"/>
  <c r="E7" i="7"/>
  <c r="E16" i="7"/>
  <c r="F11" i="7"/>
  <c r="D9" i="7"/>
  <c r="D15" i="7"/>
  <c r="D5" i="7"/>
  <c r="D8" i="7"/>
  <c r="E14" i="7"/>
  <c r="F6" i="7"/>
  <c r="N4" i="19"/>
  <c r="Q4" i="18"/>
  <c r="N4" i="18"/>
  <c r="Q4" i="17"/>
  <c r="N4" i="15"/>
  <c r="Q4" i="14"/>
  <c r="N4" i="14"/>
  <c r="H4" i="13"/>
  <c r="Q4" i="11"/>
  <c r="Q4" i="10"/>
  <c r="N4" i="9"/>
  <c r="N4" i="11"/>
  <c r="Q4" i="15"/>
  <c r="E4" i="10"/>
  <c r="N4" i="13"/>
  <c r="N4" i="12"/>
  <c r="K4" i="8"/>
  <c r="E4" i="9"/>
  <c r="K4" i="14"/>
  <c r="H4" i="15"/>
  <c r="Q4" i="16"/>
  <c r="H4" i="19"/>
  <c r="K4" i="9"/>
  <c r="H4" i="9"/>
  <c r="K4" i="10"/>
  <c r="K4" i="12"/>
  <c r="Q4" i="13"/>
  <c r="K4" i="20"/>
  <c r="H4" i="20"/>
  <c r="E4" i="18"/>
  <c r="E4" i="11"/>
  <c r="E4" i="15"/>
  <c r="H4" i="18"/>
  <c r="E4" i="16"/>
  <c r="K4" i="18"/>
  <c r="H4" i="11"/>
  <c r="H4" i="16"/>
  <c r="K4" i="17"/>
  <c r="H4" i="10"/>
  <c r="H4" i="12"/>
  <c r="H4" i="14"/>
  <c r="K4" i="16"/>
  <c r="E4" i="17"/>
  <c r="E4" i="19"/>
  <c r="K4" i="11"/>
  <c r="E4" i="12"/>
  <c r="K4" i="13"/>
  <c r="E4" i="14"/>
  <c r="K4" i="15"/>
  <c r="H4" i="17"/>
  <c r="K4" i="19"/>
  <c r="H4" i="8"/>
  <c r="E4" i="8"/>
  <c r="H16" i="7"/>
  <c r="E4" i="20"/>
  <c r="H15" i="7"/>
  <c r="H14" i="7"/>
  <c r="C14" i="7" s="1"/>
  <c r="H13" i="7"/>
  <c r="H12" i="7"/>
  <c r="H11" i="7"/>
  <c r="H5" i="7"/>
  <c r="D4" i="7"/>
  <c r="H8" i="7"/>
  <c r="H10" i="7"/>
  <c r="H9" i="7"/>
  <c r="H4" i="7"/>
  <c r="H7" i="7"/>
  <c r="H6" i="7"/>
  <c r="C4" i="7" l="1"/>
  <c r="C15" i="7"/>
  <c r="C16" i="7"/>
  <c r="C9" i="7"/>
  <c r="C10" i="7"/>
  <c r="C6" i="7"/>
  <c r="C13" i="7"/>
  <c r="C8" i="7"/>
  <c r="C12" i="7"/>
  <c r="C7" i="7"/>
  <c r="C5" i="7"/>
  <c r="C11" i="7"/>
</calcChain>
</file>

<file path=xl/sharedStrings.xml><?xml version="1.0" encoding="utf-8"?>
<sst xmlns="http://schemas.openxmlformats.org/spreadsheetml/2006/main" count="23373" uniqueCount="135">
  <si>
    <t>website</t>
  </si>
  <si>
    <t>date</t>
  </si>
  <si>
    <t>region</t>
  </si>
  <si>
    <t>type_activite</t>
  </si>
  <si>
    <t>sous_type_activite</t>
  </si>
  <si>
    <t>nb_note</t>
  </si>
  <si>
    <t>booking</t>
  </si>
  <si>
    <t>2015-05</t>
  </si>
  <si>
    <t>auvergne-rhone-alpes</t>
  </si>
  <si>
    <t>offre de services</t>
  </si>
  <si>
    <t>hebergement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</si>
  <si>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</si>
  <si>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</si>
  <si>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</si>
  <si>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</si>
  <si>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</si>
  <si>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</si>
  <si>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</si>
  <si>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</si>
  <si>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</si>
  <si>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</si>
  <si>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</si>
  <si>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</si>
  <si>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</si>
  <si>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</si>
  <si>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</si>
  <si>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</si>
  <si>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</si>
  <si>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</si>
  <si>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</si>
  <si>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</si>
  <si>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</si>
  <si>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</si>
  <si>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</si>
  <si>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</si>
  <si>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bourgogne-franche-comte</t>
  </si>
  <si>
    <t>bretagne</t>
  </si>
  <si>
    <t>centre-val de loire</t>
  </si>
  <si>
    <t>corse</t>
  </si>
  <si>
    <t>grand est</t>
  </si>
  <si>
    <t>hauts-de-france</t>
  </si>
  <si>
    <t>ile-de-france</t>
  </si>
  <si>
    <t>normandie</t>
  </si>
  <si>
    <t>nouvelle-aquitaine</t>
  </si>
  <si>
    <t>occitanie</t>
  </si>
  <si>
    <t>pays de la loire</t>
  </si>
  <si>
    <t>provence-alpes-cote d'azur</t>
  </si>
  <si>
    <t>la fourchette</t>
  </si>
  <si>
    <t>restauration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</si>
  <si>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</si>
  <si>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</si>
  <si>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</si>
  <si>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</si>
  <si>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</si>
  <si>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</si>
  <si>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</si>
  <si>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</si>
  <si>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</si>
  <si>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</si>
  <si>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</si>
  <si>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</si>
  <si>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</si>
  <si>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</si>
  <si>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</si>
  <si>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</si>
  <si>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</si>
  <si>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</si>
  <si>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</si>
  <si>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</si>
  <si>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</si>
  <si>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</si>
  <si>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</si>
  <si>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</si>
  <si>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</si>
  <si>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</si>
  <si>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</si>
  <si>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</si>
  <si>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tripadvisor</t>
  </si>
  <si>
    <t>offre de loisirs</t>
  </si>
  <si>
    <t>activites de plein air</t>
  </si>
  <si>
    <t>2017-06</t>
  </si>
  <si>
    <t>jeux et divertissements</t>
  </si>
  <si>
    <t>patrimoine</t>
  </si>
  <si>
    <t>shopping</t>
  </si>
  <si>
    <t>vie nocturne</t>
  </si>
  <si>
    <t>Région</t>
  </si>
  <si>
    <t>Axe</t>
  </si>
  <si>
    <t>Sous-Axe</t>
  </si>
  <si>
    <t>Tous axes</t>
  </si>
  <si>
    <t>Note Moyenne</t>
  </si>
  <si>
    <t>Note moy. Cuisine</t>
  </si>
  <si>
    <t>Note moy. Service</t>
  </si>
  <si>
    <t>Note moy. Cadre</t>
  </si>
  <si>
    <t>hauts-de-France</t>
  </si>
  <si>
    <t>ile-de-France</t>
  </si>
  <si>
    <t>Note pondérée</t>
  </si>
  <si>
    <t>Part note moyenne pondérée</t>
  </si>
  <si>
    <t>Année</t>
  </si>
  <si>
    <t>nature et parcs</t>
  </si>
  <si>
    <t>musées</t>
  </si>
  <si>
    <t>sites et monuments</t>
  </si>
  <si>
    <t>Tous</t>
  </si>
  <si>
    <t>Nombre total de commentaires 
2013 - 2017</t>
  </si>
  <si>
    <t>Nombre total de commentaires 
2015 - 2017</t>
  </si>
  <si>
    <t>Auvergne-Rhône-Alpes</t>
  </si>
  <si>
    <t>Bourgogne-Franche-Comté</t>
  </si>
  <si>
    <t>Bretagne</t>
  </si>
  <si>
    <t>Centre-Val-de-Loire</t>
  </si>
  <si>
    <t>Grand Est</t>
  </si>
  <si>
    <t>Hauts-de-France</t>
  </si>
  <si>
    <t>Ile-de-France</t>
  </si>
  <si>
    <t>Normandie</t>
  </si>
  <si>
    <t>Nouvelle Aquitaine</t>
  </si>
  <si>
    <t>Occitanie</t>
  </si>
  <si>
    <t>Provence-Alpes-Côte d'Azur</t>
  </si>
  <si>
    <t>Corse</t>
  </si>
  <si>
    <t>Pays de la Loire</t>
  </si>
  <si>
    <t>Note globale</t>
  </si>
  <si>
    <t>Période 01/01/2015 - aujourd'hui</t>
  </si>
  <si>
    <t>NB Comm</t>
  </si>
  <si>
    <t>Part pond.</t>
  </si>
  <si>
    <t>Pondération sur l'année</t>
  </si>
  <si>
    <t>Note moyenne annuelle 
Offre de services</t>
  </si>
  <si>
    <t>Note moyenne annuelle 
Offre de loisirs</t>
  </si>
  <si>
    <t>Note moyenne annuelle Patrimoine</t>
  </si>
  <si>
    <t>Cuisine</t>
  </si>
  <si>
    <t>Cadre</t>
  </si>
  <si>
    <t>Service</t>
  </si>
  <si>
    <t>Détail</t>
  </si>
  <si>
    <t>Part note moyenne pondérée Cuisine</t>
  </si>
  <si>
    <t>Part note moyenne pondérée Service</t>
  </si>
  <si>
    <t>Part note moyenne pondérée Cadre</t>
  </si>
  <si>
    <t>Restauration - Cuisine</t>
  </si>
  <si>
    <t>Restauration - Service</t>
  </si>
  <si>
    <t>Restauration - Cadre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</si>
</sst>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4">
    <xf numFmtId="0" fontId="0" fillId="0" borderId="0" xfId="0"/>
    <xf numFmtId="0" fontId="16" fillId="3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6" fillId="37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16" fillId="41" borderId="0" xfId="0" applyNumberFormat="1" applyFont="1" applyFill="1" applyAlignment="1">
      <alignment horizontal="center" vertical="center"/>
    </xf>
    <xf numFmtId="3" fontId="13" fillId="33" borderId="0" xfId="0" applyNumberFormat="1" applyFont="1" applyFill="1" applyAlignment="1">
      <alignment horizontal="center" vertical="center"/>
    </xf>
    <xf numFmtId="0" fontId="16" fillId="40" borderId="0" xfId="0" applyFont="1" applyFill="1" applyAlignment="1">
      <alignment horizontal="center"/>
    </xf>
    <xf numFmtId="0" fontId="13" fillId="39" borderId="0" xfId="0" applyFont="1" applyFill="1" applyAlignment="1">
      <alignment horizontal="center" vertical="center"/>
    </xf>
    <xf numFmtId="3" fontId="16" fillId="40" borderId="0" xfId="0" applyNumberFormat="1" applyFont="1" applyFill="1" applyAlignment="1">
      <alignment horizontal="center"/>
    </xf>
    <xf numFmtId="3" fontId="16" fillId="37" borderId="0" xfId="0" applyNumberFormat="1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3" fontId="13" fillId="36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40" borderId="0" xfId="0" applyFont="1" applyFill="1" applyAlignment="1">
      <alignment horizontal="center" vertical="center"/>
    </xf>
    <xf numFmtId="0" fontId="16" fillId="37" borderId="0" xfId="0" applyFont="1" applyFill="1" applyAlignment="1">
      <alignment horizontal="center" vertical="center"/>
    </xf>
    <xf numFmtId="0" fontId="13" fillId="35" borderId="0" xfId="0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38" borderId="0" xfId="0" applyFont="1" applyFill="1" applyAlignment="1">
      <alignment horizontal="center" vertical="center"/>
    </xf>
    <xf numFmtId="3" fontId="13" fillId="42" borderId="0" xfId="0" applyNumberFormat="1" applyFont="1" applyFill="1" applyAlignment="1">
      <alignment horizontal="center" vertical="center" wrapText="1"/>
    </xf>
    <xf numFmtId="3" fontId="18" fillId="43" borderId="0" xfId="0" applyNumberFormat="1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6" fillId="44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6" fillId="45" borderId="0" xfId="0" applyFont="1" applyFill="1" applyAlignment="1">
      <alignment horizontal="center" vertical="center" wrapText="1"/>
    </xf>
    <xf numFmtId="4" fontId="16" fillId="40" borderId="0" xfId="0" applyNumberFormat="1" applyFont="1" applyFill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9" fontId="0" fillId="0" borderId="0" xfId="1" applyFont="1" applyAlignment="1">
      <alignment horizontal="center" vertical="center"/>
    </xf>
    <xf numFmtId="3" fontId="18" fillId="43" borderId="0" xfId="0" applyNumberFormat="1" applyFont="1" applyFill="1" applyAlignment="1">
      <alignment horizontal="center" vertical="center" wrapText="1"/>
    </xf>
    <xf numFmtId="3" fontId="0" fillId="0" borderId="0" xfId="1" applyNumberFormat="1" applyFont="1" applyAlignment="1">
      <alignment horizontal="center" vertical="center"/>
    </xf>
    <xf numFmtId="3" fontId="16" fillId="37" borderId="0" xfId="0" applyNumberFormat="1" applyFont="1" applyFill="1" applyAlignment="1">
      <alignment horizontal="center" vertical="center"/>
    </xf>
    <xf numFmtId="9" fontId="16" fillId="37" borderId="0" xfId="1" applyFont="1" applyFill="1" applyAlignment="1">
      <alignment horizontal="center" vertical="center"/>
    </xf>
    <xf numFmtId="3" fontId="18" fillId="43" borderId="10" xfId="0" applyNumberFormat="1" applyFont="1" applyFill="1" applyBorder="1" applyAlignment="1">
      <alignment horizontal="center" vertical="center" wrapText="1"/>
    </xf>
    <xf numFmtId="4" fontId="16" fillId="40" borderId="10" xfId="0" applyNumberFormat="1" applyFont="1" applyFill="1" applyBorder="1" applyAlignment="1">
      <alignment horizontal="center" vertical="center"/>
    </xf>
    <xf numFmtId="9" fontId="16" fillId="37" borderId="10" xfId="1" applyFont="1" applyFill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4" fontId="16" fillId="40" borderId="10" xfId="0" applyNumberFormat="1" applyFont="1" applyFill="1" applyBorder="1" applyAlignment="1">
      <alignment horizontal="center"/>
    </xf>
    <xf numFmtId="3" fontId="18" fillId="43" borderId="10" xfId="0" applyNumberFormat="1" applyFont="1" applyFill="1" applyBorder="1" applyAlignment="1">
      <alignment horizontal="center" vertical="center" wrapText="1"/>
    </xf>
    <xf numFmtId="9" fontId="0" fillId="0" borderId="0" xfId="1" applyFont="1" applyAlignment="1">
      <alignment horizontal="center"/>
    </xf>
    <xf numFmtId="9" fontId="0" fillId="0" borderId="0" xfId="1" applyFont="1" applyBorder="1" applyAlignment="1">
      <alignment horizontal="center" vertical="center"/>
    </xf>
    <xf numFmtId="10" fontId="13" fillId="39" borderId="0" xfId="1" applyNumberFormat="1" applyFont="1" applyFill="1" applyAlignment="1">
      <alignment horizontal="center" vertical="center" wrapText="1"/>
    </xf>
    <xf numFmtId="9" fontId="0" fillId="0" borderId="10" xfId="1" applyFont="1" applyBorder="1" applyAlignment="1">
      <alignment horizontal="center"/>
    </xf>
    <xf numFmtId="3" fontId="16" fillId="40" borderId="0" xfId="0" applyNumberFormat="1" applyFont="1" applyFill="1" applyAlignment="1">
      <alignment horizontal="center" vertical="center"/>
    </xf>
    <xf numFmtId="9" fontId="16" fillId="40" borderId="10" xfId="1" applyFont="1" applyFill="1" applyBorder="1" applyAlignment="1">
      <alignment horizontal="center" vertical="center"/>
    </xf>
    <xf numFmtId="9" fontId="16" fillId="37" borderId="10" xfId="1" applyFont="1" applyFill="1" applyBorder="1" applyAlignment="1">
      <alignment horizontal="center"/>
    </xf>
    <xf numFmtId="9" fontId="16" fillId="37" borderId="0" xfId="1" applyFont="1" applyFill="1" applyAlignment="1">
      <alignment horizontal="center"/>
    </xf>
    <xf numFmtId="4" fontId="20" fillId="37" borderId="0" xfId="0" applyNumberFormat="1" applyFont="1" applyFill="1" applyAlignment="1">
      <alignment horizontal="center" vertical="center"/>
    </xf>
    <xf numFmtId="4" fontId="20" fillId="40" borderId="0" xfId="0" applyNumberFormat="1" applyFont="1" applyFill="1" applyAlignment="1">
      <alignment horizontal="center" vertical="center"/>
    </xf>
    <xf numFmtId="3" fontId="18" fillId="43" borderId="0" xfId="0" applyNumberFormat="1" applyFont="1" applyFill="1" applyAlignment="1">
      <alignment horizontal="center" vertical="center" wrapText="1"/>
    </xf>
    <xf numFmtId="3" fontId="18" fillId="43" borderId="10" xfId="0" applyNumberFormat="1" applyFont="1" applyFill="1" applyBorder="1" applyAlignment="1">
      <alignment horizontal="center" vertical="center" wrapText="1"/>
    </xf>
    <xf numFmtId="3" fontId="18" fillId="43" borderId="0" xfId="0" applyNumberFormat="1" applyFont="1" applyFill="1" applyAlignment="1">
      <alignment horizontal="center" vertical="center" wrapText="1"/>
    </xf>
    <xf numFmtId="3" fontId="18" fillId="43" borderId="10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19" fillId="37" borderId="0" xfId="0" applyFont="1" applyFill="1" applyAlignment="1">
      <alignment horizontal="center" vertical="center"/>
    </xf>
    <xf numFmtId="3" fontId="18" fillId="43" borderId="11" xfId="0" applyNumberFormat="1" applyFont="1" applyFill="1" applyBorder="1" applyAlignment="1">
      <alignment horizontal="center" vertical="center" wrapText="1"/>
    </xf>
    <xf numFmtId="3" fontId="18" fillId="43" borderId="0" xfId="0" applyNumberFormat="1" applyFont="1" applyFill="1" applyAlignment="1">
      <alignment horizontal="center" vertical="center" wrapText="1"/>
    </xf>
    <xf numFmtId="3" fontId="18" fillId="43" borderId="10" xfId="0" applyNumberFormat="1" applyFont="1" applyFill="1" applyBorder="1" applyAlignment="1">
      <alignment horizontal="center" vertical="center" wrapText="1"/>
    </xf>
    <xf numFmtId="0" fontId="13" fillId="35" borderId="0" xfId="0" applyFont="1" applyFill="1" applyAlignment="1">
      <alignment horizontal="center" vertical="center"/>
    </xf>
    <xf numFmtId="3" fontId="18" fillId="43" borderId="0" xfId="0" applyNumberFormat="1" applyFont="1" applyFill="1" applyBorder="1" applyAlignment="1">
      <alignment horizontal="center" vertical="center" wrapText="1"/>
    </xf>
    <xf numFmtId="4" fontId="16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2" fontId="16" fillId="40" borderId="0" xfId="0" applyNumberFormat="1" applyFont="1" applyFill="1" applyAlignment="1">
      <alignment horizontal="center" vertical="center" wrapText="1"/>
    </xf>
    <xf numFmtId="2" fontId="21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2" fontId="22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2" fontId="22" fillId="0" borderId="11" xfId="0" applyNumberFormat="1" applyFont="1" applyBorder="1" applyAlignment="1">
      <alignment horizontal="center" vertical="center"/>
    </xf>
    <xf numFmtId="0" fontId="22" fillId="0" borderId="0" xfId="0" applyFont="1"/>
    <xf numFmtId="0" fontId="21" fillId="41" borderId="0" xfId="0" applyFont="1" applyFill="1" applyAlignment="1">
      <alignment horizontal="center" vertical="center" wrapText="1"/>
    </xf>
    <xf numFmtId="164" fontId="23" fillId="0" borderId="0" xfId="0" applyNumberFormat="1" applyFont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0" fontId="0" fillId="46" borderId="0" xfId="0" applyFill="1"/>
    <xf numFmtId="4" fontId="16" fillId="46" borderId="0" xfId="0" applyNumberFormat="1" applyFont="1" applyFill="1" applyAlignment="1">
      <alignment horizontal="center" vertical="center"/>
    </xf>
    <xf numFmtId="164" fontId="0" fillId="46" borderId="0" xfId="0" applyNumberFormat="1" applyFill="1" applyAlignment="1">
      <alignment horizontal="center" vertical="center"/>
    </xf>
    <xf numFmtId="164" fontId="23" fillId="46" borderId="0" xfId="0" applyNumberFormat="1" applyFont="1" applyFill="1" applyAlignment="1">
      <alignment horizontal="center" vertical="center"/>
    </xf>
    <xf numFmtId="4" fontId="0" fillId="46" borderId="0" xfId="0" applyNumberFormat="1" applyFill="1" applyAlignment="1">
      <alignment horizontal="center" vertical="center"/>
    </xf>
    <xf numFmtId="4" fontId="23" fillId="46" borderId="0" xfId="0" applyNumberFormat="1" applyFont="1" applyFill="1" applyAlignment="1">
      <alignment horizontal="center" vertical="center"/>
    </xf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Commentaire" xfId="16" builtinId="10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Personnalisé 13">
      <a:dk1>
        <a:sysClr val="windowText" lastClr="000000"/>
      </a:dk1>
      <a:lt1>
        <a:srgbClr val="FFFFFF"/>
      </a:lt1>
      <a:dk2>
        <a:srgbClr val="B5576D"/>
      </a:dk2>
      <a:lt2>
        <a:srgbClr val="660033"/>
      </a:lt2>
      <a:accent1>
        <a:srgbClr val="F0DDE1"/>
      </a:accent1>
      <a:accent2>
        <a:srgbClr val="7F7F7F"/>
      </a:accent2>
      <a:accent3>
        <a:srgbClr val="BFBFBF"/>
      </a:accent3>
      <a:accent4>
        <a:srgbClr val="F2F2F2"/>
      </a:accent4>
      <a:accent5>
        <a:srgbClr val="FF9900"/>
      </a:accent5>
      <a:accent6>
        <a:srgbClr val="FFFFFF"/>
      </a:accent6>
      <a:hlink>
        <a:srgbClr val="B5576D"/>
      </a:hlink>
      <a:folHlink>
        <a:srgbClr val="B5576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9.9978637043366805E-2"/>
  </sheetPr>
  <dimension ref="A1:J2720"/>
  <sheetViews>
    <sheetView showGridLines="0" topLeftCell="C1" workbookViewId="0">
      <selection activeCell="K5" sqref="K5"/>
    </sheetView>
  </sheetViews>
  <sheetFormatPr baseColWidth="10" defaultRowHeight="15" x14ac:dyDescent="0.25"/>
  <cols>
    <col min="4" max="4" width="25.28515625" bestFit="1" customWidth="1"/>
    <col min="5" max="5" width="17.140625" bestFit="1" customWidth="1"/>
    <col min="6" max="6" width="22.140625" bestFit="1" customWidth="1"/>
    <col min="7" max="7" width="24.85546875" hidden="1" customWidth="1"/>
    <col min="8" max="8" width="14.42578125" bestFit="1" customWidth="1"/>
    <col min="9" max="9" width="14.42578125" customWidth="1"/>
    <col min="10" max="10" width="14.42578125" style="13" customWidth="1"/>
  </cols>
  <sheetData>
    <row r="1" spans="1:10" ht="30" x14ac:dyDescent="0.25">
      <c r="A1" s="1" t="s">
        <v>0</v>
      </c>
      <c r="B1" s="1" t="s">
        <v>97</v>
      </c>
      <c r="C1" s="1" t="s">
        <v>1</v>
      </c>
      <c r="D1" s="1" t="s">
        <v>2</v>
      </c>
      <c r="E1" s="1" t="s">
        <v>3</v>
      </c>
      <c r="F1" s="1" t="s">
        <v>4</v>
      </c>
      <c r="G1" s="14" t="s">
        <v>96</v>
      </c>
      <c r="H1" s="7" t="s">
        <v>89</v>
      </c>
      <c r="I1" s="9" t="s">
        <v>5</v>
      </c>
      <c r="J1" s="44" t="s">
        <v>121</v>
      </c>
    </row>
    <row r="2" spans="1:10" x14ac:dyDescent="0.25">
      <c r="A2" s="2" t="s">
        <v>77</v>
      </c>
      <c r="B2" s="2">
        <v>2013</v>
      </c>
      <c r="C2" s="2" t="s">
        <v>49</v>
      </c>
      <c r="D2" s="2" t="s">
        <v>8</v>
      </c>
      <c r="E2" s="2" t="s">
        <v>78</v>
      </c>
      <c r="F2" s="2" t="s">
        <v>79</v>
      </c>
      <c r="G2" s="2">
        <f t="shared" ref="G2:G65" si="0">H2*J2</f>
        <v>0.29861982434127982</v>
      </c>
      <c r="H2" s="5">
        <v>4.4485981308411215</v>
      </c>
      <c r="I2" s="2">
        <v>107</v>
      </c>
      <c r="J2" s="12">
        <f>I2/Pondération!$J$4</f>
        <v>6.7126725219573399E-2</v>
      </c>
    </row>
    <row r="3" spans="1:10" x14ac:dyDescent="0.25">
      <c r="A3" s="2" t="s">
        <v>77</v>
      </c>
      <c r="B3" s="2">
        <v>2013</v>
      </c>
      <c r="C3" s="2" t="s">
        <v>50</v>
      </c>
      <c r="D3" s="2" t="s">
        <v>8</v>
      </c>
      <c r="E3" s="2" t="s">
        <v>78</v>
      </c>
      <c r="F3" s="2" t="s">
        <v>79</v>
      </c>
      <c r="G3" s="2">
        <f t="shared" si="0"/>
        <v>0.29642409033877037</v>
      </c>
      <c r="H3" s="5">
        <v>4.5</v>
      </c>
      <c r="I3" s="2">
        <v>105</v>
      </c>
      <c r="J3" s="12">
        <f>I3/Pondération!$J$4</f>
        <v>6.5872020075282312E-2</v>
      </c>
    </row>
    <row r="4" spans="1:10" x14ac:dyDescent="0.25">
      <c r="A4" s="2" t="s">
        <v>77</v>
      </c>
      <c r="B4" s="2">
        <v>2013</v>
      </c>
      <c r="C4" s="2" t="s">
        <v>51</v>
      </c>
      <c r="D4" s="2" t="s">
        <v>8</v>
      </c>
      <c r="E4" s="2" t="s">
        <v>78</v>
      </c>
      <c r="F4" s="2" t="s">
        <v>79</v>
      </c>
      <c r="G4" s="2">
        <f t="shared" si="0"/>
        <v>0.46016311166875784</v>
      </c>
      <c r="H4" s="5">
        <v>4.5</v>
      </c>
      <c r="I4" s="2">
        <v>163</v>
      </c>
      <c r="J4" s="12">
        <f>I4/Pondération!$J$4</f>
        <v>0.10225846925972397</v>
      </c>
    </row>
    <row r="5" spans="1:10" x14ac:dyDescent="0.25">
      <c r="A5" s="2" t="s">
        <v>77</v>
      </c>
      <c r="B5" s="2">
        <v>2013</v>
      </c>
      <c r="C5" s="2" t="s">
        <v>52</v>
      </c>
      <c r="D5" s="2" t="s">
        <v>8</v>
      </c>
      <c r="E5" s="2" t="s">
        <v>78</v>
      </c>
      <c r="F5" s="2" t="s">
        <v>79</v>
      </c>
      <c r="G5" s="2">
        <f t="shared" si="0"/>
        <v>0.30301129234629864</v>
      </c>
      <c r="H5" s="5">
        <v>4.5140186915887854</v>
      </c>
      <c r="I5" s="2">
        <v>107</v>
      </c>
      <c r="J5" s="12">
        <f>I5/Pondération!$J$4</f>
        <v>6.7126725219573399E-2</v>
      </c>
    </row>
    <row r="6" spans="1:10" x14ac:dyDescent="0.25">
      <c r="A6" s="2" t="s">
        <v>77</v>
      </c>
      <c r="B6" s="2">
        <v>2013</v>
      </c>
      <c r="C6" s="2" t="s">
        <v>53</v>
      </c>
      <c r="D6" s="2" t="s">
        <v>8</v>
      </c>
      <c r="E6" s="2" t="s">
        <v>78</v>
      </c>
      <c r="F6" s="2" t="s">
        <v>79</v>
      </c>
      <c r="G6" s="2">
        <f t="shared" si="0"/>
        <v>0.27697616060225844</v>
      </c>
      <c r="H6" s="5">
        <v>4.5051020408163263</v>
      </c>
      <c r="I6" s="2">
        <v>98</v>
      </c>
      <c r="J6" s="12">
        <f>I6/Pondération!$J$4</f>
        <v>6.148055207026349E-2</v>
      </c>
    </row>
    <row r="7" spans="1:10" x14ac:dyDescent="0.25">
      <c r="A7" s="2" t="s">
        <v>77</v>
      </c>
      <c r="B7" s="2">
        <v>2013</v>
      </c>
      <c r="C7" s="2" t="s">
        <v>54</v>
      </c>
      <c r="D7" s="2" t="s">
        <v>8</v>
      </c>
      <c r="E7" s="2" t="s">
        <v>78</v>
      </c>
      <c r="F7" s="2" t="s">
        <v>79</v>
      </c>
      <c r="G7" s="2">
        <f t="shared" si="0"/>
        <v>0.22176913425345043</v>
      </c>
      <c r="H7" s="5">
        <v>4.5320512820512819</v>
      </c>
      <c r="I7" s="2">
        <v>78</v>
      </c>
      <c r="J7" s="12">
        <f>I7/Pondération!$J$4</f>
        <v>4.8933500627352571E-2</v>
      </c>
    </row>
    <row r="8" spans="1:10" x14ac:dyDescent="0.25">
      <c r="A8" s="2" t="s">
        <v>77</v>
      </c>
      <c r="B8" s="2">
        <v>2013</v>
      </c>
      <c r="C8" s="2" t="s">
        <v>55</v>
      </c>
      <c r="D8" s="2" t="s">
        <v>8</v>
      </c>
      <c r="E8" s="2" t="s">
        <v>78</v>
      </c>
      <c r="F8" s="2" t="s">
        <v>79</v>
      </c>
      <c r="G8" s="2">
        <f t="shared" si="0"/>
        <v>0.62547051442910917</v>
      </c>
      <c r="H8" s="5">
        <v>4.5113122171945701</v>
      </c>
      <c r="I8" s="2">
        <v>221</v>
      </c>
      <c r="J8" s="12">
        <f>I8/Pondération!$J$4</f>
        <v>0.13864491844416563</v>
      </c>
    </row>
    <row r="9" spans="1:10" x14ac:dyDescent="0.25">
      <c r="A9" s="2" t="s">
        <v>77</v>
      </c>
      <c r="B9" s="2">
        <v>2013</v>
      </c>
      <c r="C9" s="2" t="s">
        <v>56</v>
      </c>
      <c r="D9" s="2" t="s">
        <v>8</v>
      </c>
      <c r="E9" s="2" t="s">
        <v>78</v>
      </c>
      <c r="F9" s="2" t="s">
        <v>79</v>
      </c>
      <c r="G9" s="2">
        <f t="shared" si="0"/>
        <v>0.82151819322459219</v>
      </c>
      <c r="H9" s="5">
        <v>4.531141868512111</v>
      </c>
      <c r="I9" s="2">
        <v>289</v>
      </c>
      <c r="J9" s="12">
        <f>I9/Pondération!$J$4</f>
        <v>0.18130489335006272</v>
      </c>
    </row>
    <row r="10" spans="1:10" x14ac:dyDescent="0.25">
      <c r="A10" s="2" t="s">
        <v>77</v>
      </c>
      <c r="B10" s="2">
        <v>2013</v>
      </c>
      <c r="C10" s="2" t="s">
        <v>57</v>
      </c>
      <c r="D10" s="2" t="s">
        <v>8</v>
      </c>
      <c r="E10" s="2" t="s">
        <v>78</v>
      </c>
      <c r="F10" s="2" t="s">
        <v>79</v>
      </c>
      <c r="G10" s="2">
        <f t="shared" si="0"/>
        <v>0.41154328732747802</v>
      </c>
      <c r="H10" s="5">
        <v>4.5555555555555554</v>
      </c>
      <c r="I10" s="2">
        <v>144</v>
      </c>
      <c r="J10" s="12">
        <f>I10/Pondération!$J$4</f>
        <v>9.03387703889586E-2</v>
      </c>
    </row>
    <row r="11" spans="1:10" x14ac:dyDescent="0.25">
      <c r="A11" s="2" t="s">
        <v>77</v>
      </c>
      <c r="B11" s="2">
        <v>2013</v>
      </c>
      <c r="C11" s="2" t="s">
        <v>58</v>
      </c>
      <c r="D11" s="2" t="s">
        <v>8</v>
      </c>
      <c r="E11" s="2" t="s">
        <v>78</v>
      </c>
      <c r="F11" s="2" t="s">
        <v>79</v>
      </c>
      <c r="G11" s="2">
        <f t="shared" si="0"/>
        <v>0.22772898368883315</v>
      </c>
      <c r="H11" s="5">
        <v>4.4814814814814818</v>
      </c>
      <c r="I11" s="2">
        <v>81</v>
      </c>
      <c r="J11" s="12">
        <f>I11/Pondération!$J$4</f>
        <v>5.0815558343789209E-2</v>
      </c>
    </row>
    <row r="12" spans="1:10" x14ac:dyDescent="0.25">
      <c r="A12" s="2" t="s">
        <v>77</v>
      </c>
      <c r="B12" s="2">
        <v>2013</v>
      </c>
      <c r="C12" s="2" t="s">
        <v>59</v>
      </c>
      <c r="D12" s="2" t="s">
        <v>8</v>
      </c>
      <c r="E12" s="2" t="s">
        <v>78</v>
      </c>
      <c r="F12" s="2" t="s">
        <v>79</v>
      </c>
      <c r="G12" s="2">
        <f t="shared" si="0"/>
        <v>0.22082810539523212</v>
      </c>
      <c r="H12" s="5">
        <v>4.4556962025316453</v>
      </c>
      <c r="I12" s="2">
        <v>79</v>
      </c>
      <c r="J12" s="12">
        <f>I12/Pondération!$J$4</f>
        <v>4.9560853199498121E-2</v>
      </c>
    </row>
    <row r="13" spans="1:10" x14ac:dyDescent="0.25">
      <c r="A13" s="2" t="s">
        <v>77</v>
      </c>
      <c r="B13" s="2">
        <v>2013</v>
      </c>
      <c r="C13" s="2" t="s">
        <v>60</v>
      </c>
      <c r="D13" s="2" t="s">
        <v>8</v>
      </c>
      <c r="E13" s="2" t="s">
        <v>78</v>
      </c>
      <c r="F13" s="2" t="s">
        <v>79</v>
      </c>
      <c r="G13" s="2">
        <f t="shared" si="0"/>
        <v>0.34347553324968633</v>
      </c>
      <c r="H13" s="5">
        <v>4.4877049180327866</v>
      </c>
      <c r="I13" s="2">
        <v>122</v>
      </c>
      <c r="J13" s="12">
        <f>I13/Pondération!$J$4</f>
        <v>7.6537013801756593E-2</v>
      </c>
    </row>
    <row r="14" spans="1:10" x14ac:dyDescent="0.25">
      <c r="A14" s="2" t="s">
        <v>77</v>
      </c>
      <c r="B14" s="2">
        <v>2014</v>
      </c>
      <c r="C14" s="2" t="s">
        <v>61</v>
      </c>
      <c r="D14" s="2" t="s">
        <v>8</v>
      </c>
      <c r="E14" s="2" t="s">
        <v>78</v>
      </c>
      <c r="F14" s="2" t="s">
        <v>79</v>
      </c>
      <c r="G14" s="2">
        <f t="shared" si="0"/>
        <v>0.22445255474452555</v>
      </c>
      <c r="H14" s="5">
        <v>4.484375</v>
      </c>
      <c r="I14" s="2">
        <v>192</v>
      </c>
      <c r="J14" s="12">
        <f>I14/Pondération!$I$4</f>
        <v>5.0052137643378521E-2</v>
      </c>
    </row>
    <row r="15" spans="1:10" x14ac:dyDescent="0.25">
      <c r="A15" s="2" t="s">
        <v>77</v>
      </c>
      <c r="B15" s="2">
        <v>2014</v>
      </c>
      <c r="C15" s="2" t="s">
        <v>62</v>
      </c>
      <c r="D15" s="2" t="s">
        <v>8</v>
      </c>
      <c r="E15" s="2" t="s">
        <v>78</v>
      </c>
      <c r="F15" s="2" t="s">
        <v>79</v>
      </c>
      <c r="G15" s="2">
        <f t="shared" si="0"/>
        <v>0.20216371220020854</v>
      </c>
      <c r="H15" s="5">
        <v>4.4568965517241379</v>
      </c>
      <c r="I15" s="2">
        <v>174</v>
      </c>
      <c r="J15" s="12">
        <f>I15/Pondération!$I$4</f>
        <v>4.5359749739311783E-2</v>
      </c>
    </row>
    <row r="16" spans="1:10" x14ac:dyDescent="0.25">
      <c r="A16" s="2" t="s">
        <v>77</v>
      </c>
      <c r="B16" s="2">
        <v>2014</v>
      </c>
      <c r="C16" s="2" t="s">
        <v>63</v>
      </c>
      <c r="D16" s="2" t="s">
        <v>8</v>
      </c>
      <c r="E16" s="2" t="s">
        <v>78</v>
      </c>
      <c r="F16" s="2" t="s">
        <v>79</v>
      </c>
      <c r="G16" s="2">
        <f t="shared" si="0"/>
        <v>0.26655370177267984</v>
      </c>
      <c r="H16" s="5">
        <v>4.5044052863436121</v>
      </c>
      <c r="I16" s="2">
        <v>227</v>
      </c>
      <c r="J16" s="12">
        <f>I16/Pondération!$I$4</f>
        <v>5.9176225234619392E-2</v>
      </c>
    </row>
    <row r="17" spans="1:10" x14ac:dyDescent="0.25">
      <c r="A17" s="2" t="s">
        <v>77</v>
      </c>
      <c r="B17" s="2">
        <v>2014</v>
      </c>
      <c r="C17" s="2" t="s">
        <v>64</v>
      </c>
      <c r="D17" s="2" t="s">
        <v>8</v>
      </c>
      <c r="E17" s="2" t="s">
        <v>78</v>
      </c>
      <c r="F17" s="2" t="s">
        <v>79</v>
      </c>
      <c r="G17" s="2">
        <f t="shared" si="0"/>
        <v>0.24608967674661106</v>
      </c>
      <c r="H17" s="5">
        <v>4.5384615384615383</v>
      </c>
      <c r="I17" s="2">
        <v>208</v>
      </c>
      <c r="J17" s="12">
        <f>I17/Pondération!$I$4</f>
        <v>5.4223149113660066E-2</v>
      </c>
    </row>
    <row r="18" spans="1:10" x14ac:dyDescent="0.25">
      <c r="A18" s="2" t="s">
        <v>77</v>
      </c>
      <c r="B18" s="2">
        <v>2014</v>
      </c>
      <c r="C18" s="2" t="s">
        <v>65</v>
      </c>
      <c r="D18" s="2" t="s">
        <v>8</v>
      </c>
      <c r="E18" s="2" t="s">
        <v>78</v>
      </c>
      <c r="F18" s="2" t="s">
        <v>79</v>
      </c>
      <c r="G18" s="2">
        <f t="shared" si="0"/>
        <v>0.35988008342022942</v>
      </c>
      <c r="H18" s="5">
        <v>4.5561056105610565</v>
      </c>
      <c r="I18" s="2">
        <v>303</v>
      </c>
      <c r="J18" s="12">
        <f>I18/Pondération!$I$4</f>
        <v>7.8988529718456726E-2</v>
      </c>
    </row>
    <row r="19" spans="1:10" x14ac:dyDescent="0.25">
      <c r="A19" s="2" t="s">
        <v>77</v>
      </c>
      <c r="B19" s="2">
        <v>2014</v>
      </c>
      <c r="C19" s="2" t="s">
        <v>66</v>
      </c>
      <c r="D19" s="2" t="s">
        <v>8</v>
      </c>
      <c r="E19" s="2" t="s">
        <v>78</v>
      </c>
      <c r="F19" s="2" t="s">
        <v>79</v>
      </c>
      <c r="G19" s="2">
        <f t="shared" si="0"/>
        <v>0.28167361835245047</v>
      </c>
      <c r="H19" s="5">
        <v>4.5783898305084749</v>
      </c>
      <c r="I19" s="2">
        <v>236</v>
      </c>
      <c r="J19" s="12">
        <f>I19/Pondération!$I$4</f>
        <v>6.1522419186652764E-2</v>
      </c>
    </row>
    <row r="20" spans="1:10" x14ac:dyDescent="0.25">
      <c r="A20" s="2" t="s">
        <v>77</v>
      </c>
      <c r="B20" s="2">
        <v>2014</v>
      </c>
      <c r="C20" s="2" t="s">
        <v>67</v>
      </c>
      <c r="D20" s="2" t="s">
        <v>8</v>
      </c>
      <c r="E20" s="2" t="s">
        <v>78</v>
      </c>
      <c r="F20" s="2" t="s">
        <v>79</v>
      </c>
      <c r="G20" s="2">
        <f t="shared" si="0"/>
        <v>0.52307090719499483</v>
      </c>
      <c r="H20" s="5">
        <v>4.5089887640449442</v>
      </c>
      <c r="I20" s="2">
        <v>445</v>
      </c>
      <c r="J20" s="12">
        <f>I20/Pondération!$I$4</f>
        <v>0.11600625651720542</v>
      </c>
    </row>
    <row r="21" spans="1:10" x14ac:dyDescent="0.25">
      <c r="A21" s="2" t="s">
        <v>77</v>
      </c>
      <c r="B21" s="2">
        <v>2014</v>
      </c>
      <c r="C21" s="2" t="s">
        <v>68</v>
      </c>
      <c r="D21" s="2" t="s">
        <v>8</v>
      </c>
      <c r="E21" s="2" t="s">
        <v>78</v>
      </c>
      <c r="F21" s="2" t="s">
        <v>79</v>
      </c>
      <c r="G21" s="2">
        <f t="shared" si="0"/>
        <v>1.052919708029197</v>
      </c>
      <c r="H21" s="5">
        <v>4.5484234234234231</v>
      </c>
      <c r="I21" s="2">
        <v>888</v>
      </c>
      <c r="J21" s="12">
        <f>I21/Pondération!$I$4</f>
        <v>0.23149113660062565</v>
      </c>
    </row>
    <row r="22" spans="1:10" x14ac:dyDescent="0.25">
      <c r="A22" s="2" t="s">
        <v>77</v>
      </c>
      <c r="B22" s="2">
        <v>2014</v>
      </c>
      <c r="C22" s="2" t="s">
        <v>69</v>
      </c>
      <c r="D22" s="2" t="s">
        <v>8</v>
      </c>
      <c r="E22" s="2" t="s">
        <v>78</v>
      </c>
      <c r="F22" s="2" t="s">
        <v>79</v>
      </c>
      <c r="G22" s="2">
        <f t="shared" si="0"/>
        <v>0.58563607924921801</v>
      </c>
      <c r="H22" s="5">
        <v>4.556795131845842</v>
      </c>
      <c r="I22" s="2">
        <v>493</v>
      </c>
      <c r="J22" s="12">
        <f>I22/Pondération!$I$4</f>
        <v>0.12851929092805006</v>
      </c>
    </row>
    <row r="23" spans="1:10" x14ac:dyDescent="0.25">
      <c r="A23" s="2" t="s">
        <v>77</v>
      </c>
      <c r="B23" s="2">
        <v>2014</v>
      </c>
      <c r="C23" s="2" t="s">
        <v>70</v>
      </c>
      <c r="D23" s="2" t="s">
        <v>8</v>
      </c>
      <c r="E23" s="2" t="s">
        <v>78</v>
      </c>
      <c r="F23" s="2" t="s">
        <v>79</v>
      </c>
      <c r="G23" s="2">
        <f t="shared" si="0"/>
        <v>0.30331074035453592</v>
      </c>
      <c r="H23" s="5">
        <v>4.5096899224806197</v>
      </c>
      <c r="I23" s="2">
        <v>258</v>
      </c>
      <c r="J23" s="12">
        <f>I23/Pondération!$I$4</f>
        <v>6.7257559958289886E-2</v>
      </c>
    </row>
    <row r="24" spans="1:10" x14ac:dyDescent="0.25">
      <c r="A24" s="2" t="s">
        <v>77</v>
      </c>
      <c r="B24" s="2">
        <v>2014</v>
      </c>
      <c r="C24" s="2" t="s">
        <v>71</v>
      </c>
      <c r="D24" s="2" t="s">
        <v>8</v>
      </c>
      <c r="E24" s="2" t="s">
        <v>78</v>
      </c>
      <c r="F24" s="2" t="s">
        <v>79</v>
      </c>
      <c r="G24" s="2">
        <f t="shared" si="0"/>
        <v>0.22953597497393119</v>
      </c>
      <c r="H24" s="5">
        <v>4.4923469387755102</v>
      </c>
      <c r="I24" s="2">
        <v>196</v>
      </c>
      <c r="J24" s="12">
        <f>I24/Pondération!$I$4</f>
        <v>5.1094890510948905E-2</v>
      </c>
    </row>
    <row r="25" spans="1:10" x14ac:dyDescent="0.25">
      <c r="A25" s="2" t="s">
        <v>77</v>
      </c>
      <c r="B25" s="2">
        <v>2014</v>
      </c>
      <c r="C25" s="2" t="s">
        <v>72</v>
      </c>
      <c r="D25" s="2" t="s">
        <v>8</v>
      </c>
      <c r="E25" s="2" t="s">
        <v>78</v>
      </c>
      <c r="F25" s="2" t="s">
        <v>79</v>
      </c>
      <c r="G25" s="2">
        <f t="shared" si="0"/>
        <v>0.24947862356621481</v>
      </c>
      <c r="H25" s="5">
        <v>4.4305555555555554</v>
      </c>
      <c r="I25" s="2">
        <v>216</v>
      </c>
      <c r="J25" s="12">
        <f>I25/Pondération!$I$4</f>
        <v>5.6308654848800835E-2</v>
      </c>
    </row>
    <row r="26" spans="1:10" x14ac:dyDescent="0.25">
      <c r="A26" s="2" t="s">
        <v>77</v>
      </c>
      <c r="B26" s="2">
        <v>2015</v>
      </c>
      <c r="C26" s="2" t="s">
        <v>73</v>
      </c>
      <c r="D26" s="2" t="s">
        <v>8</v>
      </c>
      <c r="E26" s="2" t="s">
        <v>78</v>
      </c>
      <c r="F26" s="2" t="s">
        <v>79</v>
      </c>
      <c r="G26" s="2">
        <f t="shared" si="0"/>
        <v>0.1095679012345679</v>
      </c>
      <c r="H26" s="5">
        <v>4.4936708860759493</v>
      </c>
      <c r="I26" s="2">
        <v>316</v>
      </c>
      <c r="J26" s="12">
        <f>I26/Pondération!$H$4</f>
        <v>2.4382716049382715E-2</v>
      </c>
    </row>
    <row r="27" spans="1:10" x14ac:dyDescent="0.25">
      <c r="A27" s="2" t="s">
        <v>77</v>
      </c>
      <c r="B27" s="2">
        <v>2015</v>
      </c>
      <c r="C27" s="2" t="s">
        <v>74</v>
      </c>
      <c r="D27" s="2" t="s">
        <v>8</v>
      </c>
      <c r="E27" s="2" t="s">
        <v>78</v>
      </c>
      <c r="F27" s="2" t="s">
        <v>79</v>
      </c>
      <c r="G27" s="2">
        <f t="shared" si="0"/>
        <v>0.17816358024691356</v>
      </c>
      <c r="H27" s="5">
        <v>4.554240631163708</v>
      </c>
      <c r="I27" s="2">
        <v>507</v>
      </c>
      <c r="J27" s="12">
        <f>I27/Pondération!$H$4</f>
        <v>3.9120370370370368E-2</v>
      </c>
    </row>
    <row r="28" spans="1:10" x14ac:dyDescent="0.25">
      <c r="A28" s="2" t="s">
        <v>77</v>
      </c>
      <c r="B28" s="2">
        <v>2015</v>
      </c>
      <c r="C28" s="2" t="s">
        <v>75</v>
      </c>
      <c r="D28" s="2" t="s">
        <v>8</v>
      </c>
      <c r="E28" s="2" t="s">
        <v>78</v>
      </c>
      <c r="F28" s="2" t="s">
        <v>79</v>
      </c>
      <c r="G28" s="2">
        <f t="shared" si="0"/>
        <v>0.20586419753086421</v>
      </c>
      <c r="H28" s="5">
        <v>4.5451448040885865</v>
      </c>
      <c r="I28" s="2">
        <v>587</v>
      </c>
      <c r="J28" s="12">
        <f>I28/Pondération!$H$4</f>
        <v>4.5293209876543207E-2</v>
      </c>
    </row>
    <row r="29" spans="1:10" x14ac:dyDescent="0.25">
      <c r="A29" s="2" t="s">
        <v>77</v>
      </c>
      <c r="B29" s="2">
        <v>2015</v>
      </c>
      <c r="C29" s="2" t="s">
        <v>76</v>
      </c>
      <c r="D29" s="2" t="s">
        <v>8</v>
      </c>
      <c r="E29" s="2" t="s">
        <v>78</v>
      </c>
      <c r="F29" s="2" t="s">
        <v>79</v>
      </c>
      <c r="G29" s="2">
        <f t="shared" si="0"/>
        <v>0.14795524691358022</v>
      </c>
      <c r="H29" s="5">
        <v>4.4906323185011709</v>
      </c>
      <c r="I29" s="2">
        <v>427</v>
      </c>
      <c r="J29" s="12">
        <f>I29/Pondération!$H$4</f>
        <v>3.2947530864197529E-2</v>
      </c>
    </row>
    <row r="30" spans="1:10" x14ac:dyDescent="0.25">
      <c r="A30" s="2" t="s">
        <v>77</v>
      </c>
      <c r="B30" s="2">
        <v>2015</v>
      </c>
      <c r="C30" s="2" t="s">
        <v>7</v>
      </c>
      <c r="D30" s="2" t="s">
        <v>8</v>
      </c>
      <c r="E30" s="2" t="s">
        <v>78</v>
      </c>
      <c r="F30" s="2" t="s">
        <v>79</v>
      </c>
      <c r="G30" s="2">
        <f t="shared" si="0"/>
        <v>0.18167438271604941</v>
      </c>
      <c r="H30" s="5">
        <v>4.5105363984674334</v>
      </c>
      <c r="I30" s="2">
        <v>522</v>
      </c>
      <c r="J30" s="12">
        <f>I30/Pondération!$H$4</f>
        <v>4.027777777777778E-2</v>
      </c>
    </row>
    <row r="31" spans="1:10" x14ac:dyDescent="0.25">
      <c r="A31" s="2" t="s">
        <v>77</v>
      </c>
      <c r="B31" s="2">
        <v>2015</v>
      </c>
      <c r="C31" s="2" t="s">
        <v>11</v>
      </c>
      <c r="D31" s="2" t="s">
        <v>8</v>
      </c>
      <c r="E31" s="2" t="s">
        <v>78</v>
      </c>
      <c r="F31" s="2" t="s">
        <v>79</v>
      </c>
      <c r="G31" s="2">
        <f t="shared" si="0"/>
        <v>0.18055555555555558</v>
      </c>
      <c r="H31" s="5">
        <v>4.5792563600782783</v>
      </c>
      <c r="I31" s="2">
        <v>511</v>
      </c>
      <c r="J31" s="12">
        <f>I31/Pondération!$H$4</f>
        <v>3.9429012345679013E-2</v>
      </c>
    </row>
    <row r="32" spans="1:10" x14ac:dyDescent="0.25">
      <c r="A32" s="2" t="s">
        <v>77</v>
      </c>
      <c r="B32" s="2">
        <v>2015</v>
      </c>
      <c r="C32" s="2" t="s">
        <v>12</v>
      </c>
      <c r="D32" s="2" t="s">
        <v>8</v>
      </c>
      <c r="E32" s="2" t="s">
        <v>78</v>
      </c>
      <c r="F32" s="2" t="s">
        <v>79</v>
      </c>
      <c r="G32" s="2">
        <f t="shared" si="0"/>
        <v>0.43398919753086418</v>
      </c>
      <c r="H32" s="5">
        <v>4.5104250200481157</v>
      </c>
      <c r="I32" s="2">
        <v>1247</v>
      </c>
      <c r="J32" s="12">
        <f>I32/Pondération!$H$4</f>
        <v>9.621913580246913E-2</v>
      </c>
    </row>
    <row r="33" spans="1:10" x14ac:dyDescent="0.25">
      <c r="A33" s="2" t="s">
        <v>77</v>
      </c>
      <c r="B33" s="2">
        <v>2015</v>
      </c>
      <c r="C33" s="2" t="s">
        <v>13</v>
      </c>
      <c r="D33" s="2" t="s">
        <v>8</v>
      </c>
      <c r="E33" s="2" t="s">
        <v>78</v>
      </c>
      <c r="F33" s="2" t="s">
        <v>79</v>
      </c>
      <c r="G33" s="2">
        <f t="shared" si="0"/>
        <v>0.64726080246913587</v>
      </c>
      <c r="H33" s="5">
        <v>4.5051020408163263</v>
      </c>
      <c r="I33" s="2">
        <v>1862</v>
      </c>
      <c r="J33" s="12">
        <f>I33/Pondération!$H$4</f>
        <v>0.14367283950617285</v>
      </c>
    </row>
    <row r="34" spans="1:10" x14ac:dyDescent="0.25">
      <c r="A34" s="2" t="s">
        <v>77</v>
      </c>
      <c r="B34" s="2">
        <v>2015</v>
      </c>
      <c r="C34" s="2" t="s">
        <v>14</v>
      </c>
      <c r="D34" s="2" t="s">
        <v>8</v>
      </c>
      <c r="E34" s="2" t="s">
        <v>78</v>
      </c>
      <c r="F34" s="2" t="s">
        <v>79</v>
      </c>
      <c r="G34" s="2">
        <f t="shared" si="0"/>
        <v>0.26936728395061732</v>
      </c>
      <c r="H34" s="5">
        <v>4.5514993481095178</v>
      </c>
      <c r="I34" s="2">
        <v>767</v>
      </c>
      <c r="J34" s="12">
        <f>I34/Pondération!$H$4</f>
        <v>5.9182098765432102E-2</v>
      </c>
    </row>
    <row r="35" spans="1:10" x14ac:dyDescent="0.25">
      <c r="A35" s="2" t="s">
        <v>77</v>
      </c>
      <c r="B35" s="2">
        <v>2015</v>
      </c>
      <c r="C35" s="2" t="s">
        <v>15</v>
      </c>
      <c r="D35" s="2" t="s">
        <v>8</v>
      </c>
      <c r="E35" s="2" t="s">
        <v>78</v>
      </c>
      <c r="F35" s="2" t="s">
        <v>79</v>
      </c>
      <c r="G35" s="2">
        <f t="shared" si="0"/>
        <v>0.12183641975308641</v>
      </c>
      <c r="H35" s="5">
        <v>4.5114285714285716</v>
      </c>
      <c r="I35" s="2">
        <v>350</v>
      </c>
      <c r="J35" s="12">
        <f>I35/Pondération!$H$4</f>
        <v>2.7006172839506171E-2</v>
      </c>
    </row>
    <row r="36" spans="1:10" x14ac:dyDescent="0.25">
      <c r="A36" s="2" t="s">
        <v>77</v>
      </c>
      <c r="B36" s="2">
        <v>2015</v>
      </c>
      <c r="C36" s="2" t="s">
        <v>16</v>
      </c>
      <c r="D36" s="2" t="s">
        <v>8</v>
      </c>
      <c r="E36" s="2" t="s">
        <v>78</v>
      </c>
      <c r="F36" s="2" t="s">
        <v>79</v>
      </c>
      <c r="G36" s="2">
        <f t="shared" si="0"/>
        <v>0.11882716049382716</v>
      </c>
      <c r="H36" s="5">
        <v>4.556213017751479</v>
      </c>
      <c r="I36" s="2">
        <v>338</v>
      </c>
      <c r="J36" s="12">
        <f>I36/Pondération!$H$4</f>
        <v>2.6080246913580248E-2</v>
      </c>
    </row>
    <row r="37" spans="1:10" x14ac:dyDescent="0.25">
      <c r="A37" s="2" t="s">
        <v>77</v>
      </c>
      <c r="B37" s="2">
        <v>2015</v>
      </c>
      <c r="C37" s="2" t="s">
        <v>17</v>
      </c>
      <c r="D37" s="2" t="s">
        <v>8</v>
      </c>
      <c r="E37" s="2" t="s">
        <v>78</v>
      </c>
      <c r="F37" s="2" t="s">
        <v>79</v>
      </c>
      <c r="G37" s="2">
        <f t="shared" si="0"/>
        <v>0.13460648148148147</v>
      </c>
      <c r="H37" s="5">
        <v>4.4961340206185563</v>
      </c>
      <c r="I37" s="2">
        <v>388</v>
      </c>
      <c r="J37" s="12">
        <f>I37/Pondération!$H$4</f>
        <v>2.9938271604938272E-2</v>
      </c>
    </row>
    <row r="38" spans="1:10" x14ac:dyDescent="0.25">
      <c r="A38" s="2" t="s">
        <v>77</v>
      </c>
      <c r="B38" s="2">
        <v>2016</v>
      </c>
      <c r="C38" s="2" t="s">
        <v>18</v>
      </c>
      <c r="D38" s="2" t="s">
        <v>8</v>
      </c>
      <c r="E38" s="2" t="s">
        <v>78</v>
      </c>
      <c r="F38" s="2" t="s">
        <v>79</v>
      </c>
      <c r="G38" s="2">
        <f t="shared" si="0"/>
        <v>0.20933641975308645</v>
      </c>
      <c r="H38" s="5">
        <v>4.5066445182724255</v>
      </c>
      <c r="I38" s="2">
        <v>602</v>
      </c>
      <c r="J38" s="12">
        <f>I38/Pondération!$G$4</f>
        <v>4.645061728395062E-2</v>
      </c>
    </row>
    <row r="39" spans="1:10" x14ac:dyDescent="0.25">
      <c r="A39" s="2" t="s">
        <v>77</v>
      </c>
      <c r="B39" s="2">
        <v>2016</v>
      </c>
      <c r="C39" s="2" t="s">
        <v>19</v>
      </c>
      <c r="D39" s="2" t="s">
        <v>8</v>
      </c>
      <c r="E39" s="2" t="s">
        <v>78</v>
      </c>
      <c r="F39" s="2" t="s">
        <v>79</v>
      </c>
      <c r="G39" s="2">
        <f t="shared" si="0"/>
        <v>0.35682870370370368</v>
      </c>
      <c r="H39" s="5">
        <v>4.4552023121387281</v>
      </c>
      <c r="I39" s="2">
        <v>1038</v>
      </c>
      <c r="J39" s="12">
        <f>I39/Pondération!$G$4</f>
        <v>8.009259259259259E-2</v>
      </c>
    </row>
    <row r="40" spans="1:10" x14ac:dyDescent="0.25">
      <c r="A40" s="2" t="s">
        <v>77</v>
      </c>
      <c r="B40" s="2">
        <v>2016</v>
      </c>
      <c r="C40" s="2" t="s">
        <v>20</v>
      </c>
      <c r="D40" s="2" t="s">
        <v>8</v>
      </c>
      <c r="E40" s="2" t="s">
        <v>78</v>
      </c>
      <c r="F40" s="2" t="s">
        <v>79</v>
      </c>
      <c r="G40" s="2">
        <f t="shared" si="0"/>
        <v>0.34367283950617283</v>
      </c>
      <c r="H40" s="5">
        <v>4.4451097804391217</v>
      </c>
      <c r="I40" s="2">
        <v>1002</v>
      </c>
      <c r="J40" s="12">
        <f>I40/Pondération!$G$4</f>
        <v>7.7314814814814808E-2</v>
      </c>
    </row>
    <row r="41" spans="1:10" x14ac:dyDescent="0.25">
      <c r="A41" s="2" t="s">
        <v>77</v>
      </c>
      <c r="B41" s="2">
        <v>2016</v>
      </c>
      <c r="C41" s="2" t="s">
        <v>21</v>
      </c>
      <c r="D41" s="2" t="s">
        <v>8</v>
      </c>
      <c r="E41" s="2" t="s">
        <v>78</v>
      </c>
      <c r="F41" s="2" t="s">
        <v>79</v>
      </c>
      <c r="G41" s="2">
        <f t="shared" si="0"/>
        <v>0.29012345679012341</v>
      </c>
      <c r="H41" s="5">
        <v>4.449704142011834</v>
      </c>
      <c r="I41" s="2">
        <v>845</v>
      </c>
      <c r="J41" s="12">
        <f>I41/Pondération!$G$4</f>
        <v>6.5200617283950615E-2</v>
      </c>
    </row>
    <row r="42" spans="1:10" x14ac:dyDescent="0.25">
      <c r="A42" s="2" t="s">
        <v>77</v>
      </c>
      <c r="B42" s="2">
        <v>2016</v>
      </c>
      <c r="C42" s="2" t="s">
        <v>22</v>
      </c>
      <c r="D42" s="2" t="s">
        <v>8</v>
      </c>
      <c r="E42" s="2" t="s">
        <v>78</v>
      </c>
      <c r="F42" s="2" t="s">
        <v>79</v>
      </c>
      <c r="G42" s="2">
        <f t="shared" si="0"/>
        <v>0.29023919753086419</v>
      </c>
      <c r="H42" s="5">
        <v>4.4994019138755981</v>
      </c>
      <c r="I42" s="2">
        <v>836</v>
      </c>
      <c r="J42" s="12">
        <f>I42/Pondération!$G$4</f>
        <v>6.4506172839506173E-2</v>
      </c>
    </row>
    <row r="43" spans="1:10" x14ac:dyDescent="0.25">
      <c r="A43" s="2" t="s">
        <v>77</v>
      </c>
      <c r="B43" s="2">
        <v>2016</v>
      </c>
      <c r="C43" s="2" t="s">
        <v>23</v>
      </c>
      <c r="D43" s="2" t="s">
        <v>8</v>
      </c>
      <c r="E43" s="2" t="s">
        <v>78</v>
      </c>
      <c r="F43" s="2" t="s">
        <v>79</v>
      </c>
      <c r="G43" s="2">
        <f t="shared" si="0"/>
        <v>0.25925925925925924</v>
      </c>
      <c r="H43" s="5">
        <v>4.5283018867924527</v>
      </c>
      <c r="I43" s="2">
        <v>742</v>
      </c>
      <c r="J43" s="12">
        <f>I43/Pondération!$G$4</f>
        <v>5.7253086419753088E-2</v>
      </c>
    </row>
    <row r="44" spans="1:10" x14ac:dyDescent="0.25">
      <c r="A44" s="2" t="s">
        <v>77</v>
      </c>
      <c r="B44" s="2">
        <v>2016</v>
      </c>
      <c r="C44" s="2" t="s">
        <v>24</v>
      </c>
      <c r="D44" s="2" t="s">
        <v>8</v>
      </c>
      <c r="E44" s="2" t="s">
        <v>78</v>
      </c>
      <c r="F44" s="2" t="s">
        <v>79</v>
      </c>
      <c r="G44" s="2">
        <f t="shared" si="0"/>
        <v>0.61138117283950622</v>
      </c>
      <c r="H44" s="5">
        <v>4.5328947368421053</v>
      </c>
      <c r="I44" s="2">
        <v>1748</v>
      </c>
      <c r="J44" s="12">
        <f>I44/Pondération!$G$4</f>
        <v>0.13487654320987655</v>
      </c>
    </row>
    <row r="45" spans="1:10" x14ac:dyDescent="0.25">
      <c r="A45" s="2" t="s">
        <v>77</v>
      </c>
      <c r="B45" s="2">
        <v>2016</v>
      </c>
      <c r="C45" s="2" t="s">
        <v>25</v>
      </c>
      <c r="D45" s="2" t="s">
        <v>8</v>
      </c>
      <c r="E45" s="2" t="s">
        <v>78</v>
      </c>
      <c r="F45" s="2" t="s">
        <v>79</v>
      </c>
      <c r="G45" s="2">
        <f t="shared" si="0"/>
        <v>1.1708719135802468</v>
      </c>
      <c r="H45" s="5">
        <v>4.5297014925373134</v>
      </c>
      <c r="I45" s="2">
        <v>3350</v>
      </c>
      <c r="J45" s="12">
        <f>I45/Pondération!$G$4</f>
        <v>0.25848765432098764</v>
      </c>
    </row>
    <row r="46" spans="1:10" x14ac:dyDescent="0.25">
      <c r="A46" s="2" t="s">
        <v>77</v>
      </c>
      <c r="B46" s="2">
        <v>2016</v>
      </c>
      <c r="C46" s="2" t="s">
        <v>26</v>
      </c>
      <c r="D46" s="2" t="s">
        <v>8</v>
      </c>
      <c r="E46" s="2" t="s">
        <v>78</v>
      </c>
      <c r="F46" s="2" t="s">
        <v>79</v>
      </c>
      <c r="G46" s="2">
        <f t="shared" si="0"/>
        <v>0.45663580246913582</v>
      </c>
      <c r="H46" s="5">
        <v>4.5593220338983054</v>
      </c>
      <c r="I46" s="2">
        <v>1298</v>
      </c>
      <c r="J46" s="12">
        <f>I46/Pondération!$G$4</f>
        <v>0.10015432098765432</v>
      </c>
    </row>
    <row r="47" spans="1:10" x14ac:dyDescent="0.25">
      <c r="A47" s="2" t="s">
        <v>77</v>
      </c>
      <c r="B47" s="2">
        <v>2016</v>
      </c>
      <c r="C47" s="2" t="s">
        <v>27</v>
      </c>
      <c r="D47" s="2" t="s">
        <v>8</v>
      </c>
      <c r="E47" s="2" t="s">
        <v>78</v>
      </c>
      <c r="F47" s="2" t="s">
        <v>79</v>
      </c>
      <c r="G47" s="2">
        <f t="shared" si="0"/>
        <v>0.19976851851851851</v>
      </c>
      <c r="H47" s="5">
        <v>4.5026086956521736</v>
      </c>
      <c r="I47" s="2">
        <v>575</v>
      </c>
      <c r="J47" s="12">
        <f>I47/Pondération!$G$4</f>
        <v>4.4367283950617287E-2</v>
      </c>
    </row>
    <row r="48" spans="1:10" x14ac:dyDescent="0.25">
      <c r="A48" s="2" t="s">
        <v>77</v>
      </c>
      <c r="B48" s="2">
        <v>2016</v>
      </c>
      <c r="C48" s="2" t="s">
        <v>28</v>
      </c>
      <c r="D48" s="2" t="s">
        <v>8</v>
      </c>
      <c r="E48" s="2" t="s">
        <v>78</v>
      </c>
      <c r="F48" s="2" t="s">
        <v>79</v>
      </c>
      <c r="G48" s="2">
        <f t="shared" si="0"/>
        <v>0.15462962962962964</v>
      </c>
      <c r="H48" s="5">
        <v>4.5339366515837103</v>
      </c>
      <c r="I48" s="2">
        <v>442</v>
      </c>
      <c r="J48" s="12">
        <f>I48/Pondération!$G$4</f>
        <v>3.4104938271604941E-2</v>
      </c>
    </row>
    <row r="49" spans="1:10" x14ac:dyDescent="0.25">
      <c r="A49" s="2" t="s">
        <v>77</v>
      </c>
      <c r="B49" s="2">
        <v>2016</v>
      </c>
      <c r="C49" s="2" t="s">
        <v>29</v>
      </c>
      <c r="D49" s="2" t="s">
        <v>8</v>
      </c>
      <c r="E49" s="2" t="s">
        <v>78</v>
      </c>
      <c r="F49" s="2" t="s">
        <v>79</v>
      </c>
      <c r="G49" s="2">
        <f t="shared" si="0"/>
        <v>0.16693672839506174</v>
      </c>
      <c r="H49" s="5">
        <v>4.4885892116182573</v>
      </c>
      <c r="I49" s="2">
        <v>482</v>
      </c>
      <c r="J49" s="12">
        <f>I49/Pondération!$G$4</f>
        <v>3.7191358024691361E-2</v>
      </c>
    </row>
    <row r="50" spans="1:10" x14ac:dyDescent="0.25">
      <c r="A50" s="2" t="s">
        <v>77</v>
      </c>
      <c r="B50" s="2">
        <v>2017</v>
      </c>
      <c r="C50" s="2" t="s">
        <v>30</v>
      </c>
      <c r="D50" s="2" t="s">
        <v>8</v>
      </c>
      <c r="E50" s="2" t="s">
        <v>78</v>
      </c>
      <c r="F50" s="2" t="s">
        <v>79</v>
      </c>
      <c r="G50" s="2">
        <f t="shared" si="0"/>
        <v>0.64821917808219176</v>
      </c>
      <c r="H50" s="5">
        <v>4.4473684210526319</v>
      </c>
      <c r="I50" s="2">
        <v>798</v>
      </c>
      <c r="J50" s="12">
        <f>I50/Pondération!$F$4</f>
        <v>0.14575342465753424</v>
      </c>
    </row>
    <row r="51" spans="1:10" x14ac:dyDescent="0.25">
      <c r="A51" s="2" t="s">
        <v>77</v>
      </c>
      <c r="B51" s="2">
        <v>2017</v>
      </c>
      <c r="C51" s="2" t="s">
        <v>31</v>
      </c>
      <c r="D51" s="2" t="s">
        <v>8</v>
      </c>
      <c r="E51" s="2" t="s">
        <v>78</v>
      </c>
      <c r="F51" s="2" t="s">
        <v>79</v>
      </c>
      <c r="G51" s="2">
        <f t="shared" si="0"/>
        <v>1.0421917808219177</v>
      </c>
      <c r="H51" s="5">
        <v>4.4198295894655306</v>
      </c>
      <c r="I51" s="2">
        <v>1291</v>
      </c>
      <c r="J51" s="12">
        <f>I51/Pondération!$F$4</f>
        <v>0.23579908675799086</v>
      </c>
    </row>
    <row r="52" spans="1:10" x14ac:dyDescent="0.25">
      <c r="A52" s="2" t="s">
        <v>77</v>
      </c>
      <c r="B52" s="2">
        <v>2017</v>
      </c>
      <c r="C52" s="2" t="s">
        <v>32</v>
      </c>
      <c r="D52" s="2" t="s">
        <v>8</v>
      </c>
      <c r="E52" s="2" t="s">
        <v>78</v>
      </c>
      <c r="F52" s="2" t="s">
        <v>79</v>
      </c>
      <c r="G52" s="2">
        <f t="shared" si="0"/>
        <v>0.89205479452054792</v>
      </c>
      <c r="H52" s="5">
        <v>4.4279238440616497</v>
      </c>
      <c r="I52" s="2">
        <v>1103</v>
      </c>
      <c r="J52" s="12">
        <f>I52/Pondération!$F$4</f>
        <v>0.20146118721461187</v>
      </c>
    </row>
    <row r="53" spans="1:10" x14ac:dyDescent="0.25">
      <c r="A53" s="2" t="s">
        <v>77</v>
      </c>
      <c r="B53" s="2">
        <v>2017</v>
      </c>
      <c r="C53" s="2" t="s">
        <v>33</v>
      </c>
      <c r="D53" s="2" t="s">
        <v>8</v>
      </c>
      <c r="E53" s="2" t="s">
        <v>78</v>
      </c>
      <c r="F53" s="2" t="s">
        <v>79</v>
      </c>
      <c r="G53" s="2">
        <f t="shared" si="0"/>
        <v>0.75780821917808217</v>
      </c>
      <c r="H53" s="5">
        <v>4.4660925726587726</v>
      </c>
      <c r="I53" s="2">
        <v>929</v>
      </c>
      <c r="J53" s="12">
        <f>I53/Pondération!$F$4</f>
        <v>0.16968036529680366</v>
      </c>
    </row>
    <row r="54" spans="1:10" x14ac:dyDescent="0.25">
      <c r="A54" s="2" t="s">
        <v>77</v>
      </c>
      <c r="B54" s="2">
        <v>2017</v>
      </c>
      <c r="C54" s="2" t="s">
        <v>34</v>
      </c>
      <c r="D54" s="2" t="s">
        <v>8</v>
      </c>
      <c r="E54" s="2" t="s">
        <v>78</v>
      </c>
      <c r="F54" s="2" t="s">
        <v>79</v>
      </c>
      <c r="G54" s="2">
        <f t="shared" si="0"/>
        <v>0.70940639269406391</v>
      </c>
      <c r="H54" s="5">
        <v>4.5058004640371232</v>
      </c>
      <c r="I54" s="2">
        <v>862</v>
      </c>
      <c r="J54" s="12">
        <f>I54/Pondération!$F$4</f>
        <v>0.15744292237442922</v>
      </c>
    </row>
    <row r="55" spans="1:10" x14ac:dyDescent="0.25">
      <c r="A55" s="2" t="s">
        <v>77</v>
      </c>
      <c r="B55" s="2">
        <v>2017</v>
      </c>
      <c r="C55" s="2" t="s">
        <v>80</v>
      </c>
      <c r="D55" s="2" t="s">
        <v>8</v>
      </c>
      <c r="E55" s="2" t="s">
        <v>78</v>
      </c>
      <c r="F55" s="2" t="s">
        <v>79</v>
      </c>
      <c r="G55" s="2">
        <f t="shared" si="0"/>
        <v>0.40694063926940638</v>
      </c>
      <c r="H55" s="5">
        <v>4.5284552845528454</v>
      </c>
      <c r="I55" s="2">
        <v>492</v>
      </c>
      <c r="J55" s="12">
        <f>I55/Pondération!$F$4</f>
        <v>8.9863013698630131E-2</v>
      </c>
    </row>
    <row r="56" spans="1:10" x14ac:dyDescent="0.25">
      <c r="A56" s="2" t="s">
        <v>77</v>
      </c>
      <c r="B56" s="2">
        <v>2013</v>
      </c>
      <c r="C56" s="2" t="s">
        <v>49</v>
      </c>
      <c r="D56" s="2" t="s">
        <v>8</v>
      </c>
      <c r="E56" s="2" t="s">
        <v>78</v>
      </c>
      <c r="F56" s="2" t="s">
        <v>81</v>
      </c>
      <c r="G56" s="2">
        <f t="shared" si="0"/>
        <v>7.6124567474048457E-2</v>
      </c>
      <c r="H56" s="5">
        <v>4.4000000000000004</v>
      </c>
      <c r="I56" s="2">
        <v>5</v>
      </c>
      <c r="J56" s="12">
        <f>I56/Pondération!$J$5</f>
        <v>1.7301038062283738E-2</v>
      </c>
    </row>
    <row r="57" spans="1:10" x14ac:dyDescent="0.25">
      <c r="A57" s="2" t="s">
        <v>77</v>
      </c>
      <c r="B57" s="2">
        <v>2013</v>
      </c>
      <c r="C57" s="2" t="s">
        <v>50</v>
      </c>
      <c r="D57" s="2" t="s">
        <v>8</v>
      </c>
      <c r="E57" s="2" t="s">
        <v>78</v>
      </c>
      <c r="F57" s="2" t="s">
        <v>81</v>
      </c>
      <c r="G57" s="2">
        <f t="shared" si="0"/>
        <v>0.2802768166089965</v>
      </c>
      <c r="H57" s="5">
        <v>4.5</v>
      </c>
      <c r="I57" s="2">
        <v>18</v>
      </c>
      <c r="J57" s="12">
        <f>I57/Pondération!$J$5</f>
        <v>6.228373702422145E-2</v>
      </c>
    </row>
    <row r="58" spans="1:10" x14ac:dyDescent="0.25">
      <c r="A58" s="2" t="s">
        <v>77</v>
      </c>
      <c r="B58" s="2">
        <v>2013</v>
      </c>
      <c r="C58" s="2" t="s">
        <v>51</v>
      </c>
      <c r="D58" s="2" t="s">
        <v>8</v>
      </c>
      <c r="E58" s="2" t="s">
        <v>78</v>
      </c>
      <c r="F58" s="2" t="s">
        <v>81</v>
      </c>
      <c r="G58" s="2">
        <f t="shared" si="0"/>
        <v>0.19723183391003463</v>
      </c>
      <c r="H58" s="5">
        <v>4.384615384615385</v>
      </c>
      <c r="I58" s="2">
        <v>13</v>
      </c>
      <c r="J58" s="12">
        <f>I58/Pondération!$J$5</f>
        <v>4.4982698961937718E-2</v>
      </c>
    </row>
    <row r="59" spans="1:10" x14ac:dyDescent="0.25">
      <c r="A59" s="2" t="s">
        <v>77</v>
      </c>
      <c r="B59" s="2">
        <v>2013</v>
      </c>
      <c r="C59" s="2" t="s">
        <v>52</v>
      </c>
      <c r="D59" s="2" t="s">
        <v>8</v>
      </c>
      <c r="E59" s="2" t="s">
        <v>78</v>
      </c>
      <c r="F59" s="2" t="s">
        <v>81</v>
      </c>
      <c r="G59" s="2">
        <f t="shared" si="0"/>
        <v>0.41349480968858132</v>
      </c>
      <c r="H59" s="5">
        <v>4.5961538461538458</v>
      </c>
      <c r="I59" s="2">
        <v>26</v>
      </c>
      <c r="J59" s="12">
        <f>I59/Pondération!$J$5</f>
        <v>8.9965397923875437E-2</v>
      </c>
    </row>
    <row r="60" spans="1:10" x14ac:dyDescent="0.25">
      <c r="A60" s="2" t="s">
        <v>77</v>
      </c>
      <c r="B60" s="2">
        <v>2013</v>
      </c>
      <c r="C60" s="2" t="s">
        <v>53</v>
      </c>
      <c r="D60" s="2" t="s">
        <v>8</v>
      </c>
      <c r="E60" s="2" t="s">
        <v>78</v>
      </c>
      <c r="F60" s="2" t="s">
        <v>81</v>
      </c>
      <c r="G60" s="2">
        <f t="shared" si="0"/>
        <v>0.24740484429065746</v>
      </c>
      <c r="H60" s="5">
        <v>4.46875</v>
      </c>
      <c r="I60" s="2">
        <v>16</v>
      </c>
      <c r="J60" s="12">
        <f>I60/Pondération!$J$5</f>
        <v>5.536332179930796E-2</v>
      </c>
    </row>
    <row r="61" spans="1:10" x14ac:dyDescent="0.25">
      <c r="A61" s="2" t="s">
        <v>77</v>
      </c>
      <c r="B61" s="2">
        <v>2013</v>
      </c>
      <c r="C61" s="2" t="s">
        <v>54</v>
      </c>
      <c r="D61" s="2" t="s">
        <v>8</v>
      </c>
      <c r="E61" s="2" t="s">
        <v>78</v>
      </c>
      <c r="F61" s="2" t="s">
        <v>81</v>
      </c>
      <c r="G61" s="2">
        <f t="shared" si="0"/>
        <v>0.26297577854671278</v>
      </c>
      <c r="H61" s="5">
        <v>4.4705882352941178</v>
      </c>
      <c r="I61" s="2">
        <v>17</v>
      </c>
      <c r="J61" s="12">
        <f>I61/Pondération!$J$5</f>
        <v>5.8823529411764705E-2</v>
      </c>
    </row>
    <row r="62" spans="1:10" x14ac:dyDescent="0.25">
      <c r="A62" s="2" t="s">
        <v>77</v>
      </c>
      <c r="B62" s="2">
        <v>2013</v>
      </c>
      <c r="C62" s="2" t="s">
        <v>55</v>
      </c>
      <c r="D62" s="2" t="s">
        <v>8</v>
      </c>
      <c r="E62" s="2" t="s">
        <v>78</v>
      </c>
      <c r="F62" s="2" t="s">
        <v>81</v>
      </c>
      <c r="G62" s="2">
        <f t="shared" si="0"/>
        <v>0.22491349480968856</v>
      </c>
      <c r="H62" s="5">
        <v>4.333333333333333</v>
      </c>
      <c r="I62" s="2">
        <v>15</v>
      </c>
      <c r="J62" s="12">
        <f>I62/Pondération!$J$5</f>
        <v>5.1903114186851208E-2</v>
      </c>
    </row>
    <row r="63" spans="1:10" x14ac:dyDescent="0.25">
      <c r="A63" s="2" t="s">
        <v>77</v>
      </c>
      <c r="B63" s="2">
        <v>2013</v>
      </c>
      <c r="C63" s="2" t="s">
        <v>56</v>
      </c>
      <c r="D63" s="2" t="s">
        <v>8</v>
      </c>
      <c r="E63" s="2" t="s">
        <v>78</v>
      </c>
      <c r="F63" s="2" t="s">
        <v>81</v>
      </c>
      <c r="G63" s="2">
        <f t="shared" si="0"/>
        <v>0.93944636678200677</v>
      </c>
      <c r="H63" s="5">
        <v>4.4508196721311473</v>
      </c>
      <c r="I63" s="2">
        <v>61</v>
      </c>
      <c r="J63" s="12">
        <f>I63/Pondération!$J$5</f>
        <v>0.21107266435986158</v>
      </c>
    </row>
    <row r="64" spans="1:10" x14ac:dyDescent="0.25">
      <c r="A64" s="2" t="s">
        <v>77</v>
      </c>
      <c r="B64" s="2">
        <v>2013</v>
      </c>
      <c r="C64" s="2" t="s">
        <v>57</v>
      </c>
      <c r="D64" s="2" t="s">
        <v>8</v>
      </c>
      <c r="E64" s="2" t="s">
        <v>78</v>
      </c>
      <c r="F64" s="2" t="s">
        <v>81</v>
      </c>
      <c r="G64" s="2">
        <f t="shared" si="0"/>
        <v>0.47577854671280279</v>
      </c>
      <c r="H64" s="5">
        <v>4.296875</v>
      </c>
      <c r="I64" s="2">
        <v>32</v>
      </c>
      <c r="J64" s="12">
        <f>I64/Pondération!$J$5</f>
        <v>0.11072664359861592</v>
      </c>
    </row>
    <row r="65" spans="1:10" x14ac:dyDescent="0.25">
      <c r="A65" s="2" t="s">
        <v>77</v>
      </c>
      <c r="B65" s="2">
        <v>2013</v>
      </c>
      <c r="C65" s="2" t="s">
        <v>58</v>
      </c>
      <c r="D65" s="2" t="s">
        <v>8</v>
      </c>
      <c r="E65" s="2" t="s">
        <v>78</v>
      </c>
      <c r="F65" s="2" t="s">
        <v>81</v>
      </c>
      <c r="G65" s="2">
        <f t="shared" si="0"/>
        <v>0.33564013840830453</v>
      </c>
      <c r="H65" s="5">
        <v>4.4090909090909092</v>
      </c>
      <c r="I65" s="2">
        <v>22</v>
      </c>
      <c r="J65" s="12">
        <f>I65/Pondération!$J$5</f>
        <v>7.6124567474048443E-2</v>
      </c>
    </row>
    <row r="66" spans="1:10" x14ac:dyDescent="0.25">
      <c r="A66" s="2" t="s">
        <v>77</v>
      </c>
      <c r="B66" s="2">
        <v>2013</v>
      </c>
      <c r="C66" s="2" t="s">
        <v>59</v>
      </c>
      <c r="D66" s="2" t="s">
        <v>8</v>
      </c>
      <c r="E66" s="2" t="s">
        <v>78</v>
      </c>
      <c r="F66" s="2" t="s">
        <v>81</v>
      </c>
      <c r="G66" s="2">
        <f t="shared" ref="G66:G129" si="1">H66*J66</f>
        <v>0.27854671280276816</v>
      </c>
      <c r="H66" s="5">
        <v>4.4722222222222223</v>
      </c>
      <c r="I66" s="2">
        <v>18</v>
      </c>
      <c r="J66" s="12">
        <f>I66/Pondération!$J$5</f>
        <v>6.228373702422145E-2</v>
      </c>
    </row>
    <row r="67" spans="1:10" x14ac:dyDescent="0.25">
      <c r="A67" s="2" t="s">
        <v>77</v>
      </c>
      <c r="B67" s="2">
        <v>2013</v>
      </c>
      <c r="C67" s="2" t="s">
        <v>60</v>
      </c>
      <c r="D67" s="2" t="s">
        <v>8</v>
      </c>
      <c r="E67" s="2" t="s">
        <v>78</v>
      </c>
      <c r="F67" s="2" t="s">
        <v>81</v>
      </c>
      <c r="G67" s="2">
        <f t="shared" si="1"/>
        <v>0.74913494809688574</v>
      </c>
      <c r="H67" s="5">
        <v>4.7065217391304346</v>
      </c>
      <c r="I67" s="2">
        <v>46</v>
      </c>
      <c r="J67" s="12">
        <f>I67/Pondération!$J$5</f>
        <v>0.15916955017301038</v>
      </c>
    </row>
    <row r="68" spans="1:10" x14ac:dyDescent="0.25">
      <c r="A68" s="2" t="s">
        <v>77</v>
      </c>
      <c r="B68" s="2">
        <v>2014</v>
      </c>
      <c r="C68" s="2" t="s">
        <v>61</v>
      </c>
      <c r="D68" s="2" t="s">
        <v>8</v>
      </c>
      <c r="E68" s="2" t="s">
        <v>78</v>
      </c>
      <c r="F68" s="2" t="s">
        <v>81</v>
      </c>
      <c r="G68" s="2">
        <f t="shared" si="1"/>
        <v>0.22037218413320278</v>
      </c>
      <c r="H68" s="5">
        <v>4.591836734693878</v>
      </c>
      <c r="I68" s="2">
        <v>49</v>
      </c>
      <c r="J68" s="12">
        <f>I68/Pondération!$I$5</f>
        <v>4.7992164544564155E-2</v>
      </c>
    </row>
    <row r="69" spans="1:10" x14ac:dyDescent="0.25">
      <c r="A69" s="2" t="s">
        <v>77</v>
      </c>
      <c r="B69" s="2">
        <v>2014</v>
      </c>
      <c r="C69" s="2" t="s">
        <v>62</v>
      </c>
      <c r="D69" s="2" t="s">
        <v>8</v>
      </c>
      <c r="E69" s="2" t="s">
        <v>78</v>
      </c>
      <c r="F69" s="2" t="s">
        <v>81</v>
      </c>
      <c r="G69" s="2">
        <f t="shared" si="1"/>
        <v>0.16650342801175319</v>
      </c>
      <c r="H69" s="5">
        <v>4.5945945945945947</v>
      </c>
      <c r="I69" s="2">
        <v>37</v>
      </c>
      <c r="J69" s="12">
        <f>I69/Pondération!$I$5</f>
        <v>3.6238981390793339E-2</v>
      </c>
    </row>
    <row r="70" spans="1:10" x14ac:dyDescent="0.25">
      <c r="A70" s="2" t="s">
        <v>77</v>
      </c>
      <c r="B70" s="2">
        <v>2014</v>
      </c>
      <c r="C70" s="2" t="s">
        <v>63</v>
      </c>
      <c r="D70" s="2" t="s">
        <v>8</v>
      </c>
      <c r="E70" s="2" t="s">
        <v>78</v>
      </c>
      <c r="F70" s="2" t="s">
        <v>81</v>
      </c>
      <c r="G70" s="2">
        <f t="shared" si="1"/>
        <v>0.19882468168462292</v>
      </c>
      <c r="H70" s="5">
        <v>4.5111111111111111</v>
      </c>
      <c r="I70" s="2">
        <v>45</v>
      </c>
      <c r="J70" s="12">
        <f>I70/Pondération!$I$5</f>
        <v>4.4074436826640549E-2</v>
      </c>
    </row>
    <row r="71" spans="1:10" x14ac:dyDescent="0.25">
      <c r="A71" s="2" t="s">
        <v>77</v>
      </c>
      <c r="B71" s="2">
        <v>2014</v>
      </c>
      <c r="C71" s="2" t="s">
        <v>64</v>
      </c>
      <c r="D71" s="2" t="s">
        <v>8</v>
      </c>
      <c r="E71" s="2" t="s">
        <v>78</v>
      </c>
      <c r="F71" s="2" t="s">
        <v>81</v>
      </c>
      <c r="G71" s="2">
        <f t="shared" si="1"/>
        <v>0.22037218413320273</v>
      </c>
      <c r="H71" s="5">
        <v>4.6875</v>
      </c>
      <c r="I71" s="2">
        <v>48</v>
      </c>
      <c r="J71" s="12">
        <f>I71/Pondération!$I$5</f>
        <v>4.701273261508325E-2</v>
      </c>
    </row>
    <row r="72" spans="1:10" x14ac:dyDescent="0.25">
      <c r="A72" s="2" t="s">
        <v>77</v>
      </c>
      <c r="B72" s="2">
        <v>2014</v>
      </c>
      <c r="C72" s="2" t="s">
        <v>65</v>
      </c>
      <c r="D72" s="2" t="s">
        <v>8</v>
      </c>
      <c r="E72" s="2" t="s">
        <v>78</v>
      </c>
      <c r="F72" s="2" t="s">
        <v>81</v>
      </c>
      <c r="G72" s="2">
        <f t="shared" si="1"/>
        <v>0.20176297747306562</v>
      </c>
      <c r="H72" s="5">
        <v>4.5777777777777775</v>
      </c>
      <c r="I72" s="2">
        <v>45</v>
      </c>
      <c r="J72" s="12">
        <f>I72/Pondération!$I$5</f>
        <v>4.4074436826640549E-2</v>
      </c>
    </row>
    <row r="73" spans="1:10" x14ac:dyDescent="0.25">
      <c r="A73" s="2" t="s">
        <v>77</v>
      </c>
      <c r="B73" s="2">
        <v>2014</v>
      </c>
      <c r="C73" s="2" t="s">
        <v>66</v>
      </c>
      <c r="D73" s="2" t="s">
        <v>8</v>
      </c>
      <c r="E73" s="2" t="s">
        <v>78</v>
      </c>
      <c r="F73" s="2" t="s">
        <v>81</v>
      </c>
      <c r="G73" s="2">
        <f t="shared" si="1"/>
        <v>0.17825661116552399</v>
      </c>
      <c r="H73" s="5">
        <v>4.55</v>
      </c>
      <c r="I73" s="2">
        <v>40</v>
      </c>
      <c r="J73" s="12">
        <f>I73/Pondération!$I$5</f>
        <v>3.9177277179236046E-2</v>
      </c>
    </row>
    <row r="74" spans="1:10" x14ac:dyDescent="0.25">
      <c r="A74" s="2" t="s">
        <v>77</v>
      </c>
      <c r="B74" s="2">
        <v>2014</v>
      </c>
      <c r="C74" s="2" t="s">
        <v>67</v>
      </c>
      <c r="D74" s="2" t="s">
        <v>8</v>
      </c>
      <c r="E74" s="2" t="s">
        <v>78</v>
      </c>
      <c r="F74" s="2" t="s">
        <v>81</v>
      </c>
      <c r="G74" s="2">
        <f t="shared" si="1"/>
        <v>0.44906953966699314</v>
      </c>
      <c r="H74" s="5">
        <v>4.5396039603960396</v>
      </c>
      <c r="I74" s="2">
        <v>101</v>
      </c>
      <c r="J74" s="12">
        <f>I74/Pondération!$I$5</f>
        <v>9.8922624877571003E-2</v>
      </c>
    </row>
    <row r="75" spans="1:10" x14ac:dyDescent="0.25">
      <c r="A75" s="2" t="s">
        <v>77</v>
      </c>
      <c r="B75" s="2">
        <v>2014</v>
      </c>
      <c r="C75" s="2" t="s">
        <v>68</v>
      </c>
      <c r="D75" s="2" t="s">
        <v>8</v>
      </c>
      <c r="E75" s="2" t="s">
        <v>78</v>
      </c>
      <c r="F75" s="2" t="s">
        <v>81</v>
      </c>
      <c r="G75" s="2">
        <f t="shared" si="1"/>
        <v>0.85112634671890308</v>
      </c>
      <c r="H75" s="5">
        <v>4.4336734693877551</v>
      </c>
      <c r="I75" s="2">
        <v>196</v>
      </c>
      <c r="J75" s="12">
        <f>I75/Pondération!$I$5</f>
        <v>0.19196865817825662</v>
      </c>
    </row>
    <row r="76" spans="1:10" x14ac:dyDescent="0.25">
      <c r="A76" s="2" t="s">
        <v>77</v>
      </c>
      <c r="B76" s="2">
        <v>2014</v>
      </c>
      <c r="C76" s="2" t="s">
        <v>69</v>
      </c>
      <c r="D76" s="2" t="s">
        <v>8</v>
      </c>
      <c r="E76" s="2" t="s">
        <v>78</v>
      </c>
      <c r="F76" s="2" t="s">
        <v>81</v>
      </c>
      <c r="G76" s="2">
        <f t="shared" si="1"/>
        <v>0.43339862879529872</v>
      </c>
      <c r="H76" s="5">
        <v>4.5153061224489797</v>
      </c>
      <c r="I76" s="2">
        <v>98</v>
      </c>
      <c r="J76" s="12">
        <f>I76/Pondération!$I$5</f>
        <v>9.5984329089128309E-2</v>
      </c>
    </row>
    <row r="77" spans="1:10" x14ac:dyDescent="0.25">
      <c r="A77" s="2" t="s">
        <v>77</v>
      </c>
      <c r="B77" s="2">
        <v>2014</v>
      </c>
      <c r="C77" s="2" t="s">
        <v>70</v>
      </c>
      <c r="D77" s="2" t="s">
        <v>8</v>
      </c>
      <c r="E77" s="2" t="s">
        <v>78</v>
      </c>
      <c r="F77" s="2" t="s">
        <v>81</v>
      </c>
      <c r="G77" s="2">
        <f t="shared" si="1"/>
        <v>0.41723800195886385</v>
      </c>
      <c r="H77" s="5">
        <v>4.4842105263157892</v>
      </c>
      <c r="I77" s="2">
        <v>95</v>
      </c>
      <c r="J77" s="12">
        <f>I77/Pondération!$I$5</f>
        <v>9.3046033300685602E-2</v>
      </c>
    </row>
    <row r="78" spans="1:10" x14ac:dyDescent="0.25">
      <c r="A78" s="2" t="s">
        <v>77</v>
      </c>
      <c r="B78" s="2">
        <v>2014</v>
      </c>
      <c r="C78" s="2" t="s">
        <v>71</v>
      </c>
      <c r="D78" s="2" t="s">
        <v>8</v>
      </c>
      <c r="E78" s="2" t="s">
        <v>78</v>
      </c>
      <c r="F78" s="2" t="s">
        <v>81</v>
      </c>
      <c r="G78" s="2">
        <f t="shared" si="1"/>
        <v>0.361900097943193</v>
      </c>
      <c r="H78" s="5">
        <v>4.6187500000000004</v>
      </c>
      <c r="I78" s="2">
        <v>80</v>
      </c>
      <c r="J78" s="12">
        <f>I78/Pondération!$I$5</f>
        <v>7.8354554358472092E-2</v>
      </c>
    </row>
    <row r="79" spans="1:10" x14ac:dyDescent="0.25">
      <c r="A79" s="2" t="s">
        <v>77</v>
      </c>
      <c r="B79" s="2">
        <v>2014</v>
      </c>
      <c r="C79" s="2" t="s">
        <v>72</v>
      </c>
      <c r="D79" s="2" t="s">
        <v>8</v>
      </c>
      <c r="E79" s="2" t="s">
        <v>78</v>
      </c>
      <c r="F79" s="2" t="s">
        <v>81</v>
      </c>
      <c r="G79" s="2">
        <f t="shared" si="1"/>
        <v>0.861900097943193</v>
      </c>
      <c r="H79" s="5">
        <v>4.7058823529411766</v>
      </c>
      <c r="I79" s="2">
        <v>187</v>
      </c>
      <c r="J79" s="12">
        <f>I79/Pondération!$I$5</f>
        <v>0.1831537708129285</v>
      </c>
    </row>
    <row r="80" spans="1:10" x14ac:dyDescent="0.25">
      <c r="A80" s="2" t="s">
        <v>77</v>
      </c>
      <c r="B80" s="2">
        <v>2015</v>
      </c>
      <c r="C80" s="2" t="s">
        <v>73</v>
      </c>
      <c r="D80" s="2" t="s">
        <v>8</v>
      </c>
      <c r="E80" s="2" t="s">
        <v>78</v>
      </c>
      <c r="F80" s="2" t="s">
        <v>81</v>
      </c>
      <c r="G80" s="2">
        <f t="shared" si="1"/>
        <v>0.26164021164021162</v>
      </c>
      <c r="H80" s="5">
        <v>4.5787037037037033</v>
      </c>
      <c r="I80" s="2">
        <v>108</v>
      </c>
      <c r="J80" s="12">
        <f>I80/Pondération!$H$5</f>
        <v>5.7142857142857141E-2</v>
      </c>
    </row>
    <row r="81" spans="1:10" x14ac:dyDescent="0.25">
      <c r="A81" s="2" t="s">
        <v>77</v>
      </c>
      <c r="B81" s="2">
        <v>2015</v>
      </c>
      <c r="C81" s="2" t="s">
        <v>74</v>
      </c>
      <c r="D81" s="2" t="s">
        <v>8</v>
      </c>
      <c r="E81" s="2" t="s">
        <v>78</v>
      </c>
      <c r="F81" s="2" t="s">
        <v>81</v>
      </c>
      <c r="G81" s="2">
        <f t="shared" si="1"/>
        <v>0.21349206349206348</v>
      </c>
      <c r="H81" s="5">
        <v>4.4833333333333334</v>
      </c>
      <c r="I81" s="2">
        <v>90</v>
      </c>
      <c r="J81" s="12">
        <f>I81/Pondération!$H$5</f>
        <v>4.7619047619047616E-2</v>
      </c>
    </row>
    <row r="82" spans="1:10" x14ac:dyDescent="0.25">
      <c r="A82" s="2" t="s">
        <v>77</v>
      </c>
      <c r="B82" s="2">
        <v>2015</v>
      </c>
      <c r="C82" s="2" t="s">
        <v>75</v>
      </c>
      <c r="D82" s="2" t="s">
        <v>8</v>
      </c>
      <c r="E82" s="2" t="s">
        <v>78</v>
      </c>
      <c r="F82" s="2" t="s">
        <v>81</v>
      </c>
      <c r="G82" s="2">
        <f t="shared" si="1"/>
        <v>0.23359788359788358</v>
      </c>
      <c r="H82" s="5">
        <v>4.415</v>
      </c>
      <c r="I82" s="2">
        <v>100</v>
      </c>
      <c r="J82" s="12">
        <f>I82/Pondération!$H$5</f>
        <v>5.2910052910052907E-2</v>
      </c>
    </row>
    <row r="83" spans="1:10" x14ac:dyDescent="0.25">
      <c r="A83" s="2" t="s">
        <v>77</v>
      </c>
      <c r="B83" s="2">
        <v>2015</v>
      </c>
      <c r="C83" s="2" t="s">
        <v>76</v>
      </c>
      <c r="D83" s="2" t="s">
        <v>8</v>
      </c>
      <c r="E83" s="2" t="s">
        <v>78</v>
      </c>
      <c r="F83" s="2" t="s">
        <v>81</v>
      </c>
      <c r="G83" s="2">
        <f t="shared" si="1"/>
        <v>0.24444444444444446</v>
      </c>
      <c r="H83" s="5">
        <v>4.4423076923076925</v>
      </c>
      <c r="I83" s="2">
        <v>104</v>
      </c>
      <c r="J83" s="12">
        <f>I83/Pondération!$H$5</f>
        <v>5.5026455026455028E-2</v>
      </c>
    </row>
    <row r="84" spans="1:10" x14ac:dyDescent="0.25">
      <c r="A84" s="2" t="s">
        <v>77</v>
      </c>
      <c r="B84" s="2">
        <v>2015</v>
      </c>
      <c r="C84" s="2" t="s">
        <v>7</v>
      </c>
      <c r="D84" s="2" t="s">
        <v>8</v>
      </c>
      <c r="E84" s="2" t="s">
        <v>78</v>
      </c>
      <c r="F84" s="2" t="s">
        <v>81</v>
      </c>
      <c r="G84" s="2">
        <f t="shared" si="1"/>
        <v>0.28280423280423278</v>
      </c>
      <c r="H84" s="5">
        <v>4.4915966386554622</v>
      </c>
      <c r="I84" s="2">
        <v>119</v>
      </c>
      <c r="J84" s="12">
        <f>I84/Pondération!$H$5</f>
        <v>6.2962962962962957E-2</v>
      </c>
    </row>
    <row r="85" spans="1:10" x14ac:dyDescent="0.25">
      <c r="A85" s="2" t="s">
        <v>77</v>
      </c>
      <c r="B85" s="2">
        <v>2015</v>
      </c>
      <c r="C85" s="2" t="s">
        <v>11</v>
      </c>
      <c r="D85" s="2" t="s">
        <v>8</v>
      </c>
      <c r="E85" s="2" t="s">
        <v>78</v>
      </c>
      <c r="F85" s="2" t="s">
        <v>81</v>
      </c>
      <c r="G85" s="2">
        <f t="shared" si="1"/>
        <v>0.23809523809523811</v>
      </c>
      <c r="H85" s="5">
        <v>4.5454545454545459</v>
      </c>
      <c r="I85" s="2">
        <v>99</v>
      </c>
      <c r="J85" s="12">
        <f>I85/Pondération!$H$5</f>
        <v>5.2380952380952382E-2</v>
      </c>
    </row>
    <row r="86" spans="1:10" x14ac:dyDescent="0.25">
      <c r="A86" s="2" t="s">
        <v>77</v>
      </c>
      <c r="B86" s="2">
        <v>2015</v>
      </c>
      <c r="C86" s="2" t="s">
        <v>12</v>
      </c>
      <c r="D86" s="2" t="s">
        <v>8</v>
      </c>
      <c r="E86" s="2" t="s">
        <v>78</v>
      </c>
      <c r="F86" s="2" t="s">
        <v>81</v>
      </c>
      <c r="G86" s="2">
        <f t="shared" si="1"/>
        <v>0.54947089947089955</v>
      </c>
      <c r="H86" s="5">
        <v>4.4380341880341883</v>
      </c>
      <c r="I86" s="2">
        <v>234</v>
      </c>
      <c r="J86" s="12">
        <f>I86/Pondération!$H$5</f>
        <v>0.12380952380952381</v>
      </c>
    </row>
    <row r="87" spans="1:10" x14ac:dyDescent="0.25">
      <c r="A87" s="2" t="s">
        <v>77</v>
      </c>
      <c r="B87" s="2">
        <v>2015</v>
      </c>
      <c r="C87" s="2" t="s">
        <v>13</v>
      </c>
      <c r="D87" s="2" t="s">
        <v>8</v>
      </c>
      <c r="E87" s="2" t="s">
        <v>78</v>
      </c>
      <c r="F87" s="2" t="s">
        <v>81</v>
      </c>
      <c r="G87" s="2">
        <f t="shared" si="1"/>
        <v>0.86243386243386244</v>
      </c>
      <c r="H87" s="5">
        <v>4.381720430107527</v>
      </c>
      <c r="I87" s="2">
        <v>372</v>
      </c>
      <c r="J87" s="12">
        <f>I87/Pondération!$H$5</f>
        <v>0.19682539682539682</v>
      </c>
    </row>
    <row r="88" spans="1:10" x14ac:dyDescent="0.25">
      <c r="A88" s="2" t="s">
        <v>77</v>
      </c>
      <c r="B88" s="2">
        <v>2015</v>
      </c>
      <c r="C88" s="2" t="s">
        <v>14</v>
      </c>
      <c r="D88" s="2" t="s">
        <v>8</v>
      </c>
      <c r="E88" s="2" t="s">
        <v>78</v>
      </c>
      <c r="F88" s="2" t="s">
        <v>81</v>
      </c>
      <c r="G88" s="2">
        <f t="shared" si="1"/>
        <v>0.48201058201058206</v>
      </c>
      <c r="H88" s="5">
        <v>4.465686274509804</v>
      </c>
      <c r="I88" s="2">
        <v>204</v>
      </c>
      <c r="J88" s="12">
        <f>I88/Pondération!$H$5</f>
        <v>0.10793650793650794</v>
      </c>
    </row>
    <row r="89" spans="1:10" x14ac:dyDescent="0.25">
      <c r="A89" s="2" t="s">
        <v>77</v>
      </c>
      <c r="B89" s="2">
        <v>2015</v>
      </c>
      <c r="C89" s="2" t="s">
        <v>15</v>
      </c>
      <c r="D89" s="2" t="s">
        <v>8</v>
      </c>
      <c r="E89" s="2" t="s">
        <v>78</v>
      </c>
      <c r="F89" s="2" t="s">
        <v>81</v>
      </c>
      <c r="G89" s="2">
        <f t="shared" si="1"/>
        <v>0.3925925925925926</v>
      </c>
      <c r="H89" s="5">
        <v>4.4969696969696971</v>
      </c>
      <c r="I89" s="2">
        <v>165</v>
      </c>
      <c r="J89" s="12">
        <f>I89/Pondération!$H$5</f>
        <v>8.7301587301587297E-2</v>
      </c>
    </row>
    <row r="90" spans="1:10" x14ac:dyDescent="0.25">
      <c r="A90" s="2" t="s">
        <v>77</v>
      </c>
      <c r="B90" s="2">
        <v>2015</v>
      </c>
      <c r="C90" s="2" t="s">
        <v>16</v>
      </c>
      <c r="D90" s="2" t="s">
        <v>8</v>
      </c>
      <c r="E90" s="2" t="s">
        <v>78</v>
      </c>
      <c r="F90" s="2" t="s">
        <v>81</v>
      </c>
      <c r="G90" s="2">
        <f t="shared" si="1"/>
        <v>0.36825396825396822</v>
      </c>
      <c r="H90" s="5">
        <v>4.4331210191082802</v>
      </c>
      <c r="I90" s="2">
        <v>157</v>
      </c>
      <c r="J90" s="12">
        <f>I90/Pondération!$H$5</f>
        <v>8.306878306878307E-2</v>
      </c>
    </row>
    <row r="91" spans="1:10" x14ac:dyDescent="0.25">
      <c r="A91" s="2" t="s">
        <v>77</v>
      </c>
      <c r="B91" s="2">
        <v>2015</v>
      </c>
      <c r="C91" s="2" t="s">
        <v>17</v>
      </c>
      <c r="D91" s="2" t="s">
        <v>8</v>
      </c>
      <c r="E91" s="2" t="s">
        <v>78</v>
      </c>
      <c r="F91" s="2" t="s">
        <v>81</v>
      </c>
      <c r="G91" s="2">
        <f t="shared" si="1"/>
        <v>0.32328042328042328</v>
      </c>
      <c r="H91" s="5">
        <v>4.4275362318840576</v>
      </c>
      <c r="I91" s="2">
        <v>138</v>
      </c>
      <c r="J91" s="12">
        <f>I91/Pondération!$H$5</f>
        <v>7.301587301587302E-2</v>
      </c>
    </row>
    <row r="92" spans="1:10" x14ac:dyDescent="0.25">
      <c r="A92" s="2" t="s">
        <v>77</v>
      </c>
      <c r="B92" s="2">
        <v>2016</v>
      </c>
      <c r="C92" s="2" t="s">
        <v>18</v>
      </c>
      <c r="D92" s="2" t="s">
        <v>8</v>
      </c>
      <c r="E92" s="2" t="s">
        <v>78</v>
      </c>
      <c r="F92" s="2" t="s">
        <v>81</v>
      </c>
      <c r="G92" s="2">
        <f t="shared" si="1"/>
        <v>0.23014275256222547</v>
      </c>
      <c r="H92" s="5">
        <v>4.47508896797153</v>
      </c>
      <c r="I92" s="2">
        <v>281</v>
      </c>
      <c r="J92" s="12">
        <f>I92/Pondération!$G$5</f>
        <v>5.1427525622254756E-2</v>
      </c>
    </row>
    <row r="93" spans="1:10" x14ac:dyDescent="0.25">
      <c r="A93" s="2" t="s">
        <v>77</v>
      </c>
      <c r="B93" s="2">
        <v>2016</v>
      </c>
      <c r="C93" s="2" t="s">
        <v>19</v>
      </c>
      <c r="D93" s="2" t="s">
        <v>8</v>
      </c>
      <c r="E93" s="2" t="s">
        <v>78</v>
      </c>
      <c r="F93" s="2" t="s">
        <v>81</v>
      </c>
      <c r="G93" s="2">
        <f t="shared" si="1"/>
        <v>0.28568814055636899</v>
      </c>
      <c r="H93" s="5">
        <v>4.4727793696275073</v>
      </c>
      <c r="I93" s="2">
        <v>349</v>
      </c>
      <c r="J93" s="12">
        <f>I93/Pondération!$G$5</f>
        <v>6.3872620790629581E-2</v>
      </c>
    </row>
    <row r="94" spans="1:10" x14ac:dyDescent="0.25">
      <c r="A94" s="2" t="s">
        <v>77</v>
      </c>
      <c r="B94" s="2">
        <v>2016</v>
      </c>
      <c r="C94" s="2" t="s">
        <v>20</v>
      </c>
      <c r="D94" s="2" t="s">
        <v>8</v>
      </c>
      <c r="E94" s="2" t="s">
        <v>78</v>
      </c>
      <c r="F94" s="2" t="s">
        <v>81</v>
      </c>
      <c r="G94" s="2">
        <f t="shared" si="1"/>
        <v>0.29200219619326501</v>
      </c>
      <c r="H94" s="5">
        <v>4.5326704545454541</v>
      </c>
      <c r="I94" s="2">
        <v>352</v>
      </c>
      <c r="J94" s="12">
        <f>I94/Pondération!$G$5</f>
        <v>6.4421669106881407E-2</v>
      </c>
    </row>
    <row r="95" spans="1:10" x14ac:dyDescent="0.25">
      <c r="A95" s="2" t="s">
        <v>77</v>
      </c>
      <c r="B95" s="2">
        <v>2016</v>
      </c>
      <c r="C95" s="2" t="s">
        <v>21</v>
      </c>
      <c r="D95" s="2" t="s">
        <v>8</v>
      </c>
      <c r="E95" s="2" t="s">
        <v>78</v>
      </c>
      <c r="F95" s="2" t="s">
        <v>81</v>
      </c>
      <c r="G95" s="2">
        <f t="shared" si="1"/>
        <v>0.31817349926793559</v>
      </c>
      <c r="H95" s="5">
        <v>4.4922480620155039</v>
      </c>
      <c r="I95" s="2">
        <v>387</v>
      </c>
      <c r="J95" s="12">
        <f>I95/Pondération!$G$5</f>
        <v>7.0827232796486089E-2</v>
      </c>
    </row>
    <row r="96" spans="1:10" x14ac:dyDescent="0.25">
      <c r="A96" s="2" t="s">
        <v>77</v>
      </c>
      <c r="B96" s="2">
        <v>2016</v>
      </c>
      <c r="C96" s="2" t="s">
        <v>22</v>
      </c>
      <c r="D96" s="2" t="s">
        <v>8</v>
      </c>
      <c r="E96" s="2" t="s">
        <v>78</v>
      </c>
      <c r="F96" s="2" t="s">
        <v>81</v>
      </c>
      <c r="G96" s="2">
        <f t="shared" si="1"/>
        <v>0.29026354319180087</v>
      </c>
      <c r="H96" s="5">
        <v>4.5574712643678161</v>
      </c>
      <c r="I96" s="2">
        <v>348</v>
      </c>
      <c r="J96" s="12">
        <f>I96/Pondération!$G$5</f>
        <v>6.36896046852123E-2</v>
      </c>
    </row>
    <row r="97" spans="1:10" x14ac:dyDescent="0.25">
      <c r="A97" s="2" t="s">
        <v>77</v>
      </c>
      <c r="B97" s="2">
        <v>2016</v>
      </c>
      <c r="C97" s="2" t="s">
        <v>23</v>
      </c>
      <c r="D97" s="2" t="s">
        <v>8</v>
      </c>
      <c r="E97" s="2" t="s">
        <v>78</v>
      </c>
      <c r="F97" s="2" t="s">
        <v>81</v>
      </c>
      <c r="G97" s="2">
        <f t="shared" si="1"/>
        <v>0.3021595900439239</v>
      </c>
      <c r="H97" s="5">
        <v>4.5232876712328771</v>
      </c>
      <c r="I97" s="2">
        <v>365</v>
      </c>
      <c r="J97" s="12">
        <f>I97/Pondération!$G$5</f>
        <v>6.6800878477306008E-2</v>
      </c>
    </row>
    <row r="98" spans="1:10" x14ac:dyDescent="0.25">
      <c r="A98" s="2" t="s">
        <v>77</v>
      </c>
      <c r="B98" s="2">
        <v>2016</v>
      </c>
      <c r="C98" s="2" t="s">
        <v>24</v>
      </c>
      <c r="D98" s="2" t="s">
        <v>8</v>
      </c>
      <c r="E98" s="2" t="s">
        <v>78</v>
      </c>
      <c r="F98" s="2" t="s">
        <v>81</v>
      </c>
      <c r="G98" s="2">
        <f t="shared" si="1"/>
        <v>0.47254758418740855</v>
      </c>
      <c r="H98" s="5">
        <v>4.4826388888888893</v>
      </c>
      <c r="I98" s="2">
        <v>576</v>
      </c>
      <c r="J98" s="12">
        <f>I98/Pondération!$G$5</f>
        <v>0.10541727672035139</v>
      </c>
    </row>
    <row r="99" spans="1:10" x14ac:dyDescent="0.25">
      <c r="A99" s="2" t="s">
        <v>77</v>
      </c>
      <c r="B99" s="2">
        <v>2016</v>
      </c>
      <c r="C99" s="2" t="s">
        <v>25</v>
      </c>
      <c r="D99" s="2" t="s">
        <v>8</v>
      </c>
      <c r="E99" s="2" t="s">
        <v>78</v>
      </c>
      <c r="F99" s="2" t="s">
        <v>81</v>
      </c>
      <c r="G99" s="2">
        <f t="shared" si="1"/>
        <v>0.73114934114202057</v>
      </c>
      <c r="H99" s="5">
        <v>4.4786995515695072</v>
      </c>
      <c r="I99" s="2">
        <v>892</v>
      </c>
      <c r="J99" s="12">
        <f>I99/Pondération!$G$5</f>
        <v>0.16325036603221083</v>
      </c>
    </row>
    <row r="100" spans="1:10" x14ac:dyDescent="0.25">
      <c r="A100" s="2" t="s">
        <v>77</v>
      </c>
      <c r="B100" s="2">
        <v>2016</v>
      </c>
      <c r="C100" s="2" t="s">
        <v>26</v>
      </c>
      <c r="D100" s="2" t="s">
        <v>8</v>
      </c>
      <c r="E100" s="2" t="s">
        <v>78</v>
      </c>
      <c r="F100" s="2" t="s">
        <v>81</v>
      </c>
      <c r="G100" s="2">
        <f t="shared" si="1"/>
        <v>0.33546852122986826</v>
      </c>
      <c r="H100" s="5">
        <v>4.5259259259259261</v>
      </c>
      <c r="I100" s="2">
        <v>405</v>
      </c>
      <c r="J100" s="12">
        <f>I100/Pondération!$G$5</f>
        <v>7.4121522693997077E-2</v>
      </c>
    </row>
    <row r="101" spans="1:10" x14ac:dyDescent="0.25">
      <c r="A101" s="2" t="s">
        <v>77</v>
      </c>
      <c r="B101" s="2">
        <v>2016</v>
      </c>
      <c r="C101" s="2" t="s">
        <v>27</v>
      </c>
      <c r="D101" s="2" t="s">
        <v>8</v>
      </c>
      <c r="E101" s="2" t="s">
        <v>78</v>
      </c>
      <c r="F101" s="2" t="s">
        <v>81</v>
      </c>
      <c r="G101" s="2">
        <f t="shared" si="1"/>
        <v>0.4327415812591508</v>
      </c>
      <c r="H101" s="5">
        <v>4.5912621359223298</v>
      </c>
      <c r="I101" s="2">
        <v>515</v>
      </c>
      <c r="J101" s="12">
        <f>I101/Pondération!$G$5</f>
        <v>9.425329428989751E-2</v>
      </c>
    </row>
    <row r="102" spans="1:10" x14ac:dyDescent="0.25">
      <c r="A102" s="2" t="s">
        <v>77</v>
      </c>
      <c r="B102" s="2">
        <v>2016</v>
      </c>
      <c r="C102" s="2" t="s">
        <v>28</v>
      </c>
      <c r="D102" s="2" t="s">
        <v>8</v>
      </c>
      <c r="E102" s="2" t="s">
        <v>78</v>
      </c>
      <c r="F102" s="2" t="s">
        <v>81</v>
      </c>
      <c r="G102" s="2">
        <f t="shared" si="1"/>
        <v>0.4019033674963397</v>
      </c>
      <c r="H102" s="5">
        <v>4.5465838509316772</v>
      </c>
      <c r="I102" s="2">
        <v>483</v>
      </c>
      <c r="J102" s="12">
        <f>I102/Pondération!$G$5</f>
        <v>8.8396778916544655E-2</v>
      </c>
    </row>
    <row r="103" spans="1:10" x14ac:dyDescent="0.25">
      <c r="A103" s="2" t="s">
        <v>77</v>
      </c>
      <c r="B103" s="2">
        <v>2016</v>
      </c>
      <c r="C103" s="2" t="s">
        <v>29</v>
      </c>
      <c r="D103" s="2" t="s">
        <v>8</v>
      </c>
      <c r="E103" s="2" t="s">
        <v>78</v>
      </c>
      <c r="F103" s="2" t="s">
        <v>81</v>
      </c>
      <c r="G103" s="2">
        <f t="shared" si="1"/>
        <v>0.42825768667642755</v>
      </c>
      <c r="H103" s="5">
        <v>4.5792563600782783</v>
      </c>
      <c r="I103" s="2">
        <v>511</v>
      </c>
      <c r="J103" s="12">
        <f>I103/Pondération!$G$5</f>
        <v>9.3521229868228403E-2</v>
      </c>
    </row>
    <row r="104" spans="1:10" x14ac:dyDescent="0.25">
      <c r="A104" s="2" t="s">
        <v>77</v>
      </c>
      <c r="B104" s="2">
        <v>2017</v>
      </c>
      <c r="C104" s="2" t="s">
        <v>30</v>
      </c>
      <c r="D104" s="2" t="s">
        <v>8</v>
      </c>
      <c r="E104" s="2" t="s">
        <v>78</v>
      </c>
      <c r="F104" s="2" t="s">
        <v>81</v>
      </c>
      <c r="G104" s="2">
        <f t="shared" si="1"/>
        <v>0.6891176470588235</v>
      </c>
      <c r="H104" s="5">
        <v>4.576171875</v>
      </c>
      <c r="I104" s="2">
        <v>512</v>
      </c>
      <c r="J104" s="12">
        <f>I104/Pondération!$F$5</f>
        <v>0.15058823529411763</v>
      </c>
    </row>
    <row r="105" spans="1:10" x14ac:dyDescent="0.25">
      <c r="A105" s="2" t="s">
        <v>77</v>
      </c>
      <c r="B105" s="2">
        <v>2017</v>
      </c>
      <c r="C105" s="2" t="s">
        <v>31</v>
      </c>
      <c r="D105" s="2" t="s">
        <v>8</v>
      </c>
      <c r="E105" s="2" t="s">
        <v>78</v>
      </c>
      <c r="F105" s="2" t="s">
        <v>81</v>
      </c>
      <c r="G105" s="2">
        <f t="shared" si="1"/>
        <v>0.92558823529411771</v>
      </c>
      <c r="H105" s="5">
        <v>4.6076134699853588</v>
      </c>
      <c r="I105" s="2">
        <v>683</v>
      </c>
      <c r="J105" s="12">
        <f>I105/Pondération!$F$5</f>
        <v>0.20088235294117648</v>
      </c>
    </row>
    <row r="106" spans="1:10" x14ac:dyDescent="0.25">
      <c r="A106" s="2" t="s">
        <v>77</v>
      </c>
      <c r="B106" s="2">
        <v>2017</v>
      </c>
      <c r="C106" s="2" t="s">
        <v>32</v>
      </c>
      <c r="D106" s="2" t="s">
        <v>8</v>
      </c>
      <c r="E106" s="2" t="s">
        <v>78</v>
      </c>
      <c r="F106" s="2" t="s">
        <v>81</v>
      </c>
      <c r="G106" s="2">
        <f t="shared" si="1"/>
        <v>0.81808823529411756</v>
      </c>
      <c r="H106" s="5">
        <v>4.6051324503311255</v>
      </c>
      <c r="I106" s="2">
        <v>604</v>
      </c>
      <c r="J106" s="12">
        <f>I106/Pondération!$F$5</f>
        <v>0.17764705882352941</v>
      </c>
    </row>
    <row r="107" spans="1:10" x14ac:dyDescent="0.25">
      <c r="A107" s="2" t="s">
        <v>77</v>
      </c>
      <c r="B107" s="2">
        <v>2017</v>
      </c>
      <c r="C107" s="2" t="s">
        <v>33</v>
      </c>
      <c r="D107" s="2" t="s">
        <v>8</v>
      </c>
      <c r="E107" s="2" t="s">
        <v>78</v>
      </c>
      <c r="F107" s="2" t="s">
        <v>81</v>
      </c>
      <c r="G107" s="2">
        <f t="shared" si="1"/>
        <v>0.97250000000000003</v>
      </c>
      <c r="H107" s="5">
        <v>4.6244755244755247</v>
      </c>
      <c r="I107" s="2">
        <v>715</v>
      </c>
      <c r="J107" s="12">
        <f>I107/Pondération!$F$5</f>
        <v>0.21029411764705883</v>
      </c>
    </row>
    <row r="108" spans="1:10" x14ac:dyDescent="0.25">
      <c r="A108" s="2" t="s">
        <v>77</v>
      </c>
      <c r="B108" s="2">
        <v>2017</v>
      </c>
      <c r="C108" s="2" t="s">
        <v>34</v>
      </c>
      <c r="D108" s="2" t="s">
        <v>8</v>
      </c>
      <c r="E108" s="2" t="s">
        <v>78</v>
      </c>
      <c r="F108" s="2" t="s">
        <v>81</v>
      </c>
      <c r="G108" s="2">
        <f t="shared" si="1"/>
        <v>0.82264705882352951</v>
      </c>
      <c r="H108" s="5">
        <v>4.5777414075286416</v>
      </c>
      <c r="I108" s="2">
        <v>611</v>
      </c>
      <c r="J108" s="12">
        <f>I108/Pondération!$F$5</f>
        <v>0.17970588235294119</v>
      </c>
    </row>
    <row r="109" spans="1:10" x14ac:dyDescent="0.25">
      <c r="A109" s="2" t="s">
        <v>77</v>
      </c>
      <c r="B109" s="2">
        <v>2017</v>
      </c>
      <c r="C109" s="2" t="s">
        <v>80</v>
      </c>
      <c r="D109" s="2" t="s">
        <v>8</v>
      </c>
      <c r="E109" s="2" t="s">
        <v>78</v>
      </c>
      <c r="F109" s="2" t="s">
        <v>81</v>
      </c>
      <c r="G109" s="2">
        <f t="shared" si="1"/>
        <v>0.37308823529411761</v>
      </c>
      <c r="H109" s="5">
        <v>4.6127272727272723</v>
      </c>
      <c r="I109" s="2">
        <v>275</v>
      </c>
      <c r="J109" s="12">
        <f>I109/Pondération!$F$5</f>
        <v>8.0882352941176475E-2</v>
      </c>
    </row>
    <row r="110" spans="1:10" x14ac:dyDescent="0.25">
      <c r="A110" s="2" t="s">
        <v>77</v>
      </c>
      <c r="B110" s="2">
        <v>2013</v>
      </c>
      <c r="C110" s="2" t="s">
        <v>49</v>
      </c>
      <c r="D110" s="2" t="s">
        <v>8</v>
      </c>
      <c r="E110" s="2" t="s">
        <v>78</v>
      </c>
      <c r="F110" s="2" t="s">
        <v>83</v>
      </c>
      <c r="G110" s="2">
        <f t="shared" si="1"/>
        <v>0.14640883977900554</v>
      </c>
      <c r="H110" s="5">
        <v>4.416666666666667</v>
      </c>
      <c r="I110" s="2">
        <v>6</v>
      </c>
      <c r="J110" s="12">
        <f>I110/Pondération!$J$6</f>
        <v>3.3149171270718231E-2</v>
      </c>
    </row>
    <row r="111" spans="1:10" x14ac:dyDescent="0.25">
      <c r="A111" s="2" t="s">
        <v>77</v>
      </c>
      <c r="B111" s="2">
        <v>2013</v>
      </c>
      <c r="C111" s="2" t="s">
        <v>50</v>
      </c>
      <c r="D111" s="2" t="s">
        <v>8</v>
      </c>
      <c r="E111" s="2" t="s">
        <v>78</v>
      </c>
      <c r="F111" s="2" t="s">
        <v>83</v>
      </c>
      <c r="G111" s="2">
        <f t="shared" si="1"/>
        <v>0.26795580110497236</v>
      </c>
      <c r="H111" s="5">
        <v>4.4090909090909092</v>
      </c>
      <c r="I111" s="2">
        <v>11</v>
      </c>
      <c r="J111" s="12">
        <f>I111/Pondération!$J$6</f>
        <v>6.0773480662983423E-2</v>
      </c>
    </row>
    <row r="112" spans="1:10" x14ac:dyDescent="0.25">
      <c r="A112" s="2" t="s">
        <v>77</v>
      </c>
      <c r="B112" s="2">
        <v>2013</v>
      </c>
      <c r="C112" s="2" t="s">
        <v>51</v>
      </c>
      <c r="D112" s="2" t="s">
        <v>8</v>
      </c>
      <c r="E112" s="2" t="s">
        <v>78</v>
      </c>
      <c r="F112" s="2" t="s">
        <v>83</v>
      </c>
      <c r="G112" s="2">
        <f t="shared" si="1"/>
        <v>0.33701657458563533</v>
      </c>
      <c r="H112" s="5">
        <v>4.3571428571428568</v>
      </c>
      <c r="I112" s="2">
        <v>14</v>
      </c>
      <c r="J112" s="12">
        <f>I112/Pondération!$J$6</f>
        <v>7.7348066298342538E-2</v>
      </c>
    </row>
    <row r="113" spans="1:10" x14ac:dyDescent="0.25">
      <c r="A113" s="2" t="s">
        <v>77</v>
      </c>
      <c r="B113" s="2">
        <v>2013</v>
      </c>
      <c r="C113" s="2" t="s">
        <v>52</v>
      </c>
      <c r="D113" s="2" t="s">
        <v>8</v>
      </c>
      <c r="E113" s="2" t="s">
        <v>78</v>
      </c>
      <c r="F113" s="2" t="s">
        <v>83</v>
      </c>
      <c r="G113" s="2">
        <f t="shared" si="1"/>
        <v>9.9447513812154692E-2</v>
      </c>
      <c r="H113" s="5">
        <v>4.5</v>
      </c>
      <c r="I113" s="2">
        <v>4</v>
      </c>
      <c r="J113" s="12">
        <f>I113/Pondération!$J$6</f>
        <v>2.2099447513812154E-2</v>
      </c>
    </row>
    <row r="114" spans="1:10" x14ac:dyDescent="0.25">
      <c r="A114" s="2" t="s">
        <v>77</v>
      </c>
      <c r="B114" s="2">
        <v>2013</v>
      </c>
      <c r="C114" s="2" t="s">
        <v>53</v>
      </c>
      <c r="D114" s="2" t="s">
        <v>8</v>
      </c>
      <c r="E114" s="2" t="s">
        <v>78</v>
      </c>
      <c r="F114" s="2" t="s">
        <v>83</v>
      </c>
      <c r="G114" s="2">
        <f t="shared" si="1"/>
        <v>0.2016574585635359</v>
      </c>
      <c r="H114" s="5">
        <v>4.5625</v>
      </c>
      <c r="I114" s="2">
        <v>8</v>
      </c>
      <c r="J114" s="12">
        <f>I114/Pondération!$J$6</f>
        <v>4.4198895027624308E-2</v>
      </c>
    </row>
    <row r="115" spans="1:10" x14ac:dyDescent="0.25">
      <c r="A115" s="2" t="s">
        <v>77</v>
      </c>
      <c r="B115" s="2">
        <v>2013</v>
      </c>
      <c r="C115" s="2" t="s">
        <v>54</v>
      </c>
      <c r="D115" s="2" t="s">
        <v>8</v>
      </c>
      <c r="E115" s="2" t="s">
        <v>78</v>
      </c>
      <c r="F115" s="2" t="s">
        <v>83</v>
      </c>
      <c r="G115" s="2">
        <f t="shared" si="1"/>
        <v>0.35911602209944748</v>
      </c>
      <c r="H115" s="5">
        <v>4.333333333333333</v>
      </c>
      <c r="I115" s="2">
        <v>15</v>
      </c>
      <c r="J115" s="12">
        <f>I115/Pondération!$J$6</f>
        <v>8.2872928176795577E-2</v>
      </c>
    </row>
    <row r="116" spans="1:10" x14ac:dyDescent="0.25">
      <c r="A116" s="2" t="s">
        <v>77</v>
      </c>
      <c r="B116" s="2">
        <v>2013</v>
      </c>
      <c r="C116" s="2" t="s">
        <v>55</v>
      </c>
      <c r="D116" s="2" t="s">
        <v>8</v>
      </c>
      <c r="E116" s="2" t="s">
        <v>78</v>
      </c>
      <c r="F116" s="2" t="s">
        <v>83</v>
      </c>
      <c r="G116" s="2">
        <f t="shared" si="1"/>
        <v>0.51381215469613262</v>
      </c>
      <c r="H116" s="5">
        <v>4.4285714285714288</v>
      </c>
      <c r="I116" s="2">
        <v>21</v>
      </c>
      <c r="J116" s="12">
        <f>I116/Pondération!$J$6</f>
        <v>0.11602209944751381</v>
      </c>
    </row>
    <row r="117" spans="1:10" x14ac:dyDescent="0.25">
      <c r="A117" s="2" t="s">
        <v>77</v>
      </c>
      <c r="B117" s="2">
        <v>2013</v>
      </c>
      <c r="C117" s="2" t="s">
        <v>56</v>
      </c>
      <c r="D117" s="2" t="s">
        <v>8</v>
      </c>
      <c r="E117" s="2" t="s">
        <v>78</v>
      </c>
      <c r="F117" s="2" t="s">
        <v>83</v>
      </c>
      <c r="G117" s="2">
        <f t="shared" si="1"/>
        <v>0.54972375690607744</v>
      </c>
      <c r="H117" s="5">
        <v>4.3260869565217392</v>
      </c>
      <c r="I117" s="2">
        <v>23</v>
      </c>
      <c r="J117" s="12">
        <f>I117/Pondération!$J$6</f>
        <v>0.1270718232044199</v>
      </c>
    </row>
    <row r="118" spans="1:10" x14ac:dyDescent="0.25">
      <c r="A118" s="2" t="s">
        <v>77</v>
      </c>
      <c r="B118" s="2">
        <v>2013</v>
      </c>
      <c r="C118" s="2" t="s">
        <v>57</v>
      </c>
      <c r="D118" s="2" t="s">
        <v>8</v>
      </c>
      <c r="E118" s="2" t="s">
        <v>78</v>
      </c>
      <c r="F118" s="2" t="s">
        <v>83</v>
      </c>
      <c r="G118" s="2">
        <f t="shared" si="1"/>
        <v>0.35359116022099446</v>
      </c>
      <c r="H118" s="5">
        <v>4.2666666666666666</v>
      </c>
      <c r="I118" s="2">
        <v>15</v>
      </c>
      <c r="J118" s="12">
        <f>I118/Pondération!$J$6</f>
        <v>8.2872928176795577E-2</v>
      </c>
    </row>
    <row r="119" spans="1:10" x14ac:dyDescent="0.25">
      <c r="A119" s="2" t="s">
        <v>77</v>
      </c>
      <c r="B119" s="2">
        <v>2013</v>
      </c>
      <c r="C119" s="2" t="s">
        <v>58</v>
      </c>
      <c r="D119" s="2" t="s">
        <v>8</v>
      </c>
      <c r="E119" s="2" t="s">
        <v>78</v>
      </c>
      <c r="F119" s="2" t="s">
        <v>83</v>
      </c>
      <c r="G119" s="2">
        <f t="shared" si="1"/>
        <v>0.53591160220994472</v>
      </c>
      <c r="H119" s="5">
        <v>4.4090909090909092</v>
      </c>
      <c r="I119" s="2">
        <v>22</v>
      </c>
      <c r="J119" s="12">
        <f>I119/Pondération!$J$6</f>
        <v>0.12154696132596685</v>
      </c>
    </row>
    <row r="120" spans="1:10" x14ac:dyDescent="0.25">
      <c r="A120" s="2" t="s">
        <v>77</v>
      </c>
      <c r="B120" s="2">
        <v>2013</v>
      </c>
      <c r="C120" s="2" t="s">
        <v>59</v>
      </c>
      <c r="D120" s="2" t="s">
        <v>8</v>
      </c>
      <c r="E120" s="2" t="s">
        <v>78</v>
      </c>
      <c r="F120" s="2" t="s">
        <v>83</v>
      </c>
      <c r="G120" s="2">
        <f t="shared" si="1"/>
        <v>0.44475138121546959</v>
      </c>
      <c r="H120" s="5">
        <v>4.4722222222222223</v>
      </c>
      <c r="I120" s="2">
        <v>18</v>
      </c>
      <c r="J120" s="12">
        <f>I120/Pondération!$J$6</f>
        <v>9.9447513812154692E-2</v>
      </c>
    </row>
    <row r="121" spans="1:10" x14ac:dyDescent="0.25">
      <c r="A121" s="2" t="s">
        <v>77</v>
      </c>
      <c r="B121" s="2">
        <v>2013</v>
      </c>
      <c r="C121" s="2" t="s">
        <v>60</v>
      </c>
      <c r="D121" s="2" t="s">
        <v>8</v>
      </c>
      <c r="E121" s="2" t="s">
        <v>78</v>
      </c>
      <c r="F121" s="2" t="s">
        <v>83</v>
      </c>
      <c r="G121" s="2">
        <f t="shared" si="1"/>
        <v>0.58563535911602216</v>
      </c>
      <c r="H121" s="5">
        <v>4.416666666666667</v>
      </c>
      <c r="I121" s="2">
        <v>24</v>
      </c>
      <c r="J121" s="12">
        <f>I121/Pondération!$J$6</f>
        <v>0.13259668508287292</v>
      </c>
    </row>
    <row r="122" spans="1:10" x14ac:dyDescent="0.25">
      <c r="A122" s="2" t="s">
        <v>77</v>
      </c>
      <c r="B122" s="2">
        <v>2014</v>
      </c>
      <c r="C122" s="2" t="s">
        <v>61</v>
      </c>
      <c r="D122" s="2" t="s">
        <v>8</v>
      </c>
      <c r="E122" s="2" t="s">
        <v>78</v>
      </c>
      <c r="F122" s="2" t="s">
        <v>83</v>
      </c>
      <c r="G122" s="2">
        <f t="shared" si="1"/>
        <v>0.16587677725118485</v>
      </c>
      <c r="H122" s="5">
        <v>4.375</v>
      </c>
      <c r="I122" s="2">
        <v>16</v>
      </c>
      <c r="J122" s="12">
        <f>I122/Pondération!$I$6</f>
        <v>3.7914691943127965E-2</v>
      </c>
    </row>
    <row r="123" spans="1:10" x14ac:dyDescent="0.25">
      <c r="A123" s="2" t="s">
        <v>77</v>
      </c>
      <c r="B123" s="2">
        <v>2014</v>
      </c>
      <c r="C123" s="2" t="s">
        <v>62</v>
      </c>
      <c r="D123" s="2" t="s">
        <v>8</v>
      </c>
      <c r="E123" s="2" t="s">
        <v>78</v>
      </c>
      <c r="F123" s="2" t="s">
        <v>83</v>
      </c>
      <c r="G123" s="2">
        <f t="shared" si="1"/>
        <v>0.16587677725118485</v>
      </c>
      <c r="H123" s="5">
        <v>4.375</v>
      </c>
      <c r="I123" s="2">
        <v>16</v>
      </c>
      <c r="J123" s="12">
        <f>I123/Pondération!$I$6</f>
        <v>3.7914691943127965E-2</v>
      </c>
    </row>
    <row r="124" spans="1:10" x14ac:dyDescent="0.25">
      <c r="A124" s="2" t="s">
        <v>77</v>
      </c>
      <c r="B124" s="2">
        <v>2014</v>
      </c>
      <c r="C124" s="2" t="s">
        <v>63</v>
      </c>
      <c r="D124" s="2" t="s">
        <v>8</v>
      </c>
      <c r="E124" s="2" t="s">
        <v>78</v>
      </c>
      <c r="F124" s="2" t="s">
        <v>83</v>
      </c>
      <c r="G124" s="2">
        <f t="shared" si="1"/>
        <v>0.19905213270142183</v>
      </c>
      <c r="H124" s="5">
        <v>4.4210526315789478</v>
      </c>
      <c r="I124" s="2">
        <v>19</v>
      </c>
      <c r="J124" s="12">
        <f>I124/Pondération!$I$6</f>
        <v>4.5023696682464455E-2</v>
      </c>
    </row>
    <row r="125" spans="1:10" x14ac:dyDescent="0.25">
      <c r="A125" s="2" t="s">
        <v>77</v>
      </c>
      <c r="B125" s="2">
        <v>2014</v>
      </c>
      <c r="C125" s="2" t="s">
        <v>64</v>
      </c>
      <c r="D125" s="2" t="s">
        <v>8</v>
      </c>
      <c r="E125" s="2" t="s">
        <v>78</v>
      </c>
      <c r="F125" s="2" t="s">
        <v>83</v>
      </c>
      <c r="G125" s="2">
        <f t="shared" si="1"/>
        <v>0.22867298578199052</v>
      </c>
      <c r="H125" s="5">
        <v>4.3863636363636367</v>
      </c>
      <c r="I125" s="2">
        <v>22</v>
      </c>
      <c r="J125" s="12">
        <f>I125/Pondération!$I$6</f>
        <v>5.2132701421800945E-2</v>
      </c>
    </row>
    <row r="126" spans="1:10" x14ac:dyDescent="0.25">
      <c r="A126" s="2" t="s">
        <v>77</v>
      </c>
      <c r="B126" s="2">
        <v>2014</v>
      </c>
      <c r="C126" s="2" t="s">
        <v>65</v>
      </c>
      <c r="D126" s="2" t="s">
        <v>8</v>
      </c>
      <c r="E126" s="2" t="s">
        <v>78</v>
      </c>
      <c r="F126" s="2" t="s">
        <v>83</v>
      </c>
      <c r="G126" s="2">
        <f t="shared" si="1"/>
        <v>0.25355450236966826</v>
      </c>
      <c r="H126" s="5">
        <v>4.28</v>
      </c>
      <c r="I126" s="2">
        <v>25</v>
      </c>
      <c r="J126" s="12">
        <f>I126/Pondération!$I$6</f>
        <v>5.9241706161137442E-2</v>
      </c>
    </row>
    <row r="127" spans="1:10" x14ac:dyDescent="0.25">
      <c r="A127" s="2" t="s">
        <v>77</v>
      </c>
      <c r="B127" s="2">
        <v>2014</v>
      </c>
      <c r="C127" s="2" t="s">
        <v>66</v>
      </c>
      <c r="D127" s="2" t="s">
        <v>8</v>
      </c>
      <c r="E127" s="2" t="s">
        <v>78</v>
      </c>
      <c r="F127" s="2" t="s">
        <v>83</v>
      </c>
      <c r="G127" s="2">
        <f t="shared" si="1"/>
        <v>0.30450236966824645</v>
      </c>
      <c r="H127" s="5">
        <v>4.2833333333333332</v>
      </c>
      <c r="I127" s="2">
        <v>30</v>
      </c>
      <c r="J127" s="12">
        <f>I127/Pondération!$I$6</f>
        <v>7.1090047393364927E-2</v>
      </c>
    </row>
    <row r="128" spans="1:10" x14ac:dyDescent="0.25">
      <c r="A128" s="2" t="s">
        <v>77</v>
      </c>
      <c r="B128" s="2">
        <v>2014</v>
      </c>
      <c r="C128" s="2" t="s">
        <v>67</v>
      </c>
      <c r="D128" s="2" t="s">
        <v>8</v>
      </c>
      <c r="E128" s="2" t="s">
        <v>78</v>
      </c>
      <c r="F128" s="2" t="s">
        <v>83</v>
      </c>
      <c r="G128" s="2">
        <f t="shared" si="1"/>
        <v>0.34123222748815163</v>
      </c>
      <c r="H128" s="5">
        <v>4.3636363636363633</v>
      </c>
      <c r="I128" s="2">
        <v>33</v>
      </c>
      <c r="J128" s="12">
        <f>I128/Pondération!$I$6</f>
        <v>7.8199052132701424E-2</v>
      </c>
    </row>
    <row r="129" spans="1:10" x14ac:dyDescent="0.25">
      <c r="A129" s="2" t="s">
        <v>77</v>
      </c>
      <c r="B129" s="2">
        <v>2014</v>
      </c>
      <c r="C129" s="2" t="s">
        <v>68</v>
      </c>
      <c r="D129" s="2" t="s">
        <v>8</v>
      </c>
      <c r="E129" s="2" t="s">
        <v>78</v>
      </c>
      <c r="F129" s="2" t="s">
        <v>83</v>
      </c>
      <c r="G129" s="2">
        <f t="shared" si="1"/>
        <v>0.76303317535545034</v>
      </c>
      <c r="H129" s="5">
        <v>4.3513513513513518</v>
      </c>
      <c r="I129" s="2">
        <v>74</v>
      </c>
      <c r="J129" s="12">
        <f>I129/Pondération!$I$6</f>
        <v>0.17535545023696683</v>
      </c>
    </row>
    <row r="130" spans="1:10" x14ac:dyDescent="0.25">
      <c r="A130" s="2" t="s">
        <v>77</v>
      </c>
      <c r="B130" s="2">
        <v>2014</v>
      </c>
      <c r="C130" s="2" t="s">
        <v>69</v>
      </c>
      <c r="D130" s="2" t="s">
        <v>8</v>
      </c>
      <c r="E130" s="2" t="s">
        <v>78</v>
      </c>
      <c r="F130" s="2" t="s">
        <v>83</v>
      </c>
      <c r="G130" s="2">
        <f t="shared" ref="G130:G193" si="2">H130*J130</f>
        <v>0.4680094786729857</v>
      </c>
      <c r="H130" s="5">
        <v>4.4886363636363633</v>
      </c>
      <c r="I130" s="2">
        <v>44</v>
      </c>
      <c r="J130" s="12">
        <f>I130/Pondération!$I$6</f>
        <v>0.10426540284360189</v>
      </c>
    </row>
    <row r="131" spans="1:10" x14ac:dyDescent="0.25">
      <c r="A131" s="2" t="s">
        <v>77</v>
      </c>
      <c r="B131" s="2">
        <v>2014</v>
      </c>
      <c r="C131" s="2" t="s">
        <v>70</v>
      </c>
      <c r="D131" s="2" t="s">
        <v>8</v>
      </c>
      <c r="E131" s="2" t="s">
        <v>78</v>
      </c>
      <c r="F131" s="2" t="s">
        <v>83</v>
      </c>
      <c r="G131" s="2">
        <f t="shared" si="2"/>
        <v>0.45616113744075826</v>
      </c>
      <c r="H131" s="5">
        <v>4.375</v>
      </c>
      <c r="I131" s="2">
        <v>44</v>
      </c>
      <c r="J131" s="12">
        <f>I131/Pondération!$I$6</f>
        <v>0.10426540284360189</v>
      </c>
    </row>
    <row r="132" spans="1:10" x14ac:dyDescent="0.25">
      <c r="A132" s="2" t="s">
        <v>77</v>
      </c>
      <c r="B132" s="2">
        <v>2014</v>
      </c>
      <c r="C132" s="2" t="s">
        <v>71</v>
      </c>
      <c r="D132" s="2" t="s">
        <v>8</v>
      </c>
      <c r="E132" s="2" t="s">
        <v>78</v>
      </c>
      <c r="F132" s="2" t="s">
        <v>83</v>
      </c>
      <c r="G132" s="2">
        <f t="shared" si="2"/>
        <v>0.50829383886255919</v>
      </c>
      <c r="H132" s="5">
        <v>4.46875</v>
      </c>
      <c r="I132" s="2">
        <v>48</v>
      </c>
      <c r="J132" s="12">
        <f>I132/Pondération!$I$6</f>
        <v>0.11374407582938388</v>
      </c>
    </row>
    <row r="133" spans="1:10" x14ac:dyDescent="0.25">
      <c r="A133" s="2" t="s">
        <v>77</v>
      </c>
      <c r="B133" s="2">
        <v>2014</v>
      </c>
      <c r="C133" s="2" t="s">
        <v>72</v>
      </c>
      <c r="D133" s="2" t="s">
        <v>8</v>
      </c>
      <c r="E133" s="2" t="s">
        <v>78</v>
      </c>
      <c r="F133" s="2" t="s">
        <v>83</v>
      </c>
      <c r="G133" s="2">
        <f t="shared" si="2"/>
        <v>0.53080568720379151</v>
      </c>
      <c r="H133" s="5">
        <v>4.3921568627450984</v>
      </c>
      <c r="I133" s="2">
        <v>51</v>
      </c>
      <c r="J133" s="12">
        <f>I133/Pondération!$I$6</f>
        <v>0.12085308056872038</v>
      </c>
    </row>
    <row r="134" spans="1:10" x14ac:dyDescent="0.25">
      <c r="A134" s="2" t="s">
        <v>77</v>
      </c>
      <c r="B134" s="2">
        <v>2015</v>
      </c>
      <c r="C134" s="2" t="s">
        <v>73</v>
      </c>
      <c r="D134" s="2" t="s">
        <v>8</v>
      </c>
      <c r="E134" s="2" t="s">
        <v>78</v>
      </c>
      <c r="F134" s="2" t="s">
        <v>83</v>
      </c>
      <c r="G134" s="2">
        <f t="shared" si="2"/>
        <v>0.21585557299843011</v>
      </c>
      <c r="H134" s="5">
        <v>4.3650793650793647</v>
      </c>
      <c r="I134" s="2">
        <v>63</v>
      </c>
      <c r="J134" s="12">
        <f>I134/Pondération!$H$6</f>
        <v>4.9450549450549448E-2</v>
      </c>
    </row>
    <row r="135" spans="1:10" x14ac:dyDescent="0.25">
      <c r="A135" s="2" t="s">
        <v>77</v>
      </c>
      <c r="B135" s="2">
        <v>2015</v>
      </c>
      <c r="C135" s="2" t="s">
        <v>74</v>
      </c>
      <c r="D135" s="2" t="s">
        <v>8</v>
      </c>
      <c r="E135" s="2" t="s">
        <v>78</v>
      </c>
      <c r="F135" s="2" t="s">
        <v>83</v>
      </c>
      <c r="G135" s="2">
        <f t="shared" si="2"/>
        <v>0.17346938775510204</v>
      </c>
      <c r="H135" s="5">
        <v>4.42</v>
      </c>
      <c r="I135" s="2">
        <v>50</v>
      </c>
      <c r="J135" s="12">
        <f>I135/Pondération!$H$6</f>
        <v>3.924646781789639E-2</v>
      </c>
    </row>
    <row r="136" spans="1:10" x14ac:dyDescent="0.25">
      <c r="A136" s="2" t="s">
        <v>77</v>
      </c>
      <c r="B136" s="2">
        <v>2015</v>
      </c>
      <c r="C136" s="2" t="s">
        <v>75</v>
      </c>
      <c r="D136" s="2" t="s">
        <v>8</v>
      </c>
      <c r="E136" s="2" t="s">
        <v>78</v>
      </c>
      <c r="F136" s="2" t="s">
        <v>83</v>
      </c>
      <c r="G136" s="2">
        <f t="shared" si="2"/>
        <v>0.24607535321821036</v>
      </c>
      <c r="H136" s="5">
        <v>4.4785714285714286</v>
      </c>
      <c r="I136" s="2">
        <v>70</v>
      </c>
      <c r="J136" s="12">
        <f>I136/Pondération!$H$6</f>
        <v>5.4945054945054944E-2</v>
      </c>
    </row>
    <row r="137" spans="1:10" x14ac:dyDescent="0.25">
      <c r="A137" s="2" t="s">
        <v>77</v>
      </c>
      <c r="B137" s="2">
        <v>2015</v>
      </c>
      <c r="C137" s="2" t="s">
        <v>76</v>
      </c>
      <c r="D137" s="2" t="s">
        <v>8</v>
      </c>
      <c r="E137" s="2" t="s">
        <v>78</v>
      </c>
      <c r="F137" s="2" t="s">
        <v>83</v>
      </c>
      <c r="G137" s="2">
        <f t="shared" si="2"/>
        <v>0.21507064364207221</v>
      </c>
      <c r="H137" s="5">
        <v>4.419354838709677</v>
      </c>
      <c r="I137" s="2">
        <v>62</v>
      </c>
      <c r="J137" s="12">
        <f>I137/Pondération!$H$6</f>
        <v>4.8665620094191522E-2</v>
      </c>
    </row>
    <row r="138" spans="1:10" x14ac:dyDescent="0.25">
      <c r="A138" s="2" t="s">
        <v>77</v>
      </c>
      <c r="B138" s="2">
        <v>2015</v>
      </c>
      <c r="C138" s="2" t="s">
        <v>7</v>
      </c>
      <c r="D138" s="2" t="s">
        <v>8</v>
      </c>
      <c r="E138" s="2" t="s">
        <v>78</v>
      </c>
      <c r="F138" s="2" t="s">
        <v>83</v>
      </c>
      <c r="G138" s="2">
        <f t="shared" si="2"/>
        <v>0.32574568288854006</v>
      </c>
      <c r="H138" s="5">
        <v>4.3684210526315788</v>
      </c>
      <c r="I138" s="2">
        <v>95</v>
      </c>
      <c r="J138" s="12">
        <f>I138/Pondération!$H$6</f>
        <v>7.4568288854003142E-2</v>
      </c>
    </row>
    <row r="139" spans="1:10" x14ac:dyDescent="0.25">
      <c r="A139" s="2" t="s">
        <v>77</v>
      </c>
      <c r="B139" s="2">
        <v>2015</v>
      </c>
      <c r="C139" s="2" t="s">
        <v>11</v>
      </c>
      <c r="D139" s="2" t="s">
        <v>8</v>
      </c>
      <c r="E139" s="2" t="s">
        <v>78</v>
      </c>
      <c r="F139" s="2" t="s">
        <v>83</v>
      </c>
      <c r="G139" s="2">
        <f t="shared" si="2"/>
        <v>0.27394034536891682</v>
      </c>
      <c r="H139" s="5">
        <v>4.5921052631578947</v>
      </c>
      <c r="I139" s="2">
        <v>76</v>
      </c>
      <c r="J139" s="12">
        <f>I139/Pondération!$H$6</f>
        <v>5.9654631083202514E-2</v>
      </c>
    </row>
    <row r="140" spans="1:10" x14ac:dyDescent="0.25">
      <c r="A140" s="2" t="s">
        <v>77</v>
      </c>
      <c r="B140" s="2">
        <v>2015</v>
      </c>
      <c r="C140" s="2" t="s">
        <v>12</v>
      </c>
      <c r="D140" s="2" t="s">
        <v>8</v>
      </c>
      <c r="E140" s="2" t="s">
        <v>78</v>
      </c>
      <c r="F140" s="2" t="s">
        <v>83</v>
      </c>
      <c r="G140" s="2">
        <f t="shared" si="2"/>
        <v>0.41012558869701732</v>
      </c>
      <c r="H140" s="5">
        <v>4.3907563025210088</v>
      </c>
      <c r="I140" s="2">
        <v>119</v>
      </c>
      <c r="J140" s="12">
        <f>I140/Pondération!$H$6</f>
        <v>9.3406593406593408E-2</v>
      </c>
    </row>
    <row r="141" spans="1:10" x14ac:dyDescent="0.25">
      <c r="A141" s="2" t="s">
        <v>77</v>
      </c>
      <c r="B141" s="2">
        <v>2015</v>
      </c>
      <c r="C141" s="2" t="s">
        <v>13</v>
      </c>
      <c r="D141" s="2" t="s">
        <v>8</v>
      </c>
      <c r="E141" s="2" t="s">
        <v>78</v>
      </c>
      <c r="F141" s="2" t="s">
        <v>83</v>
      </c>
      <c r="G141" s="2">
        <f t="shared" si="2"/>
        <v>0.68053375196232335</v>
      </c>
      <c r="H141" s="5">
        <v>4.3787878787878789</v>
      </c>
      <c r="I141" s="2">
        <v>198</v>
      </c>
      <c r="J141" s="12">
        <f>I141/Pondération!$H$6</f>
        <v>0.15541601255886969</v>
      </c>
    </row>
    <row r="142" spans="1:10" x14ac:dyDescent="0.25">
      <c r="A142" s="2" t="s">
        <v>77</v>
      </c>
      <c r="B142" s="2">
        <v>2015</v>
      </c>
      <c r="C142" s="2" t="s">
        <v>14</v>
      </c>
      <c r="D142" s="2" t="s">
        <v>8</v>
      </c>
      <c r="E142" s="2" t="s">
        <v>78</v>
      </c>
      <c r="F142" s="2" t="s">
        <v>83</v>
      </c>
      <c r="G142" s="2">
        <f t="shared" si="2"/>
        <v>0.52080062794348514</v>
      </c>
      <c r="H142" s="5">
        <v>4.3940397350993381</v>
      </c>
      <c r="I142" s="2">
        <v>151</v>
      </c>
      <c r="J142" s="12">
        <f>I142/Pondération!$H$6</f>
        <v>0.11852433281004709</v>
      </c>
    </row>
    <row r="143" spans="1:10" x14ac:dyDescent="0.25">
      <c r="A143" s="2" t="s">
        <v>77</v>
      </c>
      <c r="B143" s="2">
        <v>2015</v>
      </c>
      <c r="C143" s="2" t="s">
        <v>15</v>
      </c>
      <c r="D143" s="2" t="s">
        <v>8</v>
      </c>
      <c r="E143" s="2" t="s">
        <v>78</v>
      </c>
      <c r="F143" s="2" t="s">
        <v>83</v>
      </c>
      <c r="G143" s="2">
        <f t="shared" si="2"/>
        <v>0.44270015698587128</v>
      </c>
      <c r="H143" s="5">
        <v>4.40625</v>
      </c>
      <c r="I143" s="2">
        <v>128</v>
      </c>
      <c r="J143" s="12">
        <f>I143/Pondération!$H$6</f>
        <v>0.10047095761381476</v>
      </c>
    </row>
    <row r="144" spans="1:10" x14ac:dyDescent="0.25">
      <c r="A144" s="2" t="s">
        <v>77</v>
      </c>
      <c r="B144" s="2">
        <v>2015</v>
      </c>
      <c r="C144" s="2" t="s">
        <v>16</v>
      </c>
      <c r="D144" s="2" t="s">
        <v>8</v>
      </c>
      <c r="E144" s="2" t="s">
        <v>78</v>
      </c>
      <c r="F144" s="2" t="s">
        <v>83</v>
      </c>
      <c r="G144" s="2">
        <f t="shared" si="2"/>
        <v>0.46938775510204078</v>
      </c>
      <c r="H144" s="5">
        <v>4.496240601503759</v>
      </c>
      <c r="I144" s="2">
        <v>133</v>
      </c>
      <c r="J144" s="12">
        <f>I144/Pondération!$H$6</f>
        <v>0.1043956043956044</v>
      </c>
    </row>
    <row r="145" spans="1:10" x14ac:dyDescent="0.25">
      <c r="A145" s="2" t="s">
        <v>77</v>
      </c>
      <c r="B145" s="2">
        <v>2015</v>
      </c>
      <c r="C145" s="2" t="s">
        <v>17</v>
      </c>
      <c r="D145" s="2" t="s">
        <v>8</v>
      </c>
      <c r="E145" s="2" t="s">
        <v>78</v>
      </c>
      <c r="F145" s="2" t="s">
        <v>83</v>
      </c>
      <c r="G145" s="2">
        <f t="shared" si="2"/>
        <v>0.45643642072213497</v>
      </c>
      <c r="H145" s="5">
        <v>4.5077519379844961</v>
      </c>
      <c r="I145" s="2">
        <v>129</v>
      </c>
      <c r="J145" s="12">
        <f>I145/Pondération!$H$6</f>
        <v>0.10125588697017268</v>
      </c>
    </row>
    <row r="146" spans="1:10" x14ac:dyDescent="0.25">
      <c r="A146" s="2" t="s">
        <v>77</v>
      </c>
      <c r="B146" s="2">
        <v>2016</v>
      </c>
      <c r="C146" s="2" t="s">
        <v>18</v>
      </c>
      <c r="D146" s="2" t="s">
        <v>8</v>
      </c>
      <c r="E146" s="2" t="s">
        <v>78</v>
      </c>
      <c r="F146" s="2" t="s">
        <v>83</v>
      </c>
      <c r="G146" s="2">
        <f t="shared" si="2"/>
        <v>0.24379324379324377</v>
      </c>
      <c r="H146" s="5">
        <v>4.4370370370370367</v>
      </c>
      <c r="I146" s="2">
        <v>135</v>
      </c>
      <c r="J146" s="12">
        <f>I146/Pondération!$G$6</f>
        <v>5.4945054945054944E-2</v>
      </c>
    </row>
    <row r="147" spans="1:10" x14ac:dyDescent="0.25">
      <c r="A147" s="2" t="s">
        <v>77</v>
      </c>
      <c r="B147" s="2">
        <v>2016</v>
      </c>
      <c r="C147" s="2" t="s">
        <v>19</v>
      </c>
      <c r="D147" s="2" t="s">
        <v>8</v>
      </c>
      <c r="E147" s="2" t="s">
        <v>78</v>
      </c>
      <c r="F147" s="2" t="s">
        <v>83</v>
      </c>
      <c r="G147" s="2">
        <f t="shared" si="2"/>
        <v>0.32254782254782255</v>
      </c>
      <c r="H147" s="5">
        <v>4.452247191011236</v>
      </c>
      <c r="I147" s="2">
        <v>178</v>
      </c>
      <c r="J147" s="12">
        <f>I147/Pondération!$G$6</f>
        <v>7.2446072446072443E-2</v>
      </c>
    </row>
    <row r="148" spans="1:10" x14ac:dyDescent="0.25">
      <c r="A148" s="2" t="s">
        <v>77</v>
      </c>
      <c r="B148" s="2">
        <v>2016</v>
      </c>
      <c r="C148" s="2" t="s">
        <v>20</v>
      </c>
      <c r="D148" s="2" t="s">
        <v>8</v>
      </c>
      <c r="E148" s="2" t="s">
        <v>78</v>
      </c>
      <c r="F148" s="2" t="s">
        <v>83</v>
      </c>
      <c r="G148" s="2">
        <f t="shared" si="2"/>
        <v>0.27187627187627184</v>
      </c>
      <c r="H148" s="5">
        <v>4.4533333333333331</v>
      </c>
      <c r="I148" s="2">
        <v>150</v>
      </c>
      <c r="J148" s="12">
        <f>I148/Pondération!$G$6</f>
        <v>6.1050061050061048E-2</v>
      </c>
    </row>
    <row r="149" spans="1:10" x14ac:dyDescent="0.25">
      <c r="A149" s="2" t="s">
        <v>77</v>
      </c>
      <c r="B149" s="2">
        <v>2016</v>
      </c>
      <c r="C149" s="2" t="s">
        <v>21</v>
      </c>
      <c r="D149" s="2" t="s">
        <v>8</v>
      </c>
      <c r="E149" s="2" t="s">
        <v>78</v>
      </c>
      <c r="F149" s="2" t="s">
        <v>83</v>
      </c>
      <c r="G149" s="2">
        <f t="shared" si="2"/>
        <v>0.35531135531135533</v>
      </c>
      <c r="H149" s="5">
        <v>4.4090909090909092</v>
      </c>
      <c r="I149" s="2">
        <v>198</v>
      </c>
      <c r="J149" s="12">
        <f>I149/Pondération!$G$6</f>
        <v>8.0586080586080591E-2</v>
      </c>
    </row>
    <row r="150" spans="1:10" x14ac:dyDescent="0.25">
      <c r="A150" s="2" t="s">
        <v>77</v>
      </c>
      <c r="B150" s="2">
        <v>2016</v>
      </c>
      <c r="C150" s="2" t="s">
        <v>22</v>
      </c>
      <c r="D150" s="2" t="s">
        <v>8</v>
      </c>
      <c r="E150" s="2" t="s">
        <v>78</v>
      </c>
      <c r="F150" s="2" t="s">
        <v>83</v>
      </c>
      <c r="G150" s="2">
        <f t="shared" si="2"/>
        <v>0.29833129833129834</v>
      </c>
      <c r="H150" s="5">
        <v>4.4156626506024095</v>
      </c>
      <c r="I150" s="2">
        <v>166</v>
      </c>
      <c r="J150" s="12">
        <f>I150/Pondération!$G$6</f>
        <v>6.7562067562067563E-2</v>
      </c>
    </row>
    <row r="151" spans="1:10" x14ac:dyDescent="0.25">
      <c r="A151" s="2" t="s">
        <v>77</v>
      </c>
      <c r="B151" s="2">
        <v>2016</v>
      </c>
      <c r="C151" s="2" t="s">
        <v>23</v>
      </c>
      <c r="D151" s="2" t="s">
        <v>8</v>
      </c>
      <c r="E151" s="2" t="s">
        <v>78</v>
      </c>
      <c r="F151" s="2" t="s">
        <v>83</v>
      </c>
      <c r="G151" s="2">
        <f t="shared" si="2"/>
        <v>0.30179080179080175</v>
      </c>
      <c r="H151" s="5">
        <v>4.5213414634146343</v>
      </c>
      <c r="I151" s="2">
        <v>164</v>
      </c>
      <c r="J151" s="12">
        <f>I151/Pondération!$G$6</f>
        <v>6.6748066748066742E-2</v>
      </c>
    </row>
    <row r="152" spans="1:10" x14ac:dyDescent="0.25">
      <c r="A152" s="2" t="s">
        <v>77</v>
      </c>
      <c r="B152" s="2">
        <v>2016</v>
      </c>
      <c r="C152" s="2" t="s">
        <v>24</v>
      </c>
      <c r="D152" s="2" t="s">
        <v>8</v>
      </c>
      <c r="E152" s="2" t="s">
        <v>78</v>
      </c>
      <c r="F152" s="2" t="s">
        <v>83</v>
      </c>
      <c r="G152" s="2">
        <f t="shared" si="2"/>
        <v>0.4161579161579162</v>
      </c>
      <c r="H152" s="5">
        <v>4.4456521739130439</v>
      </c>
      <c r="I152" s="2">
        <v>230</v>
      </c>
      <c r="J152" s="12">
        <f>I152/Pondération!$G$6</f>
        <v>9.3610093610093606E-2</v>
      </c>
    </row>
    <row r="153" spans="1:10" x14ac:dyDescent="0.25">
      <c r="A153" s="2" t="s">
        <v>77</v>
      </c>
      <c r="B153" s="2">
        <v>2016</v>
      </c>
      <c r="C153" s="2" t="s">
        <v>25</v>
      </c>
      <c r="D153" s="2" t="s">
        <v>8</v>
      </c>
      <c r="E153" s="2" t="s">
        <v>78</v>
      </c>
      <c r="F153" s="2" t="s">
        <v>83</v>
      </c>
      <c r="G153" s="2">
        <f t="shared" si="2"/>
        <v>0.68945868945868938</v>
      </c>
      <c r="H153" s="5">
        <v>4.411458333333333</v>
      </c>
      <c r="I153" s="2">
        <v>384</v>
      </c>
      <c r="J153" s="12">
        <f>I153/Pondération!$G$6</f>
        <v>0.15628815628815629</v>
      </c>
    </row>
    <row r="154" spans="1:10" x14ac:dyDescent="0.25">
      <c r="A154" s="2" t="s">
        <v>77</v>
      </c>
      <c r="B154" s="2">
        <v>2016</v>
      </c>
      <c r="C154" s="2" t="s">
        <v>26</v>
      </c>
      <c r="D154" s="2" t="s">
        <v>8</v>
      </c>
      <c r="E154" s="2" t="s">
        <v>78</v>
      </c>
      <c r="F154" s="2" t="s">
        <v>83</v>
      </c>
      <c r="G154" s="2">
        <f t="shared" si="2"/>
        <v>0.39010989010989011</v>
      </c>
      <c r="H154" s="5">
        <v>4.4789719626168223</v>
      </c>
      <c r="I154" s="2">
        <v>214</v>
      </c>
      <c r="J154" s="12">
        <f>I154/Pondération!$G$6</f>
        <v>8.7098087098087099E-2</v>
      </c>
    </row>
    <row r="155" spans="1:10" x14ac:dyDescent="0.25">
      <c r="A155" s="2" t="s">
        <v>77</v>
      </c>
      <c r="B155" s="2">
        <v>2016</v>
      </c>
      <c r="C155" s="2" t="s">
        <v>27</v>
      </c>
      <c r="D155" s="2" t="s">
        <v>8</v>
      </c>
      <c r="E155" s="2" t="s">
        <v>78</v>
      </c>
      <c r="F155" s="2" t="s">
        <v>83</v>
      </c>
      <c r="G155" s="2">
        <f t="shared" si="2"/>
        <v>0.3909238909238909</v>
      </c>
      <c r="H155" s="5">
        <v>4.467441860465116</v>
      </c>
      <c r="I155" s="2">
        <v>215</v>
      </c>
      <c r="J155" s="12">
        <f>I155/Pondération!$G$6</f>
        <v>8.7505087505087509E-2</v>
      </c>
    </row>
    <row r="156" spans="1:10" x14ac:dyDescent="0.25">
      <c r="A156" s="2" t="s">
        <v>77</v>
      </c>
      <c r="B156" s="2">
        <v>2016</v>
      </c>
      <c r="C156" s="2" t="s">
        <v>28</v>
      </c>
      <c r="D156" s="2" t="s">
        <v>8</v>
      </c>
      <c r="E156" s="2" t="s">
        <v>78</v>
      </c>
      <c r="F156" s="2" t="s">
        <v>83</v>
      </c>
      <c r="G156" s="2">
        <f t="shared" si="2"/>
        <v>0.37220187220187217</v>
      </c>
      <c r="H156" s="5">
        <v>4.4609756097560975</v>
      </c>
      <c r="I156" s="2">
        <v>205</v>
      </c>
      <c r="J156" s="12">
        <f>I156/Pondération!$G$6</f>
        <v>8.3435083435083435E-2</v>
      </c>
    </row>
    <row r="157" spans="1:10" x14ac:dyDescent="0.25">
      <c r="A157" s="2" t="s">
        <v>77</v>
      </c>
      <c r="B157" s="2">
        <v>2016</v>
      </c>
      <c r="C157" s="2" t="s">
        <v>29</v>
      </c>
      <c r="D157" s="2" t="s">
        <v>8</v>
      </c>
      <c r="E157" s="2" t="s">
        <v>78</v>
      </c>
      <c r="F157" s="2" t="s">
        <v>83</v>
      </c>
      <c r="G157" s="2">
        <f t="shared" si="2"/>
        <v>0.39295889295889297</v>
      </c>
      <c r="H157" s="5">
        <v>4.4288990825688073</v>
      </c>
      <c r="I157" s="2">
        <v>218</v>
      </c>
      <c r="J157" s="12">
        <f>I157/Pondération!$G$6</f>
        <v>8.8726088726088725E-2</v>
      </c>
    </row>
    <row r="158" spans="1:10" x14ac:dyDescent="0.25">
      <c r="A158" s="2" t="s">
        <v>77</v>
      </c>
      <c r="B158" s="2">
        <v>2017</v>
      </c>
      <c r="C158" s="2" t="s">
        <v>30</v>
      </c>
      <c r="D158" s="2" t="s">
        <v>8</v>
      </c>
      <c r="E158" s="2" t="s">
        <v>78</v>
      </c>
      <c r="F158" s="2" t="s">
        <v>83</v>
      </c>
      <c r="G158" s="2">
        <f t="shared" si="2"/>
        <v>0.86960431654676273</v>
      </c>
      <c r="H158" s="5">
        <v>4.4768518518518521</v>
      </c>
      <c r="I158" s="2">
        <v>216</v>
      </c>
      <c r="J158" s="12">
        <f>I158/Pondération!$F$6</f>
        <v>0.19424460431654678</v>
      </c>
    </row>
    <row r="159" spans="1:10" x14ac:dyDescent="0.25">
      <c r="A159" s="2" t="s">
        <v>77</v>
      </c>
      <c r="B159" s="2">
        <v>2017</v>
      </c>
      <c r="C159" s="2" t="s">
        <v>31</v>
      </c>
      <c r="D159" s="2" t="s">
        <v>8</v>
      </c>
      <c r="E159" s="2" t="s">
        <v>78</v>
      </c>
      <c r="F159" s="2" t="s">
        <v>83</v>
      </c>
      <c r="G159" s="2">
        <f t="shared" si="2"/>
        <v>0.82733812949640295</v>
      </c>
      <c r="H159" s="5">
        <v>4.4444444444444446</v>
      </c>
      <c r="I159" s="2">
        <v>207</v>
      </c>
      <c r="J159" s="12">
        <f>I159/Pondération!$F$6</f>
        <v>0.18615107913669066</v>
      </c>
    </row>
    <row r="160" spans="1:10" x14ac:dyDescent="0.25">
      <c r="A160" s="2" t="s">
        <v>77</v>
      </c>
      <c r="B160" s="2">
        <v>2017</v>
      </c>
      <c r="C160" s="2" t="s">
        <v>32</v>
      </c>
      <c r="D160" s="2" t="s">
        <v>8</v>
      </c>
      <c r="E160" s="2" t="s">
        <v>78</v>
      </c>
      <c r="F160" s="2" t="s">
        <v>83</v>
      </c>
      <c r="G160" s="2">
        <f t="shared" si="2"/>
        <v>0.8196942446043165</v>
      </c>
      <c r="H160" s="5">
        <v>4.4681372549019605</v>
      </c>
      <c r="I160" s="2">
        <v>204</v>
      </c>
      <c r="J160" s="12">
        <f>I160/Pondération!$F$6</f>
        <v>0.18345323741007194</v>
      </c>
    </row>
    <row r="161" spans="1:10" x14ac:dyDescent="0.25">
      <c r="A161" s="2" t="s">
        <v>77</v>
      </c>
      <c r="B161" s="2">
        <v>2017</v>
      </c>
      <c r="C161" s="2" t="s">
        <v>33</v>
      </c>
      <c r="D161" s="2" t="s">
        <v>8</v>
      </c>
      <c r="E161" s="2" t="s">
        <v>78</v>
      </c>
      <c r="F161" s="2" t="s">
        <v>83</v>
      </c>
      <c r="G161" s="2">
        <f t="shared" si="2"/>
        <v>0.85071942446043169</v>
      </c>
      <c r="H161" s="5">
        <v>4.4000000000000004</v>
      </c>
      <c r="I161" s="2">
        <v>215</v>
      </c>
      <c r="J161" s="12">
        <f>I161/Pondération!$F$6</f>
        <v>0.19334532374100719</v>
      </c>
    </row>
    <row r="162" spans="1:10" x14ac:dyDescent="0.25">
      <c r="A162" s="2" t="s">
        <v>77</v>
      </c>
      <c r="B162" s="2">
        <v>2017</v>
      </c>
      <c r="C162" s="2" t="s">
        <v>34</v>
      </c>
      <c r="D162" s="2" t="s">
        <v>8</v>
      </c>
      <c r="E162" s="2" t="s">
        <v>78</v>
      </c>
      <c r="F162" s="2" t="s">
        <v>83</v>
      </c>
      <c r="G162" s="2">
        <f t="shared" si="2"/>
        <v>0.72886690647482</v>
      </c>
      <c r="H162" s="5">
        <v>4.4779005524861875</v>
      </c>
      <c r="I162" s="2">
        <v>181</v>
      </c>
      <c r="J162" s="12">
        <f>I162/Pondération!$F$6</f>
        <v>0.16276978417266186</v>
      </c>
    </row>
    <row r="163" spans="1:10" x14ac:dyDescent="0.25">
      <c r="A163" s="2" t="s">
        <v>77</v>
      </c>
      <c r="B163" s="2">
        <v>2017</v>
      </c>
      <c r="C163" s="2" t="s">
        <v>80</v>
      </c>
      <c r="D163" s="2" t="s">
        <v>8</v>
      </c>
      <c r="E163" s="2" t="s">
        <v>78</v>
      </c>
      <c r="F163" s="2" t="s">
        <v>83</v>
      </c>
      <c r="G163" s="2">
        <f t="shared" si="2"/>
        <v>0.35611510791366907</v>
      </c>
      <c r="H163" s="5">
        <v>4.4494382022471912</v>
      </c>
      <c r="I163" s="2">
        <v>89</v>
      </c>
      <c r="J163" s="12">
        <f>I163/Pondération!$F$6</f>
        <v>8.0035971223021585E-2</v>
      </c>
    </row>
    <row r="164" spans="1:10" x14ac:dyDescent="0.25">
      <c r="A164" s="2" t="s">
        <v>77</v>
      </c>
      <c r="B164" s="2">
        <v>2013</v>
      </c>
      <c r="C164" s="2" t="s">
        <v>49</v>
      </c>
      <c r="D164" s="2" t="s">
        <v>8</v>
      </c>
      <c r="E164" s="2" t="s">
        <v>78</v>
      </c>
      <c r="F164" s="2" t="s">
        <v>84</v>
      </c>
      <c r="G164" s="2">
        <f t="shared" si="2"/>
        <v>0.10593220338983052</v>
      </c>
      <c r="H164" s="5">
        <v>4.166666666666667</v>
      </c>
      <c r="I164" s="2">
        <v>3</v>
      </c>
      <c r="J164" s="12">
        <f>I164/Pondération!$J$7</f>
        <v>2.5423728813559324E-2</v>
      </c>
    </row>
    <row r="165" spans="1:10" x14ac:dyDescent="0.25">
      <c r="A165" s="2" t="s">
        <v>77</v>
      </c>
      <c r="B165" s="2">
        <v>2013</v>
      </c>
      <c r="C165" s="2" t="s">
        <v>50</v>
      </c>
      <c r="D165" s="2" t="s">
        <v>8</v>
      </c>
      <c r="E165" s="2" t="s">
        <v>78</v>
      </c>
      <c r="F165" s="2" t="s">
        <v>84</v>
      </c>
      <c r="G165" s="2">
        <f t="shared" si="2"/>
        <v>6.7796610169491525E-2</v>
      </c>
      <c r="H165" s="5">
        <v>4</v>
      </c>
      <c r="I165" s="2">
        <v>2</v>
      </c>
      <c r="J165" s="12">
        <f>I165/Pondération!$J$7</f>
        <v>1.6949152542372881E-2</v>
      </c>
    </row>
    <row r="166" spans="1:10" x14ac:dyDescent="0.25">
      <c r="A166" s="2" t="s">
        <v>77</v>
      </c>
      <c r="B166" s="2">
        <v>2013</v>
      </c>
      <c r="C166" s="2" t="s">
        <v>51</v>
      </c>
      <c r="D166" s="2" t="s">
        <v>8</v>
      </c>
      <c r="E166" s="2" t="s">
        <v>78</v>
      </c>
      <c r="F166" s="2" t="s">
        <v>84</v>
      </c>
      <c r="G166" s="2">
        <f t="shared" si="2"/>
        <v>0.14830508474576271</v>
      </c>
      <c r="H166" s="5">
        <v>4.375</v>
      </c>
      <c r="I166" s="2">
        <v>4</v>
      </c>
      <c r="J166" s="12">
        <f>I166/Pondération!$J$7</f>
        <v>3.3898305084745763E-2</v>
      </c>
    </row>
    <row r="167" spans="1:10" x14ac:dyDescent="0.25">
      <c r="A167" s="2" t="s">
        <v>77</v>
      </c>
      <c r="B167" s="2">
        <v>2013</v>
      </c>
      <c r="C167" s="2" t="s">
        <v>52</v>
      </c>
      <c r="D167" s="2" t="s">
        <v>8</v>
      </c>
      <c r="E167" s="2" t="s">
        <v>78</v>
      </c>
      <c r="F167" s="2" t="s">
        <v>84</v>
      </c>
      <c r="G167" s="2">
        <f t="shared" si="2"/>
        <v>0.28813559322033899</v>
      </c>
      <c r="H167" s="5">
        <v>4.25</v>
      </c>
      <c r="I167" s="2">
        <v>8</v>
      </c>
      <c r="J167" s="12">
        <f>I167/Pondération!$J$7</f>
        <v>6.7796610169491525E-2</v>
      </c>
    </row>
    <row r="168" spans="1:10" x14ac:dyDescent="0.25">
      <c r="A168" s="2" t="s">
        <v>77</v>
      </c>
      <c r="B168" s="2">
        <v>2013</v>
      </c>
      <c r="C168" s="2" t="s">
        <v>53</v>
      </c>
      <c r="D168" s="2" t="s">
        <v>8</v>
      </c>
      <c r="E168" s="2" t="s">
        <v>78</v>
      </c>
      <c r="F168" s="2" t="s">
        <v>84</v>
      </c>
      <c r="G168" s="2">
        <f t="shared" si="2"/>
        <v>0.21610169491525424</v>
      </c>
      <c r="H168" s="5">
        <v>4.25</v>
      </c>
      <c r="I168" s="2">
        <v>6</v>
      </c>
      <c r="J168" s="12">
        <f>I168/Pondération!$J$7</f>
        <v>5.0847457627118647E-2</v>
      </c>
    </row>
    <row r="169" spans="1:10" x14ac:dyDescent="0.25">
      <c r="A169" s="2" t="s">
        <v>77</v>
      </c>
      <c r="B169" s="2">
        <v>2013</v>
      </c>
      <c r="C169" s="2" t="s">
        <v>54</v>
      </c>
      <c r="D169" s="2" t="s">
        <v>8</v>
      </c>
      <c r="E169" s="2" t="s">
        <v>78</v>
      </c>
      <c r="F169" s="2" t="s">
        <v>84</v>
      </c>
      <c r="G169" s="2">
        <f t="shared" si="2"/>
        <v>0.14830508474576271</v>
      </c>
      <c r="H169" s="5">
        <v>4.375</v>
      </c>
      <c r="I169" s="2">
        <v>4</v>
      </c>
      <c r="J169" s="12">
        <f>I169/Pondération!$J$7</f>
        <v>3.3898305084745763E-2</v>
      </c>
    </row>
    <row r="170" spans="1:10" x14ac:dyDescent="0.25">
      <c r="A170" s="2" t="s">
        <v>77</v>
      </c>
      <c r="B170" s="2">
        <v>2013</v>
      </c>
      <c r="C170" s="2" t="s">
        <v>55</v>
      </c>
      <c r="D170" s="2" t="s">
        <v>8</v>
      </c>
      <c r="E170" s="2" t="s">
        <v>78</v>
      </c>
      <c r="F170" s="2" t="s">
        <v>84</v>
      </c>
      <c r="G170" s="2">
        <f t="shared" si="2"/>
        <v>0.5</v>
      </c>
      <c r="H170" s="5">
        <v>4.5384615384615383</v>
      </c>
      <c r="I170" s="2">
        <v>13</v>
      </c>
      <c r="J170" s="12">
        <f>I170/Pondération!$J$7</f>
        <v>0.11016949152542373</v>
      </c>
    </row>
    <row r="171" spans="1:10" x14ac:dyDescent="0.25">
      <c r="A171" s="2" t="s">
        <v>77</v>
      </c>
      <c r="B171" s="2">
        <v>2013</v>
      </c>
      <c r="C171" s="2" t="s">
        <v>56</v>
      </c>
      <c r="D171" s="2" t="s">
        <v>8</v>
      </c>
      <c r="E171" s="2" t="s">
        <v>78</v>
      </c>
      <c r="F171" s="2" t="s">
        <v>84</v>
      </c>
      <c r="G171" s="2">
        <f t="shared" si="2"/>
        <v>1.347457627118644</v>
      </c>
      <c r="H171" s="5">
        <v>4.5428571428571427</v>
      </c>
      <c r="I171" s="2">
        <v>35</v>
      </c>
      <c r="J171" s="12">
        <f>I171/Pondération!$J$7</f>
        <v>0.29661016949152541</v>
      </c>
    </row>
    <row r="172" spans="1:10" x14ac:dyDescent="0.25">
      <c r="A172" s="2" t="s">
        <v>77</v>
      </c>
      <c r="B172" s="2">
        <v>2013</v>
      </c>
      <c r="C172" s="2" t="s">
        <v>57</v>
      </c>
      <c r="D172" s="2" t="s">
        <v>8</v>
      </c>
      <c r="E172" s="2" t="s">
        <v>78</v>
      </c>
      <c r="F172" s="2" t="s">
        <v>84</v>
      </c>
      <c r="G172" s="2">
        <f t="shared" si="2"/>
        <v>0.83474576271186451</v>
      </c>
      <c r="H172" s="5">
        <v>4.4772727272727275</v>
      </c>
      <c r="I172" s="2">
        <v>22</v>
      </c>
      <c r="J172" s="12">
        <f>I172/Pondération!$J$7</f>
        <v>0.1864406779661017</v>
      </c>
    </row>
    <row r="173" spans="1:10" x14ac:dyDescent="0.25">
      <c r="A173" s="2" t="s">
        <v>77</v>
      </c>
      <c r="B173" s="2">
        <v>2013</v>
      </c>
      <c r="C173" s="2" t="s">
        <v>58</v>
      </c>
      <c r="D173" s="2" t="s">
        <v>8</v>
      </c>
      <c r="E173" s="2" t="s">
        <v>78</v>
      </c>
      <c r="F173" s="2" t="s">
        <v>84</v>
      </c>
      <c r="G173" s="2">
        <f t="shared" si="2"/>
        <v>0.30932203389830509</v>
      </c>
      <c r="H173" s="5">
        <v>4.5625</v>
      </c>
      <c r="I173" s="2">
        <v>8</v>
      </c>
      <c r="J173" s="12">
        <f>I173/Pondération!$J$7</f>
        <v>6.7796610169491525E-2</v>
      </c>
    </row>
    <row r="174" spans="1:10" x14ac:dyDescent="0.25">
      <c r="A174" s="2" t="s">
        <v>77</v>
      </c>
      <c r="B174" s="2">
        <v>2013</v>
      </c>
      <c r="C174" s="2" t="s">
        <v>59</v>
      </c>
      <c r="D174" s="2" t="s">
        <v>8</v>
      </c>
      <c r="E174" s="2" t="s">
        <v>78</v>
      </c>
      <c r="F174" s="2" t="s">
        <v>84</v>
      </c>
      <c r="G174" s="2">
        <f t="shared" si="2"/>
        <v>8.4745762711864403E-2</v>
      </c>
      <c r="H174" s="5">
        <v>5</v>
      </c>
      <c r="I174" s="2">
        <v>2</v>
      </c>
      <c r="J174" s="12">
        <f>I174/Pondération!$J$7</f>
        <v>1.6949152542372881E-2</v>
      </c>
    </row>
    <row r="175" spans="1:10" x14ac:dyDescent="0.25">
      <c r="A175" s="2" t="s">
        <v>77</v>
      </c>
      <c r="B175" s="2">
        <v>2013</v>
      </c>
      <c r="C175" s="2" t="s">
        <v>60</v>
      </c>
      <c r="D175" s="2" t="s">
        <v>8</v>
      </c>
      <c r="E175" s="2" t="s">
        <v>78</v>
      </c>
      <c r="F175" s="2" t="s">
        <v>84</v>
      </c>
      <c r="G175" s="2">
        <f t="shared" si="2"/>
        <v>0.40677966101694912</v>
      </c>
      <c r="H175" s="5">
        <v>4.3636363636363633</v>
      </c>
      <c r="I175" s="2">
        <v>11</v>
      </c>
      <c r="J175" s="12">
        <f>I175/Pondération!$J$7</f>
        <v>9.3220338983050849E-2</v>
      </c>
    </row>
    <row r="176" spans="1:10" x14ac:dyDescent="0.25">
      <c r="A176" s="2" t="s">
        <v>77</v>
      </c>
      <c r="B176" s="2">
        <v>2014</v>
      </c>
      <c r="C176" s="2" t="s">
        <v>61</v>
      </c>
      <c r="D176" s="2" t="s">
        <v>8</v>
      </c>
      <c r="E176" s="2" t="s">
        <v>78</v>
      </c>
      <c r="F176" s="2" t="s">
        <v>84</v>
      </c>
      <c r="G176" s="2">
        <f t="shared" si="2"/>
        <v>0.224609375</v>
      </c>
      <c r="H176" s="5">
        <v>4.791666666666667</v>
      </c>
      <c r="I176" s="2">
        <v>12</v>
      </c>
      <c r="J176" s="12">
        <f>I176/Pondération!$I$7</f>
        <v>4.6875E-2</v>
      </c>
    </row>
    <row r="177" spans="1:10" x14ac:dyDescent="0.25">
      <c r="A177" s="2" t="s">
        <v>77</v>
      </c>
      <c r="B177" s="2">
        <v>2014</v>
      </c>
      <c r="C177" s="2" t="s">
        <v>62</v>
      </c>
      <c r="D177" s="2" t="s">
        <v>8</v>
      </c>
      <c r="E177" s="2" t="s">
        <v>78</v>
      </c>
      <c r="F177" s="2" t="s">
        <v>84</v>
      </c>
      <c r="G177" s="2">
        <f t="shared" si="2"/>
        <v>0.212890625</v>
      </c>
      <c r="H177" s="5">
        <v>4.1923076923076925</v>
      </c>
      <c r="I177" s="2">
        <v>13</v>
      </c>
      <c r="J177" s="12">
        <f>I177/Pondération!$I$7</f>
        <v>5.078125E-2</v>
      </c>
    </row>
    <row r="178" spans="1:10" x14ac:dyDescent="0.25">
      <c r="A178" s="2" t="s">
        <v>77</v>
      </c>
      <c r="B178" s="2">
        <v>2014</v>
      </c>
      <c r="C178" s="2" t="s">
        <v>63</v>
      </c>
      <c r="D178" s="2" t="s">
        <v>8</v>
      </c>
      <c r="E178" s="2" t="s">
        <v>78</v>
      </c>
      <c r="F178" s="2" t="s">
        <v>84</v>
      </c>
      <c r="G178" s="2">
        <f t="shared" si="2"/>
        <v>0.29296875</v>
      </c>
      <c r="H178" s="5">
        <v>4.4117647058823533</v>
      </c>
      <c r="I178" s="2">
        <v>17</v>
      </c>
      <c r="J178" s="12">
        <f>I178/Pondération!$I$7</f>
        <v>6.640625E-2</v>
      </c>
    </row>
    <row r="179" spans="1:10" x14ac:dyDescent="0.25">
      <c r="A179" s="2" t="s">
        <v>77</v>
      </c>
      <c r="B179" s="2">
        <v>2014</v>
      </c>
      <c r="C179" s="2" t="s">
        <v>64</v>
      </c>
      <c r="D179" s="2" t="s">
        <v>8</v>
      </c>
      <c r="E179" s="2" t="s">
        <v>78</v>
      </c>
      <c r="F179" s="2" t="s">
        <v>84</v>
      </c>
      <c r="G179" s="2">
        <f t="shared" si="2"/>
        <v>0.2734375</v>
      </c>
      <c r="H179" s="5">
        <v>4.375</v>
      </c>
      <c r="I179" s="2">
        <v>16</v>
      </c>
      <c r="J179" s="12">
        <f>I179/Pondération!$I$7</f>
        <v>6.25E-2</v>
      </c>
    </row>
    <row r="180" spans="1:10" x14ac:dyDescent="0.25">
      <c r="A180" s="2" t="s">
        <v>77</v>
      </c>
      <c r="B180" s="2">
        <v>2014</v>
      </c>
      <c r="C180" s="2" t="s">
        <v>65</v>
      </c>
      <c r="D180" s="2" t="s">
        <v>8</v>
      </c>
      <c r="E180" s="2" t="s">
        <v>78</v>
      </c>
      <c r="F180" s="2" t="s">
        <v>84</v>
      </c>
      <c r="G180" s="2">
        <f t="shared" si="2"/>
        <v>0.1875</v>
      </c>
      <c r="H180" s="5">
        <v>4.3636363636363633</v>
      </c>
      <c r="I180" s="2">
        <v>11</v>
      </c>
      <c r="J180" s="12">
        <f>I180/Pondération!$I$7</f>
        <v>4.296875E-2</v>
      </c>
    </row>
    <row r="181" spans="1:10" x14ac:dyDescent="0.25">
      <c r="A181" s="2" t="s">
        <v>77</v>
      </c>
      <c r="B181" s="2">
        <v>2014</v>
      </c>
      <c r="C181" s="2" t="s">
        <v>66</v>
      </c>
      <c r="D181" s="2" t="s">
        <v>8</v>
      </c>
      <c r="E181" s="2" t="s">
        <v>78</v>
      </c>
      <c r="F181" s="2" t="s">
        <v>84</v>
      </c>
      <c r="G181" s="2">
        <f t="shared" si="2"/>
        <v>0.140625</v>
      </c>
      <c r="H181" s="5">
        <v>4.5</v>
      </c>
      <c r="I181" s="2">
        <v>8</v>
      </c>
      <c r="J181" s="12">
        <f>I181/Pondération!$I$7</f>
        <v>3.125E-2</v>
      </c>
    </row>
    <row r="182" spans="1:10" x14ac:dyDescent="0.25">
      <c r="A182" s="2" t="s">
        <v>77</v>
      </c>
      <c r="B182" s="2">
        <v>2014</v>
      </c>
      <c r="C182" s="2" t="s">
        <v>67</v>
      </c>
      <c r="D182" s="2" t="s">
        <v>8</v>
      </c>
      <c r="E182" s="2" t="s">
        <v>78</v>
      </c>
      <c r="F182" s="2" t="s">
        <v>84</v>
      </c>
      <c r="G182" s="2">
        <f t="shared" si="2"/>
        <v>0.224609375</v>
      </c>
      <c r="H182" s="5">
        <v>4.4230769230769234</v>
      </c>
      <c r="I182" s="2">
        <v>13</v>
      </c>
      <c r="J182" s="12">
        <f>I182/Pondération!$I$7</f>
        <v>5.078125E-2</v>
      </c>
    </row>
    <row r="183" spans="1:10" x14ac:dyDescent="0.25">
      <c r="A183" s="2" t="s">
        <v>77</v>
      </c>
      <c r="B183" s="2">
        <v>2014</v>
      </c>
      <c r="C183" s="2" t="s">
        <v>68</v>
      </c>
      <c r="D183" s="2" t="s">
        <v>8</v>
      </c>
      <c r="E183" s="2" t="s">
        <v>78</v>
      </c>
      <c r="F183" s="2" t="s">
        <v>84</v>
      </c>
      <c r="G183" s="2">
        <f t="shared" si="2"/>
        <v>0.2734375</v>
      </c>
      <c r="H183" s="5">
        <v>4.375</v>
      </c>
      <c r="I183" s="2">
        <v>16</v>
      </c>
      <c r="J183" s="12">
        <f>I183/Pondération!$I$7</f>
        <v>6.25E-2</v>
      </c>
    </row>
    <row r="184" spans="1:10" x14ac:dyDescent="0.25">
      <c r="A184" s="2" t="s">
        <v>77</v>
      </c>
      <c r="B184" s="2">
        <v>2014</v>
      </c>
      <c r="C184" s="2" t="s">
        <v>69</v>
      </c>
      <c r="D184" s="2" t="s">
        <v>8</v>
      </c>
      <c r="E184" s="2" t="s">
        <v>78</v>
      </c>
      <c r="F184" s="2" t="s">
        <v>84</v>
      </c>
      <c r="G184" s="2">
        <f t="shared" si="2"/>
        <v>0.333984375</v>
      </c>
      <c r="H184" s="5">
        <v>4.2750000000000004</v>
      </c>
      <c r="I184" s="2">
        <v>20</v>
      </c>
      <c r="J184" s="12">
        <f>I184/Pondération!$I$7</f>
        <v>7.8125E-2</v>
      </c>
    </row>
    <row r="185" spans="1:10" x14ac:dyDescent="0.25">
      <c r="A185" s="2" t="s">
        <v>77</v>
      </c>
      <c r="B185" s="2">
        <v>2014</v>
      </c>
      <c r="C185" s="2" t="s">
        <v>70</v>
      </c>
      <c r="D185" s="2" t="s">
        <v>8</v>
      </c>
      <c r="E185" s="2" t="s">
        <v>78</v>
      </c>
      <c r="F185" s="2" t="s">
        <v>84</v>
      </c>
      <c r="G185" s="2">
        <f t="shared" si="2"/>
        <v>1.013671875</v>
      </c>
      <c r="H185" s="5">
        <v>4.398305084745763</v>
      </c>
      <c r="I185" s="2">
        <v>59</v>
      </c>
      <c r="J185" s="12">
        <f>I185/Pondération!$I$7</f>
        <v>0.23046875</v>
      </c>
    </row>
    <row r="186" spans="1:10" x14ac:dyDescent="0.25">
      <c r="A186" s="2" t="s">
        <v>77</v>
      </c>
      <c r="B186" s="2">
        <v>2014</v>
      </c>
      <c r="C186" s="2" t="s">
        <v>71</v>
      </c>
      <c r="D186" s="2" t="s">
        <v>8</v>
      </c>
      <c r="E186" s="2" t="s">
        <v>78</v>
      </c>
      <c r="F186" s="2" t="s">
        <v>84</v>
      </c>
      <c r="G186" s="2">
        <f t="shared" si="2"/>
        <v>0.326171875</v>
      </c>
      <c r="H186" s="5">
        <v>4.3947368421052628</v>
      </c>
      <c r="I186" s="2">
        <v>19</v>
      </c>
      <c r="J186" s="12">
        <f>I186/Pondération!$I$7</f>
        <v>7.421875E-2</v>
      </c>
    </row>
    <row r="187" spans="1:10" x14ac:dyDescent="0.25">
      <c r="A187" s="2" t="s">
        <v>77</v>
      </c>
      <c r="B187" s="2">
        <v>2014</v>
      </c>
      <c r="C187" s="2" t="s">
        <v>72</v>
      </c>
      <c r="D187" s="2" t="s">
        <v>8</v>
      </c>
      <c r="E187" s="2" t="s">
        <v>78</v>
      </c>
      <c r="F187" s="2" t="s">
        <v>84</v>
      </c>
      <c r="G187" s="2">
        <f t="shared" si="2"/>
        <v>0.91601562500000011</v>
      </c>
      <c r="H187" s="5">
        <v>4.509615384615385</v>
      </c>
      <c r="I187" s="2">
        <v>52</v>
      </c>
      <c r="J187" s="12">
        <f>I187/Pondération!$I$7</f>
        <v>0.203125</v>
      </c>
    </row>
    <row r="188" spans="1:10" x14ac:dyDescent="0.25">
      <c r="A188" s="2" t="s">
        <v>77</v>
      </c>
      <c r="B188" s="2">
        <v>2015</v>
      </c>
      <c r="C188" s="2" t="s">
        <v>73</v>
      </c>
      <c r="D188" s="2" t="s">
        <v>8</v>
      </c>
      <c r="E188" s="2" t="s">
        <v>78</v>
      </c>
      <c r="F188" s="2" t="s">
        <v>84</v>
      </c>
      <c r="G188" s="2">
        <f t="shared" si="2"/>
        <v>0.36495388669301709</v>
      </c>
      <c r="H188" s="5">
        <v>4.467741935483871</v>
      </c>
      <c r="I188" s="2">
        <v>62</v>
      </c>
      <c r="J188" s="12">
        <f>I188/Pondération!$H$7</f>
        <v>8.1686429512516465E-2</v>
      </c>
    </row>
    <row r="189" spans="1:10" x14ac:dyDescent="0.25">
      <c r="A189" s="2" t="s">
        <v>77</v>
      </c>
      <c r="B189" s="2">
        <v>2015</v>
      </c>
      <c r="C189" s="2" t="s">
        <v>74</v>
      </c>
      <c r="D189" s="2" t="s">
        <v>8</v>
      </c>
      <c r="E189" s="2" t="s">
        <v>78</v>
      </c>
      <c r="F189" s="2" t="s">
        <v>84</v>
      </c>
      <c r="G189" s="2">
        <f t="shared" si="2"/>
        <v>0.30764163372859021</v>
      </c>
      <c r="H189" s="5">
        <v>4.4056603773584904</v>
      </c>
      <c r="I189" s="2">
        <v>53</v>
      </c>
      <c r="J189" s="12">
        <f>I189/Pondération!$H$7</f>
        <v>6.9828722002635041E-2</v>
      </c>
    </row>
    <row r="190" spans="1:10" x14ac:dyDescent="0.25">
      <c r="A190" s="2" t="s">
        <v>77</v>
      </c>
      <c r="B190" s="2">
        <v>2015</v>
      </c>
      <c r="C190" s="2" t="s">
        <v>75</v>
      </c>
      <c r="D190" s="2" t="s">
        <v>8</v>
      </c>
      <c r="E190" s="2" t="s">
        <v>78</v>
      </c>
      <c r="F190" s="2" t="s">
        <v>84</v>
      </c>
      <c r="G190" s="2">
        <f t="shared" si="2"/>
        <v>0.29644268774703558</v>
      </c>
      <c r="H190" s="5">
        <v>4.4117647058823533</v>
      </c>
      <c r="I190" s="2">
        <v>51</v>
      </c>
      <c r="J190" s="12">
        <f>I190/Pondération!$H$7</f>
        <v>6.7193675889328064E-2</v>
      </c>
    </row>
    <row r="191" spans="1:10" x14ac:dyDescent="0.25">
      <c r="A191" s="2" t="s">
        <v>77</v>
      </c>
      <c r="B191" s="2">
        <v>2015</v>
      </c>
      <c r="C191" s="2" t="s">
        <v>76</v>
      </c>
      <c r="D191" s="2" t="s">
        <v>8</v>
      </c>
      <c r="E191" s="2" t="s">
        <v>78</v>
      </c>
      <c r="F191" s="2" t="s">
        <v>84</v>
      </c>
      <c r="G191" s="2">
        <f t="shared" si="2"/>
        <v>0.27272727272727271</v>
      </c>
      <c r="H191" s="5">
        <v>4.4042553191489358</v>
      </c>
      <c r="I191" s="2">
        <v>47</v>
      </c>
      <c r="J191" s="12">
        <f>I191/Pondération!$H$7</f>
        <v>6.1923583662714096E-2</v>
      </c>
    </row>
    <row r="192" spans="1:10" x14ac:dyDescent="0.25">
      <c r="A192" s="2" t="s">
        <v>77</v>
      </c>
      <c r="B192" s="2">
        <v>2015</v>
      </c>
      <c r="C192" s="2" t="s">
        <v>7</v>
      </c>
      <c r="D192" s="2" t="s">
        <v>8</v>
      </c>
      <c r="E192" s="2" t="s">
        <v>78</v>
      </c>
      <c r="F192" s="2" t="s">
        <v>84</v>
      </c>
      <c r="G192" s="2">
        <f t="shared" si="2"/>
        <v>0.2852437417654809</v>
      </c>
      <c r="H192" s="5">
        <v>4.510416666666667</v>
      </c>
      <c r="I192" s="2">
        <v>48</v>
      </c>
      <c r="J192" s="12">
        <f>I192/Pondération!$H$7</f>
        <v>6.3241106719367585E-2</v>
      </c>
    </row>
    <row r="193" spans="1:10" x14ac:dyDescent="0.25">
      <c r="A193" s="2" t="s">
        <v>77</v>
      </c>
      <c r="B193" s="2">
        <v>2015</v>
      </c>
      <c r="C193" s="2" t="s">
        <v>11</v>
      </c>
      <c r="D193" s="2" t="s">
        <v>8</v>
      </c>
      <c r="E193" s="2" t="s">
        <v>78</v>
      </c>
      <c r="F193" s="2" t="s">
        <v>84</v>
      </c>
      <c r="G193" s="2">
        <f t="shared" si="2"/>
        <v>0.33530961791831354</v>
      </c>
      <c r="H193" s="5">
        <v>4.3879310344827589</v>
      </c>
      <c r="I193" s="2">
        <v>58</v>
      </c>
      <c r="J193" s="12">
        <f>I193/Pondération!$H$7</f>
        <v>7.6416337285902497E-2</v>
      </c>
    </row>
    <row r="194" spans="1:10" x14ac:dyDescent="0.25">
      <c r="A194" s="2" t="s">
        <v>77</v>
      </c>
      <c r="B194" s="2">
        <v>2015</v>
      </c>
      <c r="C194" s="2" t="s">
        <v>12</v>
      </c>
      <c r="D194" s="2" t="s">
        <v>8</v>
      </c>
      <c r="E194" s="2" t="s">
        <v>78</v>
      </c>
      <c r="F194" s="2" t="s">
        <v>84</v>
      </c>
      <c r="G194" s="2">
        <f t="shared" ref="G194:G257" si="3">H194*J194</f>
        <v>0.4835309617918313</v>
      </c>
      <c r="H194" s="5">
        <v>4.3176470588235292</v>
      </c>
      <c r="I194" s="2">
        <v>85</v>
      </c>
      <c r="J194" s="12">
        <f>I194/Pondération!$H$7</f>
        <v>0.11198945981554677</v>
      </c>
    </row>
    <row r="195" spans="1:10" x14ac:dyDescent="0.25">
      <c r="A195" s="2" t="s">
        <v>77</v>
      </c>
      <c r="B195" s="2">
        <v>2015</v>
      </c>
      <c r="C195" s="2" t="s">
        <v>13</v>
      </c>
      <c r="D195" s="2" t="s">
        <v>8</v>
      </c>
      <c r="E195" s="2" t="s">
        <v>78</v>
      </c>
      <c r="F195" s="2" t="s">
        <v>84</v>
      </c>
      <c r="G195" s="2">
        <f t="shared" si="3"/>
        <v>0.56851119894598157</v>
      </c>
      <c r="H195" s="5">
        <v>4.4484536082474229</v>
      </c>
      <c r="I195" s="2">
        <v>97</v>
      </c>
      <c r="J195" s="12">
        <f>I195/Pondération!$H$7</f>
        <v>0.12779973649538867</v>
      </c>
    </row>
    <row r="196" spans="1:10" x14ac:dyDescent="0.25">
      <c r="A196" s="2" t="s">
        <v>77</v>
      </c>
      <c r="B196" s="2">
        <v>2015</v>
      </c>
      <c r="C196" s="2" t="s">
        <v>14</v>
      </c>
      <c r="D196" s="2" t="s">
        <v>8</v>
      </c>
      <c r="E196" s="2" t="s">
        <v>78</v>
      </c>
      <c r="F196" s="2" t="s">
        <v>84</v>
      </c>
      <c r="G196" s="2">
        <f t="shared" si="3"/>
        <v>0.38010540184453229</v>
      </c>
      <c r="H196" s="5">
        <v>4.4384615384615387</v>
      </c>
      <c r="I196" s="2">
        <v>65</v>
      </c>
      <c r="J196" s="12">
        <f>I196/Pondération!$H$7</f>
        <v>8.5638998682476944E-2</v>
      </c>
    </row>
    <row r="197" spans="1:10" x14ac:dyDescent="0.25">
      <c r="A197" s="2" t="s">
        <v>77</v>
      </c>
      <c r="B197" s="2">
        <v>2015</v>
      </c>
      <c r="C197" s="2" t="s">
        <v>15</v>
      </c>
      <c r="D197" s="2" t="s">
        <v>8</v>
      </c>
      <c r="E197" s="2" t="s">
        <v>78</v>
      </c>
      <c r="F197" s="2" t="s">
        <v>84</v>
      </c>
      <c r="G197" s="2">
        <f t="shared" si="3"/>
        <v>0.36693017127799743</v>
      </c>
      <c r="H197" s="5">
        <v>4.4206349206349209</v>
      </c>
      <c r="I197" s="2">
        <v>63</v>
      </c>
      <c r="J197" s="12">
        <f>I197/Pondération!$H$7</f>
        <v>8.3003952569169967E-2</v>
      </c>
    </row>
    <row r="198" spans="1:10" x14ac:dyDescent="0.25">
      <c r="A198" s="2" t="s">
        <v>77</v>
      </c>
      <c r="B198" s="2">
        <v>2015</v>
      </c>
      <c r="C198" s="2" t="s">
        <v>16</v>
      </c>
      <c r="D198" s="2" t="s">
        <v>8</v>
      </c>
      <c r="E198" s="2" t="s">
        <v>78</v>
      </c>
      <c r="F198" s="2" t="s">
        <v>84</v>
      </c>
      <c r="G198" s="2">
        <f t="shared" si="3"/>
        <v>0.25362318840579706</v>
      </c>
      <c r="H198" s="5">
        <v>4.4767441860465116</v>
      </c>
      <c r="I198" s="2">
        <v>43</v>
      </c>
      <c r="J198" s="12">
        <f>I198/Pondération!$H$7</f>
        <v>5.6653491436100128E-2</v>
      </c>
    </row>
    <row r="199" spans="1:10" x14ac:dyDescent="0.25">
      <c r="A199" s="2" t="s">
        <v>77</v>
      </c>
      <c r="B199" s="2">
        <v>2015</v>
      </c>
      <c r="C199" s="2" t="s">
        <v>17</v>
      </c>
      <c r="D199" s="2" t="s">
        <v>8</v>
      </c>
      <c r="E199" s="2" t="s">
        <v>78</v>
      </c>
      <c r="F199" s="2" t="s">
        <v>84</v>
      </c>
      <c r="G199" s="2">
        <f t="shared" si="3"/>
        <v>0.47957839262187085</v>
      </c>
      <c r="H199" s="5">
        <v>4.1839080459770113</v>
      </c>
      <c r="I199" s="2">
        <v>87</v>
      </c>
      <c r="J199" s="12">
        <f>I199/Pondération!$H$7</f>
        <v>0.11462450592885376</v>
      </c>
    </row>
    <row r="200" spans="1:10" x14ac:dyDescent="0.25">
      <c r="A200" s="2" t="s">
        <v>77</v>
      </c>
      <c r="B200" s="2">
        <v>2016</v>
      </c>
      <c r="C200" s="2" t="s">
        <v>18</v>
      </c>
      <c r="D200" s="2" t="s">
        <v>8</v>
      </c>
      <c r="E200" s="2" t="s">
        <v>78</v>
      </c>
      <c r="F200" s="2" t="s">
        <v>84</v>
      </c>
      <c r="G200" s="2">
        <f t="shared" si="3"/>
        <v>0.44548704200178735</v>
      </c>
      <c r="H200" s="5">
        <v>4.2974137931034484</v>
      </c>
      <c r="I200" s="2">
        <v>116</v>
      </c>
      <c r="J200" s="12">
        <f>I200/Pondération!$G$7</f>
        <v>0.10366398570151922</v>
      </c>
    </row>
    <row r="201" spans="1:10" x14ac:dyDescent="0.25">
      <c r="A201" s="2" t="s">
        <v>77</v>
      </c>
      <c r="B201" s="2">
        <v>2016</v>
      </c>
      <c r="C201" s="2" t="s">
        <v>19</v>
      </c>
      <c r="D201" s="2" t="s">
        <v>8</v>
      </c>
      <c r="E201" s="2" t="s">
        <v>78</v>
      </c>
      <c r="F201" s="2" t="s">
        <v>84</v>
      </c>
      <c r="G201" s="2">
        <f t="shared" si="3"/>
        <v>0.61081322609472732</v>
      </c>
      <c r="H201" s="5">
        <v>4.4383116883116882</v>
      </c>
      <c r="I201" s="2">
        <v>154</v>
      </c>
      <c r="J201" s="12">
        <f>I201/Pondération!$G$7</f>
        <v>0.13762287756925826</v>
      </c>
    </row>
    <row r="202" spans="1:10" x14ac:dyDescent="0.25">
      <c r="A202" s="2" t="s">
        <v>77</v>
      </c>
      <c r="B202" s="2">
        <v>2016</v>
      </c>
      <c r="C202" s="2" t="s">
        <v>20</v>
      </c>
      <c r="D202" s="2" t="s">
        <v>8</v>
      </c>
      <c r="E202" s="2" t="s">
        <v>78</v>
      </c>
      <c r="F202" s="2" t="s">
        <v>84</v>
      </c>
      <c r="G202" s="2">
        <f t="shared" si="3"/>
        <v>0.37131367292225204</v>
      </c>
      <c r="H202" s="5">
        <v>4.328125</v>
      </c>
      <c r="I202" s="2">
        <v>96</v>
      </c>
      <c r="J202" s="12">
        <f>I202/Pondération!$G$7</f>
        <v>8.5790884718498661E-2</v>
      </c>
    </row>
    <row r="203" spans="1:10" x14ac:dyDescent="0.25">
      <c r="A203" s="2" t="s">
        <v>77</v>
      </c>
      <c r="B203" s="2">
        <v>2016</v>
      </c>
      <c r="C203" s="2" t="s">
        <v>21</v>
      </c>
      <c r="D203" s="2" t="s">
        <v>8</v>
      </c>
      <c r="E203" s="2" t="s">
        <v>78</v>
      </c>
      <c r="F203" s="2" t="s">
        <v>84</v>
      </c>
      <c r="G203" s="2">
        <f t="shared" si="3"/>
        <v>0.3163538873994638</v>
      </c>
      <c r="H203" s="5">
        <v>4.481012658227848</v>
      </c>
      <c r="I203" s="2">
        <v>79</v>
      </c>
      <c r="J203" s="12">
        <f>I203/Pondération!$G$7</f>
        <v>7.0598748882931189E-2</v>
      </c>
    </row>
    <row r="204" spans="1:10" x14ac:dyDescent="0.25">
      <c r="A204" s="2" t="s">
        <v>77</v>
      </c>
      <c r="B204" s="2">
        <v>2016</v>
      </c>
      <c r="C204" s="2" t="s">
        <v>22</v>
      </c>
      <c r="D204" s="2" t="s">
        <v>8</v>
      </c>
      <c r="E204" s="2" t="s">
        <v>78</v>
      </c>
      <c r="F204" s="2" t="s">
        <v>84</v>
      </c>
      <c r="G204" s="2">
        <f t="shared" si="3"/>
        <v>0.32305630026809651</v>
      </c>
      <c r="H204" s="5">
        <v>4.4629629629629628</v>
      </c>
      <c r="I204" s="2">
        <v>81</v>
      </c>
      <c r="J204" s="12">
        <f>I204/Pondération!$G$7</f>
        <v>7.2386058981233251E-2</v>
      </c>
    </row>
    <row r="205" spans="1:10" x14ac:dyDescent="0.25">
      <c r="A205" s="2" t="s">
        <v>77</v>
      </c>
      <c r="B205" s="2">
        <v>2016</v>
      </c>
      <c r="C205" s="2" t="s">
        <v>23</v>
      </c>
      <c r="D205" s="2" t="s">
        <v>8</v>
      </c>
      <c r="E205" s="2" t="s">
        <v>78</v>
      </c>
      <c r="F205" s="2" t="s">
        <v>84</v>
      </c>
      <c r="G205" s="2">
        <f t="shared" si="3"/>
        <v>0.24307417336907952</v>
      </c>
      <c r="H205" s="5">
        <v>4.387096774193548</v>
      </c>
      <c r="I205" s="2">
        <v>62</v>
      </c>
      <c r="J205" s="12">
        <f>I205/Pondération!$G$7</f>
        <v>5.5406613047363718E-2</v>
      </c>
    </row>
    <row r="206" spans="1:10" x14ac:dyDescent="0.25">
      <c r="A206" s="2" t="s">
        <v>77</v>
      </c>
      <c r="B206" s="2">
        <v>2016</v>
      </c>
      <c r="C206" s="2" t="s">
        <v>24</v>
      </c>
      <c r="D206" s="2" t="s">
        <v>8</v>
      </c>
      <c r="E206" s="2" t="s">
        <v>78</v>
      </c>
      <c r="F206" s="2" t="s">
        <v>84</v>
      </c>
      <c r="G206" s="2">
        <f t="shared" si="3"/>
        <v>0.33422698838248432</v>
      </c>
      <c r="H206" s="5">
        <v>4.3488372093023253</v>
      </c>
      <c r="I206" s="2">
        <v>86</v>
      </c>
      <c r="J206" s="12">
        <f>I206/Pondération!$G$7</f>
        <v>7.6854334226988383E-2</v>
      </c>
    </row>
    <row r="207" spans="1:10" x14ac:dyDescent="0.25">
      <c r="A207" s="2" t="s">
        <v>77</v>
      </c>
      <c r="B207" s="2">
        <v>2016</v>
      </c>
      <c r="C207" s="2" t="s">
        <v>25</v>
      </c>
      <c r="D207" s="2" t="s">
        <v>8</v>
      </c>
      <c r="E207" s="2" t="s">
        <v>78</v>
      </c>
      <c r="F207" s="2" t="s">
        <v>84</v>
      </c>
      <c r="G207" s="2">
        <f t="shared" si="3"/>
        <v>0.45084897229669346</v>
      </c>
      <c r="H207" s="5">
        <v>4.4646017699115044</v>
      </c>
      <c r="I207" s="2">
        <v>113</v>
      </c>
      <c r="J207" s="12">
        <f>I207/Pondération!$G$7</f>
        <v>0.10098302055406613</v>
      </c>
    </row>
    <row r="208" spans="1:10" x14ac:dyDescent="0.25">
      <c r="A208" s="2" t="s">
        <v>77</v>
      </c>
      <c r="B208" s="2">
        <v>2016</v>
      </c>
      <c r="C208" s="2" t="s">
        <v>26</v>
      </c>
      <c r="D208" s="2" t="s">
        <v>8</v>
      </c>
      <c r="E208" s="2" t="s">
        <v>78</v>
      </c>
      <c r="F208" s="2" t="s">
        <v>84</v>
      </c>
      <c r="G208" s="2">
        <f t="shared" si="3"/>
        <v>0.36237712243074172</v>
      </c>
      <c r="H208" s="5">
        <v>4.3138297872340425</v>
      </c>
      <c r="I208" s="2">
        <v>94</v>
      </c>
      <c r="J208" s="12">
        <f>I208/Pondération!$G$7</f>
        <v>8.40035746201966E-2</v>
      </c>
    </row>
    <row r="209" spans="1:10" x14ac:dyDescent="0.25">
      <c r="A209" s="2" t="s">
        <v>77</v>
      </c>
      <c r="B209" s="2">
        <v>2016</v>
      </c>
      <c r="C209" s="2" t="s">
        <v>27</v>
      </c>
      <c r="D209" s="2" t="s">
        <v>8</v>
      </c>
      <c r="E209" s="2" t="s">
        <v>78</v>
      </c>
      <c r="F209" s="2" t="s">
        <v>84</v>
      </c>
      <c r="G209" s="2">
        <f t="shared" si="3"/>
        <v>0.35790884718498661</v>
      </c>
      <c r="H209" s="5">
        <v>4.4010989010989015</v>
      </c>
      <c r="I209" s="2">
        <v>91</v>
      </c>
      <c r="J209" s="12">
        <f>I209/Pondération!$G$7</f>
        <v>8.1322609472743515E-2</v>
      </c>
    </row>
    <row r="210" spans="1:10" x14ac:dyDescent="0.25">
      <c r="A210" s="2" t="s">
        <v>77</v>
      </c>
      <c r="B210" s="2">
        <v>2016</v>
      </c>
      <c r="C210" s="2" t="s">
        <v>28</v>
      </c>
      <c r="D210" s="2" t="s">
        <v>8</v>
      </c>
      <c r="E210" s="2" t="s">
        <v>78</v>
      </c>
      <c r="F210" s="2" t="s">
        <v>84</v>
      </c>
      <c r="G210" s="2">
        <f t="shared" si="3"/>
        <v>0.26764968722073279</v>
      </c>
      <c r="H210" s="5">
        <v>4.4044117647058822</v>
      </c>
      <c r="I210" s="2">
        <v>68</v>
      </c>
      <c r="J210" s="12">
        <f>I210/Pondération!$G$7</f>
        <v>6.076854334226988E-2</v>
      </c>
    </row>
    <row r="211" spans="1:10" x14ac:dyDescent="0.25">
      <c r="A211" s="2" t="s">
        <v>77</v>
      </c>
      <c r="B211" s="2">
        <v>2016</v>
      </c>
      <c r="C211" s="2" t="s">
        <v>29</v>
      </c>
      <c r="D211" s="2" t="s">
        <v>8</v>
      </c>
      <c r="E211" s="2" t="s">
        <v>78</v>
      </c>
      <c r="F211" s="2" t="s">
        <v>84</v>
      </c>
      <c r="G211" s="2">
        <f t="shared" si="3"/>
        <v>0.31188561215370864</v>
      </c>
      <c r="H211" s="5">
        <v>4.4177215189873413</v>
      </c>
      <c r="I211" s="2">
        <v>79</v>
      </c>
      <c r="J211" s="12">
        <f>I211/Pondération!$G$7</f>
        <v>7.0598748882931189E-2</v>
      </c>
    </row>
    <row r="212" spans="1:10" x14ac:dyDescent="0.25">
      <c r="A212" s="2" t="s">
        <v>77</v>
      </c>
      <c r="B212" s="2">
        <v>2017</v>
      </c>
      <c r="C212" s="2" t="s">
        <v>30</v>
      </c>
      <c r="D212" s="2" t="s">
        <v>8</v>
      </c>
      <c r="E212" s="2" t="s">
        <v>78</v>
      </c>
      <c r="F212" s="2" t="s">
        <v>84</v>
      </c>
      <c r="G212" s="2">
        <f t="shared" si="3"/>
        <v>1.1440366972477065</v>
      </c>
      <c r="H212" s="5">
        <v>4.485611510791367</v>
      </c>
      <c r="I212" s="2">
        <v>139</v>
      </c>
      <c r="J212" s="12">
        <f>I212/Pondération!$F$7</f>
        <v>0.25504587155963304</v>
      </c>
    </row>
    <row r="213" spans="1:10" x14ac:dyDescent="0.25">
      <c r="A213" s="2" t="s">
        <v>77</v>
      </c>
      <c r="B213" s="2">
        <v>2017</v>
      </c>
      <c r="C213" s="2" t="s">
        <v>31</v>
      </c>
      <c r="D213" s="2" t="s">
        <v>8</v>
      </c>
      <c r="E213" s="2" t="s">
        <v>78</v>
      </c>
      <c r="F213" s="2" t="s">
        <v>84</v>
      </c>
      <c r="G213" s="2">
        <f t="shared" si="3"/>
        <v>0.98165137614678899</v>
      </c>
      <c r="H213" s="5">
        <v>4.3852459016393439</v>
      </c>
      <c r="I213" s="2">
        <v>122</v>
      </c>
      <c r="J213" s="12">
        <f>I213/Pondération!$F$7</f>
        <v>0.22385321100917432</v>
      </c>
    </row>
    <row r="214" spans="1:10" x14ac:dyDescent="0.25">
      <c r="A214" s="2" t="s">
        <v>77</v>
      </c>
      <c r="B214" s="2">
        <v>2017</v>
      </c>
      <c r="C214" s="2" t="s">
        <v>32</v>
      </c>
      <c r="D214" s="2" t="s">
        <v>8</v>
      </c>
      <c r="E214" s="2" t="s">
        <v>78</v>
      </c>
      <c r="F214" s="2" t="s">
        <v>84</v>
      </c>
      <c r="G214" s="2">
        <f t="shared" si="3"/>
        <v>0.82935779816513766</v>
      </c>
      <c r="H214" s="5">
        <v>4.4313725490196081</v>
      </c>
      <c r="I214" s="2">
        <v>102</v>
      </c>
      <c r="J214" s="12">
        <f>I214/Pondération!$F$7</f>
        <v>0.1871559633027523</v>
      </c>
    </row>
    <row r="215" spans="1:10" x14ac:dyDescent="0.25">
      <c r="A215" s="2" t="s">
        <v>77</v>
      </c>
      <c r="B215" s="2">
        <v>2017</v>
      </c>
      <c r="C215" s="2" t="s">
        <v>33</v>
      </c>
      <c r="D215" s="2" t="s">
        <v>8</v>
      </c>
      <c r="E215" s="2" t="s">
        <v>78</v>
      </c>
      <c r="F215" s="2" t="s">
        <v>84</v>
      </c>
      <c r="G215" s="2">
        <f t="shared" si="3"/>
        <v>0.67981651376146801</v>
      </c>
      <c r="H215" s="5">
        <v>4.2586206896551726</v>
      </c>
      <c r="I215" s="2">
        <v>87</v>
      </c>
      <c r="J215" s="12">
        <f>I215/Pondération!$F$7</f>
        <v>0.15963302752293579</v>
      </c>
    </row>
    <row r="216" spans="1:10" x14ac:dyDescent="0.25">
      <c r="A216" s="2" t="s">
        <v>77</v>
      </c>
      <c r="B216" s="2">
        <v>2017</v>
      </c>
      <c r="C216" s="2" t="s">
        <v>34</v>
      </c>
      <c r="D216" s="2" t="s">
        <v>8</v>
      </c>
      <c r="E216" s="2" t="s">
        <v>78</v>
      </c>
      <c r="F216" s="2" t="s">
        <v>84</v>
      </c>
      <c r="G216" s="2">
        <f t="shared" si="3"/>
        <v>0.48990825688073397</v>
      </c>
      <c r="H216" s="5">
        <v>4.2380952380952381</v>
      </c>
      <c r="I216" s="2">
        <v>63</v>
      </c>
      <c r="J216" s="12">
        <f>I216/Pondération!$F$7</f>
        <v>0.11559633027522936</v>
      </c>
    </row>
    <row r="217" spans="1:10" x14ac:dyDescent="0.25">
      <c r="A217" s="2" t="s">
        <v>77</v>
      </c>
      <c r="B217" s="2">
        <v>2017</v>
      </c>
      <c r="C217" s="2" t="s">
        <v>80</v>
      </c>
      <c r="D217" s="2" t="s">
        <v>8</v>
      </c>
      <c r="E217" s="2" t="s">
        <v>78</v>
      </c>
      <c r="F217" s="2" t="s">
        <v>84</v>
      </c>
      <c r="G217" s="2">
        <f t="shared" si="3"/>
        <v>0.26238532110091745</v>
      </c>
      <c r="H217" s="5">
        <v>4.46875</v>
      </c>
      <c r="I217" s="2">
        <v>32</v>
      </c>
      <c r="J217" s="12">
        <f>I217/Pondération!$F$7</f>
        <v>5.8715596330275233E-2</v>
      </c>
    </row>
    <row r="218" spans="1:10" x14ac:dyDescent="0.25">
      <c r="A218" s="2" t="s">
        <v>77</v>
      </c>
      <c r="B218" s="2">
        <v>2013</v>
      </c>
      <c r="C218" s="2" t="s">
        <v>49</v>
      </c>
      <c r="D218" s="2" t="s">
        <v>35</v>
      </c>
      <c r="E218" s="2" t="s">
        <v>78</v>
      </c>
      <c r="F218" s="2" t="s">
        <v>79</v>
      </c>
      <c r="G218" s="2">
        <f t="shared" si="3"/>
        <v>5.6291390728476824E-2</v>
      </c>
      <c r="H218" s="5">
        <v>4.25</v>
      </c>
      <c r="I218" s="2">
        <v>2</v>
      </c>
      <c r="J218" s="12">
        <f>I218/Pondération!$J$17</f>
        <v>1.3245033112582781E-2</v>
      </c>
    </row>
    <row r="219" spans="1:10" x14ac:dyDescent="0.25">
      <c r="A219" s="2" t="s">
        <v>77</v>
      </c>
      <c r="B219" s="2">
        <v>2013</v>
      </c>
      <c r="C219" s="2" t="s">
        <v>50</v>
      </c>
      <c r="D219" s="2" t="s">
        <v>35</v>
      </c>
      <c r="E219" s="2" t="s">
        <v>78</v>
      </c>
      <c r="F219" s="2" t="s">
        <v>79</v>
      </c>
      <c r="G219" s="2">
        <f t="shared" si="3"/>
        <v>8.9403973509933773E-2</v>
      </c>
      <c r="H219" s="5">
        <v>4.5</v>
      </c>
      <c r="I219" s="2">
        <v>3</v>
      </c>
      <c r="J219" s="12">
        <f>I219/Pondération!$J$17</f>
        <v>1.9867549668874173E-2</v>
      </c>
    </row>
    <row r="220" spans="1:10" x14ac:dyDescent="0.25">
      <c r="A220" s="2" t="s">
        <v>77</v>
      </c>
      <c r="B220" s="2">
        <v>2013</v>
      </c>
      <c r="C220" s="2" t="s">
        <v>51</v>
      </c>
      <c r="D220" s="2" t="s">
        <v>35</v>
      </c>
      <c r="E220" s="2" t="s">
        <v>78</v>
      </c>
      <c r="F220" s="2" t="s">
        <v>79</v>
      </c>
      <c r="G220" s="2">
        <f t="shared" si="3"/>
        <v>0.11920529801324503</v>
      </c>
      <c r="H220" s="5">
        <v>4.5</v>
      </c>
      <c r="I220" s="2">
        <v>4</v>
      </c>
      <c r="J220" s="12">
        <f>I220/Pondération!$J$17</f>
        <v>2.6490066225165563E-2</v>
      </c>
    </row>
    <row r="221" spans="1:10" x14ac:dyDescent="0.25">
      <c r="A221" s="2" t="s">
        <v>77</v>
      </c>
      <c r="B221" s="2">
        <v>2013</v>
      </c>
      <c r="C221" s="2" t="s">
        <v>52</v>
      </c>
      <c r="D221" s="2" t="s">
        <v>35</v>
      </c>
      <c r="E221" s="2" t="s">
        <v>78</v>
      </c>
      <c r="F221" s="2" t="s">
        <v>79</v>
      </c>
      <c r="G221" s="2">
        <f t="shared" si="3"/>
        <v>0.2251655629139073</v>
      </c>
      <c r="H221" s="5">
        <v>4.25</v>
      </c>
      <c r="I221" s="2">
        <v>8</v>
      </c>
      <c r="J221" s="12">
        <f>I221/Pondération!$J$17</f>
        <v>5.2980132450331126E-2</v>
      </c>
    </row>
    <row r="222" spans="1:10" x14ac:dyDescent="0.25">
      <c r="A222" s="2" t="s">
        <v>77</v>
      </c>
      <c r="B222" s="2">
        <v>2013</v>
      </c>
      <c r="C222" s="2" t="s">
        <v>53</v>
      </c>
      <c r="D222" s="2" t="s">
        <v>35</v>
      </c>
      <c r="E222" s="2" t="s">
        <v>78</v>
      </c>
      <c r="F222" s="2" t="s">
        <v>79</v>
      </c>
      <c r="G222" s="2">
        <f t="shared" si="3"/>
        <v>0.17549668874172186</v>
      </c>
      <c r="H222" s="5">
        <v>4.416666666666667</v>
      </c>
      <c r="I222" s="2">
        <v>6</v>
      </c>
      <c r="J222" s="12">
        <f>I222/Pondération!$J$17</f>
        <v>3.9735099337748346E-2</v>
      </c>
    </row>
    <row r="223" spans="1:10" x14ac:dyDescent="0.25">
      <c r="A223" s="2" t="s">
        <v>77</v>
      </c>
      <c r="B223" s="2">
        <v>2013</v>
      </c>
      <c r="C223" s="2" t="s">
        <v>54</v>
      </c>
      <c r="D223" s="2" t="s">
        <v>35</v>
      </c>
      <c r="E223" s="2" t="s">
        <v>78</v>
      </c>
      <c r="F223" s="2" t="s">
        <v>79</v>
      </c>
      <c r="G223" s="2">
        <f t="shared" si="3"/>
        <v>0.33112582781456956</v>
      </c>
      <c r="H223" s="5">
        <v>4.5454545454545459</v>
      </c>
      <c r="I223" s="2">
        <v>11</v>
      </c>
      <c r="J223" s="12">
        <f>I223/Pondération!$J$17</f>
        <v>7.2847682119205295E-2</v>
      </c>
    </row>
    <row r="224" spans="1:10" x14ac:dyDescent="0.25">
      <c r="A224" s="2" t="s">
        <v>77</v>
      </c>
      <c r="B224" s="2">
        <v>2013</v>
      </c>
      <c r="C224" s="2" t="s">
        <v>55</v>
      </c>
      <c r="D224" s="2" t="s">
        <v>35</v>
      </c>
      <c r="E224" s="2" t="s">
        <v>78</v>
      </c>
      <c r="F224" s="2" t="s">
        <v>79</v>
      </c>
      <c r="G224" s="2">
        <f t="shared" si="3"/>
        <v>0.74172185430463566</v>
      </c>
      <c r="H224" s="5">
        <v>4.3076923076923075</v>
      </c>
      <c r="I224" s="2">
        <v>26</v>
      </c>
      <c r="J224" s="12">
        <f>I224/Pondération!$J$17</f>
        <v>0.17218543046357615</v>
      </c>
    </row>
    <row r="225" spans="1:10" x14ac:dyDescent="0.25">
      <c r="A225" s="2" t="s">
        <v>77</v>
      </c>
      <c r="B225" s="2">
        <v>2013</v>
      </c>
      <c r="C225" s="2" t="s">
        <v>56</v>
      </c>
      <c r="D225" s="2" t="s">
        <v>35</v>
      </c>
      <c r="E225" s="2" t="s">
        <v>78</v>
      </c>
      <c r="F225" s="2" t="s">
        <v>79</v>
      </c>
      <c r="G225" s="2">
        <f t="shared" si="3"/>
        <v>1.185430463576159</v>
      </c>
      <c r="H225" s="5">
        <v>4.3658536585365857</v>
      </c>
      <c r="I225" s="2">
        <v>41</v>
      </c>
      <c r="J225" s="12">
        <f>I225/Pondération!$J$17</f>
        <v>0.27152317880794702</v>
      </c>
    </row>
    <row r="226" spans="1:10" x14ac:dyDescent="0.25">
      <c r="A226" s="2" t="s">
        <v>77</v>
      </c>
      <c r="B226" s="2">
        <v>2013</v>
      </c>
      <c r="C226" s="2" t="s">
        <v>57</v>
      </c>
      <c r="D226" s="2" t="s">
        <v>35</v>
      </c>
      <c r="E226" s="2" t="s">
        <v>78</v>
      </c>
      <c r="F226" s="2" t="s">
        <v>79</v>
      </c>
      <c r="G226" s="2">
        <f t="shared" si="3"/>
        <v>0.58940397350993379</v>
      </c>
      <c r="H226" s="5">
        <v>4.2380952380952381</v>
      </c>
      <c r="I226" s="2">
        <v>21</v>
      </c>
      <c r="J226" s="12">
        <f>I226/Pondération!$J$17</f>
        <v>0.13907284768211919</v>
      </c>
    </row>
    <row r="227" spans="1:10" x14ac:dyDescent="0.25">
      <c r="A227" s="2" t="s">
        <v>77</v>
      </c>
      <c r="B227" s="2">
        <v>2013</v>
      </c>
      <c r="C227" s="2" t="s">
        <v>58</v>
      </c>
      <c r="D227" s="2" t="s">
        <v>35</v>
      </c>
      <c r="E227" s="2" t="s">
        <v>78</v>
      </c>
      <c r="F227" s="2" t="s">
        <v>79</v>
      </c>
      <c r="G227" s="2">
        <f t="shared" si="3"/>
        <v>0.37417218543046354</v>
      </c>
      <c r="H227" s="5">
        <v>4.3461538461538458</v>
      </c>
      <c r="I227" s="2">
        <v>13</v>
      </c>
      <c r="J227" s="12">
        <f>I227/Pondération!$J$17</f>
        <v>8.6092715231788075E-2</v>
      </c>
    </row>
    <row r="228" spans="1:10" x14ac:dyDescent="0.25">
      <c r="A228" s="2" t="s">
        <v>77</v>
      </c>
      <c r="B228" s="2">
        <v>2013</v>
      </c>
      <c r="C228" s="2" t="s">
        <v>59</v>
      </c>
      <c r="D228" s="2" t="s">
        <v>35</v>
      </c>
      <c r="E228" s="2" t="s">
        <v>78</v>
      </c>
      <c r="F228" s="2" t="s">
        <v>79</v>
      </c>
      <c r="G228" s="2">
        <f t="shared" si="3"/>
        <v>0.30794701986754969</v>
      </c>
      <c r="H228" s="5">
        <v>4.2272727272727275</v>
      </c>
      <c r="I228" s="2">
        <v>11</v>
      </c>
      <c r="J228" s="12">
        <f>I228/Pondération!$J$17</f>
        <v>7.2847682119205295E-2</v>
      </c>
    </row>
    <row r="229" spans="1:10" x14ac:dyDescent="0.25">
      <c r="A229" s="2" t="s">
        <v>77</v>
      </c>
      <c r="B229" s="2">
        <v>2013</v>
      </c>
      <c r="C229" s="2" t="s">
        <v>60</v>
      </c>
      <c r="D229" s="2" t="s">
        <v>35</v>
      </c>
      <c r="E229" s="2" t="s">
        <v>78</v>
      </c>
      <c r="F229" s="2" t="s">
        <v>79</v>
      </c>
      <c r="G229" s="2">
        <f t="shared" si="3"/>
        <v>0.13907284768211922</v>
      </c>
      <c r="H229" s="5">
        <v>4.2</v>
      </c>
      <c r="I229" s="2">
        <v>5</v>
      </c>
      <c r="J229" s="12">
        <f>I229/Pondération!$J$17</f>
        <v>3.3112582781456956E-2</v>
      </c>
    </row>
    <row r="230" spans="1:10" x14ac:dyDescent="0.25">
      <c r="A230" s="2" t="s">
        <v>77</v>
      </c>
      <c r="B230" s="2">
        <v>2014</v>
      </c>
      <c r="C230" s="2" t="s">
        <v>61</v>
      </c>
      <c r="D230" s="2" t="s">
        <v>35</v>
      </c>
      <c r="E230" s="2" t="s">
        <v>78</v>
      </c>
      <c r="F230" s="2" t="s">
        <v>79</v>
      </c>
      <c r="G230" s="2">
        <f t="shared" si="3"/>
        <v>6.2330623306233061E-2</v>
      </c>
      <c r="H230" s="5">
        <v>4.5999999999999996</v>
      </c>
      <c r="I230" s="2">
        <v>5</v>
      </c>
      <c r="J230" s="12">
        <f>I230/Pondération!$I$17</f>
        <v>1.3550135501355014E-2</v>
      </c>
    </row>
    <row r="231" spans="1:10" x14ac:dyDescent="0.25">
      <c r="A231" s="2" t="s">
        <v>77</v>
      </c>
      <c r="B231" s="2">
        <v>2014</v>
      </c>
      <c r="C231" s="2" t="s">
        <v>62</v>
      </c>
      <c r="D231" s="2" t="s">
        <v>35</v>
      </c>
      <c r="E231" s="2" t="s">
        <v>78</v>
      </c>
      <c r="F231" s="2" t="s">
        <v>79</v>
      </c>
      <c r="G231" s="2">
        <f t="shared" si="3"/>
        <v>3.9295392953929538E-2</v>
      </c>
      <c r="H231" s="5">
        <v>4.833333333333333</v>
      </c>
      <c r="I231" s="2">
        <v>3</v>
      </c>
      <c r="J231" s="12">
        <f>I231/Pondération!$I$17</f>
        <v>8.130081300813009E-3</v>
      </c>
    </row>
    <row r="232" spans="1:10" x14ac:dyDescent="0.25">
      <c r="A232" s="2" t="s">
        <v>77</v>
      </c>
      <c r="B232" s="2">
        <v>2014</v>
      </c>
      <c r="C232" s="2" t="s">
        <v>63</v>
      </c>
      <c r="D232" s="2" t="s">
        <v>35</v>
      </c>
      <c r="E232" s="2" t="s">
        <v>78</v>
      </c>
      <c r="F232" s="2" t="s">
        <v>79</v>
      </c>
      <c r="G232" s="2">
        <f t="shared" si="3"/>
        <v>0.11653116531165313</v>
      </c>
      <c r="H232" s="5">
        <v>4.3</v>
      </c>
      <c r="I232" s="2">
        <v>10</v>
      </c>
      <c r="J232" s="12">
        <f>I232/Pondération!$I$17</f>
        <v>2.7100271002710029E-2</v>
      </c>
    </row>
    <row r="233" spans="1:10" x14ac:dyDescent="0.25">
      <c r="A233" s="2" t="s">
        <v>77</v>
      </c>
      <c r="B233" s="2">
        <v>2014</v>
      </c>
      <c r="C233" s="2" t="s">
        <v>64</v>
      </c>
      <c r="D233" s="2" t="s">
        <v>35</v>
      </c>
      <c r="E233" s="2" t="s">
        <v>78</v>
      </c>
      <c r="F233" s="2" t="s">
        <v>79</v>
      </c>
      <c r="G233" s="2">
        <f t="shared" si="3"/>
        <v>0.28997289972899726</v>
      </c>
      <c r="H233" s="5">
        <v>4.28</v>
      </c>
      <c r="I233" s="2">
        <v>25</v>
      </c>
      <c r="J233" s="12">
        <f>I233/Pondération!$I$17</f>
        <v>6.7750677506775062E-2</v>
      </c>
    </row>
    <row r="234" spans="1:10" x14ac:dyDescent="0.25">
      <c r="A234" s="2" t="s">
        <v>77</v>
      </c>
      <c r="B234" s="2">
        <v>2014</v>
      </c>
      <c r="C234" s="2" t="s">
        <v>65</v>
      </c>
      <c r="D234" s="2" t="s">
        <v>35</v>
      </c>
      <c r="E234" s="2" t="s">
        <v>78</v>
      </c>
      <c r="F234" s="2" t="s">
        <v>79</v>
      </c>
      <c r="G234" s="2">
        <f t="shared" si="3"/>
        <v>0.32926829268292684</v>
      </c>
      <c r="H234" s="5">
        <v>4.3392857142857144</v>
      </c>
      <c r="I234" s="2">
        <v>28</v>
      </c>
      <c r="J234" s="12">
        <f>I234/Pondération!$I$17</f>
        <v>7.5880758807588072E-2</v>
      </c>
    </row>
    <row r="235" spans="1:10" x14ac:dyDescent="0.25">
      <c r="A235" s="2" t="s">
        <v>77</v>
      </c>
      <c r="B235" s="2">
        <v>2014</v>
      </c>
      <c r="C235" s="2" t="s">
        <v>66</v>
      </c>
      <c r="D235" s="2" t="s">
        <v>35</v>
      </c>
      <c r="E235" s="2" t="s">
        <v>78</v>
      </c>
      <c r="F235" s="2" t="s">
        <v>79</v>
      </c>
      <c r="G235" s="2">
        <f t="shared" si="3"/>
        <v>0.42953929539295399</v>
      </c>
      <c r="H235" s="5">
        <v>4.2837837837837842</v>
      </c>
      <c r="I235" s="2">
        <v>37</v>
      </c>
      <c r="J235" s="12">
        <f>I235/Pondération!$I$17</f>
        <v>0.1002710027100271</v>
      </c>
    </row>
    <row r="236" spans="1:10" x14ac:dyDescent="0.25">
      <c r="A236" s="2" t="s">
        <v>77</v>
      </c>
      <c r="B236" s="2">
        <v>2014</v>
      </c>
      <c r="C236" s="2" t="s">
        <v>67</v>
      </c>
      <c r="D236" s="2" t="s">
        <v>35</v>
      </c>
      <c r="E236" s="2" t="s">
        <v>78</v>
      </c>
      <c r="F236" s="2" t="s">
        <v>79</v>
      </c>
      <c r="G236" s="2">
        <f t="shared" si="3"/>
        <v>0.51355013550135498</v>
      </c>
      <c r="H236" s="5">
        <v>4.4069767441860463</v>
      </c>
      <c r="I236" s="2">
        <v>43</v>
      </c>
      <c r="J236" s="12">
        <f>I236/Pondération!$I$17</f>
        <v>0.11653116531165311</v>
      </c>
    </row>
    <row r="237" spans="1:10" x14ac:dyDescent="0.25">
      <c r="A237" s="2" t="s">
        <v>77</v>
      </c>
      <c r="B237" s="2">
        <v>2014</v>
      </c>
      <c r="C237" s="2" t="s">
        <v>68</v>
      </c>
      <c r="D237" s="2" t="s">
        <v>35</v>
      </c>
      <c r="E237" s="2" t="s">
        <v>78</v>
      </c>
      <c r="F237" s="2" t="s">
        <v>79</v>
      </c>
      <c r="G237" s="2">
        <f t="shared" si="3"/>
        <v>1.1964769647696476</v>
      </c>
      <c r="H237" s="5">
        <v>4.3712871287128712</v>
      </c>
      <c r="I237" s="2">
        <v>101</v>
      </c>
      <c r="J237" s="12">
        <f>I237/Pondération!$I$17</f>
        <v>0.27371273712737126</v>
      </c>
    </row>
    <row r="238" spans="1:10" x14ac:dyDescent="0.25">
      <c r="A238" s="2" t="s">
        <v>77</v>
      </c>
      <c r="B238" s="2">
        <v>2014</v>
      </c>
      <c r="C238" s="2" t="s">
        <v>69</v>
      </c>
      <c r="D238" s="2" t="s">
        <v>35</v>
      </c>
      <c r="E238" s="2" t="s">
        <v>78</v>
      </c>
      <c r="F238" s="2" t="s">
        <v>79</v>
      </c>
      <c r="G238" s="2">
        <f t="shared" si="3"/>
        <v>0.55691056910569114</v>
      </c>
      <c r="H238" s="5">
        <v>4.28125</v>
      </c>
      <c r="I238" s="2">
        <v>48</v>
      </c>
      <c r="J238" s="12">
        <f>I238/Pondération!$I$17</f>
        <v>0.13008130081300814</v>
      </c>
    </row>
    <row r="239" spans="1:10" x14ac:dyDescent="0.25">
      <c r="A239" s="2" t="s">
        <v>77</v>
      </c>
      <c r="B239" s="2">
        <v>2014</v>
      </c>
      <c r="C239" s="2" t="s">
        <v>70</v>
      </c>
      <c r="D239" s="2" t="s">
        <v>35</v>
      </c>
      <c r="E239" s="2" t="s">
        <v>78</v>
      </c>
      <c r="F239" s="2" t="s">
        <v>79</v>
      </c>
      <c r="G239" s="2">
        <f t="shared" si="3"/>
        <v>0.47154471544715448</v>
      </c>
      <c r="H239" s="5">
        <v>4.3499999999999996</v>
      </c>
      <c r="I239" s="2">
        <v>40</v>
      </c>
      <c r="J239" s="12">
        <f>I239/Pondération!$I$17</f>
        <v>0.10840108401084012</v>
      </c>
    </row>
    <row r="240" spans="1:10" x14ac:dyDescent="0.25">
      <c r="A240" s="2" t="s">
        <v>77</v>
      </c>
      <c r="B240" s="2">
        <v>2014</v>
      </c>
      <c r="C240" s="2" t="s">
        <v>71</v>
      </c>
      <c r="D240" s="2" t="s">
        <v>35</v>
      </c>
      <c r="E240" s="2" t="s">
        <v>78</v>
      </c>
      <c r="F240" s="2" t="s">
        <v>79</v>
      </c>
      <c r="G240" s="2">
        <f t="shared" si="3"/>
        <v>0.28048780487804875</v>
      </c>
      <c r="H240" s="5">
        <v>4.5</v>
      </c>
      <c r="I240" s="2">
        <v>23</v>
      </c>
      <c r="J240" s="12">
        <f>I240/Pondération!$I$17</f>
        <v>6.2330623306233061E-2</v>
      </c>
    </row>
    <row r="241" spans="1:10" x14ac:dyDescent="0.25">
      <c r="A241" s="2" t="s">
        <v>77</v>
      </c>
      <c r="B241" s="2">
        <v>2014</v>
      </c>
      <c r="C241" s="2" t="s">
        <v>72</v>
      </c>
      <c r="D241" s="2" t="s">
        <v>35</v>
      </c>
      <c r="E241" s="2" t="s">
        <v>78</v>
      </c>
      <c r="F241" s="2" t="s">
        <v>79</v>
      </c>
      <c r="G241" s="2">
        <f t="shared" si="3"/>
        <v>6.7750677506775075E-2</v>
      </c>
      <c r="H241" s="5">
        <v>4.166666666666667</v>
      </c>
      <c r="I241" s="2">
        <v>6</v>
      </c>
      <c r="J241" s="12">
        <f>I241/Pondération!$I$17</f>
        <v>1.6260162601626018E-2</v>
      </c>
    </row>
    <row r="242" spans="1:10" x14ac:dyDescent="0.25">
      <c r="A242" s="2" t="s">
        <v>77</v>
      </c>
      <c r="B242" s="2">
        <v>2015</v>
      </c>
      <c r="C242" s="2" t="s">
        <v>73</v>
      </c>
      <c r="D242" s="2" t="s">
        <v>35</v>
      </c>
      <c r="E242" s="2" t="s">
        <v>78</v>
      </c>
      <c r="F242" s="2" t="s">
        <v>79</v>
      </c>
      <c r="G242" s="2">
        <f t="shared" si="3"/>
        <v>8.4257206208425722E-2</v>
      </c>
      <c r="H242" s="5">
        <v>4.2222222222222223</v>
      </c>
      <c r="I242" s="2">
        <v>18</v>
      </c>
      <c r="J242" s="12">
        <f>I242/Pondération!$H$17</f>
        <v>1.9955654101995565E-2</v>
      </c>
    </row>
    <row r="243" spans="1:10" x14ac:dyDescent="0.25">
      <c r="A243" s="2" t="s">
        <v>77</v>
      </c>
      <c r="B243" s="2">
        <v>2015</v>
      </c>
      <c r="C243" s="2" t="s">
        <v>74</v>
      </c>
      <c r="D243" s="2" t="s">
        <v>35</v>
      </c>
      <c r="E243" s="2" t="s">
        <v>78</v>
      </c>
      <c r="F243" s="2" t="s">
        <v>79</v>
      </c>
      <c r="G243" s="2">
        <f t="shared" si="3"/>
        <v>8.3148558758314867E-2</v>
      </c>
      <c r="H243" s="5">
        <v>4.4117647058823533</v>
      </c>
      <c r="I243" s="2">
        <v>17</v>
      </c>
      <c r="J243" s="12">
        <f>I243/Pondération!$H$17</f>
        <v>1.8847006651884702E-2</v>
      </c>
    </row>
    <row r="244" spans="1:10" x14ac:dyDescent="0.25">
      <c r="A244" s="2" t="s">
        <v>77</v>
      </c>
      <c r="B244" s="2">
        <v>2015</v>
      </c>
      <c r="C244" s="2" t="s">
        <v>75</v>
      </c>
      <c r="D244" s="2" t="s">
        <v>35</v>
      </c>
      <c r="E244" s="2" t="s">
        <v>78</v>
      </c>
      <c r="F244" s="2" t="s">
        <v>79</v>
      </c>
      <c r="G244" s="2">
        <f t="shared" si="3"/>
        <v>0.1097560975609756</v>
      </c>
      <c r="H244" s="5">
        <v>4.3043478260869561</v>
      </c>
      <c r="I244" s="2">
        <v>23</v>
      </c>
      <c r="J244" s="12">
        <f>I244/Pondération!$H$17</f>
        <v>2.5498891352549888E-2</v>
      </c>
    </row>
    <row r="245" spans="1:10" x14ac:dyDescent="0.25">
      <c r="A245" s="2" t="s">
        <v>77</v>
      </c>
      <c r="B245" s="2">
        <v>2015</v>
      </c>
      <c r="C245" s="2" t="s">
        <v>76</v>
      </c>
      <c r="D245" s="2" t="s">
        <v>35</v>
      </c>
      <c r="E245" s="2" t="s">
        <v>78</v>
      </c>
      <c r="F245" s="2" t="s">
        <v>79</v>
      </c>
      <c r="G245" s="2">
        <f t="shared" si="3"/>
        <v>0.14024390243902438</v>
      </c>
      <c r="H245" s="5">
        <v>4.3620689655172411</v>
      </c>
      <c r="I245" s="2">
        <v>29</v>
      </c>
      <c r="J245" s="12">
        <f>I245/Pondération!$H$17</f>
        <v>3.2150776053215077E-2</v>
      </c>
    </row>
    <row r="246" spans="1:10" x14ac:dyDescent="0.25">
      <c r="A246" s="2" t="s">
        <v>77</v>
      </c>
      <c r="B246" s="2">
        <v>2015</v>
      </c>
      <c r="C246" s="2" t="s">
        <v>7</v>
      </c>
      <c r="D246" s="2" t="s">
        <v>35</v>
      </c>
      <c r="E246" s="2" t="s">
        <v>78</v>
      </c>
      <c r="F246" s="2" t="s">
        <v>79</v>
      </c>
      <c r="G246" s="2">
        <f t="shared" si="3"/>
        <v>0.31707317073170738</v>
      </c>
      <c r="H246" s="5">
        <v>4.4000000000000004</v>
      </c>
      <c r="I246" s="2">
        <v>65</v>
      </c>
      <c r="J246" s="12">
        <f>I246/Pondération!$H$17</f>
        <v>7.2062084257206213E-2</v>
      </c>
    </row>
    <row r="247" spans="1:10" x14ac:dyDescent="0.25">
      <c r="A247" s="2" t="s">
        <v>77</v>
      </c>
      <c r="B247" s="2">
        <v>2015</v>
      </c>
      <c r="C247" s="2" t="s">
        <v>11</v>
      </c>
      <c r="D247" s="2" t="s">
        <v>35</v>
      </c>
      <c r="E247" s="2" t="s">
        <v>78</v>
      </c>
      <c r="F247" s="2" t="s">
        <v>79</v>
      </c>
      <c r="G247" s="2">
        <f t="shared" si="3"/>
        <v>0.29157427937915742</v>
      </c>
      <c r="H247" s="5">
        <v>4.4576271186440675</v>
      </c>
      <c r="I247" s="2">
        <v>59</v>
      </c>
      <c r="J247" s="12">
        <f>I247/Pondération!$H$17</f>
        <v>6.5410199556541024E-2</v>
      </c>
    </row>
    <row r="248" spans="1:10" x14ac:dyDescent="0.25">
      <c r="A248" s="2" t="s">
        <v>77</v>
      </c>
      <c r="B248" s="2">
        <v>2015</v>
      </c>
      <c r="C248" s="2" t="s">
        <v>12</v>
      </c>
      <c r="D248" s="2" t="s">
        <v>35</v>
      </c>
      <c r="E248" s="2" t="s">
        <v>78</v>
      </c>
      <c r="F248" s="2" t="s">
        <v>79</v>
      </c>
      <c r="G248" s="2">
        <f t="shared" si="3"/>
        <v>0.61973392461197341</v>
      </c>
      <c r="H248" s="5">
        <v>4.4365079365079367</v>
      </c>
      <c r="I248" s="2">
        <v>126</v>
      </c>
      <c r="J248" s="12">
        <f>I248/Pondération!$H$17</f>
        <v>0.13968957871396895</v>
      </c>
    </row>
    <row r="249" spans="1:10" x14ac:dyDescent="0.25">
      <c r="A249" s="2" t="s">
        <v>77</v>
      </c>
      <c r="B249" s="2">
        <v>2015</v>
      </c>
      <c r="C249" s="2" t="s">
        <v>13</v>
      </c>
      <c r="D249" s="2" t="s">
        <v>35</v>
      </c>
      <c r="E249" s="2" t="s">
        <v>78</v>
      </c>
      <c r="F249" s="2" t="s">
        <v>79</v>
      </c>
      <c r="G249" s="2">
        <f t="shared" si="3"/>
        <v>0.70565410199556544</v>
      </c>
      <c r="H249" s="5">
        <v>4.4201388888888893</v>
      </c>
      <c r="I249" s="2">
        <v>144</v>
      </c>
      <c r="J249" s="12">
        <f>I249/Pondération!$H$17</f>
        <v>0.15964523281596452</v>
      </c>
    </row>
    <row r="250" spans="1:10" x14ac:dyDescent="0.25">
      <c r="A250" s="2" t="s">
        <v>77</v>
      </c>
      <c r="B250" s="2">
        <v>2015</v>
      </c>
      <c r="C250" s="2" t="s">
        <v>14</v>
      </c>
      <c r="D250" s="2" t="s">
        <v>35</v>
      </c>
      <c r="E250" s="2" t="s">
        <v>78</v>
      </c>
      <c r="F250" s="2" t="s">
        <v>79</v>
      </c>
      <c r="G250" s="2">
        <f t="shared" si="3"/>
        <v>0.34423503325942351</v>
      </c>
      <c r="H250" s="5">
        <v>4.4357142857142859</v>
      </c>
      <c r="I250" s="2">
        <v>70</v>
      </c>
      <c r="J250" s="12">
        <f>I250/Pondération!$H$17</f>
        <v>7.7605321507760533E-2</v>
      </c>
    </row>
    <row r="251" spans="1:10" x14ac:dyDescent="0.25">
      <c r="A251" s="2" t="s">
        <v>77</v>
      </c>
      <c r="B251" s="2">
        <v>2015</v>
      </c>
      <c r="C251" s="2" t="s">
        <v>15</v>
      </c>
      <c r="D251" s="2" t="s">
        <v>35</v>
      </c>
      <c r="E251" s="2" t="s">
        <v>78</v>
      </c>
      <c r="F251" s="2" t="s">
        <v>79</v>
      </c>
      <c r="G251" s="2">
        <f t="shared" si="3"/>
        <v>0.50388026607538805</v>
      </c>
      <c r="H251" s="5">
        <v>4.4558823529411766</v>
      </c>
      <c r="I251" s="2">
        <v>102</v>
      </c>
      <c r="J251" s="12">
        <f>I251/Pondération!$H$17</f>
        <v>0.1130820399113082</v>
      </c>
    </row>
    <row r="252" spans="1:10" x14ac:dyDescent="0.25">
      <c r="A252" s="2" t="s">
        <v>77</v>
      </c>
      <c r="B252" s="2">
        <v>2015</v>
      </c>
      <c r="C252" s="2" t="s">
        <v>16</v>
      </c>
      <c r="D252" s="2" t="s">
        <v>35</v>
      </c>
      <c r="E252" s="2" t="s">
        <v>78</v>
      </c>
      <c r="F252" s="2" t="s">
        <v>79</v>
      </c>
      <c r="G252" s="2">
        <f t="shared" si="3"/>
        <v>1.1374722838137472</v>
      </c>
      <c r="H252" s="5">
        <v>4.5</v>
      </c>
      <c r="I252" s="2">
        <v>228</v>
      </c>
      <c r="J252" s="12">
        <f>I252/Pondération!$H$17</f>
        <v>0.25277161862527714</v>
      </c>
    </row>
    <row r="253" spans="1:10" x14ac:dyDescent="0.25">
      <c r="A253" s="2" t="s">
        <v>77</v>
      </c>
      <c r="B253" s="2">
        <v>2015</v>
      </c>
      <c r="C253" s="2" t="s">
        <v>17</v>
      </c>
      <c r="D253" s="2" t="s">
        <v>35</v>
      </c>
      <c r="E253" s="2" t="s">
        <v>78</v>
      </c>
      <c r="F253" s="2" t="s">
        <v>79</v>
      </c>
      <c r="G253" s="2">
        <f t="shared" si="3"/>
        <v>0.10532150776053215</v>
      </c>
      <c r="H253" s="5">
        <v>4.5238095238095237</v>
      </c>
      <c r="I253" s="2">
        <v>21</v>
      </c>
      <c r="J253" s="12">
        <f>I253/Pondération!$H$17</f>
        <v>2.3281596452328159E-2</v>
      </c>
    </row>
    <row r="254" spans="1:10" x14ac:dyDescent="0.25">
      <c r="A254" s="2" t="s">
        <v>77</v>
      </c>
      <c r="B254" s="2">
        <v>2016</v>
      </c>
      <c r="C254" s="2" t="s">
        <v>18</v>
      </c>
      <c r="D254" s="2" t="s">
        <v>35</v>
      </c>
      <c r="E254" s="2" t="s">
        <v>78</v>
      </c>
      <c r="F254" s="2" t="s">
        <v>79</v>
      </c>
      <c r="G254" s="2">
        <f t="shared" si="3"/>
        <v>0.14602132895816244</v>
      </c>
      <c r="H254" s="5">
        <v>4.45</v>
      </c>
      <c r="I254" s="2">
        <v>40</v>
      </c>
      <c r="J254" s="12">
        <f>I254/Pondération!$G$17</f>
        <v>3.2813781788351107E-2</v>
      </c>
    </row>
    <row r="255" spans="1:10" x14ac:dyDescent="0.25">
      <c r="A255" s="2" t="s">
        <v>77</v>
      </c>
      <c r="B255" s="2">
        <v>2016</v>
      </c>
      <c r="C255" s="2" t="s">
        <v>19</v>
      </c>
      <c r="D255" s="2" t="s">
        <v>35</v>
      </c>
      <c r="E255" s="2" t="s">
        <v>78</v>
      </c>
      <c r="F255" s="2" t="s">
        <v>79</v>
      </c>
      <c r="G255" s="2">
        <f t="shared" si="3"/>
        <v>0.12756357670221494</v>
      </c>
      <c r="H255" s="5">
        <v>4.4428571428571431</v>
      </c>
      <c r="I255" s="2">
        <v>35</v>
      </c>
      <c r="J255" s="12">
        <f>I255/Pondération!$G$17</f>
        <v>2.871205906480722E-2</v>
      </c>
    </row>
    <row r="256" spans="1:10" x14ac:dyDescent="0.25">
      <c r="A256" s="2" t="s">
        <v>77</v>
      </c>
      <c r="B256" s="2">
        <v>2016</v>
      </c>
      <c r="C256" s="2" t="s">
        <v>20</v>
      </c>
      <c r="D256" s="2" t="s">
        <v>35</v>
      </c>
      <c r="E256" s="2" t="s">
        <v>78</v>
      </c>
      <c r="F256" s="2" t="s">
        <v>79</v>
      </c>
      <c r="G256" s="2">
        <f t="shared" si="3"/>
        <v>0.24282198523379817</v>
      </c>
      <c r="H256" s="5">
        <v>4.4848484848484844</v>
      </c>
      <c r="I256" s="2">
        <v>66</v>
      </c>
      <c r="J256" s="12">
        <f>I256/Pondération!$G$17</f>
        <v>5.4142739950779326E-2</v>
      </c>
    </row>
    <row r="257" spans="1:10" x14ac:dyDescent="0.25">
      <c r="A257" s="2" t="s">
        <v>77</v>
      </c>
      <c r="B257" s="2">
        <v>2016</v>
      </c>
      <c r="C257" s="2" t="s">
        <v>21</v>
      </c>
      <c r="D257" s="2" t="s">
        <v>35</v>
      </c>
      <c r="E257" s="2" t="s">
        <v>78</v>
      </c>
      <c r="F257" s="2" t="s">
        <v>79</v>
      </c>
      <c r="G257" s="2">
        <f t="shared" si="3"/>
        <v>0.26456111566858082</v>
      </c>
      <c r="H257" s="5">
        <v>4.479166666666667</v>
      </c>
      <c r="I257" s="2">
        <v>72</v>
      </c>
      <c r="J257" s="12">
        <f>I257/Pondération!$G$17</f>
        <v>5.9064807219031991E-2</v>
      </c>
    </row>
    <row r="258" spans="1:10" x14ac:dyDescent="0.25">
      <c r="A258" s="2" t="s">
        <v>77</v>
      </c>
      <c r="B258" s="2">
        <v>2016</v>
      </c>
      <c r="C258" s="2" t="s">
        <v>22</v>
      </c>
      <c r="D258" s="2" t="s">
        <v>35</v>
      </c>
      <c r="E258" s="2" t="s">
        <v>78</v>
      </c>
      <c r="F258" s="2" t="s">
        <v>79</v>
      </c>
      <c r="G258" s="2">
        <f t="shared" ref="G258:G321" si="4">H258*J258</f>
        <v>0.36669401148482367</v>
      </c>
      <c r="H258" s="5">
        <v>4.4257425742574261</v>
      </c>
      <c r="I258" s="2">
        <v>101</v>
      </c>
      <c r="J258" s="12">
        <f>I258/Pondération!$G$17</f>
        <v>8.2854799015586553E-2</v>
      </c>
    </row>
    <row r="259" spans="1:10" x14ac:dyDescent="0.25">
      <c r="A259" s="2" t="s">
        <v>77</v>
      </c>
      <c r="B259" s="2">
        <v>2016</v>
      </c>
      <c r="C259" s="2" t="s">
        <v>23</v>
      </c>
      <c r="D259" s="2" t="s">
        <v>35</v>
      </c>
      <c r="E259" s="2" t="s">
        <v>78</v>
      </c>
      <c r="F259" s="2" t="s">
        <v>79</v>
      </c>
      <c r="G259" s="2">
        <f t="shared" si="4"/>
        <v>0.29860541427399512</v>
      </c>
      <c r="H259" s="5">
        <v>4.4938271604938276</v>
      </c>
      <c r="I259" s="2">
        <v>81</v>
      </c>
      <c r="J259" s="12">
        <f>I259/Pondération!$G$17</f>
        <v>6.6447908121410992E-2</v>
      </c>
    </row>
    <row r="260" spans="1:10" x14ac:dyDescent="0.25">
      <c r="A260" s="2" t="s">
        <v>77</v>
      </c>
      <c r="B260" s="2">
        <v>2016</v>
      </c>
      <c r="C260" s="2" t="s">
        <v>24</v>
      </c>
      <c r="D260" s="2" t="s">
        <v>35</v>
      </c>
      <c r="E260" s="2" t="s">
        <v>78</v>
      </c>
      <c r="F260" s="2" t="s">
        <v>79</v>
      </c>
      <c r="G260" s="2">
        <f t="shared" si="4"/>
        <v>0.56398687448728468</v>
      </c>
      <c r="H260" s="5">
        <v>4.435483870967742</v>
      </c>
      <c r="I260" s="2">
        <v>155</v>
      </c>
      <c r="J260" s="12">
        <f>I260/Pondération!$G$17</f>
        <v>0.12715340442986053</v>
      </c>
    </row>
    <row r="261" spans="1:10" x14ac:dyDescent="0.25">
      <c r="A261" s="2" t="s">
        <v>77</v>
      </c>
      <c r="B261" s="2">
        <v>2016</v>
      </c>
      <c r="C261" s="2" t="s">
        <v>25</v>
      </c>
      <c r="D261" s="2" t="s">
        <v>35</v>
      </c>
      <c r="E261" s="2" t="s">
        <v>78</v>
      </c>
      <c r="F261" s="2" t="s">
        <v>79</v>
      </c>
      <c r="G261" s="2">
        <f t="shared" si="4"/>
        <v>1.2854799015586547</v>
      </c>
      <c r="H261" s="5">
        <v>4.4390934844192635</v>
      </c>
      <c r="I261" s="2">
        <v>353</v>
      </c>
      <c r="J261" s="12">
        <f>I261/Pondération!$G$17</f>
        <v>0.28958162428219852</v>
      </c>
    </row>
    <row r="262" spans="1:10" x14ac:dyDescent="0.25">
      <c r="A262" s="2" t="s">
        <v>77</v>
      </c>
      <c r="B262" s="2">
        <v>2016</v>
      </c>
      <c r="C262" s="2" t="s">
        <v>26</v>
      </c>
      <c r="D262" s="2" t="s">
        <v>35</v>
      </c>
      <c r="E262" s="2" t="s">
        <v>78</v>
      </c>
      <c r="F262" s="2" t="s">
        <v>79</v>
      </c>
      <c r="G262" s="2">
        <f t="shared" si="4"/>
        <v>0.54183757178014769</v>
      </c>
      <c r="H262" s="5">
        <v>4.4328859060402683</v>
      </c>
      <c r="I262" s="2">
        <v>149</v>
      </c>
      <c r="J262" s="12">
        <f>I262/Pondération!$G$17</f>
        <v>0.12223133716160788</v>
      </c>
    </row>
    <row r="263" spans="1:10" x14ac:dyDescent="0.25">
      <c r="A263" s="2" t="s">
        <v>77</v>
      </c>
      <c r="B263" s="2">
        <v>2016</v>
      </c>
      <c r="C263" s="2" t="s">
        <v>27</v>
      </c>
      <c r="D263" s="2" t="s">
        <v>35</v>
      </c>
      <c r="E263" s="2" t="s">
        <v>78</v>
      </c>
      <c r="F263" s="2" t="s">
        <v>79</v>
      </c>
      <c r="G263" s="2">
        <f t="shared" si="4"/>
        <v>0.28137817883511079</v>
      </c>
      <c r="H263" s="5">
        <v>4.5131578947368425</v>
      </c>
      <c r="I263" s="2">
        <v>76</v>
      </c>
      <c r="J263" s="12">
        <f>I263/Pondération!$G$17</f>
        <v>6.2346185397867106E-2</v>
      </c>
    </row>
    <row r="264" spans="1:10" x14ac:dyDescent="0.25">
      <c r="A264" s="2" t="s">
        <v>77</v>
      </c>
      <c r="B264" s="2">
        <v>2016</v>
      </c>
      <c r="C264" s="2" t="s">
        <v>28</v>
      </c>
      <c r="D264" s="2" t="s">
        <v>35</v>
      </c>
      <c r="E264" s="2" t="s">
        <v>78</v>
      </c>
      <c r="F264" s="2" t="s">
        <v>79</v>
      </c>
      <c r="G264" s="2">
        <f t="shared" si="4"/>
        <v>0.16735028712059064</v>
      </c>
      <c r="H264" s="5">
        <v>4.4347826086956523</v>
      </c>
      <c r="I264" s="2">
        <v>46</v>
      </c>
      <c r="J264" s="12">
        <f>I264/Pondération!$G$17</f>
        <v>3.7735849056603772E-2</v>
      </c>
    </row>
    <row r="265" spans="1:10" x14ac:dyDescent="0.25">
      <c r="A265" s="2" t="s">
        <v>77</v>
      </c>
      <c r="B265" s="2">
        <v>2016</v>
      </c>
      <c r="C265" s="2" t="s">
        <v>29</v>
      </c>
      <c r="D265" s="2" t="s">
        <v>35</v>
      </c>
      <c r="E265" s="2" t="s">
        <v>78</v>
      </c>
      <c r="F265" s="2" t="s">
        <v>79</v>
      </c>
      <c r="G265" s="2">
        <f t="shared" si="4"/>
        <v>0.16735028712059064</v>
      </c>
      <c r="H265" s="5">
        <v>4.5333333333333332</v>
      </c>
      <c r="I265" s="2">
        <v>45</v>
      </c>
      <c r="J265" s="12">
        <f>I265/Pondération!$G$17</f>
        <v>3.6915504511894993E-2</v>
      </c>
    </row>
    <row r="266" spans="1:10" x14ac:dyDescent="0.25">
      <c r="A266" s="2" t="s">
        <v>77</v>
      </c>
      <c r="B266" s="2">
        <v>2017</v>
      </c>
      <c r="C266" s="2" t="s">
        <v>30</v>
      </c>
      <c r="D266" s="2" t="s">
        <v>35</v>
      </c>
      <c r="E266" s="2" t="s">
        <v>78</v>
      </c>
      <c r="F266" s="2" t="s">
        <v>79</v>
      </c>
      <c r="G266" s="2">
        <f t="shared" si="4"/>
        <v>0.35024154589371975</v>
      </c>
      <c r="H266" s="5">
        <v>4.3939393939393936</v>
      </c>
      <c r="I266" s="2">
        <v>33</v>
      </c>
      <c r="J266" s="12">
        <f>I266/Pondération!$F$17</f>
        <v>7.9710144927536225E-2</v>
      </c>
    </row>
    <row r="267" spans="1:10" x14ac:dyDescent="0.25">
      <c r="A267" s="2" t="s">
        <v>77</v>
      </c>
      <c r="B267" s="2">
        <v>2017</v>
      </c>
      <c r="C267" s="2" t="s">
        <v>31</v>
      </c>
      <c r="D267" s="2" t="s">
        <v>35</v>
      </c>
      <c r="E267" s="2" t="s">
        <v>78</v>
      </c>
      <c r="F267" s="2" t="s">
        <v>79</v>
      </c>
      <c r="G267" s="2">
        <f t="shared" si="4"/>
        <v>0.69565217391304346</v>
      </c>
      <c r="H267" s="5">
        <v>4.5714285714285712</v>
      </c>
      <c r="I267" s="2">
        <v>63</v>
      </c>
      <c r="J267" s="12">
        <f>I267/Pondération!$F$17</f>
        <v>0.15217391304347827</v>
      </c>
    </row>
    <row r="268" spans="1:10" x14ac:dyDescent="0.25">
      <c r="A268" s="2" t="s">
        <v>77</v>
      </c>
      <c r="B268" s="2">
        <v>2017</v>
      </c>
      <c r="C268" s="2" t="s">
        <v>32</v>
      </c>
      <c r="D268" s="2" t="s">
        <v>35</v>
      </c>
      <c r="E268" s="2" t="s">
        <v>78</v>
      </c>
      <c r="F268" s="2" t="s">
        <v>79</v>
      </c>
      <c r="G268" s="2">
        <f t="shared" si="4"/>
        <v>0.57004830917874394</v>
      </c>
      <c r="H268" s="5">
        <v>4.5384615384615383</v>
      </c>
      <c r="I268" s="2">
        <v>52</v>
      </c>
      <c r="J268" s="12">
        <f>I268/Pondération!$F$17</f>
        <v>0.12560386473429952</v>
      </c>
    </row>
    <row r="269" spans="1:10" x14ac:dyDescent="0.25">
      <c r="A269" s="2" t="s">
        <v>77</v>
      </c>
      <c r="B269" s="2">
        <v>2017</v>
      </c>
      <c r="C269" s="2" t="s">
        <v>33</v>
      </c>
      <c r="D269" s="2" t="s">
        <v>35</v>
      </c>
      <c r="E269" s="2" t="s">
        <v>78</v>
      </c>
      <c r="F269" s="2" t="s">
        <v>79</v>
      </c>
      <c r="G269" s="2">
        <f t="shared" si="4"/>
        <v>0.96739130434782605</v>
      </c>
      <c r="H269" s="5">
        <v>4.45</v>
      </c>
      <c r="I269" s="2">
        <v>90</v>
      </c>
      <c r="J269" s="12">
        <f>I269/Pondération!$F$17</f>
        <v>0.21739130434782608</v>
      </c>
    </row>
    <row r="270" spans="1:10" x14ac:dyDescent="0.25">
      <c r="A270" s="2" t="s">
        <v>77</v>
      </c>
      <c r="B270" s="2">
        <v>2017</v>
      </c>
      <c r="C270" s="2" t="s">
        <v>34</v>
      </c>
      <c r="D270" s="2" t="s">
        <v>35</v>
      </c>
      <c r="E270" s="2" t="s">
        <v>78</v>
      </c>
      <c r="F270" s="2" t="s">
        <v>79</v>
      </c>
      <c r="G270" s="2">
        <f t="shared" si="4"/>
        <v>1.2246376811594204</v>
      </c>
      <c r="H270" s="5">
        <v>4.5675675675675675</v>
      </c>
      <c r="I270" s="2">
        <v>111</v>
      </c>
      <c r="J270" s="12">
        <f>I270/Pondération!$F$17</f>
        <v>0.26811594202898553</v>
      </c>
    </row>
    <row r="271" spans="1:10" x14ac:dyDescent="0.25">
      <c r="A271" s="2" t="s">
        <v>77</v>
      </c>
      <c r="B271" s="2">
        <v>2017</v>
      </c>
      <c r="C271" s="2" t="s">
        <v>80</v>
      </c>
      <c r="D271" s="2" t="s">
        <v>35</v>
      </c>
      <c r="E271" s="2" t="s">
        <v>78</v>
      </c>
      <c r="F271" s="2" t="s">
        <v>79</v>
      </c>
      <c r="G271" s="2">
        <f t="shared" si="4"/>
        <v>0.67995169082125606</v>
      </c>
      <c r="H271" s="5">
        <v>4.3307692307692305</v>
      </c>
      <c r="I271" s="2">
        <v>65</v>
      </c>
      <c r="J271" s="12">
        <f>I271/Pondération!$F$17</f>
        <v>0.1570048309178744</v>
      </c>
    </row>
    <row r="272" spans="1:10" x14ac:dyDescent="0.25">
      <c r="A272" s="2" t="s">
        <v>77</v>
      </c>
      <c r="B272" s="2">
        <v>2013</v>
      </c>
      <c r="C272" s="2" t="s">
        <v>49</v>
      </c>
      <c r="D272" s="2" t="s">
        <v>35</v>
      </c>
      <c r="E272" s="2" t="s">
        <v>78</v>
      </c>
      <c r="F272" s="2" t="s">
        <v>81</v>
      </c>
      <c r="G272" s="2">
        <f t="shared" si="4"/>
        <v>0.14035087719298245</v>
      </c>
      <c r="H272" s="5">
        <v>4</v>
      </c>
      <c r="I272" s="2">
        <v>2</v>
      </c>
      <c r="J272" s="12">
        <f>I272/Pondération!$J$18</f>
        <v>3.5087719298245612E-2</v>
      </c>
    </row>
    <row r="273" spans="1:10" x14ac:dyDescent="0.25">
      <c r="A273" s="2" t="s">
        <v>77</v>
      </c>
      <c r="B273" s="2">
        <v>2013</v>
      </c>
      <c r="C273" s="2" t="s">
        <v>50</v>
      </c>
      <c r="D273" s="2" t="s">
        <v>35</v>
      </c>
      <c r="E273" s="2" t="s">
        <v>78</v>
      </c>
      <c r="F273" s="2" t="s">
        <v>81</v>
      </c>
      <c r="G273" s="2">
        <f t="shared" si="4"/>
        <v>7.8947368421052627E-2</v>
      </c>
      <c r="H273" s="5">
        <v>4.5</v>
      </c>
      <c r="I273" s="2">
        <v>1</v>
      </c>
      <c r="J273" s="12">
        <f>I273/Pondération!$J$18</f>
        <v>1.7543859649122806E-2</v>
      </c>
    </row>
    <row r="274" spans="1:10" x14ac:dyDescent="0.25">
      <c r="A274" s="2" t="s">
        <v>77</v>
      </c>
      <c r="B274" s="2">
        <v>2013</v>
      </c>
      <c r="C274" s="2" t="s">
        <v>51</v>
      </c>
      <c r="D274" s="2" t="s">
        <v>35</v>
      </c>
      <c r="E274" s="2" t="s">
        <v>78</v>
      </c>
      <c r="F274" s="2" t="s">
        <v>81</v>
      </c>
      <c r="G274" s="2">
        <f t="shared" si="4"/>
        <v>0.22807017543859645</v>
      </c>
      <c r="H274" s="5">
        <v>4.333333333333333</v>
      </c>
      <c r="I274" s="2">
        <v>3</v>
      </c>
      <c r="J274" s="12">
        <f>I274/Pondération!$J$18</f>
        <v>5.2631578947368418E-2</v>
      </c>
    </row>
    <row r="275" spans="1:10" x14ac:dyDescent="0.25">
      <c r="A275" s="2" t="s">
        <v>77</v>
      </c>
      <c r="B275" s="2">
        <v>2013</v>
      </c>
      <c r="C275" s="2" t="s">
        <v>52</v>
      </c>
      <c r="D275" s="2" t="s">
        <v>35</v>
      </c>
      <c r="E275" s="2" t="s">
        <v>78</v>
      </c>
      <c r="F275" s="2" t="s">
        <v>81</v>
      </c>
      <c r="G275" s="2">
        <f t="shared" si="4"/>
        <v>0.30701754385964908</v>
      </c>
      <c r="H275" s="5">
        <v>4.375</v>
      </c>
      <c r="I275" s="2">
        <v>4</v>
      </c>
      <c r="J275" s="12">
        <f>I275/Pondération!$J$18</f>
        <v>7.0175438596491224E-2</v>
      </c>
    </row>
    <row r="276" spans="1:10" x14ac:dyDescent="0.25">
      <c r="A276" s="2" t="s">
        <v>77</v>
      </c>
      <c r="B276" s="2">
        <v>2013</v>
      </c>
      <c r="C276" s="2" t="s">
        <v>53</v>
      </c>
      <c r="D276" s="2" t="s">
        <v>35</v>
      </c>
      <c r="E276" s="2" t="s">
        <v>78</v>
      </c>
      <c r="F276" s="2" t="s">
        <v>81</v>
      </c>
      <c r="G276" s="2">
        <f t="shared" si="4"/>
        <v>0.14912280701754385</v>
      </c>
      <c r="H276" s="5">
        <v>4.25</v>
      </c>
      <c r="I276" s="2">
        <v>2</v>
      </c>
      <c r="J276" s="12">
        <f>I276/Pondération!$J$18</f>
        <v>3.5087719298245612E-2</v>
      </c>
    </row>
    <row r="277" spans="1:10" x14ac:dyDescent="0.25">
      <c r="A277" s="2" t="s">
        <v>77</v>
      </c>
      <c r="B277" s="2">
        <v>2013</v>
      </c>
      <c r="C277" s="2" t="s">
        <v>54</v>
      </c>
      <c r="D277" s="2" t="s">
        <v>35</v>
      </c>
      <c r="E277" s="2" t="s">
        <v>78</v>
      </c>
      <c r="F277" s="2" t="s">
        <v>81</v>
      </c>
      <c r="G277" s="2">
        <f t="shared" si="4"/>
        <v>8.771929824561403E-2</v>
      </c>
      <c r="H277" s="5">
        <v>5</v>
      </c>
      <c r="I277" s="2">
        <v>1</v>
      </c>
      <c r="J277" s="12">
        <f>I277/Pondération!$J$18</f>
        <v>1.7543859649122806E-2</v>
      </c>
    </row>
    <row r="278" spans="1:10" x14ac:dyDescent="0.25">
      <c r="A278" s="2" t="s">
        <v>77</v>
      </c>
      <c r="B278" s="2">
        <v>2013</v>
      </c>
      <c r="C278" s="2" t="s">
        <v>55</v>
      </c>
      <c r="D278" s="2" t="s">
        <v>35</v>
      </c>
      <c r="E278" s="2" t="s">
        <v>78</v>
      </c>
      <c r="F278" s="2" t="s">
        <v>81</v>
      </c>
      <c r="G278" s="2">
        <f t="shared" si="4"/>
        <v>0.5350877192982455</v>
      </c>
      <c r="H278" s="5">
        <v>4.3571428571428568</v>
      </c>
      <c r="I278" s="2">
        <v>7</v>
      </c>
      <c r="J278" s="12">
        <f>I278/Pondération!$J$18</f>
        <v>0.12280701754385964</v>
      </c>
    </row>
    <row r="279" spans="1:10" x14ac:dyDescent="0.25">
      <c r="A279" s="2" t="s">
        <v>77</v>
      </c>
      <c r="B279" s="2">
        <v>2013</v>
      </c>
      <c r="C279" s="2" t="s">
        <v>56</v>
      </c>
      <c r="D279" s="2" t="s">
        <v>35</v>
      </c>
      <c r="E279" s="2" t="s">
        <v>78</v>
      </c>
      <c r="F279" s="2" t="s">
        <v>81</v>
      </c>
      <c r="G279" s="2">
        <f t="shared" si="4"/>
        <v>0.64035087719298234</v>
      </c>
      <c r="H279" s="5">
        <v>4.0555555555555554</v>
      </c>
      <c r="I279" s="2">
        <v>9</v>
      </c>
      <c r="J279" s="12">
        <f>I279/Pondération!$J$18</f>
        <v>0.15789473684210525</v>
      </c>
    </row>
    <row r="280" spans="1:10" x14ac:dyDescent="0.25">
      <c r="A280" s="2" t="s">
        <v>77</v>
      </c>
      <c r="B280" s="2">
        <v>2013</v>
      </c>
      <c r="C280" s="2" t="s">
        <v>57</v>
      </c>
      <c r="D280" s="2" t="s">
        <v>35</v>
      </c>
      <c r="E280" s="2" t="s">
        <v>78</v>
      </c>
      <c r="F280" s="2" t="s">
        <v>81</v>
      </c>
      <c r="G280" s="2">
        <f t="shared" si="4"/>
        <v>0.58771929824561397</v>
      </c>
      <c r="H280" s="5">
        <v>4.1875</v>
      </c>
      <c r="I280" s="2">
        <v>8</v>
      </c>
      <c r="J280" s="12">
        <f>I280/Pondération!$J$18</f>
        <v>0.14035087719298245</v>
      </c>
    </row>
    <row r="281" spans="1:10" x14ac:dyDescent="0.25">
      <c r="A281" s="2" t="s">
        <v>77</v>
      </c>
      <c r="B281" s="2">
        <v>2013</v>
      </c>
      <c r="C281" s="2" t="s">
        <v>58</v>
      </c>
      <c r="D281" s="2" t="s">
        <v>35</v>
      </c>
      <c r="E281" s="2" t="s">
        <v>78</v>
      </c>
      <c r="F281" s="2" t="s">
        <v>81</v>
      </c>
      <c r="G281" s="2">
        <f t="shared" si="4"/>
        <v>0.63157894736842102</v>
      </c>
      <c r="H281" s="5">
        <v>4</v>
      </c>
      <c r="I281" s="2">
        <v>9</v>
      </c>
      <c r="J281" s="12">
        <f>I281/Pondération!$J$18</f>
        <v>0.15789473684210525</v>
      </c>
    </row>
    <row r="282" spans="1:10" x14ac:dyDescent="0.25">
      <c r="A282" s="2" t="s">
        <v>77</v>
      </c>
      <c r="B282" s="2">
        <v>2013</v>
      </c>
      <c r="C282" s="2" t="s">
        <v>59</v>
      </c>
      <c r="D282" s="2" t="s">
        <v>35</v>
      </c>
      <c r="E282" s="2" t="s">
        <v>78</v>
      </c>
      <c r="F282" s="2" t="s">
        <v>81</v>
      </c>
      <c r="G282" s="2">
        <f t="shared" si="4"/>
        <v>0.47368421052631576</v>
      </c>
      <c r="H282" s="5">
        <v>3.8571428571428572</v>
      </c>
      <c r="I282" s="2">
        <v>7</v>
      </c>
      <c r="J282" s="12">
        <f>I282/Pondération!$J$18</f>
        <v>0.12280701754385964</v>
      </c>
    </row>
    <row r="283" spans="1:10" x14ac:dyDescent="0.25">
      <c r="A283" s="2" t="s">
        <v>77</v>
      </c>
      <c r="B283" s="2">
        <v>2013</v>
      </c>
      <c r="C283" s="2" t="s">
        <v>60</v>
      </c>
      <c r="D283" s="2" t="s">
        <v>35</v>
      </c>
      <c r="E283" s="2" t="s">
        <v>78</v>
      </c>
      <c r="F283" s="2" t="s">
        <v>81</v>
      </c>
      <c r="G283" s="2">
        <f t="shared" si="4"/>
        <v>0.2807017543859649</v>
      </c>
      <c r="H283" s="5">
        <v>4</v>
      </c>
      <c r="I283" s="2">
        <v>4</v>
      </c>
      <c r="J283" s="12">
        <f>I283/Pondération!$J$18</f>
        <v>7.0175438596491224E-2</v>
      </c>
    </row>
    <row r="284" spans="1:10" x14ac:dyDescent="0.25">
      <c r="A284" s="2" t="s">
        <v>77</v>
      </c>
      <c r="B284" s="2">
        <v>2014</v>
      </c>
      <c r="C284" s="2" t="s">
        <v>61</v>
      </c>
      <c r="D284" s="2" t="s">
        <v>35</v>
      </c>
      <c r="E284" s="2" t="s">
        <v>78</v>
      </c>
      <c r="F284" s="2" t="s">
        <v>81</v>
      </c>
      <c r="G284" s="2">
        <f t="shared" si="4"/>
        <v>0.18857142857142858</v>
      </c>
      <c r="H284" s="5">
        <v>4.125</v>
      </c>
      <c r="I284" s="2">
        <v>8</v>
      </c>
      <c r="J284" s="12">
        <f>I284/Pondération!$I$18</f>
        <v>4.5714285714285714E-2</v>
      </c>
    </row>
    <row r="285" spans="1:10" x14ac:dyDescent="0.25">
      <c r="A285" s="2" t="s">
        <v>77</v>
      </c>
      <c r="B285" s="2">
        <v>2014</v>
      </c>
      <c r="C285" s="2" t="s">
        <v>62</v>
      </c>
      <c r="D285" s="2" t="s">
        <v>35</v>
      </c>
      <c r="E285" s="2" t="s">
        <v>78</v>
      </c>
      <c r="F285" s="2" t="s">
        <v>81</v>
      </c>
      <c r="G285" s="2">
        <f t="shared" si="4"/>
        <v>0.26000000000000006</v>
      </c>
      <c r="H285" s="5">
        <v>4.1363636363636367</v>
      </c>
      <c r="I285" s="2">
        <v>11</v>
      </c>
      <c r="J285" s="12">
        <f>I285/Pondération!$I$18</f>
        <v>6.2857142857142861E-2</v>
      </c>
    </row>
    <row r="286" spans="1:10" x14ac:dyDescent="0.25">
      <c r="A286" s="2" t="s">
        <v>77</v>
      </c>
      <c r="B286" s="2">
        <v>2014</v>
      </c>
      <c r="C286" s="2" t="s">
        <v>63</v>
      </c>
      <c r="D286" s="2" t="s">
        <v>35</v>
      </c>
      <c r="E286" s="2" t="s">
        <v>78</v>
      </c>
      <c r="F286" s="2" t="s">
        <v>81</v>
      </c>
      <c r="G286" s="2">
        <f t="shared" si="4"/>
        <v>0.22857142857142856</v>
      </c>
      <c r="H286" s="5">
        <v>4</v>
      </c>
      <c r="I286" s="2">
        <v>10</v>
      </c>
      <c r="J286" s="12">
        <f>I286/Pondération!$I$18</f>
        <v>5.7142857142857141E-2</v>
      </c>
    </row>
    <row r="287" spans="1:10" x14ac:dyDescent="0.25">
      <c r="A287" s="2" t="s">
        <v>77</v>
      </c>
      <c r="B287" s="2">
        <v>2014</v>
      </c>
      <c r="C287" s="2" t="s">
        <v>64</v>
      </c>
      <c r="D287" s="2" t="s">
        <v>35</v>
      </c>
      <c r="E287" s="2" t="s">
        <v>78</v>
      </c>
      <c r="F287" s="2" t="s">
        <v>81</v>
      </c>
      <c r="G287" s="2">
        <f t="shared" si="4"/>
        <v>0.27714285714285719</v>
      </c>
      <c r="H287" s="5">
        <v>4.041666666666667</v>
      </c>
      <c r="I287" s="2">
        <v>12</v>
      </c>
      <c r="J287" s="12">
        <f>I287/Pondération!$I$18</f>
        <v>6.8571428571428575E-2</v>
      </c>
    </row>
    <row r="288" spans="1:10" x14ac:dyDescent="0.25">
      <c r="A288" s="2" t="s">
        <v>77</v>
      </c>
      <c r="B288" s="2">
        <v>2014</v>
      </c>
      <c r="C288" s="2" t="s">
        <v>65</v>
      </c>
      <c r="D288" s="2" t="s">
        <v>35</v>
      </c>
      <c r="E288" s="2" t="s">
        <v>78</v>
      </c>
      <c r="F288" s="2" t="s">
        <v>81</v>
      </c>
      <c r="G288" s="2">
        <f t="shared" si="4"/>
        <v>0.29714285714285715</v>
      </c>
      <c r="H288" s="5">
        <v>4.333333333333333</v>
      </c>
      <c r="I288" s="2">
        <v>12</v>
      </c>
      <c r="J288" s="12">
        <f>I288/Pondération!$I$18</f>
        <v>6.8571428571428575E-2</v>
      </c>
    </row>
    <row r="289" spans="1:10" x14ac:dyDescent="0.25">
      <c r="A289" s="2" t="s">
        <v>77</v>
      </c>
      <c r="B289" s="2">
        <v>2014</v>
      </c>
      <c r="C289" s="2" t="s">
        <v>66</v>
      </c>
      <c r="D289" s="2" t="s">
        <v>35</v>
      </c>
      <c r="E289" s="2" t="s">
        <v>78</v>
      </c>
      <c r="F289" s="2" t="s">
        <v>81</v>
      </c>
      <c r="G289" s="2">
        <f t="shared" si="4"/>
        <v>0.16285714285714284</v>
      </c>
      <c r="H289" s="5">
        <v>4.0714285714285712</v>
      </c>
      <c r="I289" s="2">
        <v>7</v>
      </c>
      <c r="J289" s="12">
        <f>I289/Pondération!$I$18</f>
        <v>0.04</v>
      </c>
    </row>
    <row r="290" spans="1:10" x14ac:dyDescent="0.25">
      <c r="A290" s="2" t="s">
        <v>77</v>
      </c>
      <c r="B290" s="2">
        <v>2014</v>
      </c>
      <c r="C290" s="2" t="s">
        <v>67</v>
      </c>
      <c r="D290" s="2" t="s">
        <v>35</v>
      </c>
      <c r="E290" s="2" t="s">
        <v>78</v>
      </c>
      <c r="F290" s="2" t="s">
        <v>81</v>
      </c>
      <c r="G290" s="2">
        <f t="shared" si="4"/>
        <v>0.62</v>
      </c>
      <c r="H290" s="5">
        <v>4.34</v>
      </c>
      <c r="I290" s="2">
        <v>25</v>
      </c>
      <c r="J290" s="12">
        <f>I290/Pondération!$I$18</f>
        <v>0.14285714285714285</v>
      </c>
    </row>
    <row r="291" spans="1:10" x14ac:dyDescent="0.25">
      <c r="A291" s="2" t="s">
        <v>77</v>
      </c>
      <c r="B291" s="2">
        <v>2014</v>
      </c>
      <c r="C291" s="2" t="s">
        <v>68</v>
      </c>
      <c r="D291" s="2" t="s">
        <v>35</v>
      </c>
      <c r="E291" s="2" t="s">
        <v>78</v>
      </c>
      <c r="F291" s="2" t="s">
        <v>81</v>
      </c>
      <c r="G291" s="2">
        <f t="shared" si="4"/>
        <v>0.95428571428571429</v>
      </c>
      <c r="H291" s="5">
        <v>4.2820512820512819</v>
      </c>
      <c r="I291" s="2">
        <v>39</v>
      </c>
      <c r="J291" s="12">
        <f>I291/Pondération!$I$18</f>
        <v>0.22285714285714286</v>
      </c>
    </row>
    <row r="292" spans="1:10" x14ac:dyDescent="0.25">
      <c r="A292" s="2" t="s">
        <v>77</v>
      </c>
      <c r="B292" s="2">
        <v>2014</v>
      </c>
      <c r="C292" s="2" t="s">
        <v>69</v>
      </c>
      <c r="D292" s="2" t="s">
        <v>35</v>
      </c>
      <c r="E292" s="2" t="s">
        <v>78</v>
      </c>
      <c r="F292" s="2" t="s">
        <v>81</v>
      </c>
      <c r="G292" s="2">
        <f t="shared" si="4"/>
        <v>0.3342857142857143</v>
      </c>
      <c r="H292" s="5">
        <v>4.1785714285714288</v>
      </c>
      <c r="I292" s="2">
        <v>14</v>
      </c>
      <c r="J292" s="12">
        <f>I292/Pondération!$I$18</f>
        <v>0.08</v>
      </c>
    </row>
    <row r="293" spans="1:10" x14ac:dyDescent="0.25">
      <c r="A293" s="2" t="s">
        <v>77</v>
      </c>
      <c r="B293" s="2">
        <v>2014</v>
      </c>
      <c r="C293" s="2" t="s">
        <v>70</v>
      </c>
      <c r="D293" s="2" t="s">
        <v>35</v>
      </c>
      <c r="E293" s="2" t="s">
        <v>78</v>
      </c>
      <c r="F293" s="2" t="s">
        <v>81</v>
      </c>
      <c r="G293" s="2">
        <f t="shared" si="4"/>
        <v>0.38285714285714284</v>
      </c>
      <c r="H293" s="5">
        <v>4.1875</v>
      </c>
      <c r="I293" s="2">
        <v>16</v>
      </c>
      <c r="J293" s="12">
        <f>I293/Pondération!$I$18</f>
        <v>9.1428571428571428E-2</v>
      </c>
    </row>
    <row r="294" spans="1:10" x14ac:dyDescent="0.25">
      <c r="A294" s="2" t="s">
        <v>77</v>
      </c>
      <c r="B294" s="2">
        <v>2014</v>
      </c>
      <c r="C294" s="2" t="s">
        <v>71</v>
      </c>
      <c r="D294" s="2" t="s">
        <v>35</v>
      </c>
      <c r="E294" s="2" t="s">
        <v>78</v>
      </c>
      <c r="F294" s="2" t="s">
        <v>81</v>
      </c>
      <c r="G294" s="2">
        <f t="shared" si="4"/>
        <v>9.1428571428571428E-2</v>
      </c>
      <c r="H294" s="5">
        <v>4</v>
      </c>
      <c r="I294" s="2">
        <v>4</v>
      </c>
      <c r="J294" s="12">
        <f>I294/Pondération!$I$18</f>
        <v>2.2857142857142857E-2</v>
      </c>
    </row>
    <row r="295" spans="1:10" x14ac:dyDescent="0.25">
      <c r="A295" s="2" t="s">
        <v>77</v>
      </c>
      <c r="B295" s="2">
        <v>2014</v>
      </c>
      <c r="C295" s="2" t="s">
        <v>72</v>
      </c>
      <c r="D295" s="2" t="s">
        <v>35</v>
      </c>
      <c r="E295" s="2" t="s">
        <v>78</v>
      </c>
      <c r="F295" s="2" t="s">
        <v>81</v>
      </c>
      <c r="G295" s="2">
        <f t="shared" si="4"/>
        <v>0.40857142857142859</v>
      </c>
      <c r="H295" s="5">
        <v>4.2058823529411766</v>
      </c>
      <c r="I295" s="2">
        <v>17</v>
      </c>
      <c r="J295" s="12">
        <f>I295/Pondération!$I$18</f>
        <v>9.7142857142857142E-2</v>
      </c>
    </row>
    <row r="296" spans="1:10" x14ac:dyDescent="0.25">
      <c r="A296" s="2" t="s">
        <v>77</v>
      </c>
      <c r="B296" s="2">
        <v>2015</v>
      </c>
      <c r="C296" s="2" t="s">
        <v>73</v>
      </c>
      <c r="D296" s="2" t="s">
        <v>35</v>
      </c>
      <c r="E296" s="2" t="s">
        <v>78</v>
      </c>
      <c r="F296" s="2" t="s">
        <v>81</v>
      </c>
      <c r="G296" s="2">
        <f t="shared" si="4"/>
        <v>0.15137614678899083</v>
      </c>
      <c r="H296" s="5">
        <v>4.125</v>
      </c>
      <c r="I296" s="2">
        <v>12</v>
      </c>
      <c r="J296" s="12">
        <f>I296/Pondération!$H$18</f>
        <v>3.669724770642202E-2</v>
      </c>
    </row>
    <row r="297" spans="1:10" x14ac:dyDescent="0.25">
      <c r="A297" s="2" t="s">
        <v>77</v>
      </c>
      <c r="B297" s="2">
        <v>2015</v>
      </c>
      <c r="C297" s="2" t="s">
        <v>74</v>
      </c>
      <c r="D297" s="2" t="s">
        <v>35</v>
      </c>
      <c r="E297" s="2" t="s">
        <v>78</v>
      </c>
      <c r="F297" s="2" t="s">
        <v>81</v>
      </c>
      <c r="G297" s="2">
        <f t="shared" si="4"/>
        <v>0.17125382262996941</v>
      </c>
      <c r="H297" s="5">
        <v>4.3076923076923075</v>
      </c>
      <c r="I297" s="2">
        <v>13</v>
      </c>
      <c r="J297" s="12">
        <f>I297/Pondération!$H$18</f>
        <v>3.9755351681957186E-2</v>
      </c>
    </row>
    <row r="298" spans="1:10" x14ac:dyDescent="0.25">
      <c r="A298" s="2" t="s">
        <v>77</v>
      </c>
      <c r="B298" s="2">
        <v>2015</v>
      </c>
      <c r="C298" s="2" t="s">
        <v>75</v>
      </c>
      <c r="D298" s="2" t="s">
        <v>35</v>
      </c>
      <c r="E298" s="2" t="s">
        <v>78</v>
      </c>
      <c r="F298" s="2" t="s">
        <v>81</v>
      </c>
      <c r="G298" s="2">
        <f t="shared" si="4"/>
        <v>8.8685015290519878E-2</v>
      </c>
      <c r="H298" s="5">
        <v>4.1428571428571432</v>
      </c>
      <c r="I298" s="2">
        <v>7</v>
      </c>
      <c r="J298" s="12">
        <f>I298/Pondération!$H$18</f>
        <v>2.1406727828746176E-2</v>
      </c>
    </row>
    <row r="299" spans="1:10" x14ac:dyDescent="0.25">
      <c r="A299" s="2" t="s">
        <v>77</v>
      </c>
      <c r="B299" s="2">
        <v>2015</v>
      </c>
      <c r="C299" s="2" t="s">
        <v>76</v>
      </c>
      <c r="D299" s="2" t="s">
        <v>35</v>
      </c>
      <c r="E299" s="2" t="s">
        <v>78</v>
      </c>
      <c r="F299" s="2" t="s">
        <v>81</v>
      </c>
      <c r="G299" s="2">
        <f t="shared" si="4"/>
        <v>0.18654434250764523</v>
      </c>
      <c r="H299" s="5">
        <v>4.3571428571428568</v>
      </c>
      <c r="I299" s="2">
        <v>14</v>
      </c>
      <c r="J299" s="12">
        <f>I299/Pondération!$H$18</f>
        <v>4.2813455657492352E-2</v>
      </c>
    </row>
    <row r="300" spans="1:10" x14ac:dyDescent="0.25">
      <c r="A300" s="2" t="s">
        <v>77</v>
      </c>
      <c r="B300" s="2">
        <v>2015</v>
      </c>
      <c r="C300" s="2" t="s">
        <v>7</v>
      </c>
      <c r="D300" s="2" t="s">
        <v>35</v>
      </c>
      <c r="E300" s="2" t="s">
        <v>78</v>
      </c>
      <c r="F300" s="2" t="s">
        <v>81</v>
      </c>
      <c r="G300" s="2">
        <f t="shared" si="4"/>
        <v>0.24464831804281345</v>
      </c>
      <c r="H300" s="5">
        <v>4.2105263157894735</v>
      </c>
      <c r="I300" s="2">
        <v>19</v>
      </c>
      <c r="J300" s="12">
        <f>I300/Pondération!$H$18</f>
        <v>5.8103975535168197E-2</v>
      </c>
    </row>
    <row r="301" spans="1:10" x14ac:dyDescent="0.25">
      <c r="A301" s="2" t="s">
        <v>77</v>
      </c>
      <c r="B301" s="2">
        <v>2015</v>
      </c>
      <c r="C301" s="2" t="s">
        <v>11</v>
      </c>
      <c r="D301" s="2" t="s">
        <v>35</v>
      </c>
      <c r="E301" s="2" t="s">
        <v>78</v>
      </c>
      <c r="F301" s="2" t="s">
        <v>81</v>
      </c>
      <c r="G301" s="2">
        <f t="shared" si="4"/>
        <v>0.24464831804281345</v>
      </c>
      <c r="H301" s="5">
        <v>4.2105263157894735</v>
      </c>
      <c r="I301" s="2">
        <v>19</v>
      </c>
      <c r="J301" s="12">
        <f>I301/Pondération!$H$18</f>
        <v>5.8103975535168197E-2</v>
      </c>
    </row>
    <row r="302" spans="1:10" x14ac:dyDescent="0.25">
      <c r="A302" s="2" t="s">
        <v>77</v>
      </c>
      <c r="B302" s="2">
        <v>2015</v>
      </c>
      <c r="C302" s="2" t="s">
        <v>12</v>
      </c>
      <c r="D302" s="2" t="s">
        <v>35</v>
      </c>
      <c r="E302" s="2" t="s">
        <v>78</v>
      </c>
      <c r="F302" s="2" t="s">
        <v>81</v>
      </c>
      <c r="G302" s="2">
        <f t="shared" si="4"/>
        <v>0.35321100917431192</v>
      </c>
      <c r="H302" s="5">
        <v>4.2777777777777777</v>
      </c>
      <c r="I302" s="2">
        <v>27</v>
      </c>
      <c r="J302" s="12">
        <f>I302/Pondération!$H$18</f>
        <v>8.2568807339449546E-2</v>
      </c>
    </row>
    <row r="303" spans="1:10" x14ac:dyDescent="0.25">
      <c r="A303" s="2" t="s">
        <v>77</v>
      </c>
      <c r="B303" s="2">
        <v>2015</v>
      </c>
      <c r="C303" s="2" t="s">
        <v>13</v>
      </c>
      <c r="D303" s="2" t="s">
        <v>35</v>
      </c>
      <c r="E303" s="2" t="s">
        <v>78</v>
      </c>
      <c r="F303" s="2" t="s">
        <v>81</v>
      </c>
      <c r="G303" s="2">
        <f t="shared" si="4"/>
        <v>0.78593272171253825</v>
      </c>
      <c r="H303" s="5">
        <v>4.2833333333333332</v>
      </c>
      <c r="I303" s="2">
        <v>60</v>
      </c>
      <c r="J303" s="12">
        <f>I303/Pondération!$H$18</f>
        <v>0.1834862385321101</v>
      </c>
    </row>
    <row r="304" spans="1:10" x14ac:dyDescent="0.25">
      <c r="A304" s="2" t="s">
        <v>77</v>
      </c>
      <c r="B304" s="2">
        <v>2015</v>
      </c>
      <c r="C304" s="2" t="s">
        <v>14</v>
      </c>
      <c r="D304" s="2" t="s">
        <v>35</v>
      </c>
      <c r="E304" s="2" t="s">
        <v>78</v>
      </c>
      <c r="F304" s="2" t="s">
        <v>81</v>
      </c>
      <c r="G304" s="2">
        <f t="shared" si="4"/>
        <v>0.51987767584097855</v>
      </c>
      <c r="H304" s="5">
        <v>4.25</v>
      </c>
      <c r="I304" s="2">
        <v>40</v>
      </c>
      <c r="J304" s="12">
        <f>I304/Pondération!$H$18</f>
        <v>0.12232415902140673</v>
      </c>
    </row>
    <row r="305" spans="1:10" x14ac:dyDescent="0.25">
      <c r="A305" s="2" t="s">
        <v>77</v>
      </c>
      <c r="B305" s="2">
        <v>2015</v>
      </c>
      <c r="C305" s="2" t="s">
        <v>15</v>
      </c>
      <c r="D305" s="2" t="s">
        <v>35</v>
      </c>
      <c r="E305" s="2" t="s">
        <v>78</v>
      </c>
      <c r="F305" s="2" t="s">
        <v>81</v>
      </c>
      <c r="G305" s="2">
        <f t="shared" si="4"/>
        <v>0.77675840978593269</v>
      </c>
      <c r="H305" s="5">
        <v>4.096774193548387</v>
      </c>
      <c r="I305" s="2">
        <v>62</v>
      </c>
      <c r="J305" s="12">
        <f>I305/Pondération!$H$18</f>
        <v>0.18960244648318042</v>
      </c>
    </row>
    <row r="306" spans="1:10" x14ac:dyDescent="0.25">
      <c r="A306" s="2" t="s">
        <v>77</v>
      </c>
      <c r="B306" s="2">
        <v>2015</v>
      </c>
      <c r="C306" s="2" t="s">
        <v>16</v>
      </c>
      <c r="D306" s="2" t="s">
        <v>35</v>
      </c>
      <c r="E306" s="2" t="s">
        <v>78</v>
      </c>
      <c r="F306" s="2" t="s">
        <v>81</v>
      </c>
      <c r="G306" s="2">
        <f t="shared" si="4"/>
        <v>0.34862385321100919</v>
      </c>
      <c r="H306" s="5">
        <v>4.384615384615385</v>
      </c>
      <c r="I306" s="2">
        <v>26</v>
      </c>
      <c r="J306" s="12">
        <f>I306/Pondération!$H$18</f>
        <v>7.9510703363914373E-2</v>
      </c>
    </row>
    <row r="307" spans="1:10" x14ac:dyDescent="0.25">
      <c r="A307" s="2" t="s">
        <v>77</v>
      </c>
      <c r="B307" s="2">
        <v>2015</v>
      </c>
      <c r="C307" s="2" t="s">
        <v>17</v>
      </c>
      <c r="D307" s="2" t="s">
        <v>35</v>
      </c>
      <c r="E307" s="2" t="s">
        <v>78</v>
      </c>
      <c r="F307" s="2" t="s">
        <v>81</v>
      </c>
      <c r="G307" s="2">
        <f t="shared" si="4"/>
        <v>0.35474006116207951</v>
      </c>
      <c r="H307" s="5">
        <v>4.1428571428571432</v>
      </c>
      <c r="I307" s="2">
        <v>28</v>
      </c>
      <c r="J307" s="12">
        <f>I307/Pondération!$H$18</f>
        <v>8.5626911314984705E-2</v>
      </c>
    </row>
    <row r="308" spans="1:10" x14ac:dyDescent="0.25">
      <c r="A308" s="2" t="s">
        <v>77</v>
      </c>
      <c r="B308" s="2">
        <v>2016</v>
      </c>
      <c r="C308" s="2" t="s">
        <v>18</v>
      </c>
      <c r="D308" s="2" t="s">
        <v>35</v>
      </c>
      <c r="E308" s="2" t="s">
        <v>78</v>
      </c>
      <c r="F308" s="2" t="s">
        <v>81</v>
      </c>
      <c r="G308" s="2">
        <f t="shared" si="4"/>
        <v>0.16824085005903186</v>
      </c>
      <c r="H308" s="5">
        <v>4.453125</v>
      </c>
      <c r="I308" s="2">
        <v>32</v>
      </c>
      <c r="J308" s="12">
        <f>I308/Pondération!$G$18</f>
        <v>3.7780401416765051E-2</v>
      </c>
    </row>
    <row r="309" spans="1:10" x14ac:dyDescent="0.25">
      <c r="A309" s="2" t="s">
        <v>77</v>
      </c>
      <c r="B309" s="2">
        <v>2016</v>
      </c>
      <c r="C309" s="2" t="s">
        <v>19</v>
      </c>
      <c r="D309" s="2" t="s">
        <v>35</v>
      </c>
      <c r="E309" s="2" t="s">
        <v>78</v>
      </c>
      <c r="F309" s="2" t="s">
        <v>81</v>
      </c>
      <c r="G309" s="2">
        <f t="shared" si="4"/>
        <v>0.28807556080283353</v>
      </c>
      <c r="H309" s="5">
        <v>4.3571428571428568</v>
      </c>
      <c r="I309" s="2">
        <v>56</v>
      </c>
      <c r="J309" s="12">
        <f>I309/Pondération!$G$18</f>
        <v>6.6115702479338845E-2</v>
      </c>
    </row>
    <row r="310" spans="1:10" x14ac:dyDescent="0.25">
      <c r="A310" s="2" t="s">
        <v>77</v>
      </c>
      <c r="B310" s="2">
        <v>2016</v>
      </c>
      <c r="C310" s="2" t="s">
        <v>20</v>
      </c>
      <c r="D310" s="2" t="s">
        <v>35</v>
      </c>
      <c r="E310" s="2" t="s">
        <v>78</v>
      </c>
      <c r="F310" s="2" t="s">
        <v>81</v>
      </c>
      <c r="G310" s="2">
        <f t="shared" si="4"/>
        <v>0.26918536009445099</v>
      </c>
      <c r="H310" s="5">
        <v>4.2222222222222223</v>
      </c>
      <c r="I310" s="2">
        <v>54</v>
      </c>
      <c r="J310" s="12">
        <f>I310/Pondération!$G$18</f>
        <v>6.3754427390791027E-2</v>
      </c>
    </row>
    <row r="311" spans="1:10" x14ac:dyDescent="0.25">
      <c r="A311" s="2" t="s">
        <v>77</v>
      </c>
      <c r="B311" s="2">
        <v>2016</v>
      </c>
      <c r="C311" s="2" t="s">
        <v>21</v>
      </c>
      <c r="D311" s="2" t="s">
        <v>35</v>
      </c>
      <c r="E311" s="2" t="s">
        <v>78</v>
      </c>
      <c r="F311" s="2" t="s">
        <v>81</v>
      </c>
      <c r="G311" s="2">
        <f t="shared" si="4"/>
        <v>0.28453364817001181</v>
      </c>
      <c r="H311" s="5">
        <v>4.1551724137931032</v>
      </c>
      <c r="I311" s="2">
        <v>58</v>
      </c>
      <c r="J311" s="12">
        <f>I311/Pondération!$G$18</f>
        <v>6.8476977567886663E-2</v>
      </c>
    </row>
    <row r="312" spans="1:10" x14ac:dyDescent="0.25">
      <c r="A312" s="2" t="s">
        <v>77</v>
      </c>
      <c r="B312" s="2">
        <v>2016</v>
      </c>
      <c r="C312" s="2" t="s">
        <v>22</v>
      </c>
      <c r="D312" s="2" t="s">
        <v>35</v>
      </c>
      <c r="E312" s="2" t="s">
        <v>78</v>
      </c>
      <c r="F312" s="2" t="s">
        <v>81</v>
      </c>
      <c r="G312" s="2">
        <f t="shared" si="4"/>
        <v>0.44332939787485248</v>
      </c>
      <c r="H312" s="5">
        <v>4.1263736263736268</v>
      </c>
      <c r="I312" s="2">
        <v>91</v>
      </c>
      <c r="J312" s="12">
        <f>I312/Pondération!$G$18</f>
        <v>0.10743801652892562</v>
      </c>
    </row>
    <row r="313" spans="1:10" x14ac:dyDescent="0.25">
      <c r="A313" s="2" t="s">
        <v>77</v>
      </c>
      <c r="B313" s="2">
        <v>2016</v>
      </c>
      <c r="C313" s="2" t="s">
        <v>23</v>
      </c>
      <c r="D313" s="2" t="s">
        <v>35</v>
      </c>
      <c r="E313" s="2" t="s">
        <v>78</v>
      </c>
      <c r="F313" s="2" t="s">
        <v>81</v>
      </c>
      <c r="G313" s="2">
        <f t="shared" si="4"/>
        <v>0.28099173553719003</v>
      </c>
      <c r="H313" s="5">
        <v>4.3272727272727272</v>
      </c>
      <c r="I313" s="2">
        <v>55</v>
      </c>
      <c r="J313" s="12">
        <f>I313/Pondération!$G$18</f>
        <v>6.4935064935064929E-2</v>
      </c>
    </row>
    <row r="314" spans="1:10" x14ac:dyDescent="0.25">
      <c r="A314" s="2" t="s">
        <v>77</v>
      </c>
      <c r="B314" s="2">
        <v>2016</v>
      </c>
      <c r="C314" s="2" t="s">
        <v>24</v>
      </c>
      <c r="D314" s="2" t="s">
        <v>35</v>
      </c>
      <c r="E314" s="2" t="s">
        <v>78</v>
      </c>
      <c r="F314" s="2" t="s">
        <v>81</v>
      </c>
      <c r="G314" s="2">
        <f t="shared" si="4"/>
        <v>0.37780401416765058</v>
      </c>
      <c r="H314" s="5">
        <v>4.3243243243243246</v>
      </c>
      <c r="I314" s="2">
        <v>74</v>
      </c>
      <c r="J314" s="12">
        <f>I314/Pondération!$G$18</f>
        <v>8.7367178276269192E-2</v>
      </c>
    </row>
    <row r="315" spans="1:10" x14ac:dyDescent="0.25">
      <c r="A315" s="2" t="s">
        <v>77</v>
      </c>
      <c r="B315" s="2">
        <v>2016</v>
      </c>
      <c r="C315" s="2" t="s">
        <v>25</v>
      </c>
      <c r="D315" s="2" t="s">
        <v>35</v>
      </c>
      <c r="E315" s="2" t="s">
        <v>78</v>
      </c>
      <c r="F315" s="2" t="s">
        <v>81</v>
      </c>
      <c r="G315" s="2">
        <f t="shared" si="4"/>
        <v>0.82880755608028334</v>
      </c>
      <c r="H315" s="5">
        <v>4.3602484472049685</v>
      </c>
      <c r="I315" s="2">
        <v>161</v>
      </c>
      <c r="J315" s="12">
        <f>I315/Pondération!$G$18</f>
        <v>0.19008264462809918</v>
      </c>
    </row>
    <row r="316" spans="1:10" x14ac:dyDescent="0.25">
      <c r="A316" s="2" t="s">
        <v>77</v>
      </c>
      <c r="B316" s="2">
        <v>2016</v>
      </c>
      <c r="C316" s="2" t="s">
        <v>26</v>
      </c>
      <c r="D316" s="2" t="s">
        <v>35</v>
      </c>
      <c r="E316" s="2" t="s">
        <v>78</v>
      </c>
      <c r="F316" s="2" t="s">
        <v>81</v>
      </c>
      <c r="G316" s="2">
        <f t="shared" si="4"/>
        <v>0.32939787485242028</v>
      </c>
      <c r="H316" s="5">
        <v>4.359375</v>
      </c>
      <c r="I316" s="2">
        <v>64</v>
      </c>
      <c r="J316" s="12">
        <f>I316/Pondération!$G$18</f>
        <v>7.5560802833530102E-2</v>
      </c>
    </row>
    <row r="317" spans="1:10" x14ac:dyDescent="0.25">
      <c r="A317" s="2" t="s">
        <v>77</v>
      </c>
      <c r="B317" s="2">
        <v>2016</v>
      </c>
      <c r="C317" s="2" t="s">
        <v>27</v>
      </c>
      <c r="D317" s="2" t="s">
        <v>35</v>
      </c>
      <c r="E317" s="2" t="s">
        <v>78</v>
      </c>
      <c r="F317" s="2" t="s">
        <v>81</v>
      </c>
      <c r="G317" s="2">
        <f t="shared" si="4"/>
        <v>0.37367178276269192</v>
      </c>
      <c r="H317" s="5">
        <v>4.2770270270270272</v>
      </c>
      <c r="I317" s="2">
        <v>74</v>
      </c>
      <c r="J317" s="12">
        <f>I317/Pondération!$G$18</f>
        <v>8.7367178276269192E-2</v>
      </c>
    </row>
    <row r="318" spans="1:10" x14ac:dyDescent="0.25">
      <c r="A318" s="2" t="s">
        <v>77</v>
      </c>
      <c r="B318" s="2">
        <v>2016</v>
      </c>
      <c r="C318" s="2" t="s">
        <v>28</v>
      </c>
      <c r="D318" s="2" t="s">
        <v>35</v>
      </c>
      <c r="E318" s="2" t="s">
        <v>78</v>
      </c>
      <c r="F318" s="2" t="s">
        <v>81</v>
      </c>
      <c r="G318" s="2">
        <f t="shared" si="4"/>
        <v>0.40850059031877217</v>
      </c>
      <c r="H318" s="5">
        <v>4.2716049382716053</v>
      </c>
      <c r="I318" s="2">
        <v>81</v>
      </c>
      <c r="J318" s="12">
        <f>I318/Pondération!$G$18</f>
        <v>9.5631641086186547E-2</v>
      </c>
    </row>
    <row r="319" spans="1:10" x14ac:dyDescent="0.25">
      <c r="A319" s="2" t="s">
        <v>77</v>
      </c>
      <c r="B319" s="2">
        <v>2016</v>
      </c>
      <c r="C319" s="2" t="s">
        <v>29</v>
      </c>
      <c r="D319" s="2" t="s">
        <v>35</v>
      </c>
      <c r="E319" s="2" t="s">
        <v>78</v>
      </c>
      <c r="F319" s="2" t="s">
        <v>81</v>
      </c>
      <c r="G319" s="2">
        <f t="shared" si="4"/>
        <v>0.2384887839433294</v>
      </c>
      <c r="H319" s="5">
        <v>4.2978723404255321</v>
      </c>
      <c r="I319" s="2">
        <v>47</v>
      </c>
      <c r="J319" s="12">
        <f>I319/Pondération!$G$18</f>
        <v>5.5489964580873671E-2</v>
      </c>
    </row>
    <row r="320" spans="1:10" x14ac:dyDescent="0.25">
      <c r="A320" s="2" t="s">
        <v>77</v>
      </c>
      <c r="B320" s="2">
        <v>2017</v>
      </c>
      <c r="C320" s="2" t="s">
        <v>30</v>
      </c>
      <c r="D320" s="2" t="s">
        <v>35</v>
      </c>
      <c r="E320" s="2" t="s">
        <v>78</v>
      </c>
      <c r="F320" s="2" t="s">
        <v>81</v>
      </c>
      <c r="G320" s="2">
        <f t="shared" si="4"/>
        <v>0.54697986577181212</v>
      </c>
      <c r="H320" s="5">
        <v>4.2894736842105265</v>
      </c>
      <c r="I320" s="2">
        <v>57</v>
      </c>
      <c r="J320" s="12">
        <f>I320/Pondération!$F$18</f>
        <v>0.12751677852348994</v>
      </c>
    </row>
    <row r="321" spans="1:10" x14ac:dyDescent="0.25">
      <c r="A321" s="2" t="s">
        <v>77</v>
      </c>
      <c r="B321" s="2">
        <v>2017</v>
      </c>
      <c r="C321" s="2" t="s">
        <v>31</v>
      </c>
      <c r="D321" s="2" t="s">
        <v>35</v>
      </c>
      <c r="E321" s="2" t="s">
        <v>78</v>
      </c>
      <c r="F321" s="2" t="s">
        <v>81</v>
      </c>
      <c r="G321" s="2">
        <f t="shared" si="4"/>
        <v>0.76621923937360181</v>
      </c>
      <c r="H321" s="5">
        <v>4.3354430379746836</v>
      </c>
      <c r="I321" s="2">
        <v>79</v>
      </c>
      <c r="J321" s="12">
        <f>I321/Pondération!$F$18</f>
        <v>0.1767337807606264</v>
      </c>
    </row>
    <row r="322" spans="1:10" x14ac:dyDescent="0.25">
      <c r="A322" s="2" t="s">
        <v>77</v>
      </c>
      <c r="B322" s="2">
        <v>2017</v>
      </c>
      <c r="C322" s="2" t="s">
        <v>32</v>
      </c>
      <c r="D322" s="2" t="s">
        <v>35</v>
      </c>
      <c r="E322" s="2" t="s">
        <v>78</v>
      </c>
      <c r="F322" s="2" t="s">
        <v>81</v>
      </c>
      <c r="G322" s="2">
        <f t="shared" ref="G322:G385" si="5">H322*J322</f>
        <v>0.88031319910514538</v>
      </c>
      <c r="H322" s="5">
        <v>4.3241758241758239</v>
      </c>
      <c r="I322" s="2">
        <v>91</v>
      </c>
      <c r="J322" s="12">
        <f>I322/Pondération!$F$18</f>
        <v>0.20357941834451901</v>
      </c>
    </row>
    <row r="323" spans="1:10" x14ac:dyDescent="0.25">
      <c r="A323" s="2" t="s">
        <v>77</v>
      </c>
      <c r="B323" s="2">
        <v>2017</v>
      </c>
      <c r="C323" s="2" t="s">
        <v>33</v>
      </c>
      <c r="D323" s="2" t="s">
        <v>35</v>
      </c>
      <c r="E323" s="2" t="s">
        <v>78</v>
      </c>
      <c r="F323" s="2" t="s">
        <v>81</v>
      </c>
      <c r="G323" s="2">
        <f t="shared" si="5"/>
        <v>0.81096196868008952</v>
      </c>
      <c r="H323" s="5">
        <v>4.2647058823529411</v>
      </c>
      <c r="I323" s="2">
        <v>85</v>
      </c>
      <c r="J323" s="12">
        <f>I323/Pondération!$F$18</f>
        <v>0.19015659955257272</v>
      </c>
    </row>
    <row r="324" spans="1:10" x14ac:dyDescent="0.25">
      <c r="A324" s="2" t="s">
        <v>77</v>
      </c>
      <c r="B324" s="2">
        <v>2017</v>
      </c>
      <c r="C324" s="2" t="s">
        <v>34</v>
      </c>
      <c r="D324" s="2" t="s">
        <v>35</v>
      </c>
      <c r="E324" s="2" t="s">
        <v>78</v>
      </c>
      <c r="F324" s="2" t="s">
        <v>81</v>
      </c>
      <c r="G324" s="2">
        <f t="shared" si="5"/>
        <v>0.90939597315436227</v>
      </c>
      <c r="H324" s="5">
        <v>4.2789473684210524</v>
      </c>
      <c r="I324" s="2">
        <v>95</v>
      </c>
      <c r="J324" s="12">
        <f>I324/Pondération!$F$18</f>
        <v>0.21252796420581654</v>
      </c>
    </row>
    <row r="325" spans="1:10" x14ac:dyDescent="0.25">
      <c r="A325" s="2" t="s">
        <v>77</v>
      </c>
      <c r="B325" s="2">
        <v>2017</v>
      </c>
      <c r="C325" s="2" t="s">
        <v>80</v>
      </c>
      <c r="D325" s="2" t="s">
        <v>35</v>
      </c>
      <c r="E325" s="2" t="s">
        <v>78</v>
      </c>
      <c r="F325" s="2" t="s">
        <v>81</v>
      </c>
      <c r="G325" s="2">
        <f t="shared" si="5"/>
        <v>0.38814317673378079</v>
      </c>
      <c r="H325" s="5">
        <v>4.3375000000000004</v>
      </c>
      <c r="I325" s="2">
        <v>40</v>
      </c>
      <c r="J325" s="12">
        <f>I325/Pondération!$F$18</f>
        <v>8.9485458612975396E-2</v>
      </c>
    </row>
    <row r="326" spans="1:10" x14ac:dyDescent="0.25">
      <c r="A326" s="2" t="s">
        <v>77</v>
      </c>
      <c r="B326" s="2">
        <v>2013</v>
      </c>
      <c r="C326" s="2" t="s">
        <v>50</v>
      </c>
      <c r="D326" s="2" t="s">
        <v>35</v>
      </c>
      <c r="E326" s="2" t="s">
        <v>78</v>
      </c>
      <c r="F326" s="2" t="s">
        <v>83</v>
      </c>
      <c r="G326" s="2">
        <f t="shared" si="5"/>
        <v>0.265625</v>
      </c>
      <c r="H326" s="5">
        <v>4.25</v>
      </c>
      <c r="I326" s="2">
        <v>2</v>
      </c>
      <c r="J326" s="12">
        <f>I326/Pondération!$J$19</f>
        <v>6.25E-2</v>
      </c>
    </row>
    <row r="327" spans="1:10" x14ac:dyDescent="0.25">
      <c r="A327" s="2" t="s">
        <v>77</v>
      </c>
      <c r="B327" s="2">
        <v>2013</v>
      </c>
      <c r="C327" s="2" t="s">
        <v>52</v>
      </c>
      <c r="D327" s="2" t="s">
        <v>35</v>
      </c>
      <c r="E327" s="2" t="s">
        <v>78</v>
      </c>
      <c r="F327" s="2" t="s">
        <v>83</v>
      </c>
      <c r="G327" s="2">
        <f t="shared" si="5"/>
        <v>0.28125</v>
      </c>
      <c r="H327" s="5">
        <v>4.5</v>
      </c>
      <c r="I327" s="2">
        <v>2</v>
      </c>
      <c r="J327" s="12">
        <f>I327/Pondération!$J$19</f>
        <v>6.25E-2</v>
      </c>
    </row>
    <row r="328" spans="1:10" x14ac:dyDescent="0.25">
      <c r="A328" s="2" t="s">
        <v>77</v>
      </c>
      <c r="B328" s="2">
        <v>2013</v>
      </c>
      <c r="C328" s="2" t="s">
        <v>53</v>
      </c>
      <c r="D328" s="2" t="s">
        <v>35</v>
      </c>
      <c r="E328" s="2" t="s">
        <v>78</v>
      </c>
      <c r="F328" s="2" t="s">
        <v>83</v>
      </c>
      <c r="G328" s="2">
        <f t="shared" si="5"/>
        <v>0.421875</v>
      </c>
      <c r="H328" s="5">
        <v>4.5</v>
      </c>
      <c r="I328" s="2">
        <v>3</v>
      </c>
      <c r="J328" s="12">
        <f>I328/Pondération!$J$19</f>
        <v>9.375E-2</v>
      </c>
    </row>
    <row r="329" spans="1:10" x14ac:dyDescent="0.25">
      <c r="A329" s="2" t="s">
        <v>77</v>
      </c>
      <c r="B329" s="2">
        <v>2013</v>
      </c>
      <c r="C329" s="2" t="s">
        <v>54</v>
      </c>
      <c r="D329" s="2" t="s">
        <v>35</v>
      </c>
      <c r="E329" s="2" t="s">
        <v>78</v>
      </c>
      <c r="F329" s="2" t="s">
        <v>83</v>
      </c>
      <c r="G329" s="2">
        <f t="shared" si="5"/>
        <v>0.6875</v>
      </c>
      <c r="H329" s="5">
        <v>4.4000000000000004</v>
      </c>
      <c r="I329" s="2">
        <v>5</v>
      </c>
      <c r="J329" s="12">
        <f>I329/Pondération!$J$19</f>
        <v>0.15625</v>
      </c>
    </row>
    <row r="330" spans="1:10" x14ac:dyDescent="0.25">
      <c r="A330" s="2" t="s">
        <v>77</v>
      </c>
      <c r="B330" s="2">
        <v>2013</v>
      </c>
      <c r="C330" s="2" t="s">
        <v>55</v>
      </c>
      <c r="D330" s="2" t="s">
        <v>35</v>
      </c>
      <c r="E330" s="2" t="s">
        <v>78</v>
      </c>
      <c r="F330" s="2" t="s">
        <v>83</v>
      </c>
      <c r="G330" s="2">
        <f t="shared" si="5"/>
        <v>0.546875</v>
      </c>
      <c r="H330" s="5">
        <v>4.375</v>
      </c>
      <c r="I330" s="2">
        <v>4</v>
      </c>
      <c r="J330" s="12">
        <f>I330/Pondération!$J$19</f>
        <v>0.125</v>
      </c>
    </row>
    <row r="331" spans="1:10" x14ac:dyDescent="0.25">
      <c r="A331" s="2" t="s">
        <v>77</v>
      </c>
      <c r="B331" s="2">
        <v>2013</v>
      </c>
      <c r="C331" s="2" t="s">
        <v>56</v>
      </c>
      <c r="D331" s="2" t="s">
        <v>35</v>
      </c>
      <c r="E331" s="2" t="s">
        <v>78</v>
      </c>
      <c r="F331" s="2" t="s">
        <v>83</v>
      </c>
      <c r="G331" s="2">
        <f t="shared" si="5"/>
        <v>0.265625</v>
      </c>
      <c r="H331" s="5">
        <v>4.25</v>
      </c>
      <c r="I331" s="2">
        <v>2</v>
      </c>
      <c r="J331" s="12">
        <f>I331/Pondération!$J$19</f>
        <v>6.25E-2</v>
      </c>
    </row>
    <row r="332" spans="1:10" x14ac:dyDescent="0.25">
      <c r="A332" s="2" t="s">
        <v>77</v>
      </c>
      <c r="B332" s="2">
        <v>2013</v>
      </c>
      <c r="C332" s="2" t="s">
        <v>57</v>
      </c>
      <c r="D332" s="2" t="s">
        <v>35</v>
      </c>
      <c r="E332" s="2" t="s">
        <v>78</v>
      </c>
      <c r="F332" s="2" t="s">
        <v>83</v>
      </c>
      <c r="G332" s="2">
        <f t="shared" si="5"/>
        <v>0.53125</v>
      </c>
      <c r="H332" s="5">
        <v>4.25</v>
      </c>
      <c r="I332" s="2">
        <v>4</v>
      </c>
      <c r="J332" s="12">
        <f>I332/Pondération!$J$19</f>
        <v>0.125</v>
      </c>
    </row>
    <row r="333" spans="1:10" x14ac:dyDescent="0.25">
      <c r="A333" s="2" t="s">
        <v>77</v>
      </c>
      <c r="B333" s="2">
        <v>2013</v>
      </c>
      <c r="C333" s="2" t="s">
        <v>58</v>
      </c>
      <c r="D333" s="2" t="s">
        <v>35</v>
      </c>
      <c r="E333" s="2" t="s">
        <v>78</v>
      </c>
      <c r="F333" s="2" t="s">
        <v>83</v>
      </c>
      <c r="G333" s="2">
        <f t="shared" si="5"/>
        <v>0.9375</v>
      </c>
      <c r="H333" s="5">
        <v>4.2857142857142856</v>
      </c>
      <c r="I333" s="2">
        <v>7</v>
      </c>
      <c r="J333" s="12">
        <f>I333/Pondération!$J$19</f>
        <v>0.21875</v>
      </c>
    </row>
    <row r="334" spans="1:10" x14ac:dyDescent="0.25">
      <c r="A334" s="2" t="s">
        <v>77</v>
      </c>
      <c r="B334" s="2">
        <v>2013</v>
      </c>
      <c r="C334" s="2" t="s">
        <v>59</v>
      </c>
      <c r="D334" s="2" t="s">
        <v>35</v>
      </c>
      <c r="E334" s="2" t="s">
        <v>78</v>
      </c>
      <c r="F334" s="2" t="s">
        <v>83</v>
      </c>
      <c r="G334" s="2">
        <f t="shared" si="5"/>
        <v>0.40625</v>
      </c>
      <c r="H334" s="5">
        <v>4.333333333333333</v>
      </c>
      <c r="I334" s="2">
        <v>3</v>
      </c>
      <c r="J334" s="12">
        <f>I334/Pondération!$J$19</f>
        <v>9.375E-2</v>
      </c>
    </row>
    <row r="335" spans="1:10" x14ac:dyDescent="0.25">
      <c r="A335" s="2" t="s">
        <v>77</v>
      </c>
      <c r="B335" s="2">
        <v>2014</v>
      </c>
      <c r="C335" s="2" t="s">
        <v>62</v>
      </c>
      <c r="D335" s="2" t="s">
        <v>35</v>
      </c>
      <c r="E335" s="2" t="s">
        <v>78</v>
      </c>
      <c r="F335" s="2" t="s">
        <v>83</v>
      </c>
      <c r="G335" s="2">
        <f t="shared" si="5"/>
        <v>5.1724137931034482E-2</v>
      </c>
      <c r="H335" s="5">
        <v>4.5</v>
      </c>
      <c r="I335" s="2">
        <v>1</v>
      </c>
      <c r="J335" s="12">
        <f>I335/Pondération!$I$19</f>
        <v>1.1494252873563218E-2</v>
      </c>
    </row>
    <row r="336" spans="1:10" x14ac:dyDescent="0.25">
      <c r="A336" s="2" t="s">
        <v>77</v>
      </c>
      <c r="B336" s="2">
        <v>2014</v>
      </c>
      <c r="C336" s="2" t="s">
        <v>63</v>
      </c>
      <c r="D336" s="2" t="s">
        <v>35</v>
      </c>
      <c r="E336" s="2" t="s">
        <v>78</v>
      </c>
      <c r="F336" s="2" t="s">
        <v>83</v>
      </c>
      <c r="G336" s="2">
        <f t="shared" si="5"/>
        <v>0.20689655172413793</v>
      </c>
      <c r="H336" s="5">
        <v>4.5</v>
      </c>
      <c r="I336" s="2">
        <v>4</v>
      </c>
      <c r="J336" s="12">
        <f>I336/Pondération!$I$19</f>
        <v>4.5977011494252873E-2</v>
      </c>
    </row>
    <row r="337" spans="1:10" x14ac:dyDescent="0.25">
      <c r="A337" s="2" t="s">
        <v>77</v>
      </c>
      <c r="B337" s="2">
        <v>2014</v>
      </c>
      <c r="C337" s="2" t="s">
        <v>64</v>
      </c>
      <c r="D337" s="2" t="s">
        <v>35</v>
      </c>
      <c r="E337" s="2" t="s">
        <v>78</v>
      </c>
      <c r="F337" s="2" t="s">
        <v>83</v>
      </c>
      <c r="G337" s="2">
        <f t="shared" si="5"/>
        <v>5.1724137931034482E-2</v>
      </c>
      <c r="H337" s="5">
        <v>4.5</v>
      </c>
      <c r="I337" s="2">
        <v>1</v>
      </c>
      <c r="J337" s="12">
        <f>I337/Pondération!$I$19</f>
        <v>1.1494252873563218E-2</v>
      </c>
    </row>
    <row r="338" spans="1:10" x14ac:dyDescent="0.25">
      <c r="A338" s="2" t="s">
        <v>77</v>
      </c>
      <c r="B338" s="2">
        <v>2014</v>
      </c>
      <c r="C338" s="2" t="s">
        <v>65</v>
      </c>
      <c r="D338" s="2" t="s">
        <v>35</v>
      </c>
      <c r="E338" s="2" t="s">
        <v>78</v>
      </c>
      <c r="F338" s="2" t="s">
        <v>83</v>
      </c>
      <c r="G338" s="2">
        <f t="shared" si="5"/>
        <v>0.25862068965517243</v>
      </c>
      <c r="H338" s="5">
        <v>4.5</v>
      </c>
      <c r="I338" s="2">
        <v>5</v>
      </c>
      <c r="J338" s="12">
        <f>I338/Pondération!$I$19</f>
        <v>5.7471264367816091E-2</v>
      </c>
    </row>
    <row r="339" spans="1:10" x14ac:dyDescent="0.25">
      <c r="A339" s="2" t="s">
        <v>77</v>
      </c>
      <c r="B339" s="2">
        <v>2014</v>
      </c>
      <c r="C339" s="2" t="s">
        <v>66</v>
      </c>
      <c r="D339" s="2" t="s">
        <v>35</v>
      </c>
      <c r="E339" s="2" t="s">
        <v>78</v>
      </c>
      <c r="F339" s="2" t="s">
        <v>83</v>
      </c>
      <c r="G339" s="2">
        <f t="shared" si="5"/>
        <v>0.2413793103448276</v>
      </c>
      <c r="H339" s="5">
        <v>4.2</v>
      </c>
      <c r="I339" s="2">
        <v>5</v>
      </c>
      <c r="J339" s="12">
        <f>I339/Pondération!$I$19</f>
        <v>5.7471264367816091E-2</v>
      </c>
    </row>
    <row r="340" spans="1:10" x14ac:dyDescent="0.25">
      <c r="A340" s="2" t="s">
        <v>77</v>
      </c>
      <c r="B340" s="2">
        <v>2014</v>
      </c>
      <c r="C340" s="2" t="s">
        <v>67</v>
      </c>
      <c r="D340" s="2" t="s">
        <v>35</v>
      </c>
      <c r="E340" s="2" t="s">
        <v>78</v>
      </c>
      <c r="F340" s="2" t="s">
        <v>83</v>
      </c>
      <c r="G340" s="2">
        <f t="shared" si="5"/>
        <v>0.2413793103448276</v>
      </c>
      <c r="H340" s="5">
        <v>4.2</v>
      </c>
      <c r="I340" s="2">
        <v>5</v>
      </c>
      <c r="J340" s="12">
        <f>I340/Pondération!$I$19</f>
        <v>5.7471264367816091E-2</v>
      </c>
    </row>
    <row r="341" spans="1:10" x14ac:dyDescent="0.25">
      <c r="A341" s="2" t="s">
        <v>77</v>
      </c>
      <c r="B341" s="2">
        <v>2014</v>
      </c>
      <c r="C341" s="2" t="s">
        <v>68</v>
      </c>
      <c r="D341" s="2" t="s">
        <v>35</v>
      </c>
      <c r="E341" s="2" t="s">
        <v>78</v>
      </c>
      <c r="F341" s="2" t="s">
        <v>83</v>
      </c>
      <c r="G341" s="2">
        <f t="shared" si="5"/>
        <v>0.68390804597701149</v>
      </c>
      <c r="H341" s="5">
        <v>4.25</v>
      </c>
      <c r="I341" s="2">
        <v>14</v>
      </c>
      <c r="J341" s="12">
        <f>I341/Pondération!$I$19</f>
        <v>0.16091954022988506</v>
      </c>
    </row>
    <row r="342" spans="1:10" x14ac:dyDescent="0.25">
      <c r="A342" s="2" t="s">
        <v>77</v>
      </c>
      <c r="B342" s="2">
        <v>2014</v>
      </c>
      <c r="C342" s="2" t="s">
        <v>69</v>
      </c>
      <c r="D342" s="2" t="s">
        <v>35</v>
      </c>
      <c r="E342" s="2" t="s">
        <v>78</v>
      </c>
      <c r="F342" s="2" t="s">
        <v>83</v>
      </c>
      <c r="G342" s="2">
        <f t="shared" si="5"/>
        <v>0.4885057471264368</v>
      </c>
      <c r="H342" s="5">
        <v>4.25</v>
      </c>
      <c r="I342" s="2">
        <v>10</v>
      </c>
      <c r="J342" s="12">
        <f>I342/Pondération!$I$19</f>
        <v>0.11494252873563218</v>
      </c>
    </row>
    <row r="343" spans="1:10" x14ac:dyDescent="0.25">
      <c r="A343" s="2" t="s">
        <v>77</v>
      </c>
      <c r="B343" s="2">
        <v>2014</v>
      </c>
      <c r="C343" s="2" t="s">
        <v>70</v>
      </c>
      <c r="D343" s="2" t="s">
        <v>35</v>
      </c>
      <c r="E343" s="2" t="s">
        <v>78</v>
      </c>
      <c r="F343" s="2" t="s">
        <v>83</v>
      </c>
      <c r="G343" s="2">
        <f t="shared" si="5"/>
        <v>0.82758620689655171</v>
      </c>
      <c r="H343" s="5">
        <v>4.5</v>
      </c>
      <c r="I343" s="2">
        <v>16</v>
      </c>
      <c r="J343" s="12">
        <f>I343/Pondération!$I$19</f>
        <v>0.18390804597701149</v>
      </c>
    </row>
    <row r="344" spans="1:10" x14ac:dyDescent="0.25">
      <c r="A344" s="2" t="s">
        <v>77</v>
      </c>
      <c r="B344" s="2">
        <v>2014</v>
      </c>
      <c r="C344" s="2" t="s">
        <v>71</v>
      </c>
      <c r="D344" s="2" t="s">
        <v>35</v>
      </c>
      <c r="E344" s="2" t="s">
        <v>78</v>
      </c>
      <c r="F344" s="2" t="s">
        <v>83</v>
      </c>
      <c r="G344" s="2">
        <f t="shared" si="5"/>
        <v>0.68390804597701149</v>
      </c>
      <c r="H344" s="5">
        <v>4.25</v>
      </c>
      <c r="I344" s="2">
        <v>14</v>
      </c>
      <c r="J344" s="12">
        <f>I344/Pondération!$I$19</f>
        <v>0.16091954022988506</v>
      </c>
    </row>
    <row r="345" spans="1:10" x14ac:dyDescent="0.25">
      <c r="A345" s="2" t="s">
        <v>77</v>
      </c>
      <c r="B345" s="2">
        <v>2014</v>
      </c>
      <c r="C345" s="2" t="s">
        <v>72</v>
      </c>
      <c r="D345" s="2" t="s">
        <v>35</v>
      </c>
      <c r="E345" s="2" t="s">
        <v>78</v>
      </c>
      <c r="F345" s="2" t="s">
        <v>83</v>
      </c>
      <c r="G345" s="2">
        <f t="shared" si="5"/>
        <v>0.58045977011494243</v>
      </c>
      <c r="H345" s="5">
        <v>4.208333333333333</v>
      </c>
      <c r="I345" s="2">
        <v>12</v>
      </c>
      <c r="J345" s="12">
        <f>I345/Pondération!$I$19</f>
        <v>0.13793103448275862</v>
      </c>
    </row>
    <row r="346" spans="1:10" x14ac:dyDescent="0.25">
      <c r="A346" s="2" t="s">
        <v>77</v>
      </c>
      <c r="B346" s="2">
        <v>2015</v>
      </c>
      <c r="C346" s="2" t="s">
        <v>73</v>
      </c>
      <c r="D346" s="2" t="s">
        <v>35</v>
      </c>
      <c r="E346" s="2" t="s">
        <v>78</v>
      </c>
      <c r="F346" s="2" t="s">
        <v>83</v>
      </c>
      <c r="G346" s="2">
        <f t="shared" si="5"/>
        <v>0.10966542750929369</v>
      </c>
      <c r="H346" s="5">
        <v>4.2142857142857144</v>
      </c>
      <c r="I346" s="2">
        <v>7</v>
      </c>
      <c r="J346" s="12">
        <f>I346/Pondération!$H$19</f>
        <v>2.6022304832713755E-2</v>
      </c>
    </row>
    <row r="347" spans="1:10" x14ac:dyDescent="0.25">
      <c r="A347" s="2" t="s">
        <v>77</v>
      </c>
      <c r="B347" s="2">
        <v>2015</v>
      </c>
      <c r="C347" s="2" t="s">
        <v>74</v>
      </c>
      <c r="D347" s="2" t="s">
        <v>35</v>
      </c>
      <c r="E347" s="2" t="s">
        <v>78</v>
      </c>
      <c r="F347" s="2" t="s">
        <v>83</v>
      </c>
      <c r="G347" s="2">
        <f t="shared" si="5"/>
        <v>0.20260223048327139</v>
      </c>
      <c r="H347" s="5">
        <v>4.541666666666667</v>
      </c>
      <c r="I347" s="2">
        <v>12</v>
      </c>
      <c r="J347" s="12">
        <f>I347/Pondération!$H$19</f>
        <v>4.4609665427509292E-2</v>
      </c>
    </row>
    <row r="348" spans="1:10" x14ac:dyDescent="0.25">
      <c r="A348" s="2" t="s">
        <v>77</v>
      </c>
      <c r="B348" s="2">
        <v>2015</v>
      </c>
      <c r="C348" s="2" t="s">
        <v>75</v>
      </c>
      <c r="D348" s="2" t="s">
        <v>35</v>
      </c>
      <c r="E348" s="2" t="s">
        <v>78</v>
      </c>
      <c r="F348" s="2" t="s">
        <v>83</v>
      </c>
      <c r="G348" s="2">
        <f t="shared" si="5"/>
        <v>0.14498141263940517</v>
      </c>
      <c r="H348" s="5">
        <v>4.333333333333333</v>
      </c>
      <c r="I348" s="2">
        <v>9</v>
      </c>
      <c r="J348" s="12">
        <f>I348/Pondération!$H$19</f>
        <v>3.3457249070631967E-2</v>
      </c>
    </row>
    <row r="349" spans="1:10" x14ac:dyDescent="0.25">
      <c r="A349" s="2" t="s">
        <v>77</v>
      </c>
      <c r="B349" s="2">
        <v>2015</v>
      </c>
      <c r="C349" s="2" t="s">
        <v>76</v>
      </c>
      <c r="D349" s="2" t="s">
        <v>35</v>
      </c>
      <c r="E349" s="2" t="s">
        <v>78</v>
      </c>
      <c r="F349" s="2" t="s">
        <v>83</v>
      </c>
      <c r="G349" s="2">
        <f t="shared" si="5"/>
        <v>0.21933085501858737</v>
      </c>
      <c r="H349" s="5">
        <v>4.2142857142857144</v>
      </c>
      <c r="I349" s="2">
        <v>14</v>
      </c>
      <c r="J349" s="12">
        <f>I349/Pondération!$H$19</f>
        <v>5.204460966542751E-2</v>
      </c>
    </row>
    <row r="350" spans="1:10" x14ac:dyDescent="0.25">
      <c r="A350" s="2" t="s">
        <v>77</v>
      </c>
      <c r="B350" s="2">
        <v>2015</v>
      </c>
      <c r="C350" s="2" t="s">
        <v>7</v>
      </c>
      <c r="D350" s="2" t="s">
        <v>35</v>
      </c>
      <c r="E350" s="2" t="s">
        <v>78</v>
      </c>
      <c r="F350" s="2" t="s">
        <v>83</v>
      </c>
      <c r="G350" s="2">
        <f t="shared" si="5"/>
        <v>0.42193308550185871</v>
      </c>
      <c r="H350" s="5">
        <v>4.365384615384615</v>
      </c>
      <c r="I350" s="2">
        <v>26</v>
      </c>
      <c r="J350" s="12">
        <f>I350/Pondération!$H$19</f>
        <v>9.6654275092936809E-2</v>
      </c>
    </row>
    <row r="351" spans="1:10" x14ac:dyDescent="0.25">
      <c r="A351" s="2" t="s">
        <v>77</v>
      </c>
      <c r="B351" s="2">
        <v>2015</v>
      </c>
      <c r="C351" s="2" t="s">
        <v>11</v>
      </c>
      <c r="D351" s="2" t="s">
        <v>35</v>
      </c>
      <c r="E351" s="2" t="s">
        <v>78</v>
      </c>
      <c r="F351" s="2" t="s">
        <v>83</v>
      </c>
      <c r="G351" s="2">
        <f t="shared" si="5"/>
        <v>0.1895910780669145</v>
      </c>
      <c r="H351" s="5">
        <v>4.25</v>
      </c>
      <c r="I351" s="2">
        <v>12</v>
      </c>
      <c r="J351" s="12">
        <f>I351/Pondération!$H$19</f>
        <v>4.4609665427509292E-2</v>
      </c>
    </row>
    <row r="352" spans="1:10" x14ac:dyDescent="0.25">
      <c r="A352" s="2" t="s">
        <v>77</v>
      </c>
      <c r="B352" s="2">
        <v>2015</v>
      </c>
      <c r="C352" s="2" t="s">
        <v>12</v>
      </c>
      <c r="D352" s="2" t="s">
        <v>35</v>
      </c>
      <c r="E352" s="2" t="s">
        <v>78</v>
      </c>
      <c r="F352" s="2" t="s">
        <v>83</v>
      </c>
      <c r="G352" s="2">
        <f t="shared" si="5"/>
        <v>0.44795539033457255</v>
      </c>
      <c r="H352" s="5">
        <v>4.3035714285714288</v>
      </c>
      <c r="I352" s="2">
        <v>28</v>
      </c>
      <c r="J352" s="12">
        <f>I352/Pondération!$H$19</f>
        <v>0.10408921933085502</v>
      </c>
    </row>
    <row r="353" spans="1:10" x14ac:dyDescent="0.25">
      <c r="A353" s="2" t="s">
        <v>77</v>
      </c>
      <c r="B353" s="2">
        <v>2015</v>
      </c>
      <c r="C353" s="2" t="s">
        <v>13</v>
      </c>
      <c r="D353" s="2" t="s">
        <v>35</v>
      </c>
      <c r="E353" s="2" t="s">
        <v>78</v>
      </c>
      <c r="F353" s="2" t="s">
        <v>83</v>
      </c>
      <c r="G353" s="2">
        <f t="shared" si="5"/>
        <v>0.75278810408921937</v>
      </c>
      <c r="H353" s="5">
        <v>4.3085106382978724</v>
      </c>
      <c r="I353" s="2">
        <v>47</v>
      </c>
      <c r="J353" s="12">
        <f>I353/Pondération!$H$19</f>
        <v>0.17472118959107807</v>
      </c>
    </row>
    <row r="354" spans="1:10" x14ac:dyDescent="0.25">
      <c r="A354" s="2" t="s">
        <v>77</v>
      </c>
      <c r="B354" s="2">
        <v>2015</v>
      </c>
      <c r="C354" s="2" t="s">
        <v>14</v>
      </c>
      <c r="D354" s="2" t="s">
        <v>35</v>
      </c>
      <c r="E354" s="2" t="s">
        <v>78</v>
      </c>
      <c r="F354" s="2" t="s">
        <v>83</v>
      </c>
      <c r="G354" s="2">
        <f t="shared" si="5"/>
        <v>0.63011152416356875</v>
      </c>
      <c r="H354" s="5">
        <v>4.3461538461538458</v>
      </c>
      <c r="I354" s="2">
        <v>39</v>
      </c>
      <c r="J354" s="12">
        <f>I354/Pondération!$H$19</f>
        <v>0.1449814126394052</v>
      </c>
    </row>
    <row r="355" spans="1:10" x14ac:dyDescent="0.25">
      <c r="A355" s="2" t="s">
        <v>77</v>
      </c>
      <c r="B355" s="2">
        <v>2015</v>
      </c>
      <c r="C355" s="2" t="s">
        <v>15</v>
      </c>
      <c r="D355" s="2" t="s">
        <v>35</v>
      </c>
      <c r="E355" s="2" t="s">
        <v>78</v>
      </c>
      <c r="F355" s="2" t="s">
        <v>83</v>
      </c>
      <c r="G355" s="2">
        <f t="shared" si="5"/>
        <v>0.51672862453531598</v>
      </c>
      <c r="H355" s="5">
        <v>4.34375</v>
      </c>
      <c r="I355" s="2">
        <v>32</v>
      </c>
      <c r="J355" s="12">
        <f>I355/Pondération!$H$19</f>
        <v>0.11895910780669144</v>
      </c>
    </row>
    <row r="356" spans="1:10" x14ac:dyDescent="0.25">
      <c r="A356" s="2" t="s">
        <v>77</v>
      </c>
      <c r="B356" s="2">
        <v>2015</v>
      </c>
      <c r="C356" s="2" t="s">
        <v>16</v>
      </c>
      <c r="D356" s="2" t="s">
        <v>35</v>
      </c>
      <c r="E356" s="2" t="s">
        <v>78</v>
      </c>
      <c r="F356" s="2" t="s">
        <v>83</v>
      </c>
      <c r="G356" s="2">
        <f t="shared" si="5"/>
        <v>0.2342007434944238</v>
      </c>
      <c r="H356" s="5">
        <v>4.2</v>
      </c>
      <c r="I356" s="2">
        <v>15</v>
      </c>
      <c r="J356" s="12">
        <f>I356/Pondération!$H$19</f>
        <v>5.5762081784386616E-2</v>
      </c>
    </row>
    <row r="357" spans="1:10" x14ac:dyDescent="0.25">
      <c r="A357" s="2" t="s">
        <v>77</v>
      </c>
      <c r="B357" s="2">
        <v>2015</v>
      </c>
      <c r="C357" s="2" t="s">
        <v>17</v>
      </c>
      <c r="D357" s="2" t="s">
        <v>35</v>
      </c>
      <c r="E357" s="2" t="s">
        <v>78</v>
      </c>
      <c r="F357" s="2" t="s">
        <v>83</v>
      </c>
      <c r="G357" s="2">
        <f t="shared" si="5"/>
        <v>0.45353159851301111</v>
      </c>
      <c r="H357" s="5">
        <v>4.3571428571428568</v>
      </c>
      <c r="I357" s="2">
        <v>28</v>
      </c>
      <c r="J357" s="12">
        <f>I357/Pondération!$H$19</f>
        <v>0.10408921933085502</v>
      </c>
    </row>
    <row r="358" spans="1:10" x14ac:dyDescent="0.25">
      <c r="A358" s="2" t="s">
        <v>77</v>
      </c>
      <c r="B358" s="2">
        <v>2016</v>
      </c>
      <c r="C358" s="2" t="s">
        <v>18</v>
      </c>
      <c r="D358" s="2" t="s">
        <v>35</v>
      </c>
      <c r="E358" s="2" t="s">
        <v>78</v>
      </c>
      <c r="F358" s="2" t="s">
        <v>83</v>
      </c>
      <c r="G358" s="2">
        <f t="shared" si="5"/>
        <v>0.21043478260869564</v>
      </c>
      <c r="H358" s="5">
        <v>4.3214285714285712</v>
      </c>
      <c r="I358" s="2">
        <v>28</v>
      </c>
      <c r="J358" s="12">
        <f>I358/Pondération!$G$19</f>
        <v>4.8695652173913043E-2</v>
      </c>
    </row>
    <row r="359" spans="1:10" x14ac:dyDescent="0.25">
      <c r="A359" s="2" t="s">
        <v>77</v>
      </c>
      <c r="B359" s="2">
        <v>2016</v>
      </c>
      <c r="C359" s="2" t="s">
        <v>19</v>
      </c>
      <c r="D359" s="2" t="s">
        <v>35</v>
      </c>
      <c r="E359" s="2" t="s">
        <v>78</v>
      </c>
      <c r="F359" s="2" t="s">
        <v>83</v>
      </c>
      <c r="G359" s="2">
        <f t="shared" si="5"/>
        <v>0.27217391304347827</v>
      </c>
      <c r="H359" s="5">
        <v>4.3472222222222223</v>
      </c>
      <c r="I359" s="2">
        <v>36</v>
      </c>
      <c r="J359" s="12">
        <f>I359/Pondération!$G$19</f>
        <v>6.2608695652173918E-2</v>
      </c>
    </row>
    <row r="360" spans="1:10" x14ac:dyDescent="0.25">
      <c r="A360" s="2" t="s">
        <v>77</v>
      </c>
      <c r="B360" s="2">
        <v>2016</v>
      </c>
      <c r="C360" s="2" t="s">
        <v>20</v>
      </c>
      <c r="D360" s="2" t="s">
        <v>35</v>
      </c>
      <c r="E360" s="2" t="s">
        <v>78</v>
      </c>
      <c r="F360" s="2" t="s">
        <v>83</v>
      </c>
      <c r="G360" s="2">
        <f t="shared" si="5"/>
        <v>0.29913043478260876</v>
      </c>
      <c r="H360" s="5">
        <v>4.4102564102564106</v>
      </c>
      <c r="I360" s="2">
        <v>39</v>
      </c>
      <c r="J360" s="12">
        <f>I360/Pondération!$G$19</f>
        <v>6.7826086956521744E-2</v>
      </c>
    </row>
    <row r="361" spans="1:10" x14ac:dyDescent="0.25">
      <c r="A361" s="2" t="s">
        <v>77</v>
      </c>
      <c r="B361" s="2">
        <v>2016</v>
      </c>
      <c r="C361" s="2" t="s">
        <v>21</v>
      </c>
      <c r="D361" s="2" t="s">
        <v>35</v>
      </c>
      <c r="E361" s="2" t="s">
        <v>78</v>
      </c>
      <c r="F361" s="2" t="s">
        <v>83</v>
      </c>
      <c r="G361" s="2">
        <f t="shared" si="5"/>
        <v>0.33304347826086955</v>
      </c>
      <c r="H361" s="5">
        <v>4.1630434782608692</v>
      </c>
      <c r="I361" s="2">
        <v>46</v>
      </c>
      <c r="J361" s="12">
        <f>I361/Pondération!$G$19</f>
        <v>0.08</v>
      </c>
    </row>
    <row r="362" spans="1:10" x14ac:dyDescent="0.25">
      <c r="A362" s="2" t="s">
        <v>77</v>
      </c>
      <c r="B362" s="2">
        <v>2016</v>
      </c>
      <c r="C362" s="2" t="s">
        <v>22</v>
      </c>
      <c r="D362" s="2" t="s">
        <v>35</v>
      </c>
      <c r="E362" s="2" t="s">
        <v>78</v>
      </c>
      <c r="F362" s="2" t="s">
        <v>83</v>
      </c>
      <c r="G362" s="2">
        <f t="shared" si="5"/>
        <v>0.32000000000000006</v>
      </c>
      <c r="H362" s="5">
        <v>4.3809523809523814</v>
      </c>
      <c r="I362" s="2">
        <v>42</v>
      </c>
      <c r="J362" s="12">
        <f>I362/Pondération!$G$19</f>
        <v>7.3043478260869571E-2</v>
      </c>
    </row>
    <row r="363" spans="1:10" x14ac:dyDescent="0.25">
      <c r="A363" s="2" t="s">
        <v>77</v>
      </c>
      <c r="B363" s="2">
        <v>2016</v>
      </c>
      <c r="C363" s="2" t="s">
        <v>23</v>
      </c>
      <c r="D363" s="2" t="s">
        <v>35</v>
      </c>
      <c r="E363" s="2" t="s">
        <v>78</v>
      </c>
      <c r="F363" s="2" t="s">
        <v>83</v>
      </c>
      <c r="G363" s="2">
        <f t="shared" si="5"/>
        <v>0.26521739130434779</v>
      </c>
      <c r="H363" s="5">
        <v>4.3571428571428568</v>
      </c>
      <c r="I363" s="2">
        <v>35</v>
      </c>
      <c r="J363" s="12">
        <f>I363/Pondération!$G$19</f>
        <v>6.0869565217391307E-2</v>
      </c>
    </row>
    <row r="364" spans="1:10" x14ac:dyDescent="0.25">
      <c r="A364" s="2" t="s">
        <v>77</v>
      </c>
      <c r="B364" s="2">
        <v>2016</v>
      </c>
      <c r="C364" s="2" t="s">
        <v>24</v>
      </c>
      <c r="D364" s="2" t="s">
        <v>35</v>
      </c>
      <c r="E364" s="2" t="s">
        <v>78</v>
      </c>
      <c r="F364" s="2" t="s">
        <v>83</v>
      </c>
      <c r="G364" s="2">
        <f t="shared" si="5"/>
        <v>0.46608695652173909</v>
      </c>
      <c r="H364" s="5">
        <v>4.32258064516129</v>
      </c>
      <c r="I364" s="2">
        <v>62</v>
      </c>
      <c r="J364" s="12">
        <f>I364/Pondération!$G$19</f>
        <v>0.10782608695652174</v>
      </c>
    </row>
    <row r="365" spans="1:10" x14ac:dyDescent="0.25">
      <c r="A365" s="2" t="s">
        <v>77</v>
      </c>
      <c r="B365" s="2">
        <v>2016</v>
      </c>
      <c r="C365" s="2" t="s">
        <v>25</v>
      </c>
      <c r="D365" s="2" t="s">
        <v>35</v>
      </c>
      <c r="E365" s="2" t="s">
        <v>78</v>
      </c>
      <c r="F365" s="2" t="s">
        <v>83</v>
      </c>
      <c r="G365" s="2">
        <f t="shared" si="5"/>
        <v>0.63652173913043475</v>
      </c>
      <c r="H365" s="5">
        <v>4.3571428571428568</v>
      </c>
      <c r="I365" s="2">
        <v>84</v>
      </c>
      <c r="J365" s="12">
        <f>I365/Pondération!$G$19</f>
        <v>0.14608695652173914</v>
      </c>
    </row>
    <row r="366" spans="1:10" x14ac:dyDescent="0.25">
      <c r="A366" s="2" t="s">
        <v>77</v>
      </c>
      <c r="B366" s="2">
        <v>2016</v>
      </c>
      <c r="C366" s="2" t="s">
        <v>26</v>
      </c>
      <c r="D366" s="2" t="s">
        <v>35</v>
      </c>
      <c r="E366" s="2" t="s">
        <v>78</v>
      </c>
      <c r="F366" s="2" t="s">
        <v>83</v>
      </c>
      <c r="G366" s="2">
        <f t="shared" si="5"/>
        <v>0.5086956521739131</v>
      </c>
      <c r="H366" s="5">
        <v>4.3656716417910451</v>
      </c>
      <c r="I366" s="2">
        <v>67</v>
      </c>
      <c r="J366" s="12">
        <f>I366/Pondération!$G$19</f>
        <v>0.11652173913043479</v>
      </c>
    </row>
    <row r="367" spans="1:10" x14ac:dyDescent="0.25">
      <c r="A367" s="2" t="s">
        <v>77</v>
      </c>
      <c r="B367" s="2">
        <v>2016</v>
      </c>
      <c r="C367" s="2" t="s">
        <v>27</v>
      </c>
      <c r="D367" s="2" t="s">
        <v>35</v>
      </c>
      <c r="E367" s="2" t="s">
        <v>78</v>
      </c>
      <c r="F367" s="2" t="s">
        <v>83</v>
      </c>
      <c r="G367" s="2">
        <f t="shared" si="5"/>
        <v>0.37391304347826088</v>
      </c>
      <c r="H367" s="5">
        <v>4.3877551020408161</v>
      </c>
      <c r="I367" s="2">
        <v>49</v>
      </c>
      <c r="J367" s="12">
        <f>I367/Pondération!$G$19</f>
        <v>8.5217391304347828E-2</v>
      </c>
    </row>
    <row r="368" spans="1:10" x14ac:dyDescent="0.25">
      <c r="A368" s="2" t="s">
        <v>77</v>
      </c>
      <c r="B368" s="2">
        <v>2016</v>
      </c>
      <c r="C368" s="2" t="s">
        <v>28</v>
      </c>
      <c r="D368" s="2" t="s">
        <v>35</v>
      </c>
      <c r="E368" s="2" t="s">
        <v>78</v>
      </c>
      <c r="F368" s="2" t="s">
        <v>83</v>
      </c>
      <c r="G368" s="2">
        <f t="shared" si="5"/>
        <v>0.38260869565217392</v>
      </c>
      <c r="H368" s="5">
        <v>4.4000000000000004</v>
      </c>
      <c r="I368" s="2">
        <v>50</v>
      </c>
      <c r="J368" s="12">
        <f>I368/Pondération!$G$19</f>
        <v>8.6956521739130432E-2</v>
      </c>
    </row>
    <row r="369" spans="1:10" x14ac:dyDescent="0.25">
      <c r="A369" s="2" t="s">
        <v>77</v>
      </c>
      <c r="B369" s="2">
        <v>2016</v>
      </c>
      <c r="C369" s="2" t="s">
        <v>29</v>
      </c>
      <c r="D369" s="2" t="s">
        <v>35</v>
      </c>
      <c r="E369" s="2" t="s">
        <v>78</v>
      </c>
      <c r="F369" s="2" t="s">
        <v>83</v>
      </c>
      <c r="G369" s="2">
        <f t="shared" si="5"/>
        <v>0.27565217391304353</v>
      </c>
      <c r="H369" s="5">
        <v>4.2837837837837842</v>
      </c>
      <c r="I369" s="2">
        <v>37</v>
      </c>
      <c r="J369" s="12">
        <f>I369/Pondération!$G$19</f>
        <v>6.4347826086956522E-2</v>
      </c>
    </row>
    <row r="370" spans="1:10" x14ac:dyDescent="0.25">
      <c r="A370" s="2" t="s">
        <v>77</v>
      </c>
      <c r="B370" s="2">
        <v>2017</v>
      </c>
      <c r="C370" s="2" t="s">
        <v>30</v>
      </c>
      <c r="D370" s="2" t="s">
        <v>35</v>
      </c>
      <c r="E370" s="2" t="s">
        <v>78</v>
      </c>
      <c r="F370" s="2" t="s">
        <v>83</v>
      </c>
      <c r="G370" s="2">
        <f t="shared" si="5"/>
        <v>0.64102564102564108</v>
      </c>
      <c r="H370" s="5">
        <v>4.4117647058823533</v>
      </c>
      <c r="I370" s="2">
        <v>34</v>
      </c>
      <c r="J370" s="12">
        <f>I370/Pondération!$F$19</f>
        <v>0.14529914529914531</v>
      </c>
    </row>
    <row r="371" spans="1:10" x14ac:dyDescent="0.25">
      <c r="A371" s="2" t="s">
        <v>77</v>
      </c>
      <c r="B371" s="2">
        <v>2017</v>
      </c>
      <c r="C371" s="2" t="s">
        <v>31</v>
      </c>
      <c r="D371" s="2" t="s">
        <v>35</v>
      </c>
      <c r="E371" s="2" t="s">
        <v>78</v>
      </c>
      <c r="F371" s="2" t="s">
        <v>83</v>
      </c>
      <c r="G371" s="2">
        <f t="shared" si="5"/>
        <v>0.77136752136752129</v>
      </c>
      <c r="H371" s="5">
        <v>4.4024390243902438</v>
      </c>
      <c r="I371" s="2">
        <v>41</v>
      </c>
      <c r="J371" s="12">
        <f>I371/Pondération!$F$19</f>
        <v>0.1752136752136752</v>
      </c>
    </row>
    <row r="372" spans="1:10" x14ac:dyDescent="0.25">
      <c r="A372" s="2" t="s">
        <v>77</v>
      </c>
      <c r="B372" s="2">
        <v>2017</v>
      </c>
      <c r="C372" s="2" t="s">
        <v>32</v>
      </c>
      <c r="D372" s="2" t="s">
        <v>35</v>
      </c>
      <c r="E372" s="2" t="s">
        <v>78</v>
      </c>
      <c r="F372" s="2" t="s">
        <v>83</v>
      </c>
      <c r="G372" s="2">
        <f t="shared" si="5"/>
        <v>0.75641025641025639</v>
      </c>
      <c r="H372" s="5">
        <v>4.2142857142857144</v>
      </c>
      <c r="I372" s="2">
        <v>42</v>
      </c>
      <c r="J372" s="12">
        <f>I372/Pondération!$F$19</f>
        <v>0.17948717948717949</v>
      </c>
    </row>
    <row r="373" spans="1:10" x14ac:dyDescent="0.25">
      <c r="A373" s="2" t="s">
        <v>77</v>
      </c>
      <c r="B373" s="2">
        <v>2017</v>
      </c>
      <c r="C373" s="2" t="s">
        <v>33</v>
      </c>
      <c r="D373" s="2" t="s">
        <v>35</v>
      </c>
      <c r="E373" s="2" t="s">
        <v>78</v>
      </c>
      <c r="F373" s="2" t="s">
        <v>83</v>
      </c>
      <c r="G373" s="2">
        <f t="shared" si="5"/>
        <v>0.96794871794871795</v>
      </c>
      <c r="H373" s="5">
        <v>4.3557692307692308</v>
      </c>
      <c r="I373" s="2">
        <v>52</v>
      </c>
      <c r="J373" s="12">
        <f>I373/Pondération!$F$19</f>
        <v>0.22222222222222221</v>
      </c>
    </row>
    <row r="374" spans="1:10" x14ac:dyDescent="0.25">
      <c r="A374" s="2" t="s">
        <v>77</v>
      </c>
      <c r="B374" s="2">
        <v>2017</v>
      </c>
      <c r="C374" s="2" t="s">
        <v>34</v>
      </c>
      <c r="D374" s="2" t="s">
        <v>35</v>
      </c>
      <c r="E374" s="2" t="s">
        <v>78</v>
      </c>
      <c r="F374" s="2" t="s">
        <v>83</v>
      </c>
      <c r="G374" s="2">
        <f t="shared" si="5"/>
        <v>0.90170940170940161</v>
      </c>
      <c r="H374" s="5">
        <v>4.395833333333333</v>
      </c>
      <c r="I374" s="2">
        <v>48</v>
      </c>
      <c r="J374" s="12">
        <f>I374/Pondération!$F$19</f>
        <v>0.20512820512820512</v>
      </c>
    </row>
    <row r="375" spans="1:10" x14ac:dyDescent="0.25">
      <c r="A375" s="2" t="s">
        <v>77</v>
      </c>
      <c r="B375" s="2">
        <v>2017</v>
      </c>
      <c r="C375" s="2" t="s">
        <v>80</v>
      </c>
      <c r="D375" s="2" t="s">
        <v>35</v>
      </c>
      <c r="E375" s="2" t="s">
        <v>78</v>
      </c>
      <c r="F375" s="2" t="s">
        <v>83</v>
      </c>
      <c r="G375" s="2">
        <f t="shared" si="5"/>
        <v>0.32051282051282054</v>
      </c>
      <c r="H375" s="5">
        <v>4.4117647058823533</v>
      </c>
      <c r="I375" s="2">
        <v>17</v>
      </c>
      <c r="J375" s="12">
        <f>I375/Pondération!$F$19</f>
        <v>7.2649572649572655E-2</v>
      </c>
    </row>
    <row r="376" spans="1:10" x14ac:dyDescent="0.25">
      <c r="A376" s="2" t="s">
        <v>77</v>
      </c>
      <c r="B376" s="2">
        <v>2013</v>
      </c>
      <c r="C376" s="2" t="s">
        <v>54</v>
      </c>
      <c r="D376" s="2" t="s">
        <v>35</v>
      </c>
      <c r="E376" s="2" t="s">
        <v>78</v>
      </c>
      <c r="F376" s="2" t="s">
        <v>84</v>
      </c>
      <c r="G376" s="2">
        <f t="shared" si="5"/>
        <v>1</v>
      </c>
      <c r="H376" s="5">
        <v>4.5</v>
      </c>
      <c r="I376" s="2">
        <v>2</v>
      </c>
      <c r="J376" s="12">
        <f>I376/Pondération!$J$20</f>
        <v>0.22222222222222221</v>
      </c>
    </row>
    <row r="377" spans="1:10" x14ac:dyDescent="0.25">
      <c r="A377" s="2" t="s">
        <v>77</v>
      </c>
      <c r="B377" s="2">
        <v>2013</v>
      </c>
      <c r="C377" s="2" t="s">
        <v>56</v>
      </c>
      <c r="D377" s="2" t="s">
        <v>35</v>
      </c>
      <c r="E377" s="2" t="s">
        <v>78</v>
      </c>
      <c r="F377" s="2" t="s">
        <v>84</v>
      </c>
      <c r="G377" s="2">
        <f t="shared" si="5"/>
        <v>1</v>
      </c>
      <c r="H377" s="5">
        <v>4.5</v>
      </c>
      <c r="I377" s="2">
        <v>2</v>
      </c>
      <c r="J377" s="12">
        <f>I377/Pondération!$J$20</f>
        <v>0.22222222222222221</v>
      </c>
    </row>
    <row r="378" spans="1:10" x14ac:dyDescent="0.25">
      <c r="A378" s="2" t="s">
        <v>77</v>
      </c>
      <c r="B378" s="2">
        <v>2013</v>
      </c>
      <c r="C378" s="2" t="s">
        <v>57</v>
      </c>
      <c r="D378" s="2" t="s">
        <v>35</v>
      </c>
      <c r="E378" s="2" t="s">
        <v>78</v>
      </c>
      <c r="F378" s="2" t="s">
        <v>84</v>
      </c>
      <c r="G378" s="2">
        <f t="shared" si="5"/>
        <v>1.0555555555555556</v>
      </c>
      <c r="H378" s="5">
        <v>4.75</v>
      </c>
      <c r="I378" s="2">
        <v>2</v>
      </c>
      <c r="J378" s="12">
        <f>I378/Pondération!$J$20</f>
        <v>0.22222222222222221</v>
      </c>
    </row>
    <row r="379" spans="1:10" x14ac:dyDescent="0.25">
      <c r="A379" s="2" t="s">
        <v>77</v>
      </c>
      <c r="B379" s="2">
        <v>2013</v>
      </c>
      <c r="C379" s="2" t="s">
        <v>59</v>
      </c>
      <c r="D379" s="2" t="s">
        <v>35</v>
      </c>
      <c r="E379" s="2" t="s">
        <v>78</v>
      </c>
      <c r="F379" s="2" t="s">
        <v>84</v>
      </c>
      <c r="G379" s="2">
        <f t="shared" si="5"/>
        <v>1</v>
      </c>
      <c r="H379" s="5">
        <v>4.5</v>
      </c>
      <c r="I379" s="2">
        <v>2</v>
      </c>
      <c r="J379" s="12">
        <f>I379/Pondération!$J$20</f>
        <v>0.22222222222222221</v>
      </c>
    </row>
    <row r="380" spans="1:10" x14ac:dyDescent="0.25">
      <c r="A380" s="2" t="s">
        <v>77</v>
      </c>
      <c r="B380" s="2">
        <v>2013</v>
      </c>
      <c r="C380" s="2" t="s">
        <v>60</v>
      </c>
      <c r="D380" s="2" t="s">
        <v>35</v>
      </c>
      <c r="E380" s="2" t="s">
        <v>78</v>
      </c>
      <c r="F380" s="2" t="s">
        <v>84</v>
      </c>
      <c r="G380" s="2">
        <f t="shared" si="5"/>
        <v>0.55555555555555558</v>
      </c>
      <c r="H380" s="5">
        <v>5</v>
      </c>
      <c r="I380" s="2">
        <v>1</v>
      </c>
      <c r="J380" s="12">
        <f>I380/Pondération!$J$20</f>
        <v>0.1111111111111111</v>
      </c>
    </row>
    <row r="381" spans="1:10" x14ac:dyDescent="0.25">
      <c r="A381" s="2" t="s">
        <v>77</v>
      </c>
      <c r="B381" s="2">
        <v>2014</v>
      </c>
      <c r="C381" s="2" t="s">
        <v>61</v>
      </c>
      <c r="D381" s="2" t="s">
        <v>35</v>
      </c>
      <c r="E381" s="2" t="s">
        <v>78</v>
      </c>
      <c r="F381" s="2" t="s">
        <v>84</v>
      </c>
      <c r="G381" s="2">
        <f t="shared" si="5"/>
        <v>0.76666666666666661</v>
      </c>
      <c r="H381" s="5">
        <v>4.5999999999999996</v>
      </c>
      <c r="I381" s="2">
        <v>5</v>
      </c>
      <c r="J381" s="12">
        <f>I381/Pondération!$I$20</f>
        <v>0.16666666666666666</v>
      </c>
    </row>
    <row r="382" spans="1:10" x14ac:dyDescent="0.25">
      <c r="A382" s="2" t="s">
        <v>77</v>
      </c>
      <c r="B382" s="2">
        <v>2014</v>
      </c>
      <c r="C382" s="2" t="s">
        <v>63</v>
      </c>
      <c r="D382" s="2" t="s">
        <v>35</v>
      </c>
      <c r="E382" s="2" t="s">
        <v>78</v>
      </c>
      <c r="F382" s="2" t="s">
        <v>84</v>
      </c>
      <c r="G382" s="2">
        <f t="shared" si="5"/>
        <v>0.6</v>
      </c>
      <c r="H382" s="5">
        <v>4.5</v>
      </c>
      <c r="I382" s="2">
        <v>4</v>
      </c>
      <c r="J382" s="12">
        <f>I382/Pondération!$I$20</f>
        <v>0.13333333333333333</v>
      </c>
    </row>
    <row r="383" spans="1:10" x14ac:dyDescent="0.25">
      <c r="A383" s="2" t="s">
        <v>77</v>
      </c>
      <c r="B383" s="2">
        <v>2014</v>
      </c>
      <c r="C383" s="2" t="s">
        <v>65</v>
      </c>
      <c r="D383" s="2" t="s">
        <v>35</v>
      </c>
      <c r="E383" s="2" t="s">
        <v>78</v>
      </c>
      <c r="F383" s="2" t="s">
        <v>84</v>
      </c>
      <c r="G383" s="2">
        <f t="shared" si="5"/>
        <v>0.6</v>
      </c>
      <c r="H383" s="5">
        <v>4.5</v>
      </c>
      <c r="I383" s="2">
        <v>4</v>
      </c>
      <c r="J383" s="12">
        <f>I383/Pondération!$I$20</f>
        <v>0.13333333333333333</v>
      </c>
    </row>
    <row r="384" spans="1:10" x14ac:dyDescent="0.25">
      <c r="A384" s="2" t="s">
        <v>77</v>
      </c>
      <c r="B384" s="2">
        <v>2014</v>
      </c>
      <c r="C384" s="2" t="s">
        <v>66</v>
      </c>
      <c r="D384" s="2" t="s">
        <v>35</v>
      </c>
      <c r="E384" s="2" t="s">
        <v>78</v>
      </c>
      <c r="F384" s="2" t="s">
        <v>84</v>
      </c>
      <c r="G384" s="2">
        <f t="shared" si="5"/>
        <v>0.16666666666666666</v>
      </c>
      <c r="H384" s="5">
        <v>5</v>
      </c>
      <c r="I384" s="2">
        <v>1</v>
      </c>
      <c r="J384" s="12">
        <f>I384/Pondération!$I$20</f>
        <v>3.3333333333333333E-2</v>
      </c>
    </row>
    <row r="385" spans="1:10" x14ac:dyDescent="0.25">
      <c r="A385" s="2" t="s">
        <v>77</v>
      </c>
      <c r="B385" s="2">
        <v>2014</v>
      </c>
      <c r="C385" s="2" t="s">
        <v>67</v>
      </c>
      <c r="D385" s="2" t="s">
        <v>35</v>
      </c>
      <c r="E385" s="2" t="s">
        <v>78</v>
      </c>
      <c r="F385" s="2" t="s">
        <v>84</v>
      </c>
      <c r="G385" s="2">
        <f t="shared" si="5"/>
        <v>0.46666666666666673</v>
      </c>
      <c r="H385" s="5">
        <v>4.666666666666667</v>
      </c>
      <c r="I385" s="2">
        <v>3</v>
      </c>
      <c r="J385" s="12">
        <f>I385/Pondération!$I$20</f>
        <v>0.1</v>
      </c>
    </row>
    <row r="386" spans="1:10" x14ac:dyDescent="0.25">
      <c r="A386" s="2" t="s">
        <v>77</v>
      </c>
      <c r="B386" s="2">
        <v>2014</v>
      </c>
      <c r="C386" s="2" t="s">
        <v>68</v>
      </c>
      <c r="D386" s="2" t="s">
        <v>35</v>
      </c>
      <c r="E386" s="2" t="s">
        <v>78</v>
      </c>
      <c r="F386" s="2" t="s">
        <v>84</v>
      </c>
      <c r="G386" s="2">
        <f t="shared" ref="G386:G449" si="6">H386*J386</f>
        <v>0.3</v>
      </c>
      <c r="H386" s="5">
        <v>4.5</v>
      </c>
      <c r="I386" s="2">
        <v>2</v>
      </c>
      <c r="J386" s="12">
        <f>I386/Pondération!$I$20</f>
        <v>6.6666666666666666E-2</v>
      </c>
    </row>
    <row r="387" spans="1:10" x14ac:dyDescent="0.25">
      <c r="A387" s="2" t="s">
        <v>77</v>
      </c>
      <c r="B387" s="2">
        <v>2014</v>
      </c>
      <c r="C387" s="2" t="s">
        <v>69</v>
      </c>
      <c r="D387" s="2" t="s">
        <v>35</v>
      </c>
      <c r="E387" s="2" t="s">
        <v>78</v>
      </c>
      <c r="F387" s="2" t="s">
        <v>84</v>
      </c>
      <c r="G387" s="2">
        <f t="shared" si="6"/>
        <v>0.45</v>
      </c>
      <c r="H387" s="5">
        <v>4.5</v>
      </c>
      <c r="I387" s="2">
        <v>3</v>
      </c>
      <c r="J387" s="12">
        <f>I387/Pondération!$I$20</f>
        <v>0.1</v>
      </c>
    </row>
    <row r="388" spans="1:10" x14ac:dyDescent="0.25">
      <c r="A388" s="2" t="s">
        <v>77</v>
      </c>
      <c r="B388" s="2">
        <v>2014</v>
      </c>
      <c r="C388" s="2" t="s">
        <v>70</v>
      </c>
      <c r="D388" s="2" t="s">
        <v>35</v>
      </c>
      <c r="E388" s="2" t="s">
        <v>78</v>
      </c>
      <c r="F388" s="2" t="s">
        <v>84</v>
      </c>
      <c r="G388" s="2">
        <f t="shared" si="6"/>
        <v>0.15</v>
      </c>
      <c r="H388" s="5">
        <v>4.5</v>
      </c>
      <c r="I388" s="2">
        <v>1</v>
      </c>
      <c r="J388" s="12">
        <f>I388/Pondération!$I$20</f>
        <v>3.3333333333333333E-2</v>
      </c>
    </row>
    <row r="389" spans="1:10" x14ac:dyDescent="0.25">
      <c r="A389" s="2" t="s">
        <v>77</v>
      </c>
      <c r="B389" s="2">
        <v>2014</v>
      </c>
      <c r="C389" s="2" t="s">
        <v>71</v>
      </c>
      <c r="D389" s="2" t="s">
        <v>35</v>
      </c>
      <c r="E389" s="2" t="s">
        <v>78</v>
      </c>
      <c r="F389" s="2" t="s">
        <v>84</v>
      </c>
      <c r="G389" s="2">
        <f t="shared" si="6"/>
        <v>0.46666666666666673</v>
      </c>
      <c r="H389" s="5">
        <v>4.666666666666667</v>
      </c>
      <c r="I389" s="2">
        <v>3</v>
      </c>
      <c r="J389" s="12">
        <f>I389/Pondération!$I$20</f>
        <v>0.1</v>
      </c>
    </row>
    <row r="390" spans="1:10" x14ac:dyDescent="0.25">
      <c r="A390" s="2" t="s">
        <v>77</v>
      </c>
      <c r="B390" s="2">
        <v>2014</v>
      </c>
      <c r="C390" s="2" t="s">
        <v>72</v>
      </c>
      <c r="D390" s="2" t="s">
        <v>35</v>
      </c>
      <c r="E390" s="2" t="s">
        <v>78</v>
      </c>
      <c r="F390" s="2" t="s">
        <v>84</v>
      </c>
      <c r="G390" s="2">
        <f t="shared" si="6"/>
        <v>0.6</v>
      </c>
      <c r="H390" s="5">
        <v>4.5</v>
      </c>
      <c r="I390" s="2">
        <v>4</v>
      </c>
      <c r="J390" s="12">
        <f>I390/Pondération!$I$20</f>
        <v>0.13333333333333333</v>
      </c>
    </row>
    <row r="391" spans="1:10" x14ac:dyDescent="0.25">
      <c r="A391" s="2" t="s">
        <v>77</v>
      </c>
      <c r="B391" s="2">
        <v>2015</v>
      </c>
      <c r="C391" s="2" t="s">
        <v>73</v>
      </c>
      <c r="D391" s="2" t="s">
        <v>35</v>
      </c>
      <c r="E391" s="2" t="s">
        <v>78</v>
      </c>
      <c r="F391" s="2" t="s">
        <v>84</v>
      </c>
      <c r="G391" s="2">
        <f t="shared" si="6"/>
        <v>0.22131147540983606</v>
      </c>
      <c r="H391" s="5">
        <v>4.5</v>
      </c>
      <c r="I391" s="2">
        <v>6</v>
      </c>
      <c r="J391" s="12">
        <f>I391/Pondération!$H$20</f>
        <v>4.9180327868852458E-2</v>
      </c>
    </row>
    <row r="392" spans="1:10" x14ac:dyDescent="0.25">
      <c r="A392" s="2" t="s">
        <v>77</v>
      </c>
      <c r="B392" s="2">
        <v>2015</v>
      </c>
      <c r="C392" s="2" t="s">
        <v>74</v>
      </c>
      <c r="D392" s="2" t="s">
        <v>35</v>
      </c>
      <c r="E392" s="2" t="s">
        <v>78</v>
      </c>
      <c r="F392" s="2" t="s">
        <v>84</v>
      </c>
      <c r="G392" s="2">
        <f t="shared" si="6"/>
        <v>0.22131147540983606</v>
      </c>
      <c r="H392" s="5">
        <v>4.5</v>
      </c>
      <c r="I392" s="2">
        <v>6</v>
      </c>
      <c r="J392" s="12">
        <f>I392/Pondération!$H$20</f>
        <v>4.9180327868852458E-2</v>
      </c>
    </row>
    <row r="393" spans="1:10" x14ac:dyDescent="0.25">
      <c r="A393" s="2" t="s">
        <v>77</v>
      </c>
      <c r="B393" s="2">
        <v>2015</v>
      </c>
      <c r="C393" s="2" t="s">
        <v>75</v>
      </c>
      <c r="D393" s="2" t="s">
        <v>35</v>
      </c>
      <c r="E393" s="2" t="s">
        <v>78</v>
      </c>
      <c r="F393" s="2" t="s">
        <v>84</v>
      </c>
      <c r="G393" s="2">
        <f t="shared" si="6"/>
        <v>0.22131147540983606</v>
      </c>
      <c r="H393" s="5">
        <v>4.5</v>
      </c>
      <c r="I393" s="2">
        <v>6</v>
      </c>
      <c r="J393" s="12">
        <f>I393/Pondération!$H$20</f>
        <v>4.9180327868852458E-2</v>
      </c>
    </row>
    <row r="394" spans="1:10" x14ac:dyDescent="0.25">
      <c r="A394" s="2" t="s">
        <v>77</v>
      </c>
      <c r="B394" s="2">
        <v>2015</v>
      </c>
      <c r="C394" s="2" t="s">
        <v>76</v>
      </c>
      <c r="D394" s="2" t="s">
        <v>35</v>
      </c>
      <c r="E394" s="2" t="s">
        <v>78</v>
      </c>
      <c r="F394" s="2" t="s">
        <v>84</v>
      </c>
      <c r="G394" s="2">
        <f t="shared" si="6"/>
        <v>0.25409836065573771</v>
      </c>
      <c r="H394" s="5">
        <v>4.4285714285714288</v>
      </c>
      <c r="I394" s="2">
        <v>7</v>
      </c>
      <c r="J394" s="12">
        <f>I394/Pondération!$H$20</f>
        <v>5.737704918032787E-2</v>
      </c>
    </row>
    <row r="395" spans="1:10" x14ac:dyDescent="0.25">
      <c r="A395" s="2" t="s">
        <v>77</v>
      </c>
      <c r="B395" s="2">
        <v>2015</v>
      </c>
      <c r="C395" s="2" t="s">
        <v>7</v>
      </c>
      <c r="D395" s="2" t="s">
        <v>35</v>
      </c>
      <c r="E395" s="2" t="s">
        <v>78</v>
      </c>
      <c r="F395" s="2" t="s">
        <v>84</v>
      </c>
      <c r="G395" s="2">
        <f t="shared" si="6"/>
        <v>0.29098360655737704</v>
      </c>
      <c r="H395" s="5">
        <v>4.4375</v>
      </c>
      <c r="I395" s="2">
        <v>8</v>
      </c>
      <c r="J395" s="12">
        <f>I395/Pondération!$H$20</f>
        <v>6.5573770491803282E-2</v>
      </c>
    </row>
    <row r="396" spans="1:10" x14ac:dyDescent="0.25">
      <c r="A396" s="2" t="s">
        <v>77</v>
      </c>
      <c r="B396" s="2">
        <v>2015</v>
      </c>
      <c r="C396" s="2" t="s">
        <v>11</v>
      </c>
      <c r="D396" s="2" t="s">
        <v>35</v>
      </c>
      <c r="E396" s="2" t="s">
        <v>78</v>
      </c>
      <c r="F396" s="2" t="s">
        <v>84</v>
      </c>
      <c r="G396" s="2">
        <f t="shared" si="6"/>
        <v>0.25819672131147542</v>
      </c>
      <c r="H396" s="5">
        <v>4.5</v>
      </c>
      <c r="I396" s="2">
        <v>7</v>
      </c>
      <c r="J396" s="12">
        <f>I396/Pondération!$H$20</f>
        <v>5.737704918032787E-2</v>
      </c>
    </row>
    <row r="397" spans="1:10" x14ac:dyDescent="0.25">
      <c r="A397" s="2" t="s">
        <v>77</v>
      </c>
      <c r="B397" s="2">
        <v>2015</v>
      </c>
      <c r="C397" s="2" t="s">
        <v>12</v>
      </c>
      <c r="D397" s="2" t="s">
        <v>35</v>
      </c>
      <c r="E397" s="2" t="s">
        <v>78</v>
      </c>
      <c r="F397" s="2" t="s">
        <v>84</v>
      </c>
      <c r="G397" s="2">
        <f t="shared" si="6"/>
        <v>0.54508196721311475</v>
      </c>
      <c r="H397" s="5">
        <v>4.4333333333333336</v>
      </c>
      <c r="I397" s="2">
        <v>15</v>
      </c>
      <c r="J397" s="12">
        <f>I397/Pondération!$H$20</f>
        <v>0.12295081967213115</v>
      </c>
    </row>
    <row r="398" spans="1:10" x14ac:dyDescent="0.25">
      <c r="A398" s="2" t="s">
        <v>77</v>
      </c>
      <c r="B398" s="2">
        <v>2015</v>
      </c>
      <c r="C398" s="2" t="s">
        <v>13</v>
      </c>
      <c r="D398" s="2" t="s">
        <v>35</v>
      </c>
      <c r="E398" s="2" t="s">
        <v>78</v>
      </c>
      <c r="F398" s="2" t="s">
        <v>84</v>
      </c>
      <c r="G398" s="2">
        <f t="shared" si="6"/>
        <v>0.58606557377049184</v>
      </c>
      <c r="H398" s="5">
        <v>4.46875</v>
      </c>
      <c r="I398" s="2">
        <v>16</v>
      </c>
      <c r="J398" s="12">
        <f>I398/Pondération!$H$20</f>
        <v>0.13114754098360656</v>
      </c>
    </row>
    <row r="399" spans="1:10" x14ac:dyDescent="0.25">
      <c r="A399" s="2" t="s">
        <v>77</v>
      </c>
      <c r="B399" s="2">
        <v>2015</v>
      </c>
      <c r="C399" s="2" t="s">
        <v>14</v>
      </c>
      <c r="D399" s="2" t="s">
        <v>35</v>
      </c>
      <c r="E399" s="2" t="s">
        <v>78</v>
      </c>
      <c r="F399" s="2" t="s">
        <v>84</v>
      </c>
      <c r="G399" s="2">
        <f t="shared" si="6"/>
        <v>0.69672131147540983</v>
      </c>
      <c r="H399" s="5">
        <v>4.4736842105263159</v>
      </c>
      <c r="I399" s="2">
        <v>19</v>
      </c>
      <c r="J399" s="12">
        <f>I399/Pondération!$H$20</f>
        <v>0.15573770491803279</v>
      </c>
    </row>
    <row r="400" spans="1:10" x14ac:dyDescent="0.25">
      <c r="A400" s="2" t="s">
        <v>77</v>
      </c>
      <c r="B400" s="2">
        <v>2015</v>
      </c>
      <c r="C400" s="2" t="s">
        <v>15</v>
      </c>
      <c r="D400" s="2" t="s">
        <v>35</v>
      </c>
      <c r="E400" s="2" t="s">
        <v>78</v>
      </c>
      <c r="F400" s="2" t="s">
        <v>84</v>
      </c>
      <c r="G400" s="2">
        <f t="shared" si="6"/>
        <v>0.51639344262295084</v>
      </c>
      <c r="H400" s="5">
        <v>4.5</v>
      </c>
      <c r="I400" s="2">
        <v>14</v>
      </c>
      <c r="J400" s="12">
        <f>I400/Pondération!$H$20</f>
        <v>0.11475409836065574</v>
      </c>
    </row>
    <row r="401" spans="1:10" x14ac:dyDescent="0.25">
      <c r="A401" s="2" t="s">
        <v>77</v>
      </c>
      <c r="B401" s="2">
        <v>2015</v>
      </c>
      <c r="C401" s="2" t="s">
        <v>16</v>
      </c>
      <c r="D401" s="2" t="s">
        <v>35</v>
      </c>
      <c r="E401" s="2" t="s">
        <v>78</v>
      </c>
      <c r="F401" s="2" t="s">
        <v>84</v>
      </c>
      <c r="G401" s="2">
        <f t="shared" si="6"/>
        <v>0.31967213114754095</v>
      </c>
      <c r="H401" s="5">
        <v>4.333333333333333</v>
      </c>
      <c r="I401" s="2">
        <v>9</v>
      </c>
      <c r="J401" s="12">
        <f>I401/Pondération!$H$20</f>
        <v>7.3770491803278687E-2</v>
      </c>
    </row>
    <row r="402" spans="1:10" x14ac:dyDescent="0.25">
      <c r="A402" s="2" t="s">
        <v>77</v>
      </c>
      <c r="B402" s="2">
        <v>2015</v>
      </c>
      <c r="C402" s="2" t="s">
        <v>17</v>
      </c>
      <c r="D402" s="2" t="s">
        <v>35</v>
      </c>
      <c r="E402" s="2" t="s">
        <v>78</v>
      </c>
      <c r="F402" s="2" t="s">
        <v>84</v>
      </c>
      <c r="G402" s="2">
        <f t="shared" si="6"/>
        <v>0.32786885245901642</v>
      </c>
      <c r="H402" s="5">
        <v>4.4444444444444446</v>
      </c>
      <c r="I402" s="2">
        <v>9</v>
      </c>
      <c r="J402" s="12">
        <f>I402/Pondération!$H$20</f>
        <v>7.3770491803278687E-2</v>
      </c>
    </row>
    <row r="403" spans="1:10" x14ac:dyDescent="0.25">
      <c r="A403" s="2" t="s">
        <v>77</v>
      </c>
      <c r="B403" s="2">
        <v>2016</v>
      </c>
      <c r="C403" s="2" t="s">
        <v>18</v>
      </c>
      <c r="D403" s="2" t="s">
        <v>35</v>
      </c>
      <c r="E403" s="2" t="s">
        <v>78</v>
      </c>
      <c r="F403" s="2" t="s">
        <v>84</v>
      </c>
      <c r="G403" s="2">
        <f t="shared" si="6"/>
        <v>0.3595505617977528</v>
      </c>
      <c r="H403" s="5">
        <v>4.2666666666666666</v>
      </c>
      <c r="I403" s="2">
        <v>15</v>
      </c>
      <c r="J403" s="12">
        <f>I403/Pondération!$G$20</f>
        <v>8.4269662921348312E-2</v>
      </c>
    </row>
    <row r="404" spans="1:10" x14ac:dyDescent="0.25">
      <c r="A404" s="2" t="s">
        <v>77</v>
      </c>
      <c r="B404" s="2">
        <v>2016</v>
      </c>
      <c r="C404" s="2" t="s">
        <v>19</v>
      </c>
      <c r="D404" s="2" t="s">
        <v>35</v>
      </c>
      <c r="E404" s="2" t="s">
        <v>78</v>
      </c>
      <c r="F404" s="2" t="s">
        <v>84</v>
      </c>
      <c r="G404" s="2">
        <f t="shared" si="6"/>
        <v>0.47752808988764045</v>
      </c>
      <c r="H404" s="5">
        <v>4.7222222222222223</v>
      </c>
      <c r="I404" s="2">
        <v>18</v>
      </c>
      <c r="J404" s="12">
        <f>I404/Pondération!$G$20</f>
        <v>0.10112359550561797</v>
      </c>
    </row>
    <row r="405" spans="1:10" x14ac:dyDescent="0.25">
      <c r="A405" s="2" t="s">
        <v>77</v>
      </c>
      <c r="B405" s="2">
        <v>2016</v>
      </c>
      <c r="C405" s="2" t="s">
        <v>20</v>
      </c>
      <c r="D405" s="2" t="s">
        <v>35</v>
      </c>
      <c r="E405" s="2" t="s">
        <v>78</v>
      </c>
      <c r="F405" s="2" t="s">
        <v>84</v>
      </c>
      <c r="G405" s="2">
        <f t="shared" si="6"/>
        <v>0.4101123595505618</v>
      </c>
      <c r="H405" s="5">
        <v>4.5625</v>
      </c>
      <c r="I405" s="2">
        <v>16</v>
      </c>
      <c r="J405" s="12">
        <f>I405/Pondération!$G$20</f>
        <v>8.98876404494382E-2</v>
      </c>
    </row>
    <row r="406" spans="1:10" x14ac:dyDescent="0.25">
      <c r="A406" s="2" t="s">
        <v>77</v>
      </c>
      <c r="B406" s="2">
        <v>2016</v>
      </c>
      <c r="C406" s="2" t="s">
        <v>21</v>
      </c>
      <c r="D406" s="2" t="s">
        <v>35</v>
      </c>
      <c r="E406" s="2" t="s">
        <v>78</v>
      </c>
      <c r="F406" s="2" t="s">
        <v>84</v>
      </c>
      <c r="G406" s="2">
        <f t="shared" si="6"/>
        <v>0.25561797752808985</v>
      </c>
      <c r="H406" s="5">
        <v>4.55</v>
      </c>
      <c r="I406" s="2">
        <v>10</v>
      </c>
      <c r="J406" s="12">
        <f>I406/Pondération!$G$20</f>
        <v>5.6179775280898875E-2</v>
      </c>
    </row>
    <row r="407" spans="1:10" x14ac:dyDescent="0.25">
      <c r="A407" s="2" t="s">
        <v>77</v>
      </c>
      <c r="B407" s="2">
        <v>2016</v>
      </c>
      <c r="C407" s="2" t="s">
        <v>22</v>
      </c>
      <c r="D407" s="2" t="s">
        <v>35</v>
      </c>
      <c r="E407" s="2" t="s">
        <v>78</v>
      </c>
      <c r="F407" s="2" t="s">
        <v>84</v>
      </c>
      <c r="G407" s="2">
        <f t="shared" si="6"/>
        <v>0.5842696629213483</v>
      </c>
      <c r="H407" s="5">
        <v>4.5217391304347823</v>
      </c>
      <c r="I407" s="2">
        <v>23</v>
      </c>
      <c r="J407" s="12">
        <f>I407/Pondération!$G$20</f>
        <v>0.12921348314606743</v>
      </c>
    </row>
    <row r="408" spans="1:10" x14ac:dyDescent="0.25">
      <c r="A408" s="2" t="s">
        <v>77</v>
      </c>
      <c r="B408" s="2">
        <v>2016</v>
      </c>
      <c r="C408" s="2" t="s">
        <v>23</v>
      </c>
      <c r="D408" s="2" t="s">
        <v>35</v>
      </c>
      <c r="E408" s="2" t="s">
        <v>78</v>
      </c>
      <c r="F408" s="2" t="s">
        <v>84</v>
      </c>
      <c r="G408" s="2">
        <f t="shared" si="6"/>
        <v>0.26685393258426965</v>
      </c>
      <c r="H408" s="5">
        <v>4.3181818181818183</v>
      </c>
      <c r="I408" s="2">
        <v>11</v>
      </c>
      <c r="J408" s="12">
        <f>I408/Pondération!$G$20</f>
        <v>6.1797752808988762E-2</v>
      </c>
    </row>
    <row r="409" spans="1:10" x14ac:dyDescent="0.25">
      <c r="A409" s="2" t="s">
        <v>77</v>
      </c>
      <c r="B409" s="2">
        <v>2016</v>
      </c>
      <c r="C409" s="2" t="s">
        <v>24</v>
      </c>
      <c r="D409" s="2" t="s">
        <v>35</v>
      </c>
      <c r="E409" s="2" t="s">
        <v>78</v>
      </c>
      <c r="F409" s="2" t="s">
        <v>84</v>
      </c>
      <c r="G409" s="2">
        <f t="shared" si="6"/>
        <v>0.27528089887640445</v>
      </c>
      <c r="H409" s="5">
        <v>4.4545454545454541</v>
      </c>
      <c r="I409" s="2">
        <v>11</v>
      </c>
      <c r="J409" s="12">
        <f>I409/Pondération!$G$20</f>
        <v>6.1797752808988762E-2</v>
      </c>
    </row>
    <row r="410" spans="1:10" x14ac:dyDescent="0.25">
      <c r="A410" s="2" t="s">
        <v>77</v>
      </c>
      <c r="B410" s="2">
        <v>2016</v>
      </c>
      <c r="C410" s="2" t="s">
        <v>25</v>
      </c>
      <c r="D410" s="2" t="s">
        <v>35</v>
      </c>
      <c r="E410" s="2" t="s">
        <v>78</v>
      </c>
      <c r="F410" s="2" t="s">
        <v>84</v>
      </c>
      <c r="G410" s="2">
        <f t="shared" si="6"/>
        <v>0.33146067415730335</v>
      </c>
      <c r="H410" s="5">
        <v>4.5384615384615383</v>
      </c>
      <c r="I410" s="2">
        <v>13</v>
      </c>
      <c r="J410" s="12">
        <f>I410/Pondération!$G$20</f>
        <v>7.3033707865168537E-2</v>
      </c>
    </row>
    <row r="411" spans="1:10" x14ac:dyDescent="0.25">
      <c r="A411" s="2" t="s">
        <v>77</v>
      </c>
      <c r="B411" s="2">
        <v>2016</v>
      </c>
      <c r="C411" s="2" t="s">
        <v>26</v>
      </c>
      <c r="D411" s="2" t="s">
        <v>35</v>
      </c>
      <c r="E411" s="2" t="s">
        <v>78</v>
      </c>
      <c r="F411" s="2" t="s">
        <v>84</v>
      </c>
      <c r="G411" s="2">
        <f t="shared" si="6"/>
        <v>0.54494382022471899</v>
      </c>
      <c r="H411" s="5">
        <v>4.6190476190476186</v>
      </c>
      <c r="I411" s="2">
        <v>21</v>
      </c>
      <c r="J411" s="12">
        <f>I411/Pondération!$G$20</f>
        <v>0.11797752808988764</v>
      </c>
    </row>
    <row r="412" spans="1:10" x14ac:dyDescent="0.25">
      <c r="A412" s="2" t="s">
        <v>77</v>
      </c>
      <c r="B412" s="2">
        <v>2016</v>
      </c>
      <c r="C412" s="2" t="s">
        <v>27</v>
      </c>
      <c r="D412" s="2" t="s">
        <v>35</v>
      </c>
      <c r="E412" s="2" t="s">
        <v>78</v>
      </c>
      <c r="F412" s="2" t="s">
        <v>84</v>
      </c>
      <c r="G412" s="2">
        <f t="shared" si="6"/>
        <v>0.3595505617977528</v>
      </c>
      <c r="H412" s="5">
        <v>4.5714285714285712</v>
      </c>
      <c r="I412" s="2">
        <v>14</v>
      </c>
      <c r="J412" s="12">
        <f>I412/Pondération!$G$20</f>
        <v>7.8651685393258425E-2</v>
      </c>
    </row>
    <row r="413" spans="1:10" x14ac:dyDescent="0.25">
      <c r="A413" s="2" t="s">
        <v>77</v>
      </c>
      <c r="B413" s="2">
        <v>2016</v>
      </c>
      <c r="C413" s="2" t="s">
        <v>28</v>
      </c>
      <c r="D413" s="2" t="s">
        <v>35</v>
      </c>
      <c r="E413" s="2" t="s">
        <v>78</v>
      </c>
      <c r="F413" s="2" t="s">
        <v>84</v>
      </c>
      <c r="G413" s="2">
        <f t="shared" si="6"/>
        <v>0.27247191011235955</v>
      </c>
      <c r="H413" s="5">
        <v>4.4090909090909092</v>
      </c>
      <c r="I413" s="2">
        <v>11</v>
      </c>
      <c r="J413" s="12">
        <f>I413/Pondération!$G$20</f>
        <v>6.1797752808988762E-2</v>
      </c>
    </row>
    <row r="414" spans="1:10" x14ac:dyDescent="0.25">
      <c r="A414" s="2" t="s">
        <v>77</v>
      </c>
      <c r="B414" s="2">
        <v>2016</v>
      </c>
      <c r="C414" s="2" t="s">
        <v>29</v>
      </c>
      <c r="D414" s="2" t="s">
        <v>35</v>
      </c>
      <c r="E414" s="2" t="s">
        <v>78</v>
      </c>
      <c r="F414" s="2" t="s">
        <v>84</v>
      </c>
      <c r="G414" s="2">
        <f t="shared" si="6"/>
        <v>0.3792134831460674</v>
      </c>
      <c r="H414" s="5">
        <v>4.5</v>
      </c>
      <c r="I414" s="2">
        <v>15</v>
      </c>
      <c r="J414" s="12">
        <f>I414/Pondération!$G$20</f>
        <v>8.4269662921348312E-2</v>
      </c>
    </row>
    <row r="415" spans="1:10" x14ac:dyDescent="0.25">
      <c r="A415" s="2" t="s">
        <v>77</v>
      </c>
      <c r="B415" s="2">
        <v>2017</v>
      </c>
      <c r="C415" s="2" t="s">
        <v>30</v>
      </c>
      <c r="D415" s="2" t="s">
        <v>35</v>
      </c>
      <c r="E415" s="2" t="s">
        <v>78</v>
      </c>
      <c r="F415" s="2" t="s">
        <v>84</v>
      </c>
      <c r="G415" s="2">
        <f t="shared" si="6"/>
        <v>0.5434782608695653</v>
      </c>
      <c r="H415" s="5">
        <v>4.5454545454545459</v>
      </c>
      <c r="I415" s="2">
        <v>11</v>
      </c>
      <c r="J415" s="12">
        <f>I415/Pondération!$F$20</f>
        <v>0.11956521739130435</v>
      </c>
    </row>
    <row r="416" spans="1:10" x14ac:dyDescent="0.25">
      <c r="A416" s="2" t="s">
        <v>77</v>
      </c>
      <c r="B416" s="2">
        <v>2017</v>
      </c>
      <c r="C416" s="2" t="s">
        <v>31</v>
      </c>
      <c r="D416" s="2" t="s">
        <v>35</v>
      </c>
      <c r="E416" s="2" t="s">
        <v>78</v>
      </c>
      <c r="F416" s="2" t="s">
        <v>84</v>
      </c>
      <c r="G416" s="2">
        <f t="shared" si="6"/>
        <v>0.57608695652173902</v>
      </c>
      <c r="H416" s="5">
        <v>4.0769230769230766</v>
      </c>
      <c r="I416" s="2">
        <v>13</v>
      </c>
      <c r="J416" s="12">
        <f>I416/Pondération!$F$20</f>
        <v>0.14130434782608695</v>
      </c>
    </row>
    <row r="417" spans="1:10" x14ac:dyDescent="0.25">
      <c r="A417" s="2" t="s">
        <v>77</v>
      </c>
      <c r="B417" s="2">
        <v>2017</v>
      </c>
      <c r="C417" s="2" t="s">
        <v>32</v>
      </c>
      <c r="D417" s="2" t="s">
        <v>35</v>
      </c>
      <c r="E417" s="2" t="s">
        <v>78</v>
      </c>
      <c r="F417" s="2" t="s">
        <v>84</v>
      </c>
      <c r="G417" s="2">
        <f t="shared" si="6"/>
        <v>0.84239130434782605</v>
      </c>
      <c r="H417" s="5">
        <v>4.3055555555555554</v>
      </c>
      <c r="I417" s="2">
        <v>18</v>
      </c>
      <c r="J417" s="12">
        <f>I417/Pondération!$F$20</f>
        <v>0.19565217391304349</v>
      </c>
    </row>
    <row r="418" spans="1:10" x14ac:dyDescent="0.25">
      <c r="A418" s="2" t="s">
        <v>77</v>
      </c>
      <c r="B418" s="2">
        <v>2017</v>
      </c>
      <c r="C418" s="2" t="s">
        <v>33</v>
      </c>
      <c r="D418" s="2" t="s">
        <v>35</v>
      </c>
      <c r="E418" s="2" t="s">
        <v>78</v>
      </c>
      <c r="F418" s="2" t="s">
        <v>84</v>
      </c>
      <c r="G418" s="2">
        <f t="shared" si="6"/>
        <v>1.0760869565217392</v>
      </c>
      <c r="H418" s="5">
        <v>4.5</v>
      </c>
      <c r="I418" s="2">
        <v>22</v>
      </c>
      <c r="J418" s="12">
        <f>I418/Pondération!$F$20</f>
        <v>0.2391304347826087</v>
      </c>
    </row>
    <row r="419" spans="1:10" x14ac:dyDescent="0.25">
      <c r="A419" s="2" t="s">
        <v>77</v>
      </c>
      <c r="B419" s="2">
        <v>2017</v>
      </c>
      <c r="C419" s="2" t="s">
        <v>34</v>
      </c>
      <c r="D419" s="2" t="s">
        <v>35</v>
      </c>
      <c r="E419" s="2" t="s">
        <v>78</v>
      </c>
      <c r="F419" s="2" t="s">
        <v>84</v>
      </c>
      <c r="G419" s="2">
        <f t="shared" si="6"/>
        <v>1.0054347826086956</v>
      </c>
      <c r="H419" s="5">
        <v>4.4047619047619051</v>
      </c>
      <c r="I419" s="2">
        <v>21</v>
      </c>
      <c r="J419" s="12">
        <f>I419/Pondération!$F$20</f>
        <v>0.22826086956521738</v>
      </c>
    </row>
    <row r="420" spans="1:10" x14ac:dyDescent="0.25">
      <c r="A420" s="2" t="s">
        <v>77</v>
      </c>
      <c r="B420" s="2">
        <v>2017</v>
      </c>
      <c r="C420" s="2" t="s">
        <v>80</v>
      </c>
      <c r="D420" s="2" t="s">
        <v>35</v>
      </c>
      <c r="E420" s="2" t="s">
        <v>78</v>
      </c>
      <c r="F420" s="2" t="s">
        <v>84</v>
      </c>
      <c r="G420" s="2">
        <f t="shared" si="6"/>
        <v>0.32608695652173914</v>
      </c>
      <c r="H420" s="5">
        <v>4.2857142857142856</v>
      </c>
      <c r="I420" s="2">
        <v>7</v>
      </c>
      <c r="J420" s="12">
        <f>I420/Pondération!$F$20</f>
        <v>7.6086956521739135E-2</v>
      </c>
    </row>
    <row r="421" spans="1:10" x14ac:dyDescent="0.25">
      <c r="A421" s="2" t="s">
        <v>77</v>
      </c>
      <c r="B421" s="2">
        <v>2013</v>
      </c>
      <c r="C421" s="2" t="s">
        <v>49</v>
      </c>
      <c r="D421" s="2" t="s">
        <v>36</v>
      </c>
      <c r="E421" s="2" t="s">
        <v>78</v>
      </c>
      <c r="F421" s="2" t="s">
        <v>79</v>
      </c>
      <c r="G421" s="2">
        <f t="shared" si="6"/>
        <v>0.13763440860215054</v>
      </c>
      <c r="H421" s="5">
        <v>4.2666666666666666</v>
      </c>
      <c r="I421" s="2">
        <v>15</v>
      </c>
      <c r="J421" s="12">
        <f>I421/Pondération!$J$30</f>
        <v>3.2258064516129031E-2</v>
      </c>
    </row>
    <row r="422" spans="1:10" x14ac:dyDescent="0.25">
      <c r="A422" s="2" t="s">
        <v>77</v>
      </c>
      <c r="B422" s="2">
        <v>2013</v>
      </c>
      <c r="C422" s="2" t="s">
        <v>50</v>
      </c>
      <c r="D422" s="2" t="s">
        <v>36</v>
      </c>
      <c r="E422" s="2" t="s">
        <v>78</v>
      </c>
      <c r="F422" s="2" t="s">
        <v>79</v>
      </c>
      <c r="G422" s="2">
        <f t="shared" si="6"/>
        <v>9.5698924731182813E-2</v>
      </c>
      <c r="H422" s="5">
        <v>4.45</v>
      </c>
      <c r="I422" s="2">
        <v>10</v>
      </c>
      <c r="J422" s="12">
        <f>I422/Pondération!$J$30</f>
        <v>2.1505376344086023E-2</v>
      </c>
    </row>
    <row r="423" spans="1:10" x14ac:dyDescent="0.25">
      <c r="A423" s="2" t="s">
        <v>77</v>
      </c>
      <c r="B423" s="2">
        <v>2013</v>
      </c>
      <c r="C423" s="2" t="s">
        <v>51</v>
      </c>
      <c r="D423" s="2" t="s">
        <v>36</v>
      </c>
      <c r="E423" s="2" t="s">
        <v>78</v>
      </c>
      <c r="F423" s="2" t="s">
        <v>79</v>
      </c>
      <c r="G423" s="2">
        <f t="shared" si="6"/>
        <v>0.13978494623655913</v>
      </c>
      <c r="H423" s="5">
        <v>4.333333333333333</v>
      </c>
      <c r="I423" s="2">
        <v>15</v>
      </c>
      <c r="J423" s="12">
        <f>I423/Pondération!$J$30</f>
        <v>3.2258064516129031E-2</v>
      </c>
    </row>
    <row r="424" spans="1:10" x14ac:dyDescent="0.25">
      <c r="A424" s="2" t="s">
        <v>77</v>
      </c>
      <c r="B424" s="2">
        <v>2013</v>
      </c>
      <c r="C424" s="2" t="s">
        <v>52</v>
      </c>
      <c r="D424" s="2" t="s">
        <v>36</v>
      </c>
      <c r="E424" s="2" t="s">
        <v>78</v>
      </c>
      <c r="F424" s="2" t="s">
        <v>79</v>
      </c>
      <c r="G424" s="2">
        <f t="shared" si="6"/>
        <v>0.24731182795698928</v>
      </c>
      <c r="H424" s="5">
        <v>4.4230769230769234</v>
      </c>
      <c r="I424" s="2">
        <v>26</v>
      </c>
      <c r="J424" s="12">
        <f>I424/Pondération!$J$30</f>
        <v>5.5913978494623658E-2</v>
      </c>
    </row>
    <row r="425" spans="1:10" x14ac:dyDescent="0.25">
      <c r="A425" s="2" t="s">
        <v>77</v>
      </c>
      <c r="B425" s="2">
        <v>2013</v>
      </c>
      <c r="C425" s="2" t="s">
        <v>53</v>
      </c>
      <c r="D425" s="2" t="s">
        <v>36</v>
      </c>
      <c r="E425" s="2" t="s">
        <v>78</v>
      </c>
      <c r="F425" s="2" t="s">
        <v>79</v>
      </c>
      <c r="G425" s="2">
        <f t="shared" si="6"/>
        <v>0.45806451612903226</v>
      </c>
      <c r="H425" s="5">
        <v>4.3469387755102042</v>
      </c>
      <c r="I425" s="2">
        <v>49</v>
      </c>
      <c r="J425" s="12">
        <f>I425/Pondération!$J$30</f>
        <v>0.10537634408602151</v>
      </c>
    </row>
    <row r="426" spans="1:10" x14ac:dyDescent="0.25">
      <c r="A426" s="2" t="s">
        <v>77</v>
      </c>
      <c r="B426" s="2">
        <v>2013</v>
      </c>
      <c r="C426" s="2" t="s">
        <v>54</v>
      </c>
      <c r="D426" s="2" t="s">
        <v>36</v>
      </c>
      <c r="E426" s="2" t="s">
        <v>78</v>
      </c>
      <c r="F426" s="2" t="s">
        <v>79</v>
      </c>
      <c r="G426" s="2">
        <f t="shared" si="6"/>
        <v>0.27849462365591393</v>
      </c>
      <c r="H426" s="5">
        <v>4.3166666666666664</v>
      </c>
      <c r="I426" s="2">
        <v>30</v>
      </c>
      <c r="J426" s="12">
        <f>I426/Pondération!$J$30</f>
        <v>6.4516129032258063E-2</v>
      </c>
    </row>
    <row r="427" spans="1:10" x14ac:dyDescent="0.25">
      <c r="A427" s="2" t="s">
        <v>77</v>
      </c>
      <c r="B427" s="2">
        <v>2013</v>
      </c>
      <c r="C427" s="2" t="s">
        <v>55</v>
      </c>
      <c r="D427" s="2" t="s">
        <v>36</v>
      </c>
      <c r="E427" s="2" t="s">
        <v>78</v>
      </c>
      <c r="F427" s="2" t="s">
        <v>79</v>
      </c>
      <c r="G427" s="2">
        <f t="shared" si="6"/>
        <v>0.56666666666666665</v>
      </c>
      <c r="H427" s="5">
        <v>4.3916666666666666</v>
      </c>
      <c r="I427" s="2">
        <v>60</v>
      </c>
      <c r="J427" s="12">
        <f>I427/Pondération!$J$30</f>
        <v>0.12903225806451613</v>
      </c>
    </row>
    <row r="428" spans="1:10" x14ac:dyDescent="0.25">
      <c r="A428" s="2" t="s">
        <v>77</v>
      </c>
      <c r="B428" s="2">
        <v>2013</v>
      </c>
      <c r="C428" s="2" t="s">
        <v>56</v>
      </c>
      <c r="D428" s="2" t="s">
        <v>36</v>
      </c>
      <c r="E428" s="2" t="s">
        <v>78</v>
      </c>
      <c r="F428" s="2" t="s">
        <v>79</v>
      </c>
      <c r="G428" s="2">
        <f t="shared" si="6"/>
        <v>1.3688172043010751</v>
      </c>
      <c r="H428" s="5">
        <v>4.3896551724137929</v>
      </c>
      <c r="I428" s="2">
        <v>145</v>
      </c>
      <c r="J428" s="12">
        <f>I428/Pondération!$J$30</f>
        <v>0.31182795698924731</v>
      </c>
    </row>
    <row r="429" spans="1:10" x14ac:dyDescent="0.25">
      <c r="A429" s="2" t="s">
        <v>77</v>
      </c>
      <c r="B429" s="2">
        <v>2013</v>
      </c>
      <c r="C429" s="2" t="s">
        <v>57</v>
      </c>
      <c r="D429" s="2" t="s">
        <v>36</v>
      </c>
      <c r="E429" s="2" t="s">
        <v>78</v>
      </c>
      <c r="F429" s="2" t="s">
        <v>79</v>
      </c>
      <c r="G429" s="2">
        <f t="shared" si="6"/>
        <v>0.41612903225806447</v>
      </c>
      <c r="H429" s="5">
        <v>4.3</v>
      </c>
      <c r="I429" s="2">
        <v>45</v>
      </c>
      <c r="J429" s="12">
        <f>I429/Pondération!$J$30</f>
        <v>9.6774193548387094E-2</v>
      </c>
    </row>
    <row r="430" spans="1:10" x14ac:dyDescent="0.25">
      <c r="A430" s="2" t="s">
        <v>77</v>
      </c>
      <c r="B430" s="2">
        <v>2013</v>
      </c>
      <c r="C430" s="2" t="s">
        <v>58</v>
      </c>
      <c r="D430" s="2" t="s">
        <v>36</v>
      </c>
      <c r="E430" s="2" t="s">
        <v>78</v>
      </c>
      <c r="F430" s="2" t="s">
        <v>79</v>
      </c>
      <c r="G430" s="2">
        <f t="shared" si="6"/>
        <v>0.36666666666666664</v>
      </c>
      <c r="H430" s="5">
        <v>4.3717948717948714</v>
      </c>
      <c r="I430" s="2">
        <v>39</v>
      </c>
      <c r="J430" s="12">
        <f>I430/Pondération!$J$30</f>
        <v>8.387096774193549E-2</v>
      </c>
    </row>
    <row r="431" spans="1:10" x14ac:dyDescent="0.25">
      <c r="A431" s="2" t="s">
        <v>77</v>
      </c>
      <c r="B431" s="2">
        <v>2013</v>
      </c>
      <c r="C431" s="2" t="s">
        <v>59</v>
      </c>
      <c r="D431" s="2" t="s">
        <v>36</v>
      </c>
      <c r="E431" s="2" t="s">
        <v>78</v>
      </c>
      <c r="F431" s="2" t="s">
        <v>79</v>
      </c>
      <c r="G431" s="2">
        <f t="shared" si="6"/>
        <v>0.13440860215053765</v>
      </c>
      <c r="H431" s="5">
        <v>4.4642857142857144</v>
      </c>
      <c r="I431" s="2">
        <v>14</v>
      </c>
      <c r="J431" s="12">
        <f>I431/Pondération!$J$30</f>
        <v>3.0107526881720432E-2</v>
      </c>
    </row>
    <row r="432" spans="1:10" x14ac:dyDescent="0.25">
      <c r="A432" s="2" t="s">
        <v>77</v>
      </c>
      <c r="B432" s="2">
        <v>2013</v>
      </c>
      <c r="C432" s="2" t="s">
        <v>60</v>
      </c>
      <c r="D432" s="2" t="s">
        <v>36</v>
      </c>
      <c r="E432" s="2" t="s">
        <v>78</v>
      </c>
      <c r="F432" s="2" t="s">
        <v>79</v>
      </c>
      <c r="G432" s="2">
        <f t="shared" si="6"/>
        <v>0.16666666666666666</v>
      </c>
      <c r="H432" s="5">
        <v>4.5588235294117645</v>
      </c>
      <c r="I432" s="2">
        <v>17</v>
      </c>
      <c r="J432" s="12">
        <f>I432/Pondération!$J$30</f>
        <v>3.6559139784946237E-2</v>
      </c>
    </row>
    <row r="433" spans="1:10" x14ac:dyDescent="0.25">
      <c r="A433" s="2" t="s">
        <v>77</v>
      </c>
      <c r="B433" s="2">
        <v>2014</v>
      </c>
      <c r="C433" s="2" t="s">
        <v>61</v>
      </c>
      <c r="D433" s="2" t="s">
        <v>36</v>
      </c>
      <c r="E433" s="2" t="s">
        <v>78</v>
      </c>
      <c r="F433" s="2" t="s">
        <v>79</v>
      </c>
      <c r="G433" s="2">
        <f t="shared" si="6"/>
        <v>4.1376306620209059E-2</v>
      </c>
      <c r="H433" s="5">
        <v>4.3181818181818183</v>
      </c>
      <c r="I433" s="2">
        <v>11</v>
      </c>
      <c r="J433" s="12">
        <f>I433/Pondération!$I$30</f>
        <v>9.5818815331010446E-3</v>
      </c>
    </row>
    <row r="434" spans="1:10" x14ac:dyDescent="0.25">
      <c r="A434" s="2" t="s">
        <v>77</v>
      </c>
      <c r="B434" s="2">
        <v>2014</v>
      </c>
      <c r="C434" s="2" t="s">
        <v>62</v>
      </c>
      <c r="D434" s="2" t="s">
        <v>36</v>
      </c>
      <c r="E434" s="2" t="s">
        <v>78</v>
      </c>
      <c r="F434" s="2" t="s">
        <v>79</v>
      </c>
      <c r="G434" s="2">
        <f t="shared" si="6"/>
        <v>3.484320557491289E-2</v>
      </c>
      <c r="H434" s="5">
        <v>4.4444444444444446</v>
      </c>
      <c r="I434" s="2">
        <v>9</v>
      </c>
      <c r="J434" s="12">
        <f>I434/Pondération!$I$30</f>
        <v>7.8397212543554005E-3</v>
      </c>
    </row>
    <row r="435" spans="1:10" x14ac:dyDescent="0.25">
      <c r="A435" s="2" t="s">
        <v>77</v>
      </c>
      <c r="B435" s="2">
        <v>2014</v>
      </c>
      <c r="C435" s="2" t="s">
        <v>63</v>
      </c>
      <c r="D435" s="2" t="s">
        <v>36</v>
      </c>
      <c r="E435" s="2" t="s">
        <v>78</v>
      </c>
      <c r="F435" s="2" t="s">
        <v>79</v>
      </c>
      <c r="G435" s="2">
        <f t="shared" si="6"/>
        <v>0.19381533101045298</v>
      </c>
      <c r="H435" s="5">
        <v>4.45</v>
      </c>
      <c r="I435" s="2">
        <v>50</v>
      </c>
      <c r="J435" s="12">
        <f>I435/Pondération!$I$30</f>
        <v>4.3554006968641118E-2</v>
      </c>
    </row>
    <row r="436" spans="1:10" x14ac:dyDescent="0.25">
      <c r="A436" s="2" t="s">
        <v>77</v>
      </c>
      <c r="B436" s="2">
        <v>2014</v>
      </c>
      <c r="C436" s="2" t="s">
        <v>64</v>
      </c>
      <c r="D436" s="2" t="s">
        <v>36</v>
      </c>
      <c r="E436" s="2" t="s">
        <v>78</v>
      </c>
      <c r="F436" s="2" t="s">
        <v>79</v>
      </c>
      <c r="G436" s="2">
        <f t="shared" si="6"/>
        <v>0.21428571428571427</v>
      </c>
      <c r="H436" s="5">
        <v>4.5555555555555554</v>
      </c>
      <c r="I436" s="2">
        <v>54</v>
      </c>
      <c r="J436" s="12">
        <f>I436/Pondération!$I$30</f>
        <v>4.7038327526132406E-2</v>
      </c>
    </row>
    <row r="437" spans="1:10" x14ac:dyDescent="0.25">
      <c r="A437" s="2" t="s">
        <v>77</v>
      </c>
      <c r="B437" s="2">
        <v>2014</v>
      </c>
      <c r="C437" s="2" t="s">
        <v>65</v>
      </c>
      <c r="D437" s="2" t="s">
        <v>36</v>
      </c>
      <c r="E437" s="2" t="s">
        <v>78</v>
      </c>
      <c r="F437" s="2" t="s">
        <v>79</v>
      </c>
      <c r="G437" s="2">
        <f t="shared" si="6"/>
        <v>0.29965156794425085</v>
      </c>
      <c r="H437" s="5">
        <v>4.4102564102564106</v>
      </c>
      <c r="I437" s="2">
        <v>78</v>
      </c>
      <c r="J437" s="12">
        <f>I437/Pondération!$I$30</f>
        <v>6.7944250871080136E-2</v>
      </c>
    </row>
    <row r="438" spans="1:10" x14ac:dyDescent="0.25">
      <c r="A438" s="2" t="s">
        <v>77</v>
      </c>
      <c r="B438" s="2">
        <v>2014</v>
      </c>
      <c r="C438" s="2" t="s">
        <v>66</v>
      </c>
      <c r="D438" s="2" t="s">
        <v>36</v>
      </c>
      <c r="E438" s="2" t="s">
        <v>78</v>
      </c>
      <c r="F438" s="2" t="s">
        <v>79</v>
      </c>
      <c r="G438" s="2">
        <f t="shared" si="6"/>
        <v>0.35888501742160278</v>
      </c>
      <c r="H438" s="5">
        <v>4.5274725274725274</v>
      </c>
      <c r="I438" s="2">
        <v>91</v>
      </c>
      <c r="J438" s="12">
        <f>I438/Pondération!$I$30</f>
        <v>7.926829268292683E-2</v>
      </c>
    </row>
    <row r="439" spans="1:10" x14ac:dyDescent="0.25">
      <c r="A439" s="2" t="s">
        <v>77</v>
      </c>
      <c r="B439" s="2">
        <v>2014</v>
      </c>
      <c r="C439" s="2" t="s">
        <v>67</v>
      </c>
      <c r="D439" s="2" t="s">
        <v>36</v>
      </c>
      <c r="E439" s="2" t="s">
        <v>78</v>
      </c>
      <c r="F439" s="2" t="s">
        <v>79</v>
      </c>
      <c r="G439" s="2">
        <f t="shared" si="6"/>
        <v>0.57839721254355392</v>
      </c>
      <c r="H439" s="5">
        <v>4.3684210526315788</v>
      </c>
      <c r="I439" s="2">
        <v>152</v>
      </c>
      <c r="J439" s="12">
        <f>I439/Pondération!$I$30</f>
        <v>0.13240418118466898</v>
      </c>
    </row>
    <row r="440" spans="1:10" x14ac:dyDescent="0.25">
      <c r="A440" s="2" t="s">
        <v>77</v>
      </c>
      <c r="B440" s="2">
        <v>2014</v>
      </c>
      <c r="C440" s="2" t="s">
        <v>68</v>
      </c>
      <c r="D440" s="2" t="s">
        <v>36</v>
      </c>
      <c r="E440" s="2" t="s">
        <v>78</v>
      </c>
      <c r="F440" s="2" t="s">
        <v>79</v>
      </c>
      <c r="G440" s="2">
        <f t="shared" si="6"/>
        <v>1.3057491289198608</v>
      </c>
      <c r="H440" s="5">
        <v>4.4218289085545726</v>
      </c>
      <c r="I440" s="2">
        <v>339</v>
      </c>
      <c r="J440" s="12">
        <f>I440/Pondération!$I$30</f>
        <v>0.29529616724738678</v>
      </c>
    </row>
    <row r="441" spans="1:10" x14ac:dyDescent="0.25">
      <c r="A441" s="2" t="s">
        <v>77</v>
      </c>
      <c r="B441" s="2">
        <v>2014</v>
      </c>
      <c r="C441" s="2" t="s">
        <v>69</v>
      </c>
      <c r="D441" s="2" t="s">
        <v>36</v>
      </c>
      <c r="E441" s="2" t="s">
        <v>78</v>
      </c>
      <c r="F441" s="2" t="s">
        <v>79</v>
      </c>
      <c r="G441" s="2">
        <f t="shared" si="6"/>
        <v>0.64459930313588854</v>
      </c>
      <c r="H441" s="5">
        <v>4.4047619047619051</v>
      </c>
      <c r="I441" s="2">
        <v>168</v>
      </c>
      <c r="J441" s="12">
        <f>I441/Pondération!$I$30</f>
        <v>0.14634146341463414</v>
      </c>
    </row>
    <row r="442" spans="1:10" x14ac:dyDescent="0.25">
      <c r="A442" s="2" t="s">
        <v>77</v>
      </c>
      <c r="B442" s="2">
        <v>2014</v>
      </c>
      <c r="C442" s="2" t="s">
        <v>70</v>
      </c>
      <c r="D442" s="2" t="s">
        <v>36</v>
      </c>
      <c r="E442" s="2" t="s">
        <v>78</v>
      </c>
      <c r="F442" s="2" t="s">
        <v>79</v>
      </c>
      <c r="G442" s="2">
        <f t="shared" si="6"/>
        <v>0.31445993031358888</v>
      </c>
      <c r="H442" s="5">
        <v>4.4567901234567904</v>
      </c>
      <c r="I442" s="2">
        <v>81</v>
      </c>
      <c r="J442" s="12">
        <f>I442/Pondération!$I$30</f>
        <v>7.0557491289198609E-2</v>
      </c>
    </row>
    <row r="443" spans="1:10" x14ac:dyDescent="0.25">
      <c r="A443" s="2" t="s">
        <v>77</v>
      </c>
      <c r="B443" s="2">
        <v>2014</v>
      </c>
      <c r="C443" s="2" t="s">
        <v>71</v>
      </c>
      <c r="D443" s="2" t="s">
        <v>36</v>
      </c>
      <c r="E443" s="2" t="s">
        <v>78</v>
      </c>
      <c r="F443" s="2" t="s">
        <v>79</v>
      </c>
      <c r="G443" s="2">
        <f t="shared" si="6"/>
        <v>0.28484320557491288</v>
      </c>
      <c r="H443" s="5">
        <v>4.541666666666667</v>
      </c>
      <c r="I443" s="2">
        <v>72</v>
      </c>
      <c r="J443" s="12">
        <f>I443/Pondération!$I$30</f>
        <v>6.2717770034843204E-2</v>
      </c>
    </row>
    <row r="444" spans="1:10" x14ac:dyDescent="0.25">
      <c r="A444" s="2" t="s">
        <v>77</v>
      </c>
      <c r="B444" s="2">
        <v>2014</v>
      </c>
      <c r="C444" s="2" t="s">
        <v>72</v>
      </c>
      <c r="D444" s="2" t="s">
        <v>36</v>
      </c>
      <c r="E444" s="2" t="s">
        <v>78</v>
      </c>
      <c r="F444" s="2" t="s">
        <v>79</v>
      </c>
      <c r="G444" s="2">
        <f t="shared" si="6"/>
        <v>0.16594076655052264</v>
      </c>
      <c r="H444" s="5">
        <v>4.4302325581395348</v>
      </c>
      <c r="I444" s="2">
        <v>43</v>
      </c>
      <c r="J444" s="12">
        <f>I444/Pondération!$I$30</f>
        <v>3.7456445993031356E-2</v>
      </c>
    </row>
    <row r="445" spans="1:10" x14ac:dyDescent="0.25">
      <c r="A445" s="2" t="s">
        <v>77</v>
      </c>
      <c r="B445" s="2">
        <v>2015</v>
      </c>
      <c r="C445" s="2" t="s">
        <v>73</v>
      </c>
      <c r="D445" s="2" t="s">
        <v>36</v>
      </c>
      <c r="E445" s="2" t="s">
        <v>78</v>
      </c>
      <c r="F445" s="2" t="s">
        <v>79</v>
      </c>
      <c r="G445" s="2">
        <f t="shared" si="6"/>
        <v>6.0693641618497107E-2</v>
      </c>
      <c r="H445" s="5">
        <v>4.4545454545454541</v>
      </c>
      <c r="I445" s="2">
        <v>33</v>
      </c>
      <c r="J445" s="12">
        <f>I445/Pondération!$H$30</f>
        <v>1.3625103220478944E-2</v>
      </c>
    </row>
    <row r="446" spans="1:10" x14ac:dyDescent="0.25">
      <c r="A446" s="2" t="s">
        <v>77</v>
      </c>
      <c r="B446" s="2">
        <v>2015</v>
      </c>
      <c r="C446" s="2" t="s">
        <v>74</v>
      </c>
      <c r="D446" s="2" t="s">
        <v>36</v>
      </c>
      <c r="E446" s="2" t="s">
        <v>78</v>
      </c>
      <c r="F446" s="2" t="s">
        <v>79</v>
      </c>
      <c r="G446" s="2">
        <f t="shared" si="6"/>
        <v>4.9339388934764652E-2</v>
      </c>
      <c r="H446" s="5">
        <v>4.4259259259259256</v>
      </c>
      <c r="I446" s="2">
        <v>27</v>
      </c>
      <c r="J446" s="12">
        <f>I446/Pondération!$H$30</f>
        <v>1.1147811725846408E-2</v>
      </c>
    </row>
    <row r="447" spans="1:10" x14ac:dyDescent="0.25">
      <c r="A447" s="2" t="s">
        <v>77</v>
      </c>
      <c r="B447" s="2">
        <v>2015</v>
      </c>
      <c r="C447" s="2" t="s">
        <v>75</v>
      </c>
      <c r="D447" s="2" t="s">
        <v>36</v>
      </c>
      <c r="E447" s="2" t="s">
        <v>78</v>
      </c>
      <c r="F447" s="2" t="s">
        <v>79</v>
      </c>
      <c r="G447" s="2">
        <f t="shared" si="6"/>
        <v>0.10734929810074319</v>
      </c>
      <c r="H447" s="5">
        <v>4.4827586206896548</v>
      </c>
      <c r="I447" s="2">
        <v>58</v>
      </c>
      <c r="J447" s="12">
        <f>I447/Pondération!$H$30</f>
        <v>2.3947151114781174E-2</v>
      </c>
    </row>
    <row r="448" spans="1:10" x14ac:dyDescent="0.25">
      <c r="A448" s="2" t="s">
        <v>77</v>
      </c>
      <c r="B448" s="2">
        <v>2015</v>
      </c>
      <c r="C448" s="2" t="s">
        <v>76</v>
      </c>
      <c r="D448" s="2" t="s">
        <v>36</v>
      </c>
      <c r="E448" s="2" t="s">
        <v>78</v>
      </c>
      <c r="F448" s="2" t="s">
        <v>79</v>
      </c>
      <c r="G448" s="2">
        <f t="shared" si="6"/>
        <v>0.25743187448389759</v>
      </c>
      <c r="H448" s="5">
        <v>4.390845070422535</v>
      </c>
      <c r="I448" s="2">
        <v>142</v>
      </c>
      <c r="J448" s="12">
        <f>I448/Pondération!$H$30</f>
        <v>5.8629232039636665E-2</v>
      </c>
    </row>
    <row r="449" spans="1:10" x14ac:dyDescent="0.25">
      <c r="A449" s="2" t="s">
        <v>77</v>
      </c>
      <c r="B449" s="2">
        <v>2015</v>
      </c>
      <c r="C449" s="2" t="s">
        <v>7</v>
      </c>
      <c r="D449" s="2" t="s">
        <v>36</v>
      </c>
      <c r="E449" s="2" t="s">
        <v>78</v>
      </c>
      <c r="F449" s="2" t="s">
        <v>79</v>
      </c>
      <c r="G449" s="2">
        <f t="shared" si="6"/>
        <v>0.35693641618497107</v>
      </c>
      <c r="H449" s="5">
        <v>4.55</v>
      </c>
      <c r="I449" s="2">
        <v>190</v>
      </c>
      <c r="J449" s="12">
        <f>I449/Pondération!$H$30</f>
        <v>7.8447563996696945E-2</v>
      </c>
    </row>
    <row r="450" spans="1:10" x14ac:dyDescent="0.25">
      <c r="A450" s="2" t="s">
        <v>77</v>
      </c>
      <c r="B450" s="2">
        <v>2015</v>
      </c>
      <c r="C450" s="2" t="s">
        <v>11</v>
      </c>
      <c r="D450" s="2" t="s">
        <v>36</v>
      </c>
      <c r="E450" s="2" t="s">
        <v>78</v>
      </c>
      <c r="F450" s="2" t="s">
        <v>79</v>
      </c>
      <c r="G450" s="2">
        <f t="shared" ref="G450:G513" si="7">H450*J450</f>
        <v>0.30759702725020638</v>
      </c>
      <c r="H450" s="5">
        <v>4.4345238095238093</v>
      </c>
      <c r="I450" s="2">
        <v>168</v>
      </c>
      <c r="J450" s="12">
        <f>I450/Pondération!$H$30</f>
        <v>6.9364161849710976E-2</v>
      </c>
    </row>
    <row r="451" spans="1:10" x14ac:dyDescent="0.25">
      <c r="A451" s="2" t="s">
        <v>77</v>
      </c>
      <c r="B451" s="2">
        <v>2015</v>
      </c>
      <c r="C451" s="2" t="s">
        <v>12</v>
      </c>
      <c r="D451" s="2" t="s">
        <v>36</v>
      </c>
      <c r="E451" s="2" t="s">
        <v>78</v>
      </c>
      <c r="F451" s="2" t="s">
        <v>79</v>
      </c>
      <c r="G451" s="2">
        <f t="shared" si="7"/>
        <v>0.79789430222956237</v>
      </c>
      <c r="H451" s="5">
        <v>4.4221967963386728</v>
      </c>
      <c r="I451" s="2">
        <v>437</v>
      </c>
      <c r="J451" s="12">
        <f>I451/Pondération!$H$30</f>
        <v>0.18042939719240297</v>
      </c>
    </row>
    <row r="452" spans="1:10" x14ac:dyDescent="0.25">
      <c r="A452" s="2" t="s">
        <v>77</v>
      </c>
      <c r="B452" s="2">
        <v>2015</v>
      </c>
      <c r="C452" s="2" t="s">
        <v>13</v>
      </c>
      <c r="D452" s="2" t="s">
        <v>36</v>
      </c>
      <c r="E452" s="2" t="s">
        <v>78</v>
      </c>
      <c r="F452" s="2" t="s">
        <v>79</v>
      </c>
      <c r="G452" s="2">
        <f t="shared" si="7"/>
        <v>1.3084227910817507</v>
      </c>
      <c r="H452" s="5">
        <v>4.4508426966292136</v>
      </c>
      <c r="I452" s="2">
        <v>712</v>
      </c>
      <c r="J452" s="12">
        <f>I452/Pondération!$H$30</f>
        <v>0.29397192402972749</v>
      </c>
    </row>
    <row r="453" spans="1:10" x14ac:dyDescent="0.25">
      <c r="A453" s="2" t="s">
        <v>77</v>
      </c>
      <c r="B453" s="2">
        <v>2015</v>
      </c>
      <c r="C453" s="2" t="s">
        <v>14</v>
      </c>
      <c r="D453" s="2" t="s">
        <v>36</v>
      </c>
      <c r="E453" s="2" t="s">
        <v>78</v>
      </c>
      <c r="F453" s="2" t="s">
        <v>79</v>
      </c>
      <c r="G453" s="2">
        <f t="shared" si="7"/>
        <v>0.54810074318744839</v>
      </c>
      <c r="H453" s="5">
        <v>4.4847972972972974</v>
      </c>
      <c r="I453" s="2">
        <v>296</v>
      </c>
      <c r="J453" s="12">
        <f>I453/Pondération!$H$30</f>
        <v>0.1222130470685384</v>
      </c>
    </row>
    <row r="454" spans="1:10" x14ac:dyDescent="0.25">
      <c r="A454" s="2" t="s">
        <v>77</v>
      </c>
      <c r="B454" s="2">
        <v>2015</v>
      </c>
      <c r="C454" s="2" t="s">
        <v>15</v>
      </c>
      <c r="D454" s="2" t="s">
        <v>36</v>
      </c>
      <c r="E454" s="2" t="s">
        <v>78</v>
      </c>
      <c r="F454" s="2" t="s">
        <v>79</v>
      </c>
      <c r="G454" s="2">
        <f t="shared" si="7"/>
        <v>0.36147811725846407</v>
      </c>
      <c r="H454" s="5">
        <v>4.4897435897435898</v>
      </c>
      <c r="I454" s="2">
        <v>195</v>
      </c>
      <c r="J454" s="12">
        <f>I454/Pondération!$H$30</f>
        <v>8.0511973575557394E-2</v>
      </c>
    </row>
    <row r="455" spans="1:10" x14ac:dyDescent="0.25">
      <c r="A455" s="2" t="s">
        <v>77</v>
      </c>
      <c r="B455" s="2">
        <v>2015</v>
      </c>
      <c r="C455" s="2" t="s">
        <v>16</v>
      </c>
      <c r="D455" s="2" t="s">
        <v>36</v>
      </c>
      <c r="E455" s="2" t="s">
        <v>78</v>
      </c>
      <c r="F455" s="2" t="s">
        <v>79</v>
      </c>
      <c r="G455" s="2">
        <f t="shared" si="7"/>
        <v>0.17423616845582166</v>
      </c>
      <c r="H455" s="5">
        <v>4.4893617021276597</v>
      </c>
      <c r="I455" s="2">
        <v>94</v>
      </c>
      <c r="J455" s="12">
        <f>I455/Pondération!$H$30</f>
        <v>3.8810900082576386E-2</v>
      </c>
    </row>
    <row r="456" spans="1:10" x14ac:dyDescent="0.25">
      <c r="A456" s="2" t="s">
        <v>77</v>
      </c>
      <c r="B456" s="2">
        <v>2015</v>
      </c>
      <c r="C456" s="2" t="s">
        <v>17</v>
      </c>
      <c r="D456" s="2" t="s">
        <v>36</v>
      </c>
      <c r="E456" s="2" t="s">
        <v>78</v>
      </c>
      <c r="F456" s="2" t="s">
        <v>79</v>
      </c>
      <c r="G456" s="2">
        <f t="shared" si="7"/>
        <v>0.12778695293146161</v>
      </c>
      <c r="H456" s="5">
        <v>4.4214285714285717</v>
      </c>
      <c r="I456" s="2">
        <v>70</v>
      </c>
      <c r="J456" s="12">
        <f>I456/Pondération!$H$30</f>
        <v>2.8901734104046242E-2</v>
      </c>
    </row>
    <row r="457" spans="1:10" x14ac:dyDescent="0.25">
      <c r="A457" s="2" t="s">
        <v>77</v>
      </c>
      <c r="B457" s="2">
        <v>2016</v>
      </c>
      <c r="C457" s="2" t="s">
        <v>18</v>
      </c>
      <c r="D457" s="2" t="s">
        <v>36</v>
      </c>
      <c r="E457" s="2" t="s">
        <v>78</v>
      </c>
      <c r="F457" s="2" t="s">
        <v>79</v>
      </c>
      <c r="G457" s="2">
        <f t="shared" si="7"/>
        <v>8.277144850034876E-2</v>
      </c>
      <c r="H457" s="5">
        <v>4.5063291139240507</v>
      </c>
      <c r="I457" s="2">
        <v>79</v>
      </c>
      <c r="J457" s="12">
        <f>I457/Pondération!$G$30</f>
        <v>1.8367821436875147E-2</v>
      </c>
    </row>
    <row r="458" spans="1:10" x14ac:dyDescent="0.25">
      <c r="A458" s="2" t="s">
        <v>77</v>
      </c>
      <c r="B458" s="2">
        <v>2016</v>
      </c>
      <c r="C458" s="2" t="s">
        <v>19</v>
      </c>
      <c r="D458" s="2" t="s">
        <v>36</v>
      </c>
      <c r="E458" s="2" t="s">
        <v>78</v>
      </c>
      <c r="F458" s="2" t="s">
        <v>79</v>
      </c>
      <c r="G458" s="2">
        <f t="shared" si="7"/>
        <v>0.13136479888398048</v>
      </c>
      <c r="H458" s="5">
        <v>4.4140625</v>
      </c>
      <c r="I458" s="2">
        <v>128</v>
      </c>
      <c r="J458" s="12">
        <f>I458/Pondération!$G$30</f>
        <v>2.976052080911416E-2</v>
      </c>
    </row>
    <row r="459" spans="1:10" x14ac:dyDescent="0.25">
      <c r="A459" s="2" t="s">
        <v>77</v>
      </c>
      <c r="B459" s="2">
        <v>2016</v>
      </c>
      <c r="C459" s="2" t="s">
        <v>20</v>
      </c>
      <c r="D459" s="2" t="s">
        <v>36</v>
      </c>
      <c r="E459" s="2" t="s">
        <v>78</v>
      </c>
      <c r="F459" s="2" t="s">
        <v>79</v>
      </c>
      <c r="G459" s="2">
        <f t="shared" si="7"/>
        <v>0.15740525459195534</v>
      </c>
      <c r="H459" s="5">
        <v>4.4539473684210522</v>
      </c>
      <c r="I459" s="2">
        <v>152</v>
      </c>
      <c r="J459" s="12">
        <f>I459/Pondération!$G$30</f>
        <v>3.5340618460823064E-2</v>
      </c>
    </row>
    <row r="460" spans="1:10" x14ac:dyDescent="0.25">
      <c r="A460" s="2" t="s">
        <v>77</v>
      </c>
      <c r="B460" s="2">
        <v>2016</v>
      </c>
      <c r="C460" s="2" t="s">
        <v>21</v>
      </c>
      <c r="D460" s="2" t="s">
        <v>36</v>
      </c>
      <c r="E460" s="2" t="s">
        <v>78</v>
      </c>
      <c r="F460" s="2" t="s">
        <v>79</v>
      </c>
      <c r="G460" s="2">
        <f t="shared" si="7"/>
        <v>0.31806556614740755</v>
      </c>
      <c r="H460" s="5">
        <v>4.456026058631922</v>
      </c>
      <c r="I460" s="2">
        <v>307</v>
      </c>
      <c r="J460" s="12">
        <f>I460/Pondération!$G$30</f>
        <v>7.1378749128109736E-2</v>
      </c>
    </row>
    <row r="461" spans="1:10" x14ac:dyDescent="0.25">
      <c r="A461" s="2" t="s">
        <v>77</v>
      </c>
      <c r="B461" s="2">
        <v>2016</v>
      </c>
      <c r="C461" s="2" t="s">
        <v>22</v>
      </c>
      <c r="D461" s="2" t="s">
        <v>36</v>
      </c>
      <c r="E461" s="2" t="s">
        <v>78</v>
      </c>
      <c r="F461" s="2" t="s">
        <v>79</v>
      </c>
      <c r="G461" s="2">
        <f t="shared" si="7"/>
        <v>0.33620088351546151</v>
      </c>
      <c r="H461" s="5">
        <v>4.4906832298136647</v>
      </c>
      <c r="I461" s="2">
        <v>322</v>
      </c>
      <c r="J461" s="12">
        <f>I461/Pondération!$G$30</f>
        <v>7.4866310160427801E-2</v>
      </c>
    </row>
    <row r="462" spans="1:10" x14ac:dyDescent="0.25">
      <c r="A462" s="2" t="s">
        <v>77</v>
      </c>
      <c r="B462" s="2">
        <v>2016</v>
      </c>
      <c r="C462" s="2" t="s">
        <v>23</v>
      </c>
      <c r="D462" s="2" t="s">
        <v>36</v>
      </c>
      <c r="E462" s="2" t="s">
        <v>78</v>
      </c>
      <c r="F462" s="2" t="s">
        <v>79</v>
      </c>
      <c r="G462" s="2">
        <f t="shared" si="7"/>
        <v>0.32841199720995118</v>
      </c>
      <c r="H462" s="5">
        <v>4.4418238993710695</v>
      </c>
      <c r="I462" s="2">
        <v>318</v>
      </c>
      <c r="J462" s="12">
        <f>I462/Pondération!$G$30</f>
        <v>7.3936293885142987E-2</v>
      </c>
    </row>
    <row r="463" spans="1:10" x14ac:dyDescent="0.25">
      <c r="A463" s="2" t="s">
        <v>77</v>
      </c>
      <c r="B463" s="2">
        <v>2016</v>
      </c>
      <c r="C463" s="2" t="s">
        <v>24</v>
      </c>
      <c r="D463" s="2" t="s">
        <v>36</v>
      </c>
      <c r="E463" s="2" t="s">
        <v>78</v>
      </c>
      <c r="F463" s="2" t="s">
        <v>79</v>
      </c>
      <c r="G463" s="2">
        <f t="shared" si="7"/>
        <v>0.67786561264822132</v>
      </c>
      <c r="H463" s="5">
        <v>4.4853846153846151</v>
      </c>
      <c r="I463" s="2">
        <v>650</v>
      </c>
      <c r="J463" s="12">
        <f>I463/Pondération!$G$30</f>
        <v>0.15112764473378285</v>
      </c>
    </row>
    <row r="464" spans="1:10" x14ac:dyDescent="0.25">
      <c r="A464" s="2" t="s">
        <v>77</v>
      </c>
      <c r="B464" s="2">
        <v>2016</v>
      </c>
      <c r="C464" s="2" t="s">
        <v>25</v>
      </c>
      <c r="D464" s="2" t="s">
        <v>36</v>
      </c>
      <c r="E464" s="2" t="s">
        <v>78</v>
      </c>
      <c r="F464" s="2" t="s">
        <v>79</v>
      </c>
      <c r="G464" s="2">
        <f t="shared" si="7"/>
        <v>1.2671471750755638</v>
      </c>
      <c r="H464" s="5">
        <v>4.4381107491856682</v>
      </c>
      <c r="I464" s="2">
        <v>1228</v>
      </c>
      <c r="J464" s="12">
        <f>I464/Pondération!$G$30</f>
        <v>0.28551499651243895</v>
      </c>
    </row>
    <row r="465" spans="1:10" x14ac:dyDescent="0.25">
      <c r="A465" s="2" t="s">
        <v>77</v>
      </c>
      <c r="B465" s="2">
        <v>2016</v>
      </c>
      <c r="C465" s="2" t="s">
        <v>26</v>
      </c>
      <c r="D465" s="2" t="s">
        <v>36</v>
      </c>
      <c r="E465" s="2" t="s">
        <v>78</v>
      </c>
      <c r="F465" s="2" t="s">
        <v>79</v>
      </c>
      <c r="G465" s="2">
        <f t="shared" si="7"/>
        <v>0.56765868402697051</v>
      </c>
      <c r="H465" s="5">
        <v>4.4552919708029197</v>
      </c>
      <c r="I465" s="2">
        <v>548</v>
      </c>
      <c r="J465" s="12">
        <f>I465/Pondération!$G$30</f>
        <v>0.12741222971402</v>
      </c>
    </row>
    <row r="466" spans="1:10" x14ac:dyDescent="0.25">
      <c r="A466" s="2" t="s">
        <v>77</v>
      </c>
      <c r="B466" s="2">
        <v>2016</v>
      </c>
      <c r="C466" s="2" t="s">
        <v>27</v>
      </c>
      <c r="D466" s="2" t="s">
        <v>36</v>
      </c>
      <c r="E466" s="2" t="s">
        <v>78</v>
      </c>
      <c r="F466" s="2" t="s">
        <v>79</v>
      </c>
      <c r="G466" s="2">
        <f t="shared" si="7"/>
        <v>0.28458498023715412</v>
      </c>
      <c r="H466" s="5">
        <v>4.5</v>
      </c>
      <c r="I466" s="2">
        <v>272</v>
      </c>
      <c r="J466" s="12">
        <f>I466/Pondération!$G$30</f>
        <v>6.3241106719367585E-2</v>
      </c>
    </row>
    <row r="467" spans="1:10" x14ac:dyDescent="0.25">
      <c r="A467" s="2" t="s">
        <v>77</v>
      </c>
      <c r="B467" s="2">
        <v>2016</v>
      </c>
      <c r="C467" s="2" t="s">
        <v>28</v>
      </c>
      <c r="D467" s="2" t="s">
        <v>36</v>
      </c>
      <c r="E467" s="2" t="s">
        <v>78</v>
      </c>
      <c r="F467" s="2" t="s">
        <v>79</v>
      </c>
      <c r="G467" s="2">
        <f t="shared" si="7"/>
        <v>0.19948849104859334</v>
      </c>
      <c r="H467" s="5">
        <v>4.46875</v>
      </c>
      <c r="I467" s="2">
        <v>192</v>
      </c>
      <c r="J467" s="12">
        <f>I467/Pondération!$G$30</f>
        <v>4.4640781213671238E-2</v>
      </c>
    </row>
    <row r="468" spans="1:10" x14ac:dyDescent="0.25">
      <c r="A468" s="2" t="s">
        <v>77</v>
      </c>
      <c r="B468" s="2">
        <v>2016</v>
      </c>
      <c r="C468" s="2" t="s">
        <v>29</v>
      </c>
      <c r="D468" s="2" t="s">
        <v>36</v>
      </c>
      <c r="E468" s="2" t="s">
        <v>78</v>
      </c>
      <c r="F468" s="2" t="s">
        <v>79</v>
      </c>
      <c r="G468" s="2">
        <f t="shared" si="7"/>
        <v>0.10962566844919786</v>
      </c>
      <c r="H468" s="5">
        <v>4.4904761904761905</v>
      </c>
      <c r="I468" s="2">
        <v>105</v>
      </c>
      <c r="J468" s="12">
        <f>I468/Pondération!$G$30</f>
        <v>2.4412927226226459E-2</v>
      </c>
    </row>
    <row r="469" spans="1:10" x14ac:dyDescent="0.25">
      <c r="A469" s="2" t="s">
        <v>77</v>
      </c>
      <c r="B469" s="2">
        <v>2017</v>
      </c>
      <c r="C469" s="2" t="s">
        <v>30</v>
      </c>
      <c r="D469" s="2" t="s">
        <v>36</v>
      </c>
      <c r="E469" s="2" t="s">
        <v>78</v>
      </c>
      <c r="F469" s="2" t="s">
        <v>79</v>
      </c>
      <c r="G469" s="2">
        <f t="shared" si="7"/>
        <v>0.29726288987905786</v>
      </c>
      <c r="H469" s="5">
        <v>4.490384615384615</v>
      </c>
      <c r="I469" s="2">
        <v>104</v>
      </c>
      <c r="J469" s="12">
        <f>I469/Pondération!$F$30</f>
        <v>6.6199872692552508E-2</v>
      </c>
    </row>
    <row r="470" spans="1:10" x14ac:dyDescent="0.25">
      <c r="A470" s="2" t="s">
        <v>77</v>
      </c>
      <c r="B470" s="2">
        <v>2017</v>
      </c>
      <c r="C470" s="2" t="s">
        <v>31</v>
      </c>
      <c r="D470" s="2" t="s">
        <v>36</v>
      </c>
      <c r="E470" s="2" t="s">
        <v>78</v>
      </c>
      <c r="F470" s="2" t="s">
        <v>79</v>
      </c>
      <c r="G470" s="2">
        <f t="shared" si="7"/>
        <v>0.42043284532145125</v>
      </c>
      <c r="H470" s="5">
        <v>4.4628378378378377</v>
      </c>
      <c r="I470" s="2">
        <v>148</v>
      </c>
      <c r="J470" s="12">
        <f>I470/Pondération!$F$30</f>
        <v>9.4207511139401651E-2</v>
      </c>
    </row>
    <row r="471" spans="1:10" x14ac:dyDescent="0.25">
      <c r="A471" s="2" t="s">
        <v>77</v>
      </c>
      <c r="B471" s="2">
        <v>2017</v>
      </c>
      <c r="C471" s="2" t="s">
        <v>32</v>
      </c>
      <c r="D471" s="2" t="s">
        <v>36</v>
      </c>
      <c r="E471" s="2" t="s">
        <v>78</v>
      </c>
      <c r="F471" s="2" t="s">
        <v>79</v>
      </c>
      <c r="G471" s="2">
        <f t="shared" si="7"/>
        <v>0.45003182686187143</v>
      </c>
      <c r="H471" s="5">
        <v>4.3641975308641978</v>
      </c>
      <c r="I471" s="2">
        <v>162</v>
      </c>
      <c r="J471" s="12">
        <f>I471/Pondération!$F$30</f>
        <v>0.10311903246339911</v>
      </c>
    </row>
    <row r="472" spans="1:10" x14ac:dyDescent="0.25">
      <c r="A472" s="2" t="s">
        <v>77</v>
      </c>
      <c r="B472" s="2">
        <v>2017</v>
      </c>
      <c r="C472" s="2" t="s">
        <v>33</v>
      </c>
      <c r="D472" s="2" t="s">
        <v>36</v>
      </c>
      <c r="E472" s="2" t="s">
        <v>78</v>
      </c>
      <c r="F472" s="2" t="s">
        <v>79</v>
      </c>
      <c r="G472" s="2">
        <f t="shared" si="7"/>
        <v>1.4296626352641628</v>
      </c>
      <c r="H472" s="5">
        <v>4.4563492063492065</v>
      </c>
      <c r="I472" s="2">
        <v>504</v>
      </c>
      <c r="J472" s="12">
        <f>I472/Pondération!$F$30</f>
        <v>0.32081476766390832</v>
      </c>
    </row>
    <row r="473" spans="1:10" x14ac:dyDescent="0.25">
      <c r="A473" s="2" t="s">
        <v>77</v>
      </c>
      <c r="B473" s="2">
        <v>2017</v>
      </c>
      <c r="C473" s="2" t="s">
        <v>34</v>
      </c>
      <c r="D473" s="2" t="s">
        <v>36</v>
      </c>
      <c r="E473" s="2" t="s">
        <v>78</v>
      </c>
      <c r="F473" s="2" t="s">
        <v>79</v>
      </c>
      <c r="G473" s="2">
        <f t="shared" si="7"/>
        <v>1.2371101209420752</v>
      </c>
      <c r="H473" s="5">
        <v>4.4575688073394497</v>
      </c>
      <c r="I473" s="2">
        <v>436</v>
      </c>
      <c r="J473" s="12">
        <f>I473/Pondération!$F$30</f>
        <v>0.27753023551877787</v>
      </c>
    </row>
    <row r="474" spans="1:10" x14ac:dyDescent="0.25">
      <c r="A474" s="2" t="s">
        <v>77</v>
      </c>
      <c r="B474" s="2">
        <v>2017</v>
      </c>
      <c r="C474" s="2" t="s">
        <v>80</v>
      </c>
      <c r="D474" s="2" t="s">
        <v>36</v>
      </c>
      <c r="E474" s="2" t="s">
        <v>78</v>
      </c>
      <c r="F474" s="2" t="s">
        <v>79</v>
      </c>
      <c r="G474" s="2">
        <f t="shared" si="7"/>
        <v>0.61966900063653729</v>
      </c>
      <c r="H474" s="5">
        <v>4.4861751152073737</v>
      </c>
      <c r="I474" s="2">
        <v>217</v>
      </c>
      <c r="J474" s="12">
        <f>I474/Pondération!$F$30</f>
        <v>0.13812858052196053</v>
      </c>
    </row>
    <row r="475" spans="1:10" x14ac:dyDescent="0.25">
      <c r="A475" s="2" t="s">
        <v>77</v>
      </c>
      <c r="B475" s="2">
        <v>2013</v>
      </c>
      <c r="C475" s="2" t="s">
        <v>49</v>
      </c>
      <c r="D475" s="2" t="s">
        <v>36</v>
      </c>
      <c r="E475" s="2" t="s">
        <v>78</v>
      </c>
      <c r="F475" s="2" t="s">
        <v>81</v>
      </c>
      <c r="G475" s="2">
        <f t="shared" si="7"/>
        <v>0.20560747663551401</v>
      </c>
      <c r="H475" s="5">
        <v>4.4000000000000004</v>
      </c>
      <c r="I475" s="2">
        <v>5</v>
      </c>
      <c r="J475" s="12">
        <f>I475/Pondération!$J$31</f>
        <v>4.6728971962616821E-2</v>
      </c>
    </row>
    <row r="476" spans="1:10" x14ac:dyDescent="0.25">
      <c r="A476" s="2" t="s">
        <v>77</v>
      </c>
      <c r="B476" s="2">
        <v>2013</v>
      </c>
      <c r="C476" s="2" t="s">
        <v>50</v>
      </c>
      <c r="D476" s="2" t="s">
        <v>36</v>
      </c>
      <c r="E476" s="2" t="s">
        <v>78</v>
      </c>
      <c r="F476" s="2" t="s">
        <v>81</v>
      </c>
      <c r="G476" s="2">
        <f t="shared" si="7"/>
        <v>0.24766355140186916</v>
      </c>
      <c r="H476" s="5">
        <v>4.416666666666667</v>
      </c>
      <c r="I476" s="2">
        <v>6</v>
      </c>
      <c r="J476" s="12">
        <f>I476/Pondération!$J$31</f>
        <v>5.6074766355140186E-2</v>
      </c>
    </row>
    <row r="477" spans="1:10" x14ac:dyDescent="0.25">
      <c r="A477" s="2" t="s">
        <v>77</v>
      </c>
      <c r="B477" s="2">
        <v>2013</v>
      </c>
      <c r="C477" s="2" t="s">
        <v>51</v>
      </c>
      <c r="D477" s="2" t="s">
        <v>36</v>
      </c>
      <c r="E477" s="2" t="s">
        <v>78</v>
      </c>
      <c r="F477" s="2" t="s">
        <v>81</v>
      </c>
      <c r="G477" s="2">
        <f t="shared" si="7"/>
        <v>0.36448598130841114</v>
      </c>
      <c r="H477" s="5">
        <v>4.333333333333333</v>
      </c>
      <c r="I477" s="2">
        <v>9</v>
      </c>
      <c r="J477" s="12">
        <f>I477/Pondération!$J$31</f>
        <v>8.4112149532710276E-2</v>
      </c>
    </row>
    <row r="478" spans="1:10" x14ac:dyDescent="0.25">
      <c r="A478" s="2" t="s">
        <v>77</v>
      </c>
      <c r="B478" s="2">
        <v>2013</v>
      </c>
      <c r="C478" s="2" t="s">
        <v>52</v>
      </c>
      <c r="D478" s="2" t="s">
        <v>36</v>
      </c>
      <c r="E478" s="2" t="s">
        <v>78</v>
      </c>
      <c r="F478" s="2" t="s">
        <v>81</v>
      </c>
      <c r="G478" s="2">
        <f t="shared" si="7"/>
        <v>0.32710280373831774</v>
      </c>
      <c r="H478" s="5">
        <v>4.375</v>
      </c>
      <c r="I478" s="2">
        <v>8</v>
      </c>
      <c r="J478" s="12">
        <f>I478/Pondération!$J$31</f>
        <v>7.476635514018691E-2</v>
      </c>
    </row>
    <row r="479" spans="1:10" x14ac:dyDescent="0.25">
      <c r="A479" s="2" t="s">
        <v>77</v>
      </c>
      <c r="B479" s="2">
        <v>2013</v>
      </c>
      <c r="C479" s="2" t="s">
        <v>53</v>
      </c>
      <c r="D479" s="2" t="s">
        <v>36</v>
      </c>
      <c r="E479" s="2" t="s">
        <v>78</v>
      </c>
      <c r="F479" s="2" t="s">
        <v>81</v>
      </c>
      <c r="G479" s="2">
        <f t="shared" si="7"/>
        <v>0.4299065420560747</v>
      </c>
      <c r="H479" s="5">
        <v>4.5999999999999996</v>
      </c>
      <c r="I479" s="2">
        <v>10</v>
      </c>
      <c r="J479" s="12">
        <f>I479/Pondération!$J$31</f>
        <v>9.3457943925233641E-2</v>
      </c>
    </row>
    <row r="480" spans="1:10" x14ac:dyDescent="0.25">
      <c r="A480" s="2" t="s">
        <v>77</v>
      </c>
      <c r="B480" s="2">
        <v>2013</v>
      </c>
      <c r="C480" s="2" t="s">
        <v>54</v>
      </c>
      <c r="D480" s="2" t="s">
        <v>36</v>
      </c>
      <c r="E480" s="2" t="s">
        <v>78</v>
      </c>
      <c r="F480" s="2" t="s">
        <v>81</v>
      </c>
      <c r="G480" s="2">
        <f t="shared" si="7"/>
        <v>0.40654205607476629</v>
      </c>
      <c r="H480" s="5">
        <v>4.3499999999999996</v>
      </c>
      <c r="I480" s="2">
        <v>10</v>
      </c>
      <c r="J480" s="12">
        <f>I480/Pondération!$J$31</f>
        <v>9.3457943925233641E-2</v>
      </c>
    </row>
    <row r="481" spans="1:10" x14ac:dyDescent="0.25">
      <c r="A481" s="2" t="s">
        <v>77</v>
      </c>
      <c r="B481" s="2">
        <v>2013</v>
      </c>
      <c r="C481" s="2" t="s">
        <v>55</v>
      </c>
      <c r="D481" s="2" t="s">
        <v>36</v>
      </c>
      <c r="E481" s="2" t="s">
        <v>78</v>
      </c>
      <c r="F481" s="2" t="s">
        <v>81</v>
      </c>
      <c r="G481" s="2">
        <f t="shared" si="7"/>
        <v>0.27570093457943923</v>
      </c>
      <c r="H481" s="5">
        <v>4.2142857142857144</v>
      </c>
      <c r="I481" s="2">
        <v>7</v>
      </c>
      <c r="J481" s="12">
        <f>I481/Pondération!$J$31</f>
        <v>6.5420560747663545E-2</v>
      </c>
    </row>
    <row r="482" spans="1:10" x14ac:dyDescent="0.25">
      <c r="A482" s="2" t="s">
        <v>77</v>
      </c>
      <c r="B482" s="2">
        <v>2013</v>
      </c>
      <c r="C482" s="2" t="s">
        <v>56</v>
      </c>
      <c r="D482" s="2" t="s">
        <v>36</v>
      </c>
      <c r="E482" s="2" t="s">
        <v>78</v>
      </c>
      <c r="F482" s="2" t="s">
        <v>81</v>
      </c>
      <c r="G482" s="2">
        <f t="shared" si="7"/>
        <v>1.0607476635514017</v>
      </c>
      <c r="H482" s="5">
        <v>4.2037037037037033</v>
      </c>
      <c r="I482" s="2">
        <v>27</v>
      </c>
      <c r="J482" s="12">
        <f>I482/Pondération!$J$31</f>
        <v>0.25233644859813081</v>
      </c>
    </row>
    <row r="483" spans="1:10" x14ac:dyDescent="0.25">
      <c r="A483" s="2" t="s">
        <v>77</v>
      </c>
      <c r="B483" s="2">
        <v>2013</v>
      </c>
      <c r="C483" s="2" t="s">
        <v>57</v>
      </c>
      <c r="D483" s="2" t="s">
        <v>36</v>
      </c>
      <c r="E483" s="2" t="s">
        <v>78</v>
      </c>
      <c r="F483" s="2" t="s">
        <v>81</v>
      </c>
      <c r="G483" s="2">
        <f t="shared" si="7"/>
        <v>0.32710280373831774</v>
      </c>
      <c r="H483" s="5">
        <v>4.375</v>
      </c>
      <c r="I483" s="2">
        <v>8</v>
      </c>
      <c r="J483" s="12">
        <f>I483/Pondération!$J$31</f>
        <v>7.476635514018691E-2</v>
      </c>
    </row>
    <row r="484" spans="1:10" x14ac:dyDescent="0.25">
      <c r="A484" s="2" t="s">
        <v>77</v>
      </c>
      <c r="B484" s="2">
        <v>2013</v>
      </c>
      <c r="C484" s="2" t="s">
        <v>58</v>
      </c>
      <c r="D484" s="2" t="s">
        <v>36</v>
      </c>
      <c r="E484" s="2" t="s">
        <v>78</v>
      </c>
      <c r="F484" s="2" t="s">
        <v>81</v>
      </c>
      <c r="G484" s="2">
        <f t="shared" si="7"/>
        <v>0.29906542056074764</v>
      </c>
      <c r="H484" s="5">
        <v>4.5714285714285712</v>
      </c>
      <c r="I484" s="2">
        <v>7</v>
      </c>
      <c r="J484" s="12">
        <f>I484/Pondération!$J$31</f>
        <v>6.5420560747663545E-2</v>
      </c>
    </row>
    <row r="485" spans="1:10" x14ac:dyDescent="0.25">
      <c r="A485" s="2" t="s">
        <v>77</v>
      </c>
      <c r="B485" s="2">
        <v>2013</v>
      </c>
      <c r="C485" s="2" t="s">
        <v>59</v>
      </c>
      <c r="D485" s="2" t="s">
        <v>36</v>
      </c>
      <c r="E485" s="2" t="s">
        <v>78</v>
      </c>
      <c r="F485" s="2" t="s">
        <v>81</v>
      </c>
      <c r="G485" s="2">
        <f t="shared" si="7"/>
        <v>0.25233644859813081</v>
      </c>
      <c r="H485" s="5">
        <v>4.5</v>
      </c>
      <c r="I485" s="2">
        <v>6</v>
      </c>
      <c r="J485" s="12">
        <f>I485/Pondération!$J$31</f>
        <v>5.6074766355140186E-2</v>
      </c>
    </row>
    <row r="486" spans="1:10" x14ac:dyDescent="0.25">
      <c r="A486" s="2" t="s">
        <v>77</v>
      </c>
      <c r="B486" s="2">
        <v>2013</v>
      </c>
      <c r="C486" s="2" t="s">
        <v>60</v>
      </c>
      <c r="D486" s="2" t="s">
        <v>36</v>
      </c>
      <c r="E486" s="2" t="s">
        <v>78</v>
      </c>
      <c r="F486" s="2" t="s">
        <v>81</v>
      </c>
      <c r="G486" s="2">
        <f t="shared" si="7"/>
        <v>0.18691588785046728</v>
      </c>
      <c r="H486" s="5">
        <v>5</v>
      </c>
      <c r="I486" s="2">
        <v>4</v>
      </c>
      <c r="J486" s="12">
        <f>I486/Pondération!$J$31</f>
        <v>3.7383177570093455E-2</v>
      </c>
    </row>
    <row r="487" spans="1:10" x14ac:dyDescent="0.25">
      <c r="A487" s="2" t="s">
        <v>77</v>
      </c>
      <c r="B487" s="2">
        <v>2014</v>
      </c>
      <c r="C487" s="2" t="s">
        <v>61</v>
      </c>
      <c r="D487" s="2" t="s">
        <v>36</v>
      </c>
      <c r="E487" s="2" t="s">
        <v>78</v>
      </c>
      <c r="F487" s="2" t="s">
        <v>81</v>
      </c>
      <c r="G487" s="2">
        <f t="shared" si="7"/>
        <v>0.13983050847457629</v>
      </c>
      <c r="H487" s="5">
        <v>4.5</v>
      </c>
      <c r="I487" s="2">
        <v>11</v>
      </c>
      <c r="J487" s="12">
        <f>I487/Pondération!$I$31</f>
        <v>3.1073446327683617E-2</v>
      </c>
    </row>
    <row r="488" spans="1:10" x14ac:dyDescent="0.25">
      <c r="A488" s="2" t="s">
        <v>77</v>
      </c>
      <c r="B488" s="2">
        <v>2014</v>
      </c>
      <c r="C488" s="2" t="s">
        <v>62</v>
      </c>
      <c r="D488" s="2" t="s">
        <v>36</v>
      </c>
      <c r="E488" s="2" t="s">
        <v>78</v>
      </c>
      <c r="F488" s="2" t="s">
        <v>81</v>
      </c>
      <c r="G488" s="2">
        <f t="shared" si="7"/>
        <v>8.3333333333333343E-2</v>
      </c>
      <c r="H488" s="5">
        <v>4.916666666666667</v>
      </c>
      <c r="I488" s="2">
        <v>6</v>
      </c>
      <c r="J488" s="12">
        <f>I488/Pondération!$I$31</f>
        <v>1.6949152542372881E-2</v>
      </c>
    </row>
    <row r="489" spans="1:10" x14ac:dyDescent="0.25">
      <c r="A489" s="2" t="s">
        <v>77</v>
      </c>
      <c r="B489" s="2">
        <v>2014</v>
      </c>
      <c r="C489" s="2" t="s">
        <v>63</v>
      </c>
      <c r="D489" s="2" t="s">
        <v>36</v>
      </c>
      <c r="E489" s="2" t="s">
        <v>78</v>
      </c>
      <c r="F489" s="2" t="s">
        <v>81</v>
      </c>
      <c r="G489" s="2">
        <f t="shared" si="7"/>
        <v>8.898305084745764E-2</v>
      </c>
      <c r="H489" s="5">
        <v>4.5</v>
      </c>
      <c r="I489" s="2">
        <v>7</v>
      </c>
      <c r="J489" s="12">
        <f>I489/Pondération!$I$31</f>
        <v>1.977401129943503E-2</v>
      </c>
    </row>
    <row r="490" spans="1:10" x14ac:dyDescent="0.25">
      <c r="A490" s="2" t="s">
        <v>77</v>
      </c>
      <c r="B490" s="2">
        <v>2014</v>
      </c>
      <c r="C490" s="2" t="s">
        <v>64</v>
      </c>
      <c r="D490" s="2" t="s">
        <v>36</v>
      </c>
      <c r="E490" s="2" t="s">
        <v>78</v>
      </c>
      <c r="F490" s="2" t="s">
        <v>81</v>
      </c>
      <c r="G490" s="2">
        <f t="shared" si="7"/>
        <v>0.17090395480225989</v>
      </c>
      <c r="H490" s="5">
        <v>4.3214285714285712</v>
      </c>
      <c r="I490" s="2">
        <v>14</v>
      </c>
      <c r="J490" s="12">
        <f>I490/Pondération!$I$31</f>
        <v>3.954802259887006E-2</v>
      </c>
    </row>
    <row r="491" spans="1:10" x14ac:dyDescent="0.25">
      <c r="A491" s="2" t="s">
        <v>77</v>
      </c>
      <c r="B491" s="2">
        <v>2014</v>
      </c>
      <c r="C491" s="2" t="s">
        <v>65</v>
      </c>
      <c r="D491" s="2" t="s">
        <v>36</v>
      </c>
      <c r="E491" s="2" t="s">
        <v>78</v>
      </c>
      <c r="F491" s="2" t="s">
        <v>81</v>
      </c>
      <c r="G491" s="2">
        <f t="shared" si="7"/>
        <v>0.37853107344632764</v>
      </c>
      <c r="H491" s="5">
        <v>4.32258064516129</v>
      </c>
      <c r="I491" s="2">
        <v>31</v>
      </c>
      <c r="J491" s="12">
        <f>I491/Pondération!$I$31</f>
        <v>8.7570621468926552E-2</v>
      </c>
    </row>
    <row r="492" spans="1:10" x14ac:dyDescent="0.25">
      <c r="A492" s="2" t="s">
        <v>77</v>
      </c>
      <c r="B492" s="2">
        <v>2014</v>
      </c>
      <c r="C492" s="2" t="s">
        <v>66</v>
      </c>
      <c r="D492" s="2" t="s">
        <v>36</v>
      </c>
      <c r="E492" s="2" t="s">
        <v>78</v>
      </c>
      <c r="F492" s="2" t="s">
        <v>81</v>
      </c>
      <c r="G492" s="2">
        <f t="shared" si="7"/>
        <v>0.28389830508474578</v>
      </c>
      <c r="H492" s="5">
        <v>4.1875</v>
      </c>
      <c r="I492" s="2">
        <v>24</v>
      </c>
      <c r="J492" s="12">
        <f>I492/Pondération!$I$31</f>
        <v>6.7796610169491525E-2</v>
      </c>
    </row>
    <row r="493" spans="1:10" x14ac:dyDescent="0.25">
      <c r="A493" s="2" t="s">
        <v>77</v>
      </c>
      <c r="B493" s="2">
        <v>2014</v>
      </c>
      <c r="C493" s="2" t="s">
        <v>67</v>
      </c>
      <c r="D493" s="2" t="s">
        <v>36</v>
      </c>
      <c r="E493" s="2" t="s">
        <v>78</v>
      </c>
      <c r="F493" s="2" t="s">
        <v>81</v>
      </c>
      <c r="G493" s="2">
        <f t="shared" si="7"/>
        <v>0.58615819209039544</v>
      </c>
      <c r="H493" s="5">
        <v>4.2346938775510203</v>
      </c>
      <c r="I493" s="2">
        <v>49</v>
      </c>
      <c r="J493" s="12">
        <f>I493/Pondération!$I$31</f>
        <v>0.1384180790960452</v>
      </c>
    </row>
    <row r="494" spans="1:10" x14ac:dyDescent="0.25">
      <c r="A494" s="2" t="s">
        <v>77</v>
      </c>
      <c r="B494" s="2">
        <v>2014</v>
      </c>
      <c r="C494" s="2" t="s">
        <v>68</v>
      </c>
      <c r="D494" s="2" t="s">
        <v>36</v>
      </c>
      <c r="E494" s="2" t="s">
        <v>78</v>
      </c>
      <c r="F494" s="2" t="s">
        <v>81</v>
      </c>
      <c r="G494" s="2">
        <f t="shared" si="7"/>
        <v>1.1144067796610171</v>
      </c>
      <c r="H494" s="5">
        <v>4.3833333333333337</v>
      </c>
      <c r="I494" s="2">
        <v>90</v>
      </c>
      <c r="J494" s="12">
        <f>I494/Pondération!$I$31</f>
        <v>0.25423728813559321</v>
      </c>
    </row>
    <row r="495" spans="1:10" x14ac:dyDescent="0.25">
      <c r="A495" s="2" t="s">
        <v>77</v>
      </c>
      <c r="B495" s="2">
        <v>2014</v>
      </c>
      <c r="C495" s="2" t="s">
        <v>69</v>
      </c>
      <c r="D495" s="2" t="s">
        <v>36</v>
      </c>
      <c r="E495" s="2" t="s">
        <v>78</v>
      </c>
      <c r="F495" s="2" t="s">
        <v>81</v>
      </c>
      <c r="G495" s="2">
        <f t="shared" si="7"/>
        <v>0.51271186440677974</v>
      </c>
      <c r="H495" s="5">
        <v>4.2209302325581399</v>
      </c>
      <c r="I495" s="2">
        <v>43</v>
      </c>
      <c r="J495" s="12">
        <f>I495/Pondération!$I$31</f>
        <v>0.12146892655367232</v>
      </c>
    </row>
    <row r="496" spans="1:10" x14ac:dyDescent="0.25">
      <c r="A496" s="2" t="s">
        <v>77</v>
      </c>
      <c r="B496" s="2">
        <v>2014</v>
      </c>
      <c r="C496" s="2" t="s">
        <v>70</v>
      </c>
      <c r="D496" s="2" t="s">
        <v>36</v>
      </c>
      <c r="E496" s="2" t="s">
        <v>78</v>
      </c>
      <c r="F496" s="2" t="s">
        <v>81</v>
      </c>
      <c r="G496" s="2">
        <f t="shared" si="7"/>
        <v>0.3036723163841808</v>
      </c>
      <c r="H496" s="5">
        <v>4.3</v>
      </c>
      <c r="I496" s="2">
        <v>25</v>
      </c>
      <c r="J496" s="12">
        <f>I496/Pondération!$I$31</f>
        <v>7.0621468926553674E-2</v>
      </c>
    </row>
    <row r="497" spans="1:10" x14ac:dyDescent="0.25">
      <c r="A497" s="2" t="s">
        <v>77</v>
      </c>
      <c r="B497" s="2">
        <v>2014</v>
      </c>
      <c r="C497" s="2" t="s">
        <v>71</v>
      </c>
      <c r="D497" s="2" t="s">
        <v>36</v>
      </c>
      <c r="E497" s="2" t="s">
        <v>78</v>
      </c>
      <c r="F497" s="2" t="s">
        <v>81</v>
      </c>
      <c r="G497" s="2">
        <f t="shared" si="7"/>
        <v>0.41949152542372886</v>
      </c>
      <c r="H497" s="5">
        <v>4.125</v>
      </c>
      <c r="I497" s="2">
        <v>36</v>
      </c>
      <c r="J497" s="12">
        <f>I497/Pondération!$I$31</f>
        <v>0.10169491525423729</v>
      </c>
    </row>
    <row r="498" spans="1:10" x14ac:dyDescent="0.25">
      <c r="A498" s="2" t="s">
        <v>77</v>
      </c>
      <c r="B498" s="2">
        <v>2014</v>
      </c>
      <c r="C498" s="2" t="s">
        <v>72</v>
      </c>
      <c r="D498" s="2" t="s">
        <v>36</v>
      </c>
      <c r="E498" s="2" t="s">
        <v>78</v>
      </c>
      <c r="F498" s="2" t="s">
        <v>81</v>
      </c>
      <c r="G498" s="2">
        <f t="shared" si="7"/>
        <v>0.21045197740112997</v>
      </c>
      <c r="H498" s="5">
        <v>4.1388888888888893</v>
      </c>
      <c r="I498" s="2">
        <v>18</v>
      </c>
      <c r="J498" s="12">
        <f>I498/Pondération!$I$31</f>
        <v>5.0847457627118647E-2</v>
      </c>
    </row>
    <row r="499" spans="1:10" x14ac:dyDescent="0.25">
      <c r="A499" s="2" t="s">
        <v>77</v>
      </c>
      <c r="B499" s="2">
        <v>2015</v>
      </c>
      <c r="C499" s="2" t="s">
        <v>73</v>
      </c>
      <c r="D499" s="2" t="s">
        <v>36</v>
      </c>
      <c r="E499" s="2" t="s">
        <v>78</v>
      </c>
      <c r="F499" s="2" t="s">
        <v>81</v>
      </c>
      <c r="G499" s="2">
        <f t="shared" si="7"/>
        <v>8.9479392624728857E-2</v>
      </c>
      <c r="H499" s="5">
        <v>4.3421052631578947</v>
      </c>
      <c r="I499" s="2">
        <v>19</v>
      </c>
      <c r="J499" s="12">
        <f>I499/Pondération!$H$31</f>
        <v>2.0607375271149676E-2</v>
      </c>
    </row>
    <row r="500" spans="1:10" x14ac:dyDescent="0.25">
      <c r="A500" s="2" t="s">
        <v>77</v>
      </c>
      <c r="B500" s="2">
        <v>2015</v>
      </c>
      <c r="C500" s="2" t="s">
        <v>74</v>
      </c>
      <c r="D500" s="2" t="s">
        <v>36</v>
      </c>
      <c r="E500" s="2" t="s">
        <v>78</v>
      </c>
      <c r="F500" s="2" t="s">
        <v>81</v>
      </c>
      <c r="G500" s="2">
        <f t="shared" si="7"/>
        <v>0.13286334056399132</v>
      </c>
      <c r="H500" s="5">
        <v>4.375</v>
      </c>
      <c r="I500" s="2">
        <v>28</v>
      </c>
      <c r="J500" s="12">
        <f>I500/Pondération!$H$31</f>
        <v>3.0368763557483729E-2</v>
      </c>
    </row>
    <row r="501" spans="1:10" x14ac:dyDescent="0.25">
      <c r="A501" s="2" t="s">
        <v>77</v>
      </c>
      <c r="B501" s="2">
        <v>2015</v>
      </c>
      <c r="C501" s="2" t="s">
        <v>75</v>
      </c>
      <c r="D501" s="2" t="s">
        <v>36</v>
      </c>
      <c r="E501" s="2" t="s">
        <v>78</v>
      </c>
      <c r="F501" s="2" t="s">
        <v>81</v>
      </c>
      <c r="G501" s="2">
        <f t="shared" si="7"/>
        <v>0.13503253796095446</v>
      </c>
      <c r="H501" s="5">
        <v>4.2931034482758621</v>
      </c>
      <c r="I501" s="2">
        <v>29</v>
      </c>
      <c r="J501" s="12">
        <f>I501/Pondération!$H$31</f>
        <v>3.1453362255965296E-2</v>
      </c>
    </row>
    <row r="502" spans="1:10" x14ac:dyDescent="0.25">
      <c r="A502" s="2" t="s">
        <v>77</v>
      </c>
      <c r="B502" s="2">
        <v>2015</v>
      </c>
      <c r="C502" s="2" t="s">
        <v>76</v>
      </c>
      <c r="D502" s="2" t="s">
        <v>36</v>
      </c>
      <c r="E502" s="2" t="s">
        <v>78</v>
      </c>
      <c r="F502" s="2" t="s">
        <v>81</v>
      </c>
      <c r="G502" s="2">
        <f t="shared" si="7"/>
        <v>0.19251626898047722</v>
      </c>
      <c r="H502" s="5">
        <v>4.3292682926829267</v>
      </c>
      <c r="I502" s="2">
        <v>41</v>
      </c>
      <c r="J502" s="12">
        <f>I502/Pondération!$H$31</f>
        <v>4.4468546637744036E-2</v>
      </c>
    </row>
    <row r="503" spans="1:10" x14ac:dyDescent="0.25">
      <c r="A503" s="2" t="s">
        <v>77</v>
      </c>
      <c r="B503" s="2">
        <v>2015</v>
      </c>
      <c r="C503" s="2" t="s">
        <v>7</v>
      </c>
      <c r="D503" s="2" t="s">
        <v>36</v>
      </c>
      <c r="E503" s="2" t="s">
        <v>78</v>
      </c>
      <c r="F503" s="2" t="s">
        <v>81</v>
      </c>
      <c r="G503" s="2">
        <f t="shared" si="7"/>
        <v>0.41160520607375273</v>
      </c>
      <c r="H503" s="5">
        <v>4.2640449438202248</v>
      </c>
      <c r="I503" s="2">
        <v>89</v>
      </c>
      <c r="J503" s="12">
        <f>I503/Pondération!$H$31</f>
        <v>9.6529284164859008E-2</v>
      </c>
    </row>
    <row r="504" spans="1:10" x14ac:dyDescent="0.25">
      <c r="A504" s="2" t="s">
        <v>77</v>
      </c>
      <c r="B504" s="2">
        <v>2015</v>
      </c>
      <c r="C504" s="2" t="s">
        <v>11</v>
      </c>
      <c r="D504" s="2" t="s">
        <v>36</v>
      </c>
      <c r="E504" s="2" t="s">
        <v>78</v>
      </c>
      <c r="F504" s="2" t="s">
        <v>81</v>
      </c>
      <c r="G504" s="2">
        <f t="shared" si="7"/>
        <v>0.29013015184381774</v>
      </c>
      <c r="H504" s="5">
        <v>4.115384615384615</v>
      </c>
      <c r="I504" s="2">
        <v>65</v>
      </c>
      <c r="J504" s="12">
        <f>I504/Pondération!$H$31</f>
        <v>7.0498915401301515E-2</v>
      </c>
    </row>
    <row r="505" spans="1:10" x14ac:dyDescent="0.25">
      <c r="A505" s="2" t="s">
        <v>77</v>
      </c>
      <c r="B505" s="2">
        <v>2015</v>
      </c>
      <c r="C505" s="2" t="s">
        <v>12</v>
      </c>
      <c r="D505" s="2" t="s">
        <v>36</v>
      </c>
      <c r="E505" s="2" t="s">
        <v>78</v>
      </c>
      <c r="F505" s="2" t="s">
        <v>81</v>
      </c>
      <c r="G505" s="2">
        <f t="shared" si="7"/>
        <v>0.75</v>
      </c>
      <c r="H505" s="5">
        <v>4.2950310559006208</v>
      </c>
      <c r="I505" s="2">
        <v>161</v>
      </c>
      <c r="J505" s="12">
        <f>I505/Pondération!$H$31</f>
        <v>0.17462039045553146</v>
      </c>
    </row>
    <row r="506" spans="1:10" x14ac:dyDescent="0.25">
      <c r="A506" s="2" t="s">
        <v>77</v>
      </c>
      <c r="B506" s="2">
        <v>2015</v>
      </c>
      <c r="C506" s="2" t="s">
        <v>13</v>
      </c>
      <c r="D506" s="2" t="s">
        <v>36</v>
      </c>
      <c r="E506" s="2" t="s">
        <v>78</v>
      </c>
      <c r="F506" s="2" t="s">
        <v>81</v>
      </c>
      <c r="G506" s="2">
        <f t="shared" si="7"/>
        <v>0.99457700650759218</v>
      </c>
      <c r="H506" s="5">
        <v>4.225806451612903</v>
      </c>
      <c r="I506" s="2">
        <v>217</v>
      </c>
      <c r="J506" s="12">
        <f>I506/Pondération!$H$31</f>
        <v>0.23535791757049893</v>
      </c>
    </row>
    <row r="507" spans="1:10" x14ac:dyDescent="0.25">
      <c r="A507" s="2" t="s">
        <v>77</v>
      </c>
      <c r="B507" s="2">
        <v>2015</v>
      </c>
      <c r="C507" s="2" t="s">
        <v>14</v>
      </c>
      <c r="D507" s="2" t="s">
        <v>36</v>
      </c>
      <c r="E507" s="2" t="s">
        <v>78</v>
      </c>
      <c r="F507" s="2" t="s">
        <v>81</v>
      </c>
      <c r="G507" s="2">
        <f t="shared" si="7"/>
        <v>0.42245119305856832</v>
      </c>
      <c r="H507" s="5">
        <v>4.2802197802197801</v>
      </c>
      <c r="I507" s="2">
        <v>91</v>
      </c>
      <c r="J507" s="12">
        <f>I507/Pondération!$H$31</f>
        <v>9.8698481561822121E-2</v>
      </c>
    </row>
    <row r="508" spans="1:10" x14ac:dyDescent="0.25">
      <c r="A508" s="2" t="s">
        <v>77</v>
      </c>
      <c r="B508" s="2">
        <v>2015</v>
      </c>
      <c r="C508" s="2" t="s">
        <v>15</v>
      </c>
      <c r="D508" s="2" t="s">
        <v>36</v>
      </c>
      <c r="E508" s="2" t="s">
        <v>78</v>
      </c>
      <c r="F508" s="2" t="s">
        <v>81</v>
      </c>
      <c r="G508" s="2">
        <f t="shared" si="7"/>
        <v>0.29338394793926248</v>
      </c>
      <c r="H508" s="5">
        <v>4.4344262295081966</v>
      </c>
      <c r="I508" s="2">
        <v>61</v>
      </c>
      <c r="J508" s="12">
        <f>I508/Pondération!$H$31</f>
        <v>6.6160520607375276E-2</v>
      </c>
    </row>
    <row r="509" spans="1:10" x14ac:dyDescent="0.25">
      <c r="A509" s="2" t="s">
        <v>77</v>
      </c>
      <c r="B509" s="2">
        <v>2015</v>
      </c>
      <c r="C509" s="2" t="s">
        <v>16</v>
      </c>
      <c r="D509" s="2" t="s">
        <v>36</v>
      </c>
      <c r="E509" s="2" t="s">
        <v>78</v>
      </c>
      <c r="F509" s="2" t="s">
        <v>81</v>
      </c>
      <c r="G509" s="2">
        <f t="shared" si="7"/>
        <v>0.1816702819956616</v>
      </c>
      <c r="H509" s="5">
        <v>4.1875</v>
      </c>
      <c r="I509" s="2">
        <v>40</v>
      </c>
      <c r="J509" s="12">
        <f>I509/Pondération!$H$31</f>
        <v>4.3383947939262472E-2</v>
      </c>
    </row>
    <row r="510" spans="1:10" x14ac:dyDescent="0.25">
      <c r="A510" s="2" t="s">
        <v>77</v>
      </c>
      <c r="B510" s="2">
        <v>2015</v>
      </c>
      <c r="C510" s="2" t="s">
        <v>17</v>
      </c>
      <c r="D510" s="2" t="s">
        <v>36</v>
      </c>
      <c r="E510" s="2" t="s">
        <v>78</v>
      </c>
      <c r="F510" s="2" t="s">
        <v>81</v>
      </c>
      <c r="G510" s="2">
        <f t="shared" si="7"/>
        <v>0.40130151843817785</v>
      </c>
      <c r="H510" s="5">
        <v>4.5679012345679011</v>
      </c>
      <c r="I510" s="2">
        <v>81</v>
      </c>
      <c r="J510" s="12">
        <f>I510/Pondération!$H$31</f>
        <v>8.7852494577006501E-2</v>
      </c>
    </row>
    <row r="511" spans="1:10" x14ac:dyDescent="0.25">
      <c r="A511" s="2" t="s">
        <v>77</v>
      </c>
      <c r="B511" s="2">
        <v>2016</v>
      </c>
      <c r="C511" s="2" t="s">
        <v>18</v>
      </c>
      <c r="D511" s="2" t="s">
        <v>36</v>
      </c>
      <c r="E511" s="2" t="s">
        <v>78</v>
      </c>
      <c r="F511" s="2" t="s">
        <v>81</v>
      </c>
      <c r="G511" s="2">
        <f t="shared" si="7"/>
        <v>0.18612585291887793</v>
      </c>
      <c r="H511" s="5">
        <v>4.3839285714285712</v>
      </c>
      <c r="I511" s="2">
        <v>56</v>
      </c>
      <c r="J511" s="12">
        <f>I511/Pondération!$G$31</f>
        <v>4.2456406368460958E-2</v>
      </c>
    </row>
    <row r="512" spans="1:10" x14ac:dyDescent="0.25">
      <c r="A512" s="2" t="s">
        <v>77</v>
      </c>
      <c r="B512" s="2">
        <v>2016</v>
      </c>
      <c r="C512" s="2" t="s">
        <v>19</v>
      </c>
      <c r="D512" s="2" t="s">
        <v>36</v>
      </c>
      <c r="E512" s="2" t="s">
        <v>78</v>
      </c>
      <c r="F512" s="2" t="s">
        <v>81</v>
      </c>
      <c r="G512" s="2">
        <f t="shared" si="7"/>
        <v>0.18612585291887795</v>
      </c>
      <c r="H512" s="5">
        <v>4.307017543859649</v>
      </c>
      <c r="I512" s="2">
        <v>57</v>
      </c>
      <c r="J512" s="12">
        <f>I512/Pondération!$G$31</f>
        <v>4.3214556482183475E-2</v>
      </c>
    </row>
    <row r="513" spans="1:10" x14ac:dyDescent="0.25">
      <c r="A513" s="2" t="s">
        <v>77</v>
      </c>
      <c r="B513" s="2">
        <v>2016</v>
      </c>
      <c r="C513" s="2" t="s">
        <v>20</v>
      </c>
      <c r="D513" s="2" t="s">
        <v>36</v>
      </c>
      <c r="E513" s="2" t="s">
        <v>78</v>
      </c>
      <c r="F513" s="2" t="s">
        <v>81</v>
      </c>
      <c r="G513" s="2">
        <f t="shared" si="7"/>
        <v>0.17399545109931763</v>
      </c>
      <c r="H513" s="5">
        <v>4.3301886792452828</v>
      </c>
      <c r="I513" s="2">
        <v>53</v>
      </c>
      <c r="J513" s="12">
        <f>I513/Pondération!$G$31</f>
        <v>4.0181956027293401E-2</v>
      </c>
    </row>
    <row r="514" spans="1:10" x14ac:dyDescent="0.25">
      <c r="A514" s="2" t="s">
        <v>77</v>
      </c>
      <c r="B514" s="2">
        <v>2016</v>
      </c>
      <c r="C514" s="2" t="s">
        <v>21</v>
      </c>
      <c r="D514" s="2" t="s">
        <v>36</v>
      </c>
      <c r="E514" s="2" t="s">
        <v>78</v>
      </c>
      <c r="F514" s="2" t="s">
        <v>81</v>
      </c>
      <c r="G514" s="2">
        <f t="shared" ref="G514:G577" si="8">H514*J514</f>
        <v>0.33813495072024258</v>
      </c>
      <c r="H514" s="5">
        <v>4.3300970873786406</v>
      </c>
      <c r="I514" s="2">
        <v>103</v>
      </c>
      <c r="J514" s="12">
        <f>I514/Pondération!$G$31</f>
        <v>7.8089461713419253E-2</v>
      </c>
    </row>
    <row r="515" spans="1:10" x14ac:dyDescent="0.25">
      <c r="A515" s="2" t="s">
        <v>77</v>
      </c>
      <c r="B515" s="2">
        <v>2016</v>
      </c>
      <c r="C515" s="2" t="s">
        <v>22</v>
      </c>
      <c r="D515" s="2" t="s">
        <v>36</v>
      </c>
      <c r="E515" s="2" t="s">
        <v>78</v>
      </c>
      <c r="F515" s="2" t="s">
        <v>81</v>
      </c>
      <c r="G515" s="2">
        <f t="shared" si="8"/>
        <v>0.20924943138741472</v>
      </c>
      <c r="H515" s="5">
        <v>4.3809523809523814</v>
      </c>
      <c r="I515" s="2">
        <v>63</v>
      </c>
      <c r="J515" s="12">
        <f>I515/Pondération!$G$31</f>
        <v>4.7763457164518575E-2</v>
      </c>
    </row>
    <row r="516" spans="1:10" x14ac:dyDescent="0.25">
      <c r="A516" s="2" t="s">
        <v>77</v>
      </c>
      <c r="B516" s="2">
        <v>2016</v>
      </c>
      <c r="C516" s="2" t="s">
        <v>23</v>
      </c>
      <c r="D516" s="2" t="s">
        <v>36</v>
      </c>
      <c r="E516" s="2" t="s">
        <v>78</v>
      </c>
      <c r="F516" s="2" t="s">
        <v>81</v>
      </c>
      <c r="G516" s="2">
        <f t="shared" si="8"/>
        <v>0.24753601213040186</v>
      </c>
      <c r="H516" s="5">
        <v>4.2402597402597406</v>
      </c>
      <c r="I516" s="2">
        <v>77</v>
      </c>
      <c r="J516" s="12">
        <f>I516/Pondération!$G$31</f>
        <v>5.8377558756633814E-2</v>
      </c>
    </row>
    <row r="517" spans="1:10" x14ac:dyDescent="0.25">
      <c r="A517" s="2" t="s">
        <v>77</v>
      </c>
      <c r="B517" s="2">
        <v>2016</v>
      </c>
      <c r="C517" s="2" t="s">
        <v>24</v>
      </c>
      <c r="D517" s="2" t="s">
        <v>36</v>
      </c>
      <c r="E517" s="2" t="s">
        <v>78</v>
      </c>
      <c r="F517" s="2" t="s">
        <v>81</v>
      </c>
      <c r="G517" s="2">
        <f t="shared" si="8"/>
        <v>0.5451099317664897</v>
      </c>
      <c r="H517" s="5">
        <v>4.4110429447852759</v>
      </c>
      <c r="I517" s="2">
        <v>163</v>
      </c>
      <c r="J517" s="12">
        <f>I517/Pondération!$G$31</f>
        <v>0.12357846853677028</v>
      </c>
    </row>
    <row r="518" spans="1:10" x14ac:dyDescent="0.25">
      <c r="A518" s="2" t="s">
        <v>77</v>
      </c>
      <c r="B518" s="2">
        <v>2016</v>
      </c>
      <c r="C518" s="2" t="s">
        <v>25</v>
      </c>
      <c r="D518" s="2" t="s">
        <v>36</v>
      </c>
      <c r="E518" s="2" t="s">
        <v>78</v>
      </c>
      <c r="F518" s="2" t="s">
        <v>81</v>
      </c>
      <c r="G518" s="2">
        <f t="shared" si="8"/>
        <v>0.98294162244124339</v>
      </c>
      <c r="H518" s="5">
        <v>4.3949152542372882</v>
      </c>
      <c r="I518" s="2">
        <v>295</v>
      </c>
      <c r="J518" s="12">
        <f>I518/Pondération!$G$31</f>
        <v>0.22365428354814254</v>
      </c>
    </row>
    <row r="519" spans="1:10" x14ac:dyDescent="0.25">
      <c r="A519" s="2" t="s">
        <v>77</v>
      </c>
      <c r="B519" s="2">
        <v>2016</v>
      </c>
      <c r="C519" s="2" t="s">
        <v>26</v>
      </c>
      <c r="D519" s="2" t="s">
        <v>36</v>
      </c>
      <c r="E519" s="2" t="s">
        <v>78</v>
      </c>
      <c r="F519" s="2" t="s">
        <v>81</v>
      </c>
      <c r="G519" s="2">
        <f t="shared" si="8"/>
        <v>0.41281273692191056</v>
      </c>
      <c r="H519" s="5">
        <v>4.5</v>
      </c>
      <c r="I519" s="2">
        <v>121</v>
      </c>
      <c r="J519" s="12">
        <f>I519/Pondération!$G$31</f>
        <v>9.1736163760424566E-2</v>
      </c>
    </row>
    <row r="520" spans="1:10" x14ac:dyDescent="0.25">
      <c r="A520" s="2" t="s">
        <v>77</v>
      </c>
      <c r="B520" s="2">
        <v>2016</v>
      </c>
      <c r="C520" s="2" t="s">
        <v>27</v>
      </c>
      <c r="D520" s="2" t="s">
        <v>36</v>
      </c>
      <c r="E520" s="2" t="s">
        <v>78</v>
      </c>
      <c r="F520" s="2" t="s">
        <v>81</v>
      </c>
      <c r="G520" s="2">
        <f t="shared" si="8"/>
        <v>0.47915087187263078</v>
      </c>
      <c r="H520" s="5">
        <v>4.6470588235294121</v>
      </c>
      <c r="I520" s="2">
        <v>136</v>
      </c>
      <c r="J520" s="12">
        <f>I520/Pondération!$G$31</f>
        <v>0.10310841546626232</v>
      </c>
    </row>
    <row r="521" spans="1:10" x14ac:dyDescent="0.25">
      <c r="A521" s="2" t="s">
        <v>77</v>
      </c>
      <c r="B521" s="2">
        <v>2016</v>
      </c>
      <c r="C521" s="2" t="s">
        <v>28</v>
      </c>
      <c r="D521" s="2" t="s">
        <v>36</v>
      </c>
      <c r="E521" s="2" t="s">
        <v>78</v>
      </c>
      <c r="F521" s="2" t="s">
        <v>81</v>
      </c>
      <c r="G521" s="2">
        <f t="shared" si="8"/>
        <v>0.37149355572403331</v>
      </c>
      <c r="H521" s="5">
        <v>4.5794392523364484</v>
      </c>
      <c r="I521" s="2">
        <v>107</v>
      </c>
      <c r="J521" s="12">
        <f>I521/Pondération!$G$31</f>
        <v>8.112206216830932E-2</v>
      </c>
    </row>
    <row r="522" spans="1:10" x14ac:dyDescent="0.25">
      <c r="A522" s="2" t="s">
        <v>77</v>
      </c>
      <c r="B522" s="2">
        <v>2016</v>
      </c>
      <c r="C522" s="2" t="s">
        <v>29</v>
      </c>
      <c r="D522" s="2" t="s">
        <v>36</v>
      </c>
      <c r="E522" s="2" t="s">
        <v>78</v>
      </c>
      <c r="F522" s="2" t="s">
        <v>81</v>
      </c>
      <c r="G522" s="2">
        <f t="shared" si="8"/>
        <v>0.30060652009097805</v>
      </c>
      <c r="H522" s="5">
        <v>4.5056818181818183</v>
      </c>
      <c r="I522" s="2">
        <v>88</v>
      </c>
      <c r="J522" s="12">
        <f>I522/Pondération!$G$31</f>
        <v>6.6717210007581504E-2</v>
      </c>
    </row>
    <row r="523" spans="1:10" x14ac:dyDescent="0.25">
      <c r="A523" s="2" t="s">
        <v>77</v>
      </c>
      <c r="B523" s="2">
        <v>2017</v>
      </c>
      <c r="C523" s="2" t="s">
        <v>30</v>
      </c>
      <c r="D523" s="2" t="s">
        <v>36</v>
      </c>
      <c r="E523" s="2" t="s">
        <v>78</v>
      </c>
      <c r="F523" s="2" t="s">
        <v>81</v>
      </c>
      <c r="G523" s="2">
        <f t="shared" si="8"/>
        <v>0.50655021834061131</v>
      </c>
      <c r="H523" s="5">
        <v>4.5789473684210522</v>
      </c>
      <c r="I523" s="2">
        <v>76</v>
      </c>
      <c r="J523" s="12">
        <f>I523/Pondération!$F$31</f>
        <v>0.11062590975254731</v>
      </c>
    </row>
    <row r="524" spans="1:10" x14ac:dyDescent="0.25">
      <c r="A524" s="2" t="s">
        <v>77</v>
      </c>
      <c r="B524" s="2">
        <v>2017</v>
      </c>
      <c r="C524" s="2" t="s">
        <v>31</v>
      </c>
      <c r="D524" s="2" t="s">
        <v>36</v>
      </c>
      <c r="E524" s="2" t="s">
        <v>78</v>
      </c>
      <c r="F524" s="2" t="s">
        <v>81</v>
      </c>
      <c r="G524" s="2">
        <f t="shared" si="8"/>
        <v>0.81441048034934493</v>
      </c>
      <c r="H524" s="5">
        <v>4.6239669421487601</v>
      </c>
      <c r="I524" s="2">
        <v>121</v>
      </c>
      <c r="J524" s="12">
        <f>I524/Pondération!$F$31</f>
        <v>0.17612809315866085</v>
      </c>
    </row>
    <row r="525" spans="1:10" x14ac:dyDescent="0.25">
      <c r="A525" s="2" t="s">
        <v>77</v>
      </c>
      <c r="B525" s="2">
        <v>2017</v>
      </c>
      <c r="C525" s="2" t="s">
        <v>32</v>
      </c>
      <c r="D525" s="2" t="s">
        <v>36</v>
      </c>
      <c r="E525" s="2" t="s">
        <v>78</v>
      </c>
      <c r="F525" s="2" t="s">
        <v>81</v>
      </c>
      <c r="G525" s="2">
        <f t="shared" si="8"/>
        <v>0.67030567685589526</v>
      </c>
      <c r="H525" s="5">
        <v>4.5147058823529411</v>
      </c>
      <c r="I525" s="2">
        <v>102</v>
      </c>
      <c r="J525" s="12">
        <f>I525/Pondération!$F$31</f>
        <v>0.14847161572052403</v>
      </c>
    </row>
    <row r="526" spans="1:10" x14ac:dyDescent="0.25">
      <c r="A526" s="2" t="s">
        <v>77</v>
      </c>
      <c r="B526" s="2">
        <v>2017</v>
      </c>
      <c r="C526" s="2" t="s">
        <v>33</v>
      </c>
      <c r="D526" s="2" t="s">
        <v>36</v>
      </c>
      <c r="E526" s="2" t="s">
        <v>78</v>
      </c>
      <c r="F526" s="2" t="s">
        <v>81</v>
      </c>
      <c r="G526" s="2">
        <f t="shared" si="8"/>
        <v>1.1084425036390102</v>
      </c>
      <c r="H526" s="5">
        <v>4.5059171597633139</v>
      </c>
      <c r="I526" s="2">
        <v>169</v>
      </c>
      <c r="J526" s="12">
        <f>I526/Pondération!$F$31</f>
        <v>0.24599708879184862</v>
      </c>
    </row>
    <row r="527" spans="1:10" x14ac:dyDescent="0.25">
      <c r="A527" s="2" t="s">
        <v>77</v>
      </c>
      <c r="B527" s="2">
        <v>2017</v>
      </c>
      <c r="C527" s="2" t="s">
        <v>34</v>
      </c>
      <c r="D527" s="2" t="s">
        <v>36</v>
      </c>
      <c r="E527" s="2" t="s">
        <v>78</v>
      </c>
      <c r="F527" s="2" t="s">
        <v>81</v>
      </c>
      <c r="G527" s="2">
        <f t="shared" si="8"/>
        <v>0.91630276564774382</v>
      </c>
      <c r="H527" s="5">
        <v>4.528776978417266</v>
      </c>
      <c r="I527" s="2">
        <v>139</v>
      </c>
      <c r="J527" s="12">
        <f>I527/Pondération!$F$31</f>
        <v>0.20232896652110627</v>
      </c>
    </row>
    <row r="528" spans="1:10" x14ac:dyDescent="0.25">
      <c r="A528" s="2" t="s">
        <v>77</v>
      </c>
      <c r="B528" s="2">
        <v>2017</v>
      </c>
      <c r="C528" s="2" t="s">
        <v>80</v>
      </c>
      <c r="D528" s="2" t="s">
        <v>36</v>
      </c>
      <c r="E528" s="2" t="s">
        <v>78</v>
      </c>
      <c r="F528" s="2" t="s">
        <v>81</v>
      </c>
      <c r="G528" s="2">
        <f t="shared" si="8"/>
        <v>0.51164483260553129</v>
      </c>
      <c r="H528" s="5">
        <v>4.3937499999999998</v>
      </c>
      <c r="I528" s="2">
        <v>80</v>
      </c>
      <c r="J528" s="12">
        <f>I528/Pondération!$F$31</f>
        <v>0.11644832605531295</v>
      </c>
    </row>
    <row r="529" spans="1:10" x14ac:dyDescent="0.25">
      <c r="A529" s="2" t="s">
        <v>77</v>
      </c>
      <c r="B529" s="2">
        <v>2013</v>
      </c>
      <c r="C529" s="2" t="s">
        <v>51</v>
      </c>
      <c r="D529" s="2" t="s">
        <v>36</v>
      </c>
      <c r="E529" s="2" t="s">
        <v>78</v>
      </c>
      <c r="F529" s="2" t="s">
        <v>83</v>
      </c>
      <c r="G529" s="2">
        <f t="shared" si="8"/>
        <v>0.1125</v>
      </c>
      <c r="H529" s="5">
        <v>4.5</v>
      </c>
      <c r="I529" s="2">
        <v>1</v>
      </c>
      <c r="J529" s="12">
        <f>I529/Pondération!$J$32</f>
        <v>2.5000000000000001E-2</v>
      </c>
    </row>
    <row r="530" spans="1:10" x14ac:dyDescent="0.25">
      <c r="A530" s="2" t="s">
        <v>77</v>
      </c>
      <c r="B530" s="2">
        <v>2013</v>
      </c>
      <c r="C530" s="2" t="s">
        <v>52</v>
      </c>
      <c r="D530" s="2" t="s">
        <v>36</v>
      </c>
      <c r="E530" s="2" t="s">
        <v>78</v>
      </c>
      <c r="F530" s="2" t="s">
        <v>83</v>
      </c>
      <c r="G530" s="2">
        <f t="shared" si="8"/>
        <v>0.32499999999999996</v>
      </c>
      <c r="H530" s="5">
        <v>4.333333333333333</v>
      </c>
      <c r="I530" s="2">
        <v>3</v>
      </c>
      <c r="J530" s="12">
        <f>I530/Pondération!$J$32</f>
        <v>7.4999999999999997E-2</v>
      </c>
    </row>
    <row r="531" spans="1:10" x14ac:dyDescent="0.25">
      <c r="A531" s="2" t="s">
        <v>77</v>
      </c>
      <c r="B531" s="2">
        <v>2013</v>
      </c>
      <c r="C531" s="2" t="s">
        <v>53</v>
      </c>
      <c r="D531" s="2" t="s">
        <v>36</v>
      </c>
      <c r="E531" s="2" t="s">
        <v>78</v>
      </c>
      <c r="F531" s="2" t="s">
        <v>83</v>
      </c>
      <c r="G531" s="2">
        <f t="shared" si="8"/>
        <v>0.22500000000000001</v>
      </c>
      <c r="H531" s="5">
        <v>4.5</v>
      </c>
      <c r="I531" s="2">
        <v>2</v>
      </c>
      <c r="J531" s="12">
        <f>I531/Pondération!$J$32</f>
        <v>0.05</v>
      </c>
    </row>
    <row r="532" spans="1:10" x14ac:dyDescent="0.25">
      <c r="A532" s="2" t="s">
        <v>77</v>
      </c>
      <c r="B532" s="2">
        <v>2013</v>
      </c>
      <c r="C532" s="2" t="s">
        <v>54</v>
      </c>
      <c r="D532" s="2" t="s">
        <v>36</v>
      </c>
      <c r="E532" s="2" t="s">
        <v>78</v>
      </c>
      <c r="F532" s="2" t="s">
        <v>83</v>
      </c>
      <c r="G532" s="2">
        <f t="shared" si="8"/>
        <v>0.23750000000000002</v>
      </c>
      <c r="H532" s="5">
        <v>4.75</v>
      </c>
      <c r="I532" s="2">
        <v>2</v>
      </c>
      <c r="J532" s="12">
        <f>I532/Pondération!$J$32</f>
        <v>0.05</v>
      </c>
    </row>
    <row r="533" spans="1:10" x14ac:dyDescent="0.25">
      <c r="A533" s="2" t="s">
        <v>77</v>
      </c>
      <c r="B533" s="2">
        <v>2013</v>
      </c>
      <c r="C533" s="2" t="s">
        <v>55</v>
      </c>
      <c r="D533" s="2" t="s">
        <v>36</v>
      </c>
      <c r="E533" s="2" t="s">
        <v>78</v>
      </c>
      <c r="F533" s="2" t="s">
        <v>83</v>
      </c>
      <c r="G533" s="2">
        <f t="shared" si="8"/>
        <v>0.5625</v>
      </c>
      <c r="H533" s="5">
        <v>4.5</v>
      </c>
      <c r="I533" s="2">
        <v>5</v>
      </c>
      <c r="J533" s="12">
        <f>I533/Pondération!$J$32</f>
        <v>0.125</v>
      </c>
    </row>
    <row r="534" spans="1:10" x14ac:dyDescent="0.25">
      <c r="A534" s="2" t="s">
        <v>77</v>
      </c>
      <c r="B534" s="2">
        <v>2013</v>
      </c>
      <c r="C534" s="2" t="s">
        <v>56</v>
      </c>
      <c r="D534" s="2" t="s">
        <v>36</v>
      </c>
      <c r="E534" s="2" t="s">
        <v>78</v>
      </c>
      <c r="F534" s="2" t="s">
        <v>83</v>
      </c>
      <c r="G534" s="2">
        <f t="shared" si="8"/>
        <v>1.6124999999999998</v>
      </c>
      <c r="H534" s="5">
        <v>4.6071428571428568</v>
      </c>
      <c r="I534" s="2">
        <v>14</v>
      </c>
      <c r="J534" s="12">
        <f>I534/Pondération!$J$32</f>
        <v>0.35</v>
      </c>
    </row>
    <row r="535" spans="1:10" x14ac:dyDescent="0.25">
      <c r="A535" s="2" t="s">
        <v>77</v>
      </c>
      <c r="B535" s="2">
        <v>2013</v>
      </c>
      <c r="C535" s="2" t="s">
        <v>57</v>
      </c>
      <c r="D535" s="2" t="s">
        <v>36</v>
      </c>
      <c r="E535" s="2" t="s">
        <v>78</v>
      </c>
      <c r="F535" s="2" t="s">
        <v>83</v>
      </c>
      <c r="G535" s="2">
        <f t="shared" si="8"/>
        <v>0.66249999999999998</v>
      </c>
      <c r="H535" s="5">
        <v>4.416666666666667</v>
      </c>
      <c r="I535" s="2">
        <v>6</v>
      </c>
      <c r="J535" s="12">
        <f>I535/Pondération!$J$32</f>
        <v>0.15</v>
      </c>
    </row>
    <row r="536" spans="1:10" x14ac:dyDescent="0.25">
      <c r="A536" s="2" t="s">
        <v>77</v>
      </c>
      <c r="B536" s="2">
        <v>2013</v>
      </c>
      <c r="C536" s="2" t="s">
        <v>58</v>
      </c>
      <c r="D536" s="2" t="s">
        <v>36</v>
      </c>
      <c r="E536" s="2" t="s">
        <v>78</v>
      </c>
      <c r="F536" s="2" t="s">
        <v>83</v>
      </c>
      <c r="G536" s="2">
        <f t="shared" si="8"/>
        <v>0.58750000000000002</v>
      </c>
      <c r="H536" s="5">
        <v>4.7</v>
      </c>
      <c r="I536" s="2">
        <v>5</v>
      </c>
      <c r="J536" s="12">
        <f>I536/Pondération!$J$32</f>
        <v>0.125</v>
      </c>
    </row>
    <row r="537" spans="1:10" x14ac:dyDescent="0.25">
      <c r="A537" s="2" t="s">
        <v>77</v>
      </c>
      <c r="B537" s="2">
        <v>2013</v>
      </c>
      <c r="C537" s="2" t="s">
        <v>59</v>
      </c>
      <c r="D537" s="2" t="s">
        <v>36</v>
      </c>
      <c r="E537" s="2" t="s">
        <v>78</v>
      </c>
      <c r="F537" s="2" t="s">
        <v>83</v>
      </c>
      <c r="G537" s="2">
        <f t="shared" si="8"/>
        <v>0.1</v>
      </c>
      <c r="H537" s="5">
        <v>4</v>
      </c>
      <c r="I537" s="2">
        <v>1</v>
      </c>
      <c r="J537" s="12">
        <f>I537/Pondération!$J$32</f>
        <v>2.5000000000000001E-2</v>
      </c>
    </row>
    <row r="538" spans="1:10" x14ac:dyDescent="0.25">
      <c r="A538" s="2" t="s">
        <v>77</v>
      </c>
      <c r="B538" s="2">
        <v>2013</v>
      </c>
      <c r="C538" s="2" t="s">
        <v>60</v>
      </c>
      <c r="D538" s="2" t="s">
        <v>36</v>
      </c>
      <c r="E538" s="2" t="s">
        <v>78</v>
      </c>
      <c r="F538" s="2" t="s">
        <v>83</v>
      </c>
      <c r="G538" s="2">
        <f t="shared" si="8"/>
        <v>0.1125</v>
      </c>
      <c r="H538" s="5">
        <v>4.5</v>
      </c>
      <c r="I538" s="2">
        <v>1</v>
      </c>
      <c r="J538" s="12">
        <f>I538/Pondération!$J$32</f>
        <v>2.5000000000000001E-2</v>
      </c>
    </row>
    <row r="539" spans="1:10" x14ac:dyDescent="0.25">
      <c r="A539" s="2" t="s">
        <v>77</v>
      </c>
      <c r="B539" s="2">
        <v>2014</v>
      </c>
      <c r="C539" s="2" t="s">
        <v>61</v>
      </c>
      <c r="D539" s="2" t="s">
        <v>36</v>
      </c>
      <c r="E539" s="2" t="s">
        <v>78</v>
      </c>
      <c r="F539" s="2" t="s">
        <v>83</v>
      </c>
      <c r="G539" s="2">
        <f t="shared" si="8"/>
        <v>0.18316831683168316</v>
      </c>
      <c r="H539" s="5">
        <v>4.625</v>
      </c>
      <c r="I539" s="2">
        <v>4</v>
      </c>
      <c r="J539" s="12">
        <f>I539/Pondération!$I$32</f>
        <v>3.9603960396039604E-2</v>
      </c>
    </row>
    <row r="540" spans="1:10" x14ac:dyDescent="0.25">
      <c r="A540" s="2" t="s">
        <v>77</v>
      </c>
      <c r="B540" s="2">
        <v>2014</v>
      </c>
      <c r="C540" s="2" t="s">
        <v>62</v>
      </c>
      <c r="D540" s="2" t="s">
        <v>36</v>
      </c>
      <c r="E540" s="2" t="s">
        <v>78</v>
      </c>
      <c r="F540" s="2" t="s">
        <v>83</v>
      </c>
      <c r="G540" s="2">
        <f t="shared" si="8"/>
        <v>3.9603960396039604E-2</v>
      </c>
      <c r="H540" s="5">
        <v>4</v>
      </c>
      <c r="I540" s="2">
        <v>1</v>
      </c>
      <c r="J540" s="12">
        <f>I540/Pondération!$I$32</f>
        <v>9.9009900990099011E-3</v>
      </c>
    </row>
    <row r="541" spans="1:10" x14ac:dyDescent="0.25">
      <c r="A541" s="2" t="s">
        <v>77</v>
      </c>
      <c r="B541" s="2">
        <v>2014</v>
      </c>
      <c r="C541" s="2" t="s">
        <v>63</v>
      </c>
      <c r="D541" s="2" t="s">
        <v>36</v>
      </c>
      <c r="E541" s="2" t="s">
        <v>78</v>
      </c>
      <c r="F541" s="2" t="s">
        <v>83</v>
      </c>
      <c r="G541" s="2">
        <f t="shared" si="8"/>
        <v>0.12871287128712869</v>
      </c>
      <c r="H541" s="5">
        <v>4.333333333333333</v>
      </c>
      <c r="I541" s="2">
        <v>3</v>
      </c>
      <c r="J541" s="12">
        <f>I541/Pondération!$I$32</f>
        <v>2.9702970297029702E-2</v>
      </c>
    </row>
    <row r="542" spans="1:10" x14ac:dyDescent="0.25">
      <c r="A542" s="2" t="s">
        <v>77</v>
      </c>
      <c r="B542" s="2">
        <v>2014</v>
      </c>
      <c r="C542" s="2" t="s">
        <v>64</v>
      </c>
      <c r="D542" s="2" t="s">
        <v>36</v>
      </c>
      <c r="E542" s="2" t="s">
        <v>78</v>
      </c>
      <c r="F542" s="2" t="s">
        <v>83</v>
      </c>
      <c r="G542" s="2">
        <f t="shared" si="8"/>
        <v>0.21782178217821785</v>
      </c>
      <c r="H542" s="5">
        <v>4.4000000000000004</v>
      </c>
      <c r="I542" s="2">
        <v>5</v>
      </c>
      <c r="J542" s="12">
        <f>I542/Pondération!$I$32</f>
        <v>4.9504950495049507E-2</v>
      </c>
    </row>
    <row r="543" spans="1:10" x14ac:dyDescent="0.25">
      <c r="A543" s="2" t="s">
        <v>77</v>
      </c>
      <c r="B543" s="2">
        <v>2014</v>
      </c>
      <c r="C543" s="2" t="s">
        <v>65</v>
      </c>
      <c r="D543" s="2" t="s">
        <v>36</v>
      </c>
      <c r="E543" s="2" t="s">
        <v>78</v>
      </c>
      <c r="F543" s="2" t="s">
        <v>83</v>
      </c>
      <c r="G543" s="2">
        <f t="shared" si="8"/>
        <v>0.26732673267326734</v>
      </c>
      <c r="H543" s="5">
        <v>4.5</v>
      </c>
      <c r="I543" s="2">
        <v>6</v>
      </c>
      <c r="J543" s="12">
        <f>I543/Pondération!$I$32</f>
        <v>5.9405940594059403E-2</v>
      </c>
    </row>
    <row r="544" spans="1:10" x14ac:dyDescent="0.25">
      <c r="A544" s="2" t="s">
        <v>77</v>
      </c>
      <c r="B544" s="2">
        <v>2014</v>
      </c>
      <c r="C544" s="2" t="s">
        <v>66</v>
      </c>
      <c r="D544" s="2" t="s">
        <v>36</v>
      </c>
      <c r="E544" s="2" t="s">
        <v>78</v>
      </c>
      <c r="F544" s="2" t="s">
        <v>83</v>
      </c>
      <c r="G544" s="2">
        <f t="shared" si="8"/>
        <v>0.13366336633663367</v>
      </c>
      <c r="H544" s="5">
        <v>4.5</v>
      </c>
      <c r="I544" s="2">
        <v>3</v>
      </c>
      <c r="J544" s="12">
        <f>I544/Pondération!$I$32</f>
        <v>2.9702970297029702E-2</v>
      </c>
    </row>
    <row r="545" spans="1:10" x14ac:dyDescent="0.25">
      <c r="A545" s="2" t="s">
        <v>77</v>
      </c>
      <c r="B545" s="2">
        <v>2014</v>
      </c>
      <c r="C545" s="2" t="s">
        <v>67</v>
      </c>
      <c r="D545" s="2" t="s">
        <v>36</v>
      </c>
      <c r="E545" s="2" t="s">
        <v>78</v>
      </c>
      <c r="F545" s="2" t="s">
        <v>83</v>
      </c>
      <c r="G545" s="2">
        <f t="shared" si="8"/>
        <v>0.4950495049504951</v>
      </c>
      <c r="H545" s="5">
        <v>4.5454545454545459</v>
      </c>
      <c r="I545" s="2">
        <v>11</v>
      </c>
      <c r="J545" s="12">
        <f>I545/Pondération!$I$32</f>
        <v>0.10891089108910891</v>
      </c>
    </row>
    <row r="546" spans="1:10" x14ac:dyDescent="0.25">
      <c r="A546" s="2" t="s">
        <v>77</v>
      </c>
      <c r="B546" s="2">
        <v>2014</v>
      </c>
      <c r="C546" s="2" t="s">
        <v>68</v>
      </c>
      <c r="D546" s="2" t="s">
        <v>36</v>
      </c>
      <c r="E546" s="2" t="s">
        <v>78</v>
      </c>
      <c r="F546" s="2" t="s">
        <v>83</v>
      </c>
      <c r="G546" s="2">
        <f t="shared" si="8"/>
        <v>0.84653465346534662</v>
      </c>
      <c r="H546" s="5">
        <v>4.2750000000000004</v>
      </c>
      <c r="I546" s="2">
        <v>20</v>
      </c>
      <c r="J546" s="12">
        <f>I546/Pondération!$I$32</f>
        <v>0.19801980198019803</v>
      </c>
    </row>
    <row r="547" spans="1:10" x14ac:dyDescent="0.25">
      <c r="A547" s="2" t="s">
        <v>77</v>
      </c>
      <c r="B547" s="2">
        <v>2014</v>
      </c>
      <c r="C547" s="2" t="s">
        <v>69</v>
      </c>
      <c r="D547" s="2" t="s">
        <v>36</v>
      </c>
      <c r="E547" s="2" t="s">
        <v>78</v>
      </c>
      <c r="F547" s="2" t="s">
        <v>83</v>
      </c>
      <c r="G547" s="2">
        <f t="shared" si="8"/>
        <v>0.77722772277227714</v>
      </c>
      <c r="H547" s="5">
        <v>4.3611111111111107</v>
      </c>
      <c r="I547" s="2">
        <v>18</v>
      </c>
      <c r="J547" s="12">
        <f>I547/Pondération!$I$32</f>
        <v>0.17821782178217821</v>
      </c>
    </row>
    <row r="548" spans="1:10" x14ac:dyDescent="0.25">
      <c r="A548" s="2" t="s">
        <v>77</v>
      </c>
      <c r="B548" s="2">
        <v>2014</v>
      </c>
      <c r="C548" s="2" t="s">
        <v>70</v>
      </c>
      <c r="D548" s="2" t="s">
        <v>36</v>
      </c>
      <c r="E548" s="2" t="s">
        <v>78</v>
      </c>
      <c r="F548" s="2" t="s">
        <v>83</v>
      </c>
      <c r="G548" s="2">
        <f t="shared" si="8"/>
        <v>0.41089108910891081</v>
      </c>
      <c r="H548" s="5">
        <v>4.6111111111111107</v>
      </c>
      <c r="I548" s="2">
        <v>9</v>
      </c>
      <c r="J548" s="12">
        <f>I548/Pondération!$I$32</f>
        <v>8.9108910891089105E-2</v>
      </c>
    </row>
    <row r="549" spans="1:10" x14ac:dyDescent="0.25">
      <c r="A549" s="2" t="s">
        <v>77</v>
      </c>
      <c r="B549" s="2">
        <v>2014</v>
      </c>
      <c r="C549" s="2" t="s">
        <v>71</v>
      </c>
      <c r="D549" s="2" t="s">
        <v>36</v>
      </c>
      <c r="E549" s="2" t="s">
        <v>78</v>
      </c>
      <c r="F549" s="2" t="s">
        <v>83</v>
      </c>
      <c r="G549" s="2">
        <f t="shared" si="8"/>
        <v>0.55940594059405935</v>
      </c>
      <c r="H549" s="5">
        <v>4.708333333333333</v>
      </c>
      <c r="I549" s="2">
        <v>12</v>
      </c>
      <c r="J549" s="12">
        <f>I549/Pondération!$I$32</f>
        <v>0.11881188118811881</v>
      </c>
    </row>
    <row r="550" spans="1:10" x14ac:dyDescent="0.25">
      <c r="A550" s="2" t="s">
        <v>77</v>
      </c>
      <c r="B550" s="2">
        <v>2014</v>
      </c>
      <c r="C550" s="2" t="s">
        <v>72</v>
      </c>
      <c r="D550" s="2" t="s">
        <v>36</v>
      </c>
      <c r="E550" s="2" t="s">
        <v>78</v>
      </c>
      <c r="F550" s="2" t="s">
        <v>83</v>
      </c>
      <c r="G550" s="2">
        <f t="shared" si="8"/>
        <v>0.41089108910891081</v>
      </c>
      <c r="H550" s="5">
        <v>4.6111111111111107</v>
      </c>
      <c r="I550" s="2">
        <v>9</v>
      </c>
      <c r="J550" s="12">
        <f>I550/Pondération!$I$32</f>
        <v>8.9108910891089105E-2</v>
      </c>
    </row>
    <row r="551" spans="1:10" x14ac:dyDescent="0.25">
      <c r="A551" s="2" t="s">
        <v>77</v>
      </c>
      <c r="B551" s="2">
        <v>2015</v>
      </c>
      <c r="C551" s="2" t="s">
        <v>73</v>
      </c>
      <c r="D551" s="2" t="s">
        <v>36</v>
      </c>
      <c r="E551" s="2" t="s">
        <v>78</v>
      </c>
      <c r="F551" s="2" t="s">
        <v>83</v>
      </c>
      <c r="G551" s="2">
        <f t="shared" si="8"/>
        <v>4.735883424408014E-2</v>
      </c>
      <c r="H551" s="5">
        <v>4.333333333333333</v>
      </c>
      <c r="I551" s="2">
        <v>6</v>
      </c>
      <c r="J551" s="12">
        <f>I551/Pondération!$H$32</f>
        <v>1.092896174863388E-2</v>
      </c>
    </row>
    <row r="552" spans="1:10" x14ac:dyDescent="0.25">
      <c r="A552" s="2" t="s">
        <v>77</v>
      </c>
      <c r="B552" s="2">
        <v>2015</v>
      </c>
      <c r="C552" s="2" t="s">
        <v>74</v>
      </c>
      <c r="D552" s="2" t="s">
        <v>36</v>
      </c>
      <c r="E552" s="2" t="s">
        <v>78</v>
      </c>
      <c r="F552" s="2" t="s">
        <v>83</v>
      </c>
      <c r="G552" s="2">
        <f t="shared" si="8"/>
        <v>0.10746812386156648</v>
      </c>
      <c r="H552" s="5">
        <v>4.5384615384615383</v>
      </c>
      <c r="I552" s="2">
        <v>13</v>
      </c>
      <c r="J552" s="12">
        <f>I552/Pondération!$H$32</f>
        <v>2.3679417122040074E-2</v>
      </c>
    </row>
    <row r="553" spans="1:10" x14ac:dyDescent="0.25">
      <c r="A553" s="2" t="s">
        <v>77</v>
      </c>
      <c r="B553" s="2">
        <v>2015</v>
      </c>
      <c r="C553" s="2" t="s">
        <v>75</v>
      </c>
      <c r="D553" s="2" t="s">
        <v>36</v>
      </c>
      <c r="E553" s="2" t="s">
        <v>78</v>
      </c>
      <c r="F553" s="2" t="s">
        <v>83</v>
      </c>
      <c r="G553" s="2">
        <f t="shared" si="8"/>
        <v>0.15027322404371585</v>
      </c>
      <c r="H553" s="5">
        <v>4.583333333333333</v>
      </c>
      <c r="I553" s="2">
        <v>18</v>
      </c>
      <c r="J553" s="12">
        <f>I553/Pondération!$H$32</f>
        <v>3.2786885245901641E-2</v>
      </c>
    </row>
    <row r="554" spans="1:10" x14ac:dyDescent="0.25">
      <c r="A554" s="2" t="s">
        <v>77</v>
      </c>
      <c r="B554" s="2">
        <v>2015</v>
      </c>
      <c r="C554" s="2" t="s">
        <v>76</v>
      </c>
      <c r="D554" s="2" t="s">
        <v>36</v>
      </c>
      <c r="E554" s="2" t="s">
        <v>78</v>
      </c>
      <c r="F554" s="2" t="s">
        <v>83</v>
      </c>
      <c r="G554" s="2">
        <f t="shared" si="8"/>
        <v>0.24225865209471767</v>
      </c>
      <c r="H554" s="5">
        <v>4.5862068965517242</v>
      </c>
      <c r="I554" s="2">
        <v>29</v>
      </c>
      <c r="J554" s="12">
        <f>I554/Pondération!$H$32</f>
        <v>5.2823315118397086E-2</v>
      </c>
    </row>
    <row r="555" spans="1:10" x14ac:dyDescent="0.25">
      <c r="A555" s="2" t="s">
        <v>77</v>
      </c>
      <c r="B555" s="2">
        <v>2015</v>
      </c>
      <c r="C555" s="2" t="s">
        <v>7</v>
      </c>
      <c r="D555" s="2" t="s">
        <v>36</v>
      </c>
      <c r="E555" s="2" t="s">
        <v>78</v>
      </c>
      <c r="F555" s="2" t="s">
        <v>83</v>
      </c>
      <c r="G555" s="2">
        <f t="shared" si="8"/>
        <v>0.35428051001821492</v>
      </c>
      <c r="H555" s="5">
        <v>4.5232558139534884</v>
      </c>
      <c r="I555" s="2">
        <v>43</v>
      </c>
      <c r="J555" s="12">
        <f>I555/Pondération!$H$32</f>
        <v>7.8324225865209471E-2</v>
      </c>
    </row>
    <row r="556" spans="1:10" x14ac:dyDescent="0.25">
      <c r="A556" s="2" t="s">
        <v>77</v>
      </c>
      <c r="B556" s="2">
        <v>2015</v>
      </c>
      <c r="C556" s="2" t="s">
        <v>11</v>
      </c>
      <c r="D556" s="2" t="s">
        <v>36</v>
      </c>
      <c r="E556" s="2" t="s">
        <v>78</v>
      </c>
      <c r="F556" s="2" t="s">
        <v>83</v>
      </c>
      <c r="G556" s="2">
        <f t="shared" si="8"/>
        <v>0.2349726775956284</v>
      </c>
      <c r="H556" s="5">
        <v>4.6071428571428568</v>
      </c>
      <c r="I556" s="2">
        <v>28</v>
      </c>
      <c r="J556" s="12">
        <f>I556/Pondération!$H$32</f>
        <v>5.1001821493624776E-2</v>
      </c>
    </row>
    <row r="557" spans="1:10" x14ac:dyDescent="0.25">
      <c r="A557" s="2" t="s">
        <v>77</v>
      </c>
      <c r="B557" s="2">
        <v>2015</v>
      </c>
      <c r="C557" s="2" t="s">
        <v>12</v>
      </c>
      <c r="D557" s="2" t="s">
        <v>36</v>
      </c>
      <c r="E557" s="2" t="s">
        <v>78</v>
      </c>
      <c r="F557" s="2" t="s">
        <v>83</v>
      </c>
      <c r="G557" s="2">
        <f t="shared" si="8"/>
        <v>0.74863387978142071</v>
      </c>
      <c r="H557" s="5">
        <v>4.5164835164835164</v>
      </c>
      <c r="I557" s="2">
        <v>91</v>
      </c>
      <c r="J557" s="12">
        <f>I557/Pondération!$H$32</f>
        <v>0.16575591985428051</v>
      </c>
    </row>
    <row r="558" spans="1:10" x14ac:dyDescent="0.25">
      <c r="A558" s="2" t="s">
        <v>77</v>
      </c>
      <c r="B558" s="2">
        <v>2015</v>
      </c>
      <c r="C558" s="2" t="s">
        <v>13</v>
      </c>
      <c r="D558" s="2" t="s">
        <v>36</v>
      </c>
      <c r="E558" s="2" t="s">
        <v>78</v>
      </c>
      <c r="F558" s="2" t="s">
        <v>83</v>
      </c>
      <c r="G558" s="2">
        <f t="shared" si="8"/>
        <v>0.99544626593806929</v>
      </c>
      <c r="H558" s="5">
        <v>4.4430894308943092</v>
      </c>
      <c r="I558" s="2">
        <v>123</v>
      </c>
      <c r="J558" s="12">
        <f>I558/Pondération!$H$32</f>
        <v>0.22404371584699453</v>
      </c>
    </row>
    <row r="559" spans="1:10" x14ac:dyDescent="0.25">
      <c r="A559" s="2" t="s">
        <v>77</v>
      </c>
      <c r="B559" s="2">
        <v>2015</v>
      </c>
      <c r="C559" s="2" t="s">
        <v>14</v>
      </c>
      <c r="D559" s="2" t="s">
        <v>36</v>
      </c>
      <c r="E559" s="2" t="s">
        <v>78</v>
      </c>
      <c r="F559" s="2" t="s">
        <v>83</v>
      </c>
      <c r="G559" s="2">
        <f t="shared" si="8"/>
        <v>0.62204007285974505</v>
      </c>
      <c r="H559" s="5">
        <v>4.4350649350649354</v>
      </c>
      <c r="I559" s="2">
        <v>77</v>
      </c>
      <c r="J559" s="12">
        <f>I559/Pondération!$H$32</f>
        <v>0.14025500910746813</v>
      </c>
    </row>
    <row r="560" spans="1:10" x14ac:dyDescent="0.25">
      <c r="A560" s="2" t="s">
        <v>77</v>
      </c>
      <c r="B560" s="2">
        <v>2015</v>
      </c>
      <c r="C560" s="2" t="s">
        <v>15</v>
      </c>
      <c r="D560" s="2" t="s">
        <v>36</v>
      </c>
      <c r="E560" s="2" t="s">
        <v>78</v>
      </c>
      <c r="F560" s="2" t="s">
        <v>83</v>
      </c>
      <c r="G560" s="2">
        <f t="shared" si="8"/>
        <v>0.51639344262295084</v>
      </c>
      <c r="H560" s="5">
        <v>4.6475409836065573</v>
      </c>
      <c r="I560" s="2">
        <v>61</v>
      </c>
      <c r="J560" s="12">
        <f>I560/Pondération!$H$32</f>
        <v>0.1111111111111111</v>
      </c>
    </row>
    <row r="561" spans="1:10" x14ac:dyDescent="0.25">
      <c r="A561" s="2" t="s">
        <v>77</v>
      </c>
      <c r="B561" s="2">
        <v>2015</v>
      </c>
      <c r="C561" s="2" t="s">
        <v>16</v>
      </c>
      <c r="D561" s="2" t="s">
        <v>36</v>
      </c>
      <c r="E561" s="2" t="s">
        <v>78</v>
      </c>
      <c r="F561" s="2" t="s">
        <v>83</v>
      </c>
      <c r="G561" s="2">
        <f t="shared" si="8"/>
        <v>0.27777777777777779</v>
      </c>
      <c r="H561" s="5">
        <v>4.4852941176470589</v>
      </c>
      <c r="I561" s="2">
        <v>34</v>
      </c>
      <c r="J561" s="12">
        <f>I561/Pondération!$H$32</f>
        <v>6.1930783242258654E-2</v>
      </c>
    </row>
    <row r="562" spans="1:10" x14ac:dyDescent="0.25">
      <c r="A562" s="2" t="s">
        <v>77</v>
      </c>
      <c r="B562" s="2">
        <v>2015</v>
      </c>
      <c r="C562" s="2" t="s">
        <v>17</v>
      </c>
      <c r="D562" s="2" t="s">
        <v>36</v>
      </c>
      <c r="E562" s="2" t="s">
        <v>78</v>
      </c>
      <c r="F562" s="2" t="s">
        <v>83</v>
      </c>
      <c r="G562" s="2">
        <f t="shared" si="8"/>
        <v>0.21311475409836067</v>
      </c>
      <c r="H562" s="5">
        <v>4.5</v>
      </c>
      <c r="I562" s="2">
        <v>26</v>
      </c>
      <c r="J562" s="12">
        <f>I562/Pondération!$H$32</f>
        <v>4.7358834244080147E-2</v>
      </c>
    </row>
    <row r="563" spans="1:10" x14ac:dyDescent="0.25">
      <c r="A563" s="2" t="s">
        <v>77</v>
      </c>
      <c r="B563" s="2">
        <v>2016</v>
      </c>
      <c r="C563" s="2" t="s">
        <v>18</v>
      </c>
      <c r="D563" s="2" t="s">
        <v>36</v>
      </c>
      <c r="E563" s="2" t="s">
        <v>78</v>
      </c>
      <c r="F563" s="2" t="s">
        <v>83</v>
      </c>
      <c r="G563" s="2">
        <f t="shared" si="8"/>
        <v>0.10376532399299476</v>
      </c>
      <c r="H563" s="5">
        <v>4.3888888888888893</v>
      </c>
      <c r="I563" s="2">
        <v>27</v>
      </c>
      <c r="J563" s="12">
        <f>I563/Pondération!$G$32</f>
        <v>2.3642732049036778E-2</v>
      </c>
    </row>
    <row r="564" spans="1:10" x14ac:dyDescent="0.25">
      <c r="A564" s="2" t="s">
        <v>77</v>
      </c>
      <c r="B564" s="2">
        <v>2016</v>
      </c>
      <c r="C564" s="2" t="s">
        <v>19</v>
      </c>
      <c r="D564" s="2" t="s">
        <v>36</v>
      </c>
      <c r="E564" s="2" t="s">
        <v>78</v>
      </c>
      <c r="F564" s="2" t="s">
        <v>83</v>
      </c>
      <c r="G564" s="2">
        <f t="shared" si="8"/>
        <v>0.16856392294220665</v>
      </c>
      <c r="H564" s="5">
        <v>4.583333333333333</v>
      </c>
      <c r="I564" s="2">
        <v>42</v>
      </c>
      <c r="J564" s="12">
        <f>I564/Pondération!$G$32</f>
        <v>3.6777583187390543E-2</v>
      </c>
    </row>
    <row r="565" spans="1:10" x14ac:dyDescent="0.25">
      <c r="A565" s="2" t="s">
        <v>77</v>
      </c>
      <c r="B565" s="2">
        <v>2016</v>
      </c>
      <c r="C565" s="2" t="s">
        <v>20</v>
      </c>
      <c r="D565" s="2" t="s">
        <v>36</v>
      </c>
      <c r="E565" s="2" t="s">
        <v>78</v>
      </c>
      <c r="F565" s="2" t="s">
        <v>83</v>
      </c>
      <c r="G565" s="2">
        <f t="shared" si="8"/>
        <v>0.16418563922942206</v>
      </c>
      <c r="H565" s="5">
        <v>4.5731707317073171</v>
      </c>
      <c r="I565" s="2">
        <v>41</v>
      </c>
      <c r="J565" s="12">
        <f>I565/Pondération!$G$32</f>
        <v>3.5901926444833622E-2</v>
      </c>
    </row>
    <row r="566" spans="1:10" x14ac:dyDescent="0.25">
      <c r="A566" s="2" t="s">
        <v>77</v>
      </c>
      <c r="B566" s="2">
        <v>2016</v>
      </c>
      <c r="C566" s="2" t="s">
        <v>21</v>
      </c>
      <c r="D566" s="2" t="s">
        <v>36</v>
      </c>
      <c r="E566" s="2" t="s">
        <v>78</v>
      </c>
      <c r="F566" s="2" t="s">
        <v>83</v>
      </c>
      <c r="G566" s="2">
        <f t="shared" si="8"/>
        <v>0.25350262697022768</v>
      </c>
      <c r="H566" s="5">
        <v>4.453846153846154</v>
      </c>
      <c r="I566" s="2">
        <v>65</v>
      </c>
      <c r="J566" s="12">
        <f>I566/Pondération!$G$32</f>
        <v>5.6917688266199647E-2</v>
      </c>
    </row>
    <row r="567" spans="1:10" x14ac:dyDescent="0.25">
      <c r="A567" s="2" t="s">
        <v>77</v>
      </c>
      <c r="B567" s="2">
        <v>2016</v>
      </c>
      <c r="C567" s="2" t="s">
        <v>22</v>
      </c>
      <c r="D567" s="2" t="s">
        <v>36</v>
      </c>
      <c r="E567" s="2" t="s">
        <v>78</v>
      </c>
      <c r="F567" s="2" t="s">
        <v>83</v>
      </c>
      <c r="G567" s="2">
        <f t="shared" si="8"/>
        <v>0.30078809106830123</v>
      </c>
      <c r="H567" s="5">
        <v>4.4610389610389607</v>
      </c>
      <c r="I567" s="2">
        <v>77</v>
      </c>
      <c r="J567" s="12">
        <f>I567/Pondération!$G$32</f>
        <v>6.7425569176882666E-2</v>
      </c>
    </row>
    <row r="568" spans="1:10" x14ac:dyDescent="0.25">
      <c r="A568" s="2" t="s">
        <v>77</v>
      </c>
      <c r="B568" s="2">
        <v>2016</v>
      </c>
      <c r="C568" s="2" t="s">
        <v>23</v>
      </c>
      <c r="D568" s="2" t="s">
        <v>36</v>
      </c>
      <c r="E568" s="2" t="s">
        <v>78</v>
      </c>
      <c r="F568" s="2" t="s">
        <v>83</v>
      </c>
      <c r="G568" s="2">
        <f t="shared" si="8"/>
        <v>0.29509632224168125</v>
      </c>
      <c r="H568" s="5">
        <v>4.4933333333333332</v>
      </c>
      <c r="I568" s="2">
        <v>75</v>
      </c>
      <c r="J568" s="12">
        <f>I568/Pondération!$G$32</f>
        <v>6.5674255691768824E-2</v>
      </c>
    </row>
    <row r="569" spans="1:10" x14ac:dyDescent="0.25">
      <c r="A569" s="2" t="s">
        <v>77</v>
      </c>
      <c r="B569" s="2">
        <v>2016</v>
      </c>
      <c r="C569" s="2" t="s">
        <v>24</v>
      </c>
      <c r="D569" s="2" t="s">
        <v>36</v>
      </c>
      <c r="E569" s="2" t="s">
        <v>78</v>
      </c>
      <c r="F569" s="2" t="s">
        <v>83</v>
      </c>
      <c r="G569" s="2">
        <f t="shared" si="8"/>
        <v>0.59500875656742558</v>
      </c>
      <c r="H569" s="5">
        <v>4.4411764705882355</v>
      </c>
      <c r="I569" s="2">
        <v>153</v>
      </c>
      <c r="J569" s="12">
        <f>I569/Pondération!$G$32</f>
        <v>0.1339754816112084</v>
      </c>
    </row>
    <row r="570" spans="1:10" x14ac:dyDescent="0.25">
      <c r="A570" s="2" t="s">
        <v>77</v>
      </c>
      <c r="B570" s="2">
        <v>2016</v>
      </c>
      <c r="C570" s="2" t="s">
        <v>25</v>
      </c>
      <c r="D570" s="2" t="s">
        <v>36</v>
      </c>
      <c r="E570" s="2" t="s">
        <v>78</v>
      </c>
      <c r="F570" s="2" t="s">
        <v>83</v>
      </c>
      <c r="G570" s="2">
        <f t="shared" si="8"/>
        <v>1.0306479859894921</v>
      </c>
      <c r="H570" s="5">
        <v>4.458333333333333</v>
      </c>
      <c r="I570" s="2">
        <v>264</v>
      </c>
      <c r="J570" s="12">
        <f>I570/Pondération!$G$32</f>
        <v>0.23117338003502627</v>
      </c>
    </row>
    <row r="571" spans="1:10" x14ac:dyDescent="0.25">
      <c r="A571" s="2" t="s">
        <v>77</v>
      </c>
      <c r="B571" s="2">
        <v>2016</v>
      </c>
      <c r="C571" s="2" t="s">
        <v>26</v>
      </c>
      <c r="D571" s="2" t="s">
        <v>36</v>
      </c>
      <c r="E571" s="2" t="s">
        <v>78</v>
      </c>
      <c r="F571" s="2" t="s">
        <v>83</v>
      </c>
      <c r="G571" s="2">
        <f t="shared" si="8"/>
        <v>0.6387915936952715</v>
      </c>
      <c r="H571" s="5">
        <v>4.5030864197530862</v>
      </c>
      <c r="I571" s="2">
        <v>162</v>
      </c>
      <c r="J571" s="12">
        <f>I571/Pondération!$G$32</f>
        <v>0.14185639229422067</v>
      </c>
    </row>
    <row r="572" spans="1:10" x14ac:dyDescent="0.25">
      <c r="A572" s="2" t="s">
        <v>77</v>
      </c>
      <c r="B572" s="2">
        <v>2016</v>
      </c>
      <c r="C572" s="2" t="s">
        <v>27</v>
      </c>
      <c r="D572" s="2" t="s">
        <v>36</v>
      </c>
      <c r="E572" s="2" t="s">
        <v>78</v>
      </c>
      <c r="F572" s="2" t="s">
        <v>83</v>
      </c>
      <c r="G572" s="2">
        <f t="shared" si="8"/>
        <v>0.43914185639229425</v>
      </c>
      <c r="H572" s="5">
        <v>4.5590909090909095</v>
      </c>
      <c r="I572" s="2">
        <v>110</v>
      </c>
      <c r="J572" s="12">
        <f>I572/Pondération!$G$32</f>
        <v>9.6322241681260939E-2</v>
      </c>
    </row>
    <row r="573" spans="1:10" x14ac:dyDescent="0.25">
      <c r="A573" s="2" t="s">
        <v>77</v>
      </c>
      <c r="B573" s="2">
        <v>2016</v>
      </c>
      <c r="C573" s="2" t="s">
        <v>28</v>
      </c>
      <c r="D573" s="2" t="s">
        <v>36</v>
      </c>
      <c r="E573" s="2" t="s">
        <v>78</v>
      </c>
      <c r="F573" s="2" t="s">
        <v>83</v>
      </c>
      <c r="G573" s="2">
        <f t="shared" si="8"/>
        <v>0.31961471103327493</v>
      </c>
      <c r="H573" s="5">
        <v>4.5061728395061724</v>
      </c>
      <c r="I573" s="2">
        <v>81</v>
      </c>
      <c r="J573" s="12">
        <f>I573/Pondération!$G$32</f>
        <v>7.0928196147110337E-2</v>
      </c>
    </row>
    <row r="574" spans="1:10" x14ac:dyDescent="0.25">
      <c r="A574" s="2" t="s">
        <v>77</v>
      </c>
      <c r="B574" s="2">
        <v>2016</v>
      </c>
      <c r="C574" s="2" t="s">
        <v>29</v>
      </c>
      <c r="D574" s="2" t="s">
        <v>36</v>
      </c>
      <c r="E574" s="2" t="s">
        <v>78</v>
      </c>
      <c r="F574" s="2" t="s">
        <v>83</v>
      </c>
      <c r="G574" s="2">
        <f t="shared" si="8"/>
        <v>0.17907180385288965</v>
      </c>
      <c r="H574" s="5">
        <v>4.5444444444444443</v>
      </c>
      <c r="I574" s="2">
        <v>45</v>
      </c>
      <c r="J574" s="12">
        <f>I574/Pondération!$G$32</f>
        <v>3.9404553415061293E-2</v>
      </c>
    </row>
    <row r="575" spans="1:10" x14ac:dyDescent="0.25">
      <c r="A575" s="2" t="s">
        <v>77</v>
      </c>
      <c r="B575" s="2">
        <v>2017</v>
      </c>
      <c r="C575" s="2" t="s">
        <v>30</v>
      </c>
      <c r="D575" s="2" t="s">
        <v>36</v>
      </c>
      <c r="E575" s="2" t="s">
        <v>78</v>
      </c>
      <c r="F575" s="2" t="s">
        <v>83</v>
      </c>
      <c r="G575" s="2">
        <f t="shared" si="8"/>
        <v>0.47272727272727272</v>
      </c>
      <c r="H575" s="5">
        <v>4.4255319148936172</v>
      </c>
      <c r="I575" s="2">
        <v>47</v>
      </c>
      <c r="J575" s="12">
        <f>I575/Pondération!$F$32</f>
        <v>0.10681818181818181</v>
      </c>
    </row>
    <row r="576" spans="1:10" x14ac:dyDescent="0.25">
      <c r="A576" s="2" t="s">
        <v>77</v>
      </c>
      <c r="B576" s="2">
        <v>2017</v>
      </c>
      <c r="C576" s="2" t="s">
        <v>31</v>
      </c>
      <c r="D576" s="2" t="s">
        <v>36</v>
      </c>
      <c r="E576" s="2" t="s">
        <v>78</v>
      </c>
      <c r="F576" s="2" t="s">
        <v>83</v>
      </c>
      <c r="G576" s="2">
        <f t="shared" si="8"/>
        <v>0.72272727272727277</v>
      </c>
      <c r="H576" s="5">
        <v>4.416666666666667</v>
      </c>
      <c r="I576" s="2">
        <v>72</v>
      </c>
      <c r="J576" s="12">
        <f>I576/Pondération!$F$32</f>
        <v>0.16363636363636364</v>
      </c>
    </row>
    <row r="577" spans="1:10" x14ac:dyDescent="0.25">
      <c r="A577" s="2" t="s">
        <v>77</v>
      </c>
      <c r="B577" s="2">
        <v>2017</v>
      </c>
      <c r="C577" s="2" t="s">
        <v>32</v>
      </c>
      <c r="D577" s="2" t="s">
        <v>36</v>
      </c>
      <c r="E577" s="2" t="s">
        <v>78</v>
      </c>
      <c r="F577" s="2" t="s">
        <v>83</v>
      </c>
      <c r="G577" s="2">
        <f t="shared" si="8"/>
        <v>0.60568181818181821</v>
      </c>
      <c r="H577" s="5">
        <v>4.5169491525423728</v>
      </c>
      <c r="I577" s="2">
        <v>59</v>
      </c>
      <c r="J577" s="12">
        <f>I577/Pondération!$F$32</f>
        <v>0.13409090909090909</v>
      </c>
    </row>
    <row r="578" spans="1:10" x14ac:dyDescent="0.25">
      <c r="A578" s="2" t="s">
        <v>77</v>
      </c>
      <c r="B578" s="2">
        <v>2017</v>
      </c>
      <c r="C578" s="2" t="s">
        <v>33</v>
      </c>
      <c r="D578" s="2" t="s">
        <v>36</v>
      </c>
      <c r="E578" s="2" t="s">
        <v>78</v>
      </c>
      <c r="F578" s="2" t="s">
        <v>83</v>
      </c>
      <c r="G578" s="2">
        <f t="shared" ref="G578:G641" si="9">H578*J578</f>
        <v>1.1102272727272726</v>
      </c>
      <c r="H578" s="5">
        <v>4.4816513761467887</v>
      </c>
      <c r="I578" s="2">
        <v>109</v>
      </c>
      <c r="J578" s="12">
        <f>I578/Pondération!$F$32</f>
        <v>0.24772727272727274</v>
      </c>
    </row>
    <row r="579" spans="1:10" x14ac:dyDescent="0.25">
      <c r="A579" s="2" t="s">
        <v>77</v>
      </c>
      <c r="B579" s="2">
        <v>2017</v>
      </c>
      <c r="C579" s="2" t="s">
        <v>34</v>
      </c>
      <c r="D579" s="2" t="s">
        <v>36</v>
      </c>
      <c r="E579" s="2" t="s">
        <v>78</v>
      </c>
      <c r="F579" s="2" t="s">
        <v>83</v>
      </c>
      <c r="G579" s="2">
        <f t="shared" si="9"/>
        <v>1.1022727272727273</v>
      </c>
      <c r="H579" s="5">
        <v>4.4495412844036695</v>
      </c>
      <c r="I579" s="2">
        <v>109</v>
      </c>
      <c r="J579" s="12">
        <f>I579/Pondération!$F$32</f>
        <v>0.24772727272727274</v>
      </c>
    </row>
    <row r="580" spans="1:10" x14ac:dyDescent="0.25">
      <c r="A580" s="2" t="s">
        <v>77</v>
      </c>
      <c r="B580" s="2">
        <v>2017</v>
      </c>
      <c r="C580" s="2" t="s">
        <v>80</v>
      </c>
      <c r="D580" s="2" t="s">
        <v>36</v>
      </c>
      <c r="E580" s="2" t="s">
        <v>78</v>
      </c>
      <c r="F580" s="2" t="s">
        <v>83</v>
      </c>
      <c r="G580" s="2">
        <f t="shared" si="9"/>
        <v>0.43863636363636371</v>
      </c>
      <c r="H580" s="5">
        <v>4.3863636363636367</v>
      </c>
      <c r="I580" s="2">
        <v>44</v>
      </c>
      <c r="J580" s="12">
        <f>I580/Pondération!$F$32</f>
        <v>0.1</v>
      </c>
    </row>
    <row r="581" spans="1:10" x14ac:dyDescent="0.25">
      <c r="A581" s="2" t="s">
        <v>77</v>
      </c>
      <c r="B581" s="2">
        <v>2013</v>
      </c>
      <c r="C581" s="2" t="s">
        <v>49</v>
      </c>
      <c r="D581" s="2" t="s">
        <v>36</v>
      </c>
      <c r="E581" s="2" t="s">
        <v>78</v>
      </c>
      <c r="F581" s="2" t="s">
        <v>84</v>
      </c>
      <c r="G581" s="2">
        <f t="shared" si="9"/>
        <v>0.18</v>
      </c>
      <c r="H581" s="5">
        <v>4.5</v>
      </c>
      <c r="I581" s="2">
        <v>1</v>
      </c>
      <c r="J581" s="12">
        <f>I581/Pondération!$J$33</f>
        <v>0.04</v>
      </c>
    </row>
    <row r="582" spans="1:10" x14ac:dyDescent="0.25">
      <c r="A582" s="2" t="s">
        <v>77</v>
      </c>
      <c r="B582" s="2">
        <v>2013</v>
      </c>
      <c r="C582" s="2" t="s">
        <v>51</v>
      </c>
      <c r="D582" s="2" t="s">
        <v>36</v>
      </c>
      <c r="E582" s="2" t="s">
        <v>78</v>
      </c>
      <c r="F582" s="2" t="s">
        <v>84</v>
      </c>
      <c r="G582" s="2">
        <f t="shared" si="9"/>
        <v>0.18</v>
      </c>
      <c r="H582" s="5">
        <v>4.5</v>
      </c>
      <c r="I582" s="2">
        <v>1</v>
      </c>
      <c r="J582" s="12">
        <f>I582/Pondération!$J$33</f>
        <v>0.04</v>
      </c>
    </row>
    <row r="583" spans="1:10" x14ac:dyDescent="0.25">
      <c r="A583" s="2" t="s">
        <v>77</v>
      </c>
      <c r="B583" s="2">
        <v>2013</v>
      </c>
      <c r="C583" s="2" t="s">
        <v>52</v>
      </c>
      <c r="D583" s="2" t="s">
        <v>36</v>
      </c>
      <c r="E583" s="2" t="s">
        <v>78</v>
      </c>
      <c r="F583" s="2" t="s">
        <v>84</v>
      </c>
      <c r="G583" s="2">
        <f t="shared" si="9"/>
        <v>0.16</v>
      </c>
      <c r="H583" s="5">
        <v>4</v>
      </c>
      <c r="I583" s="2">
        <v>1</v>
      </c>
      <c r="J583" s="12">
        <f>I583/Pondération!$J$33</f>
        <v>0.04</v>
      </c>
    </row>
    <row r="584" spans="1:10" x14ac:dyDescent="0.25">
      <c r="A584" s="2" t="s">
        <v>77</v>
      </c>
      <c r="B584" s="2">
        <v>2013</v>
      </c>
      <c r="C584" s="2" t="s">
        <v>53</v>
      </c>
      <c r="D584" s="2" t="s">
        <v>36</v>
      </c>
      <c r="E584" s="2" t="s">
        <v>78</v>
      </c>
      <c r="F584" s="2" t="s">
        <v>84</v>
      </c>
      <c r="G584" s="2">
        <f t="shared" si="9"/>
        <v>0.16</v>
      </c>
      <c r="H584" s="5">
        <v>4</v>
      </c>
      <c r="I584" s="2">
        <v>1</v>
      </c>
      <c r="J584" s="12">
        <f>I584/Pondération!$J$33</f>
        <v>0.04</v>
      </c>
    </row>
    <row r="585" spans="1:10" x14ac:dyDescent="0.25">
      <c r="A585" s="2" t="s">
        <v>77</v>
      </c>
      <c r="B585" s="2">
        <v>2013</v>
      </c>
      <c r="C585" s="2" t="s">
        <v>54</v>
      </c>
      <c r="D585" s="2" t="s">
        <v>36</v>
      </c>
      <c r="E585" s="2" t="s">
        <v>78</v>
      </c>
      <c r="F585" s="2" t="s">
        <v>84</v>
      </c>
      <c r="G585" s="2">
        <f t="shared" si="9"/>
        <v>0.51999999999999991</v>
      </c>
      <c r="H585" s="5">
        <v>4.333333333333333</v>
      </c>
      <c r="I585" s="2">
        <v>3</v>
      </c>
      <c r="J585" s="12">
        <f>I585/Pondération!$J$33</f>
        <v>0.12</v>
      </c>
    </row>
    <row r="586" spans="1:10" x14ac:dyDescent="0.25">
      <c r="A586" s="2" t="s">
        <v>77</v>
      </c>
      <c r="B586" s="2">
        <v>2013</v>
      </c>
      <c r="C586" s="2" t="s">
        <v>56</v>
      </c>
      <c r="D586" s="2" t="s">
        <v>36</v>
      </c>
      <c r="E586" s="2" t="s">
        <v>78</v>
      </c>
      <c r="F586" s="2" t="s">
        <v>84</v>
      </c>
      <c r="G586" s="2">
        <f t="shared" si="9"/>
        <v>1.3</v>
      </c>
      <c r="H586" s="5">
        <v>4.0625</v>
      </c>
      <c r="I586" s="2">
        <v>8</v>
      </c>
      <c r="J586" s="12">
        <f>I586/Pondération!$J$33</f>
        <v>0.32</v>
      </c>
    </row>
    <row r="587" spans="1:10" x14ac:dyDescent="0.25">
      <c r="A587" s="2" t="s">
        <v>77</v>
      </c>
      <c r="B587" s="2">
        <v>2013</v>
      </c>
      <c r="C587" s="2" t="s">
        <v>57</v>
      </c>
      <c r="D587" s="2" t="s">
        <v>36</v>
      </c>
      <c r="E587" s="2" t="s">
        <v>78</v>
      </c>
      <c r="F587" s="2" t="s">
        <v>84</v>
      </c>
      <c r="G587" s="2">
        <f t="shared" si="9"/>
        <v>0.18</v>
      </c>
      <c r="H587" s="5">
        <v>4.5</v>
      </c>
      <c r="I587" s="2">
        <v>1</v>
      </c>
      <c r="J587" s="12">
        <f>I587/Pondération!$J$33</f>
        <v>0.04</v>
      </c>
    </row>
    <row r="588" spans="1:10" x14ac:dyDescent="0.25">
      <c r="A588" s="2" t="s">
        <v>77</v>
      </c>
      <c r="B588" s="2">
        <v>2013</v>
      </c>
      <c r="C588" s="2" t="s">
        <v>58</v>
      </c>
      <c r="D588" s="2" t="s">
        <v>36</v>
      </c>
      <c r="E588" s="2" t="s">
        <v>78</v>
      </c>
      <c r="F588" s="2" t="s">
        <v>84</v>
      </c>
      <c r="G588" s="2">
        <f t="shared" si="9"/>
        <v>0.16</v>
      </c>
      <c r="H588" s="5">
        <v>4</v>
      </c>
      <c r="I588" s="2">
        <v>1</v>
      </c>
      <c r="J588" s="12">
        <f>I588/Pondération!$J$33</f>
        <v>0.04</v>
      </c>
    </row>
    <row r="589" spans="1:10" x14ac:dyDescent="0.25">
      <c r="A589" s="2" t="s">
        <v>77</v>
      </c>
      <c r="B589" s="2">
        <v>2013</v>
      </c>
      <c r="C589" s="2" t="s">
        <v>59</v>
      </c>
      <c r="D589" s="2" t="s">
        <v>36</v>
      </c>
      <c r="E589" s="2" t="s">
        <v>78</v>
      </c>
      <c r="F589" s="2" t="s">
        <v>84</v>
      </c>
      <c r="G589" s="2">
        <f t="shared" si="9"/>
        <v>0.5</v>
      </c>
      <c r="H589" s="5">
        <v>4.166666666666667</v>
      </c>
      <c r="I589" s="2">
        <v>3</v>
      </c>
      <c r="J589" s="12">
        <f>I589/Pondération!$J$33</f>
        <v>0.12</v>
      </c>
    </row>
    <row r="590" spans="1:10" x14ac:dyDescent="0.25">
      <c r="A590" s="2" t="s">
        <v>77</v>
      </c>
      <c r="B590" s="2">
        <v>2013</v>
      </c>
      <c r="C590" s="2" t="s">
        <v>60</v>
      </c>
      <c r="D590" s="2" t="s">
        <v>36</v>
      </c>
      <c r="E590" s="2" t="s">
        <v>78</v>
      </c>
      <c r="F590" s="2" t="s">
        <v>84</v>
      </c>
      <c r="G590" s="2">
        <f t="shared" si="9"/>
        <v>0.8</v>
      </c>
      <c r="H590" s="5">
        <v>4</v>
      </c>
      <c r="I590" s="2">
        <v>5</v>
      </c>
      <c r="J590" s="12">
        <f>I590/Pondération!$J$33</f>
        <v>0.2</v>
      </c>
    </row>
    <row r="591" spans="1:10" x14ac:dyDescent="0.25">
      <c r="A591" s="2" t="s">
        <v>77</v>
      </c>
      <c r="B591" s="2">
        <v>2014</v>
      </c>
      <c r="C591" s="2" t="s">
        <v>61</v>
      </c>
      <c r="D591" s="2" t="s">
        <v>36</v>
      </c>
      <c r="E591" s="2" t="s">
        <v>78</v>
      </c>
      <c r="F591" s="2" t="s">
        <v>84</v>
      </c>
      <c r="G591" s="2">
        <f t="shared" si="9"/>
        <v>0.26333333333333336</v>
      </c>
      <c r="H591" s="5">
        <v>4.3888888888888893</v>
      </c>
      <c r="I591" s="2">
        <v>9</v>
      </c>
      <c r="J591" s="12">
        <f>I591/Pondération!$I$33</f>
        <v>0.06</v>
      </c>
    </row>
    <row r="592" spans="1:10" x14ac:dyDescent="0.25">
      <c r="A592" s="2" t="s">
        <v>77</v>
      </c>
      <c r="B592" s="2">
        <v>2014</v>
      </c>
      <c r="C592" s="2" t="s">
        <v>62</v>
      </c>
      <c r="D592" s="2" t="s">
        <v>36</v>
      </c>
      <c r="E592" s="2" t="s">
        <v>78</v>
      </c>
      <c r="F592" s="2" t="s">
        <v>84</v>
      </c>
      <c r="G592" s="2">
        <f t="shared" si="9"/>
        <v>8.6666666666666656E-2</v>
      </c>
      <c r="H592" s="5">
        <v>4.333333333333333</v>
      </c>
      <c r="I592" s="2">
        <v>3</v>
      </c>
      <c r="J592" s="12">
        <f>I592/Pondération!$I$33</f>
        <v>0.02</v>
      </c>
    </row>
    <row r="593" spans="1:10" x14ac:dyDescent="0.25">
      <c r="A593" s="2" t="s">
        <v>77</v>
      </c>
      <c r="B593" s="2">
        <v>2014</v>
      </c>
      <c r="C593" s="2" t="s">
        <v>63</v>
      </c>
      <c r="D593" s="2" t="s">
        <v>36</v>
      </c>
      <c r="E593" s="2" t="s">
        <v>78</v>
      </c>
      <c r="F593" s="2" t="s">
        <v>84</v>
      </c>
      <c r="G593" s="2">
        <f t="shared" si="9"/>
        <v>0.24000000000000002</v>
      </c>
      <c r="H593" s="5">
        <v>4.5</v>
      </c>
      <c r="I593" s="2">
        <v>8</v>
      </c>
      <c r="J593" s="12">
        <f>I593/Pondération!$I$33</f>
        <v>5.3333333333333337E-2</v>
      </c>
    </row>
    <row r="594" spans="1:10" x14ac:dyDescent="0.25">
      <c r="A594" s="2" t="s">
        <v>77</v>
      </c>
      <c r="B594" s="2">
        <v>2014</v>
      </c>
      <c r="C594" s="2" t="s">
        <v>64</v>
      </c>
      <c r="D594" s="2" t="s">
        <v>36</v>
      </c>
      <c r="E594" s="2" t="s">
        <v>78</v>
      </c>
      <c r="F594" s="2" t="s">
        <v>84</v>
      </c>
      <c r="G594" s="2">
        <f t="shared" si="9"/>
        <v>0.17666666666666669</v>
      </c>
      <c r="H594" s="5">
        <v>4.416666666666667</v>
      </c>
      <c r="I594" s="2">
        <v>6</v>
      </c>
      <c r="J594" s="12">
        <f>I594/Pondération!$I$33</f>
        <v>0.04</v>
      </c>
    </row>
    <row r="595" spans="1:10" x14ac:dyDescent="0.25">
      <c r="A595" s="2" t="s">
        <v>77</v>
      </c>
      <c r="B595" s="2">
        <v>2014</v>
      </c>
      <c r="C595" s="2" t="s">
        <v>65</v>
      </c>
      <c r="D595" s="2" t="s">
        <v>36</v>
      </c>
      <c r="E595" s="2" t="s">
        <v>78</v>
      </c>
      <c r="F595" s="2" t="s">
        <v>84</v>
      </c>
      <c r="G595" s="2">
        <f t="shared" si="9"/>
        <v>0.28333333333333333</v>
      </c>
      <c r="H595" s="5">
        <v>4.25</v>
      </c>
      <c r="I595" s="2">
        <v>10</v>
      </c>
      <c r="J595" s="12">
        <f>I595/Pondération!$I$33</f>
        <v>6.6666666666666666E-2</v>
      </c>
    </row>
    <row r="596" spans="1:10" x14ac:dyDescent="0.25">
      <c r="A596" s="2" t="s">
        <v>77</v>
      </c>
      <c r="B596" s="2">
        <v>2014</v>
      </c>
      <c r="C596" s="2" t="s">
        <v>66</v>
      </c>
      <c r="D596" s="2" t="s">
        <v>36</v>
      </c>
      <c r="E596" s="2" t="s">
        <v>78</v>
      </c>
      <c r="F596" s="2" t="s">
        <v>84</v>
      </c>
      <c r="G596" s="2">
        <f t="shared" si="9"/>
        <v>0.24000000000000002</v>
      </c>
      <c r="H596" s="5">
        <v>4.5</v>
      </c>
      <c r="I596" s="2">
        <v>8</v>
      </c>
      <c r="J596" s="12">
        <f>I596/Pondération!$I$33</f>
        <v>5.3333333333333337E-2</v>
      </c>
    </row>
    <row r="597" spans="1:10" x14ac:dyDescent="0.25">
      <c r="A597" s="2" t="s">
        <v>77</v>
      </c>
      <c r="B597" s="2">
        <v>2014</v>
      </c>
      <c r="C597" s="2" t="s">
        <v>67</v>
      </c>
      <c r="D597" s="2" t="s">
        <v>36</v>
      </c>
      <c r="E597" s="2" t="s">
        <v>78</v>
      </c>
      <c r="F597" s="2" t="s">
        <v>84</v>
      </c>
      <c r="G597" s="2">
        <f t="shared" si="9"/>
        <v>0.58333333333333337</v>
      </c>
      <c r="H597" s="5">
        <v>4.375</v>
      </c>
      <c r="I597" s="2">
        <v>20</v>
      </c>
      <c r="J597" s="12">
        <f>I597/Pondération!$I$33</f>
        <v>0.13333333333333333</v>
      </c>
    </row>
    <row r="598" spans="1:10" x14ac:dyDescent="0.25">
      <c r="A598" s="2" t="s">
        <v>77</v>
      </c>
      <c r="B598" s="2">
        <v>2014</v>
      </c>
      <c r="C598" s="2" t="s">
        <v>68</v>
      </c>
      <c r="D598" s="2" t="s">
        <v>36</v>
      </c>
      <c r="E598" s="2" t="s">
        <v>78</v>
      </c>
      <c r="F598" s="2" t="s">
        <v>84</v>
      </c>
      <c r="G598" s="2">
        <f t="shared" si="9"/>
        <v>0.95000000000000007</v>
      </c>
      <c r="H598" s="5">
        <v>4.3181818181818183</v>
      </c>
      <c r="I598" s="2">
        <v>33</v>
      </c>
      <c r="J598" s="12">
        <f>I598/Pondération!$I$33</f>
        <v>0.22</v>
      </c>
    </row>
    <row r="599" spans="1:10" x14ac:dyDescent="0.25">
      <c r="A599" s="2" t="s">
        <v>77</v>
      </c>
      <c r="B599" s="2">
        <v>2014</v>
      </c>
      <c r="C599" s="2" t="s">
        <v>69</v>
      </c>
      <c r="D599" s="2" t="s">
        <v>36</v>
      </c>
      <c r="E599" s="2" t="s">
        <v>78</v>
      </c>
      <c r="F599" s="2" t="s">
        <v>84</v>
      </c>
      <c r="G599" s="2">
        <f t="shared" si="9"/>
        <v>0.6399999999999999</v>
      </c>
      <c r="H599" s="5">
        <v>4.3636363636363633</v>
      </c>
      <c r="I599" s="2">
        <v>22</v>
      </c>
      <c r="J599" s="12">
        <f>I599/Pondération!$I$33</f>
        <v>0.14666666666666667</v>
      </c>
    </row>
    <row r="600" spans="1:10" x14ac:dyDescent="0.25">
      <c r="A600" s="2" t="s">
        <v>77</v>
      </c>
      <c r="B600" s="2">
        <v>2014</v>
      </c>
      <c r="C600" s="2" t="s">
        <v>70</v>
      </c>
      <c r="D600" s="2" t="s">
        <v>36</v>
      </c>
      <c r="E600" s="2" t="s">
        <v>78</v>
      </c>
      <c r="F600" s="2" t="s">
        <v>84</v>
      </c>
      <c r="G600" s="2">
        <f t="shared" si="9"/>
        <v>0.25333333333333335</v>
      </c>
      <c r="H600" s="5">
        <v>4.2222222222222223</v>
      </c>
      <c r="I600" s="2">
        <v>9</v>
      </c>
      <c r="J600" s="12">
        <f>I600/Pondération!$I$33</f>
        <v>0.06</v>
      </c>
    </row>
    <row r="601" spans="1:10" x14ac:dyDescent="0.25">
      <c r="A601" s="2" t="s">
        <v>77</v>
      </c>
      <c r="B601" s="2">
        <v>2014</v>
      </c>
      <c r="C601" s="2" t="s">
        <v>71</v>
      </c>
      <c r="D601" s="2" t="s">
        <v>36</v>
      </c>
      <c r="E601" s="2" t="s">
        <v>78</v>
      </c>
      <c r="F601" s="2" t="s">
        <v>84</v>
      </c>
      <c r="G601" s="2">
        <f t="shared" si="9"/>
        <v>0.22666666666666668</v>
      </c>
      <c r="H601" s="5">
        <v>4.25</v>
      </c>
      <c r="I601" s="2">
        <v>8</v>
      </c>
      <c r="J601" s="12">
        <f>I601/Pondération!$I$33</f>
        <v>5.3333333333333337E-2</v>
      </c>
    </row>
    <row r="602" spans="1:10" x14ac:dyDescent="0.25">
      <c r="A602" s="2" t="s">
        <v>77</v>
      </c>
      <c r="B602" s="2">
        <v>2014</v>
      </c>
      <c r="C602" s="2" t="s">
        <v>72</v>
      </c>
      <c r="D602" s="2" t="s">
        <v>36</v>
      </c>
      <c r="E602" s="2" t="s">
        <v>78</v>
      </c>
      <c r="F602" s="2" t="s">
        <v>84</v>
      </c>
      <c r="G602" s="2">
        <f t="shared" si="9"/>
        <v>0.39666666666666667</v>
      </c>
      <c r="H602" s="5">
        <v>4.25</v>
      </c>
      <c r="I602" s="2">
        <v>14</v>
      </c>
      <c r="J602" s="12">
        <f>I602/Pondération!$I$33</f>
        <v>9.3333333333333338E-2</v>
      </c>
    </row>
    <row r="603" spans="1:10" x14ac:dyDescent="0.25">
      <c r="A603" s="2" t="s">
        <v>77</v>
      </c>
      <c r="B603" s="2">
        <v>2015</v>
      </c>
      <c r="C603" s="2" t="s">
        <v>73</v>
      </c>
      <c r="D603" s="2" t="s">
        <v>36</v>
      </c>
      <c r="E603" s="2" t="s">
        <v>78</v>
      </c>
      <c r="F603" s="2" t="s">
        <v>84</v>
      </c>
      <c r="G603" s="2">
        <f t="shared" si="9"/>
        <v>0.11234567901234567</v>
      </c>
      <c r="H603" s="5">
        <v>4.55</v>
      </c>
      <c r="I603" s="2">
        <v>10</v>
      </c>
      <c r="J603" s="12">
        <f>I603/Pondération!$H$33</f>
        <v>2.4691358024691357E-2</v>
      </c>
    </row>
    <row r="604" spans="1:10" x14ac:dyDescent="0.25">
      <c r="A604" s="2" t="s">
        <v>77</v>
      </c>
      <c r="B604" s="2">
        <v>2015</v>
      </c>
      <c r="C604" s="2" t="s">
        <v>74</v>
      </c>
      <c r="D604" s="2" t="s">
        <v>36</v>
      </c>
      <c r="E604" s="2" t="s">
        <v>78</v>
      </c>
      <c r="F604" s="2" t="s">
        <v>84</v>
      </c>
      <c r="G604" s="2">
        <f t="shared" si="9"/>
        <v>0.11728395061728396</v>
      </c>
      <c r="H604" s="5">
        <v>4.3181818181818183</v>
      </c>
      <c r="I604" s="2">
        <v>11</v>
      </c>
      <c r="J604" s="12">
        <f>I604/Pondération!$H$33</f>
        <v>2.7160493827160494E-2</v>
      </c>
    </row>
    <row r="605" spans="1:10" x14ac:dyDescent="0.25">
      <c r="A605" s="2" t="s">
        <v>77</v>
      </c>
      <c r="B605" s="2">
        <v>2015</v>
      </c>
      <c r="C605" s="2" t="s">
        <v>75</v>
      </c>
      <c r="D605" s="2" t="s">
        <v>36</v>
      </c>
      <c r="E605" s="2" t="s">
        <v>78</v>
      </c>
      <c r="F605" s="2" t="s">
        <v>84</v>
      </c>
      <c r="G605" s="2">
        <f t="shared" si="9"/>
        <v>0.19506172839506175</v>
      </c>
      <c r="H605" s="5">
        <v>4.3888888888888893</v>
      </c>
      <c r="I605" s="2">
        <v>18</v>
      </c>
      <c r="J605" s="12">
        <f>I605/Pondération!$H$33</f>
        <v>4.4444444444444446E-2</v>
      </c>
    </row>
    <row r="606" spans="1:10" x14ac:dyDescent="0.25">
      <c r="A606" s="2" t="s">
        <v>77</v>
      </c>
      <c r="B606" s="2">
        <v>2015</v>
      </c>
      <c r="C606" s="2" t="s">
        <v>76</v>
      </c>
      <c r="D606" s="2" t="s">
        <v>36</v>
      </c>
      <c r="E606" s="2" t="s">
        <v>78</v>
      </c>
      <c r="F606" s="2" t="s">
        <v>84</v>
      </c>
      <c r="G606" s="2">
        <f t="shared" si="9"/>
        <v>0.1851851851851852</v>
      </c>
      <c r="H606" s="5">
        <v>4.166666666666667</v>
      </c>
      <c r="I606" s="2">
        <v>18</v>
      </c>
      <c r="J606" s="12">
        <f>I606/Pondération!$H$33</f>
        <v>4.4444444444444446E-2</v>
      </c>
    </row>
    <row r="607" spans="1:10" x14ac:dyDescent="0.25">
      <c r="A607" s="2" t="s">
        <v>77</v>
      </c>
      <c r="B607" s="2">
        <v>2015</v>
      </c>
      <c r="C607" s="2" t="s">
        <v>7</v>
      </c>
      <c r="D607" s="2" t="s">
        <v>36</v>
      </c>
      <c r="E607" s="2" t="s">
        <v>78</v>
      </c>
      <c r="F607" s="2" t="s">
        <v>84</v>
      </c>
      <c r="G607" s="2">
        <f t="shared" si="9"/>
        <v>0.30987654320987656</v>
      </c>
      <c r="H607" s="5">
        <v>4.3275862068965516</v>
      </c>
      <c r="I607" s="2">
        <v>29</v>
      </c>
      <c r="J607" s="12">
        <f>I607/Pondération!$H$33</f>
        <v>7.160493827160494E-2</v>
      </c>
    </row>
    <row r="608" spans="1:10" x14ac:dyDescent="0.25">
      <c r="A608" s="2" t="s">
        <v>77</v>
      </c>
      <c r="B608" s="2">
        <v>2015</v>
      </c>
      <c r="C608" s="2" t="s">
        <v>11</v>
      </c>
      <c r="D608" s="2" t="s">
        <v>36</v>
      </c>
      <c r="E608" s="2" t="s">
        <v>78</v>
      </c>
      <c r="F608" s="2" t="s">
        <v>84</v>
      </c>
      <c r="G608" s="2">
        <f t="shared" si="9"/>
        <v>0.22098765432098766</v>
      </c>
      <c r="H608" s="5">
        <v>4.2619047619047619</v>
      </c>
      <c r="I608" s="2">
        <v>21</v>
      </c>
      <c r="J608" s="12">
        <f>I608/Pondération!$H$33</f>
        <v>5.185185185185185E-2</v>
      </c>
    </row>
    <row r="609" spans="1:10" x14ac:dyDescent="0.25">
      <c r="A609" s="2" t="s">
        <v>77</v>
      </c>
      <c r="B609" s="2">
        <v>2015</v>
      </c>
      <c r="C609" s="2" t="s">
        <v>12</v>
      </c>
      <c r="D609" s="2" t="s">
        <v>36</v>
      </c>
      <c r="E609" s="2" t="s">
        <v>78</v>
      </c>
      <c r="F609" s="2" t="s">
        <v>84</v>
      </c>
      <c r="G609" s="2">
        <f t="shared" si="9"/>
        <v>0.49876543209876539</v>
      </c>
      <c r="H609" s="5">
        <v>4.4888888888888889</v>
      </c>
      <c r="I609" s="2">
        <v>45</v>
      </c>
      <c r="J609" s="12">
        <f>I609/Pondération!$H$33</f>
        <v>0.1111111111111111</v>
      </c>
    </row>
    <row r="610" spans="1:10" x14ac:dyDescent="0.25">
      <c r="A610" s="2" t="s">
        <v>77</v>
      </c>
      <c r="B610" s="2">
        <v>2015</v>
      </c>
      <c r="C610" s="2" t="s">
        <v>13</v>
      </c>
      <c r="D610" s="2" t="s">
        <v>36</v>
      </c>
      <c r="E610" s="2" t="s">
        <v>78</v>
      </c>
      <c r="F610" s="2" t="s">
        <v>84</v>
      </c>
      <c r="G610" s="2">
        <f t="shared" si="9"/>
        <v>0.874074074074074</v>
      </c>
      <c r="H610" s="5">
        <v>4.2650602409638552</v>
      </c>
      <c r="I610" s="2">
        <v>83</v>
      </c>
      <c r="J610" s="12">
        <f>I610/Pondération!$H$33</f>
        <v>0.20493827160493827</v>
      </c>
    </row>
    <row r="611" spans="1:10" x14ac:dyDescent="0.25">
      <c r="A611" s="2" t="s">
        <v>77</v>
      </c>
      <c r="B611" s="2">
        <v>2015</v>
      </c>
      <c r="C611" s="2" t="s">
        <v>14</v>
      </c>
      <c r="D611" s="2" t="s">
        <v>36</v>
      </c>
      <c r="E611" s="2" t="s">
        <v>78</v>
      </c>
      <c r="F611" s="2" t="s">
        <v>84</v>
      </c>
      <c r="G611" s="2">
        <f t="shared" si="9"/>
        <v>0.54567901234567906</v>
      </c>
      <c r="H611" s="5">
        <v>4.5102040816326534</v>
      </c>
      <c r="I611" s="2">
        <v>49</v>
      </c>
      <c r="J611" s="12">
        <f>I611/Pondération!$H$33</f>
        <v>0.12098765432098765</v>
      </c>
    </row>
    <row r="612" spans="1:10" x14ac:dyDescent="0.25">
      <c r="A612" s="2" t="s">
        <v>77</v>
      </c>
      <c r="B612" s="2">
        <v>2015</v>
      </c>
      <c r="C612" s="2" t="s">
        <v>15</v>
      </c>
      <c r="D612" s="2" t="s">
        <v>36</v>
      </c>
      <c r="E612" s="2" t="s">
        <v>78</v>
      </c>
      <c r="F612" s="2" t="s">
        <v>84</v>
      </c>
      <c r="G612" s="2">
        <f t="shared" si="9"/>
        <v>0.23827160493827163</v>
      </c>
      <c r="H612" s="5">
        <v>4.1956521739130439</v>
      </c>
      <c r="I612" s="2">
        <v>23</v>
      </c>
      <c r="J612" s="12">
        <f>I612/Pondération!$H$33</f>
        <v>5.6790123456790124E-2</v>
      </c>
    </row>
    <row r="613" spans="1:10" x14ac:dyDescent="0.25">
      <c r="A613" s="2" t="s">
        <v>77</v>
      </c>
      <c r="B613" s="2">
        <v>2015</v>
      </c>
      <c r="C613" s="2" t="s">
        <v>16</v>
      </c>
      <c r="D613" s="2" t="s">
        <v>36</v>
      </c>
      <c r="E613" s="2" t="s">
        <v>78</v>
      </c>
      <c r="F613" s="2" t="s">
        <v>84</v>
      </c>
      <c r="G613" s="2">
        <f t="shared" si="9"/>
        <v>0.32345679012345674</v>
      </c>
      <c r="H613" s="5">
        <v>4.3666666666666663</v>
      </c>
      <c r="I613" s="2">
        <v>30</v>
      </c>
      <c r="J613" s="12">
        <f>I613/Pondération!$H$33</f>
        <v>7.407407407407407E-2</v>
      </c>
    </row>
    <row r="614" spans="1:10" x14ac:dyDescent="0.25">
      <c r="A614" s="2" t="s">
        <v>77</v>
      </c>
      <c r="B614" s="2">
        <v>2015</v>
      </c>
      <c r="C614" s="2" t="s">
        <v>17</v>
      </c>
      <c r="D614" s="2" t="s">
        <v>36</v>
      </c>
      <c r="E614" s="2" t="s">
        <v>78</v>
      </c>
      <c r="F614" s="2" t="s">
        <v>84</v>
      </c>
      <c r="G614" s="2">
        <f t="shared" si="9"/>
        <v>0.78518518518518521</v>
      </c>
      <c r="H614" s="5">
        <v>4.6764705882352944</v>
      </c>
      <c r="I614" s="2">
        <v>68</v>
      </c>
      <c r="J614" s="12">
        <f>I614/Pondération!$H$33</f>
        <v>0.16790123456790124</v>
      </c>
    </row>
    <row r="615" spans="1:10" x14ac:dyDescent="0.25">
      <c r="A615" s="2" t="s">
        <v>77</v>
      </c>
      <c r="B615" s="2">
        <v>2016</v>
      </c>
      <c r="C615" s="2" t="s">
        <v>18</v>
      </c>
      <c r="D615" s="2" t="s">
        <v>36</v>
      </c>
      <c r="E615" s="2" t="s">
        <v>78</v>
      </c>
      <c r="F615" s="2" t="s">
        <v>84</v>
      </c>
      <c r="G615" s="2">
        <f t="shared" si="9"/>
        <v>0.17991004497751123</v>
      </c>
      <c r="H615" s="5">
        <v>4.4444444444444446</v>
      </c>
      <c r="I615" s="2">
        <v>27</v>
      </c>
      <c r="J615" s="12">
        <f>I615/Pondération!$G$33</f>
        <v>4.0479760119940027E-2</v>
      </c>
    </row>
    <row r="616" spans="1:10" x14ac:dyDescent="0.25">
      <c r="A616" s="2" t="s">
        <v>77</v>
      </c>
      <c r="B616" s="2">
        <v>2016</v>
      </c>
      <c r="C616" s="2" t="s">
        <v>19</v>
      </c>
      <c r="D616" s="2" t="s">
        <v>36</v>
      </c>
      <c r="E616" s="2" t="s">
        <v>78</v>
      </c>
      <c r="F616" s="2" t="s">
        <v>84</v>
      </c>
      <c r="G616" s="2">
        <f t="shared" si="9"/>
        <v>0.2856071964017991</v>
      </c>
      <c r="H616" s="5">
        <v>4.3295454545454541</v>
      </c>
      <c r="I616" s="2">
        <v>44</v>
      </c>
      <c r="J616" s="12">
        <f>I616/Pondération!$G$33</f>
        <v>6.5967016491754127E-2</v>
      </c>
    </row>
    <row r="617" spans="1:10" x14ac:dyDescent="0.25">
      <c r="A617" s="2" t="s">
        <v>77</v>
      </c>
      <c r="B617" s="2">
        <v>2016</v>
      </c>
      <c r="C617" s="2" t="s">
        <v>20</v>
      </c>
      <c r="D617" s="2" t="s">
        <v>36</v>
      </c>
      <c r="E617" s="2" t="s">
        <v>78</v>
      </c>
      <c r="F617" s="2" t="s">
        <v>84</v>
      </c>
      <c r="G617" s="2">
        <f t="shared" si="9"/>
        <v>0.164167916041979</v>
      </c>
      <c r="H617" s="5">
        <v>4.38</v>
      </c>
      <c r="I617" s="2">
        <v>25</v>
      </c>
      <c r="J617" s="12">
        <f>I617/Pondération!$G$33</f>
        <v>3.7481259370314844E-2</v>
      </c>
    </row>
    <row r="618" spans="1:10" x14ac:dyDescent="0.25">
      <c r="A618" s="2" t="s">
        <v>77</v>
      </c>
      <c r="B618" s="2">
        <v>2016</v>
      </c>
      <c r="C618" s="2" t="s">
        <v>21</v>
      </c>
      <c r="D618" s="2" t="s">
        <v>36</v>
      </c>
      <c r="E618" s="2" t="s">
        <v>78</v>
      </c>
      <c r="F618" s="2" t="s">
        <v>84</v>
      </c>
      <c r="G618" s="2">
        <f t="shared" si="9"/>
        <v>0.29010494752623689</v>
      </c>
      <c r="H618" s="5">
        <v>4.5</v>
      </c>
      <c r="I618" s="2">
        <v>43</v>
      </c>
      <c r="J618" s="12">
        <f>I618/Pondération!$G$33</f>
        <v>6.4467766116941536E-2</v>
      </c>
    </row>
    <row r="619" spans="1:10" x14ac:dyDescent="0.25">
      <c r="A619" s="2" t="s">
        <v>77</v>
      </c>
      <c r="B619" s="2">
        <v>2016</v>
      </c>
      <c r="C619" s="2" t="s">
        <v>22</v>
      </c>
      <c r="D619" s="2" t="s">
        <v>36</v>
      </c>
      <c r="E619" s="2" t="s">
        <v>78</v>
      </c>
      <c r="F619" s="2" t="s">
        <v>84</v>
      </c>
      <c r="G619" s="2">
        <f t="shared" si="9"/>
        <v>0.39730134932533728</v>
      </c>
      <c r="H619" s="5">
        <v>4.4915254237288131</v>
      </c>
      <c r="I619" s="2">
        <v>59</v>
      </c>
      <c r="J619" s="12">
        <f>I619/Pondération!$G$33</f>
        <v>8.8455772113943024E-2</v>
      </c>
    </row>
    <row r="620" spans="1:10" x14ac:dyDescent="0.25">
      <c r="A620" s="2" t="s">
        <v>77</v>
      </c>
      <c r="B620" s="2">
        <v>2016</v>
      </c>
      <c r="C620" s="2" t="s">
        <v>23</v>
      </c>
      <c r="D620" s="2" t="s">
        <v>36</v>
      </c>
      <c r="E620" s="2" t="s">
        <v>78</v>
      </c>
      <c r="F620" s="2" t="s">
        <v>84</v>
      </c>
      <c r="G620" s="2">
        <f t="shared" si="9"/>
        <v>0.35832083958020983</v>
      </c>
      <c r="H620" s="5">
        <v>4.4259259259259256</v>
      </c>
      <c r="I620" s="2">
        <v>54</v>
      </c>
      <c r="J620" s="12">
        <f>I620/Pondération!$G$33</f>
        <v>8.0959520239880053E-2</v>
      </c>
    </row>
    <row r="621" spans="1:10" x14ac:dyDescent="0.25">
      <c r="A621" s="2" t="s">
        <v>77</v>
      </c>
      <c r="B621" s="2">
        <v>2016</v>
      </c>
      <c r="C621" s="2" t="s">
        <v>24</v>
      </c>
      <c r="D621" s="2" t="s">
        <v>36</v>
      </c>
      <c r="E621" s="2" t="s">
        <v>78</v>
      </c>
      <c r="F621" s="2" t="s">
        <v>84</v>
      </c>
      <c r="G621" s="2">
        <f t="shared" si="9"/>
        <v>0.50599700149925031</v>
      </c>
      <c r="H621" s="5">
        <v>4.4407894736842106</v>
      </c>
      <c r="I621" s="2">
        <v>76</v>
      </c>
      <c r="J621" s="12">
        <f>I621/Pondération!$G$33</f>
        <v>0.11394302848575712</v>
      </c>
    </row>
    <row r="622" spans="1:10" x14ac:dyDescent="0.25">
      <c r="A622" s="2" t="s">
        <v>77</v>
      </c>
      <c r="B622" s="2">
        <v>2016</v>
      </c>
      <c r="C622" s="2" t="s">
        <v>25</v>
      </c>
      <c r="D622" s="2" t="s">
        <v>36</v>
      </c>
      <c r="E622" s="2" t="s">
        <v>78</v>
      </c>
      <c r="F622" s="2" t="s">
        <v>84</v>
      </c>
      <c r="G622" s="2">
        <f t="shared" si="9"/>
        <v>0.85232383808095935</v>
      </c>
      <c r="H622" s="5">
        <v>4.3730769230769226</v>
      </c>
      <c r="I622" s="2">
        <v>130</v>
      </c>
      <c r="J622" s="12">
        <f>I622/Pondération!$G$33</f>
        <v>0.19490254872563717</v>
      </c>
    </row>
    <row r="623" spans="1:10" x14ac:dyDescent="0.25">
      <c r="A623" s="2" t="s">
        <v>77</v>
      </c>
      <c r="B623" s="2">
        <v>2016</v>
      </c>
      <c r="C623" s="2" t="s">
        <v>26</v>
      </c>
      <c r="D623" s="2" t="s">
        <v>36</v>
      </c>
      <c r="E623" s="2" t="s">
        <v>78</v>
      </c>
      <c r="F623" s="2" t="s">
        <v>84</v>
      </c>
      <c r="G623" s="2">
        <f t="shared" si="9"/>
        <v>0.50224887556221887</v>
      </c>
      <c r="H623" s="5">
        <v>4.4078947368421053</v>
      </c>
      <c r="I623" s="2">
        <v>76</v>
      </c>
      <c r="J623" s="12">
        <f>I623/Pondération!$G$33</f>
        <v>0.11394302848575712</v>
      </c>
    </row>
    <row r="624" spans="1:10" x14ac:dyDescent="0.25">
      <c r="A624" s="2" t="s">
        <v>77</v>
      </c>
      <c r="B624" s="2">
        <v>2016</v>
      </c>
      <c r="C624" s="2" t="s">
        <v>27</v>
      </c>
      <c r="D624" s="2" t="s">
        <v>36</v>
      </c>
      <c r="E624" s="2" t="s">
        <v>78</v>
      </c>
      <c r="F624" s="2" t="s">
        <v>84</v>
      </c>
      <c r="G624" s="2">
        <f t="shared" si="9"/>
        <v>0.32833583208395806</v>
      </c>
      <c r="H624" s="5">
        <v>4.4693877551020407</v>
      </c>
      <c r="I624" s="2">
        <v>49</v>
      </c>
      <c r="J624" s="12">
        <f>I624/Pondération!$G$33</f>
        <v>7.3463268365817097E-2</v>
      </c>
    </row>
    <row r="625" spans="1:10" x14ac:dyDescent="0.25">
      <c r="A625" s="2" t="s">
        <v>77</v>
      </c>
      <c r="B625" s="2">
        <v>2016</v>
      </c>
      <c r="C625" s="2" t="s">
        <v>28</v>
      </c>
      <c r="D625" s="2" t="s">
        <v>36</v>
      </c>
      <c r="E625" s="2" t="s">
        <v>78</v>
      </c>
      <c r="F625" s="2" t="s">
        <v>84</v>
      </c>
      <c r="G625" s="2">
        <f t="shared" si="9"/>
        <v>0.3253373313343329</v>
      </c>
      <c r="H625" s="5">
        <v>4.4285714285714288</v>
      </c>
      <c r="I625" s="2">
        <v>49</v>
      </c>
      <c r="J625" s="12">
        <f>I625/Pondération!$G$33</f>
        <v>7.3463268365817097E-2</v>
      </c>
    </row>
    <row r="626" spans="1:10" x14ac:dyDescent="0.25">
      <c r="A626" s="2" t="s">
        <v>77</v>
      </c>
      <c r="B626" s="2">
        <v>2016</v>
      </c>
      <c r="C626" s="2" t="s">
        <v>29</v>
      </c>
      <c r="D626" s="2" t="s">
        <v>36</v>
      </c>
      <c r="E626" s="2" t="s">
        <v>78</v>
      </c>
      <c r="F626" s="2" t="s">
        <v>84</v>
      </c>
      <c r="G626" s="2">
        <f t="shared" si="9"/>
        <v>0.2353823088455772</v>
      </c>
      <c r="H626" s="5">
        <v>4.4857142857142858</v>
      </c>
      <c r="I626" s="2">
        <v>35</v>
      </c>
      <c r="J626" s="12">
        <f>I626/Pondération!$G$33</f>
        <v>5.2473763118440778E-2</v>
      </c>
    </row>
    <row r="627" spans="1:10" x14ac:dyDescent="0.25">
      <c r="A627" s="2" t="s">
        <v>77</v>
      </c>
      <c r="B627" s="2">
        <v>2017</v>
      </c>
      <c r="C627" s="2" t="s">
        <v>30</v>
      </c>
      <c r="D627" s="2" t="s">
        <v>36</v>
      </c>
      <c r="E627" s="2" t="s">
        <v>78</v>
      </c>
      <c r="F627" s="2" t="s">
        <v>84</v>
      </c>
      <c r="G627" s="2">
        <f t="shared" si="9"/>
        <v>0.67567567567567566</v>
      </c>
      <c r="H627" s="5">
        <v>4.4444444444444446</v>
      </c>
      <c r="I627" s="2">
        <v>45</v>
      </c>
      <c r="J627" s="12">
        <f>I627/Pondération!$F$33</f>
        <v>0.15202702702702703</v>
      </c>
    </row>
    <row r="628" spans="1:10" x14ac:dyDescent="0.25">
      <c r="A628" s="2" t="s">
        <v>77</v>
      </c>
      <c r="B628" s="2">
        <v>2017</v>
      </c>
      <c r="C628" s="2" t="s">
        <v>31</v>
      </c>
      <c r="D628" s="2" t="s">
        <v>36</v>
      </c>
      <c r="E628" s="2" t="s">
        <v>78</v>
      </c>
      <c r="F628" s="2" t="s">
        <v>84</v>
      </c>
      <c r="G628" s="2">
        <f t="shared" si="9"/>
        <v>0.73141891891891886</v>
      </c>
      <c r="H628" s="5">
        <v>4.4183673469387754</v>
      </c>
      <c r="I628" s="2">
        <v>49</v>
      </c>
      <c r="J628" s="12">
        <f>I628/Pondération!$F$33</f>
        <v>0.16554054054054054</v>
      </c>
    </row>
    <row r="629" spans="1:10" x14ac:dyDescent="0.25">
      <c r="A629" s="2" t="s">
        <v>77</v>
      </c>
      <c r="B629" s="2">
        <v>2017</v>
      </c>
      <c r="C629" s="2" t="s">
        <v>32</v>
      </c>
      <c r="D629" s="2" t="s">
        <v>36</v>
      </c>
      <c r="E629" s="2" t="s">
        <v>78</v>
      </c>
      <c r="F629" s="2" t="s">
        <v>84</v>
      </c>
      <c r="G629" s="2">
        <f t="shared" si="9"/>
        <v>0.80743243243243235</v>
      </c>
      <c r="H629" s="5">
        <v>4.5094339622641506</v>
      </c>
      <c r="I629" s="2">
        <v>53</v>
      </c>
      <c r="J629" s="12">
        <f>I629/Pondération!$F$33</f>
        <v>0.17905405405405406</v>
      </c>
    </row>
    <row r="630" spans="1:10" x14ac:dyDescent="0.25">
      <c r="A630" s="2" t="s">
        <v>77</v>
      </c>
      <c r="B630" s="2">
        <v>2017</v>
      </c>
      <c r="C630" s="2" t="s">
        <v>33</v>
      </c>
      <c r="D630" s="2" t="s">
        <v>36</v>
      </c>
      <c r="E630" s="2" t="s">
        <v>78</v>
      </c>
      <c r="F630" s="2" t="s">
        <v>84</v>
      </c>
      <c r="G630" s="2">
        <f t="shared" si="9"/>
        <v>1.027027027027027</v>
      </c>
      <c r="H630" s="5">
        <v>4.3428571428571425</v>
      </c>
      <c r="I630" s="2">
        <v>70</v>
      </c>
      <c r="J630" s="12">
        <f>I630/Pondération!$F$33</f>
        <v>0.23648648648648649</v>
      </c>
    </row>
    <row r="631" spans="1:10" x14ac:dyDescent="0.25">
      <c r="A631" s="2" t="s">
        <v>77</v>
      </c>
      <c r="B631" s="2">
        <v>2017</v>
      </c>
      <c r="C631" s="2" t="s">
        <v>34</v>
      </c>
      <c r="D631" s="2" t="s">
        <v>36</v>
      </c>
      <c r="E631" s="2" t="s">
        <v>78</v>
      </c>
      <c r="F631" s="2" t="s">
        <v>84</v>
      </c>
      <c r="G631" s="2">
        <f t="shared" si="9"/>
        <v>0.91216216216216217</v>
      </c>
      <c r="H631" s="5">
        <v>4.5</v>
      </c>
      <c r="I631" s="2">
        <v>60</v>
      </c>
      <c r="J631" s="12">
        <f>I631/Pondération!$F$33</f>
        <v>0.20270270270270271</v>
      </c>
    </row>
    <row r="632" spans="1:10" x14ac:dyDescent="0.25">
      <c r="A632" s="2" t="s">
        <v>77</v>
      </c>
      <c r="B632" s="2">
        <v>2017</v>
      </c>
      <c r="C632" s="2" t="s">
        <v>80</v>
      </c>
      <c r="D632" s="2" t="s">
        <v>36</v>
      </c>
      <c r="E632" s="2" t="s">
        <v>78</v>
      </c>
      <c r="F632" s="2" t="s">
        <v>84</v>
      </c>
      <c r="G632" s="2">
        <f t="shared" si="9"/>
        <v>0.27871621621621617</v>
      </c>
      <c r="H632" s="5">
        <v>4.3421052631578947</v>
      </c>
      <c r="I632" s="2">
        <v>19</v>
      </c>
      <c r="J632" s="12">
        <f>I632/Pondération!$F$33</f>
        <v>6.4189189189189186E-2</v>
      </c>
    </row>
    <row r="633" spans="1:10" x14ac:dyDescent="0.25">
      <c r="A633" s="2" t="s">
        <v>77</v>
      </c>
      <c r="B633" s="2">
        <v>2013</v>
      </c>
      <c r="C633" s="2" t="s">
        <v>49</v>
      </c>
      <c r="D633" s="2" t="s">
        <v>37</v>
      </c>
      <c r="E633" s="2" t="s">
        <v>78</v>
      </c>
      <c r="F633" s="2" t="s">
        <v>79</v>
      </c>
      <c r="G633" s="2">
        <f t="shared" si="9"/>
        <v>0.10294117647058824</v>
      </c>
      <c r="H633" s="5">
        <v>4.4333333333333336</v>
      </c>
      <c r="I633" s="2">
        <v>15</v>
      </c>
      <c r="J633" s="12">
        <f>I633/Pondération!$J$43</f>
        <v>2.3219814241486069E-2</v>
      </c>
    </row>
    <row r="634" spans="1:10" x14ac:dyDescent="0.25">
      <c r="A634" s="2" t="s">
        <v>77</v>
      </c>
      <c r="B634" s="2">
        <v>2013</v>
      </c>
      <c r="C634" s="2" t="s">
        <v>50</v>
      </c>
      <c r="D634" s="2" t="s">
        <v>37</v>
      </c>
      <c r="E634" s="2" t="s">
        <v>78</v>
      </c>
      <c r="F634" s="2" t="s">
        <v>79</v>
      </c>
      <c r="G634" s="2">
        <f t="shared" si="9"/>
        <v>0.12074303405572753</v>
      </c>
      <c r="H634" s="5">
        <v>4.5882352941176467</v>
      </c>
      <c r="I634" s="2">
        <v>17</v>
      </c>
      <c r="J634" s="12">
        <f>I634/Pondération!$J$43</f>
        <v>2.6315789473684209E-2</v>
      </c>
    </row>
    <row r="635" spans="1:10" x14ac:dyDescent="0.25">
      <c r="A635" s="2" t="s">
        <v>77</v>
      </c>
      <c r="B635" s="2">
        <v>2013</v>
      </c>
      <c r="C635" s="2" t="s">
        <v>51</v>
      </c>
      <c r="D635" s="2" t="s">
        <v>37</v>
      </c>
      <c r="E635" s="2" t="s">
        <v>78</v>
      </c>
      <c r="F635" s="2" t="s">
        <v>79</v>
      </c>
      <c r="G635" s="2">
        <f t="shared" si="9"/>
        <v>0.15402476780185756</v>
      </c>
      <c r="H635" s="5">
        <v>4.5227272727272725</v>
      </c>
      <c r="I635" s="2">
        <v>22</v>
      </c>
      <c r="J635" s="12">
        <f>I635/Pondération!$J$43</f>
        <v>3.4055727554179564E-2</v>
      </c>
    </row>
    <row r="636" spans="1:10" x14ac:dyDescent="0.25">
      <c r="A636" s="2" t="s">
        <v>77</v>
      </c>
      <c r="B636" s="2">
        <v>2013</v>
      </c>
      <c r="C636" s="2" t="s">
        <v>52</v>
      </c>
      <c r="D636" s="2" t="s">
        <v>37</v>
      </c>
      <c r="E636" s="2" t="s">
        <v>78</v>
      </c>
      <c r="F636" s="2" t="s">
        <v>79</v>
      </c>
      <c r="G636" s="2">
        <f t="shared" si="9"/>
        <v>0.22213622291021673</v>
      </c>
      <c r="H636" s="5">
        <v>4.484375</v>
      </c>
      <c r="I636" s="2">
        <v>32</v>
      </c>
      <c r="J636" s="12">
        <f>I636/Pondération!$J$43</f>
        <v>4.9535603715170282E-2</v>
      </c>
    </row>
    <row r="637" spans="1:10" x14ac:dyDescent="0.25">
      <c r="A637" s="2" t="s">
        <v>77</v>
      </c>
      <c r="B637" s="2">
        <v>2013</v>
      </c>
      <c r="C637" s="2" t="s">
        <v>53</v>
      </c>
      <c r="D637" s="2" t="s">
        <v>37</v>
      </c>
      <c r="E637" s="2" t="s">
        <v>78</v>
      </c>
      <c r="F637" s="2" t="s">
        <v>79</v>
      </c>
      <c r="G637" s="2">
        <f t="shared" si="9"/>
        <v>0.6470588235294118</v>
      </c>
      <c r="H637" s="5">
        <v>4.5434782608695654</v>
      </c>
      <c r="I637" s="2">
        <v>92</v>
      </c>
      <c r="J637" s="12">
        <f>I637/Pondération!$J$43</f>
        <v>0.14241486068111456</v>
      </c>
    </row>
    <row r="638" spans="1:10" x14ac:dyDescent="0.25">
      <c r="A638" s="2" t="s">
        <v>77</v>
      </c>
      <c r="B638" s="2">
        <v>2013</v>
      </c>
      <c r="C638" s="2" t="s">
        <v>54</v>
      </c>
      <c r="D638" s="2" t="s">
        <v>37</v>
      </c>
      <c r="E638" s="2" t="s">
        <v>78</v>
      </c>
      <c r="F638" s="2" t="s">
        <v>79</v>
      </c>
      <c r="G638" s="2">
        <f t="shared" si="9"/>
        <v>0.39086687306501544</v>
      </c>
      <c r="H638" s="5">
        <v>4.5909090909090908</v>
      </c>
      <c r="I638" s="2">
        <v>55</v>
      </c>
      <c r="J638" s="12">
        <f>I638/Pondération!$J$43</f>
        <v>8.5139318885448914E-2</v>
      </c>
    </row>
    <row r="639" spans="1:10" x14ac:dyDescent="0.25">
      <c r="A639" s="2" t="s">
        <v>77</v>
      </c>
      <c r="B639" s="2">
        <v>2013</v>
      </c>
      <c r="C639" s="2" t="s">
        <v>55</v>
      </c>
      <c r="D639" s="2" t="s">
        <v>37</v>
      </c>
      <c r="E639" s="2" t="s">
        <v>78</v>
      </c>
      <c r="F639" s="2" t="s">
        <v>79</v>
      </c>
      <c r="G639" s="2">
        <f t="shared" si="9"/>
        <v>0.60139318885448911</v>
      </c>
      <c r="H639" s="5">
        <v>4.5705882352941174</v>
      </c>
      <c r="I639" s="2">
        <v>85</v>
      </c>
      <c r="J639" s="12">
        <f>I639/Pondération!$J$43</f>
        <v>0.13157894736842105</v>
      </c>
    </row>
    <row r="640" spans="1:10" x14ac:dyDescent="0.25">
      <c r="A640" s="2" t="s">
        <v>77</v>
      </c>
      <c r="B640" s="2">
        <v>2013</v>
      </c>
      <c r="C640" s="2" t="s">
        <v>56</v>
      </c>
      <c r="D640" s="2" t="s">
        <v>37</v>
      </c>
      <c r="E640" s="2" t="s">
        <v>78</v>
      </c>
      <c r="F640" s="2" t="s">
        <v>79</v>
      </c>
      <c r="G640" s="2">
        <f t="shared" si="9"/>
        <v>1.118421052631579</v>
      </c>
      <c r="H640" s="5">
        <v>4.6314102564102564</v>
      </c>
      <c r="I640" s="2">
        <v>156</v>
      </c>
      <c r="J640" s="12">
        <f>I640/Pondération!$J$43</f>
        <v>0.24148606811145512</v>
      </c>
    </row>
    <row r="641" spans="1:10" x14ac:dyDescent="0.25">
      <c r="A641" s="2" t="s">
        <v>77</v>
      </c>
      <c r="B641" s="2">
        <v>2013</v>
      </c>
      <c r="C641" s="2" t="s">
        <v>57</v>
      </c>
      <c r="D641" s="2" t="s">
        <v>37</v>
      </c>
      <c r="E641" s="2" t="s">
        <v>78</v>
      </c>
      <c r="F641" s="2" t="s">
        <v>79</v>
      </c>
      <c r="G641" s="2">
        <f t="shared" si="9"/>
        <v>0.60139318885448922</v>
      </c>
      <c r="H641" s="5">
        <v>4.625</v>
      </c>
      <c r="I641" s="2">
        <v>84</v>
      </c>
      <c r="J641" s="12">
        <f>I641/Pondération!$J$43</f>
        <v>0.13003095975232198</v>
      </c>
    </row>
    <row r="642" spans="1:10" x14ac:dyDescent="0.25">
      <c r="A642" s="2" t="s">
        <v>77</v>
      </c>
      <c r="B642" s="2">
        <v>2013</v>
      </c>
      <c r="C642" s="2" t="s">
        <v>58</v>
      </c>
      <c r="D642" s="2" t="s">
        <v>37</v>
      </c>
      <c r="E642" s="2" t="s">
        <v>78</v>
      </c>
      <c r="F642" s="2" t="s">
        <v>79</v>
      </c>
      <c r="G642" s="2">
        <f t="shared" ref="G642:G705" si="10">H642*J642</f>
        <v>0.37151702786377705</v>
      </c>
      <c r="H642" s="5">
        <v>4.615384615384615</v>
      </c>
      <c r="I642" s="2">
        <v>52</v>
      </c>
      <c r="J642" s="12">
        <f>I642/Pondération!$J$43</f>
        <v>8.0495356037151702E-2</v>
      </c>
    </row>
    <row r="643" spans="1:10" x14ac:dyDescent="0.25">
      <c r="A643" s="2" t="s">
        <v>77</v>
      </c>
      <c r="B643" s="2">
        <v>2013</v>
      </c>
      <c r="C643" s="2" t="s">
        <v>59</v>
      </c>
      <c r="D643" s="2" t="s">
        <v>37</v>
      </c>
      <c r="E643" s="2" t="s">
        <v>78</v>
      </c>
      <c r="F643" s="2" t="s">
        <v>79</v>
      </c>
      <c r="G643" s="2">
        <f t="shared" si="10"/>
        <v>0.1609907120743034</v>
      </c>
      <c r="H643" s="5">
        <v>4.5217391304347823</v>
      </c>
      <c r="I643" s="2">
        <v>23</v>
      </c>
      <c r="J643" s="12">
        <f>I643/Pondération!$J$43</f>
        <v>3.5603715170278639E-2</v>
      </c>
    </row>
    <row r="644" spans="1:10" x14ac:dyDescent="0.25">
      <c r="A644" s="2" t="s">
        <v>77</v>
      </c>
      <c r="B644" s="2">
        <v>2013</v>
      </c>
      <c r="C644" s="2" t="s">
        <v>60</v>
      </c>
      <c r="D644" s="2" t="s">
        <v>37</v>
      </c>
      <c r="E644" s="2" t="s">
        <v>78</v>
      </c>
      <c r="F644" s="2" t="s">
        <v>79</v>
      </c>
      <c r="G644" s="2">
        <f t="shared" si="10"/>
        <v>9.2879256965944262E-2</v>
      </c>
      <c r="H644" s="5">
        <v>4.615384615384615</v>
      </c>
      <c r="I644" s="2">
        <v>13</v>
      </c>
      <c r="J644" s="12">
        <f>I644/Pondération!$J$43</f>
        <v>2.0123839009287926E-2</v>
      </c>
    </row>
    <row r="645" spans="1:10" x14ac:dyDescent="0.25">
      <c r="A645" s="2" t="s">
        <v>77</v>
      </c>
      <c r="B645" s="2">
        <v>2014</v>
      </c>
      <c r="C645" s="2" t="s">
        <v>61</v>
      </c>
      <c r="D645" s="2" t="s">
        <v>37</v>
      </c>
      <c r="E645" s="2" t="s">
        <v>78</v>
      </c>
      <c r="F645" s="2" t="s">
        <v>79</v>
      </c>
      <c r="G645" s="2">
        <f t="shared" si="10"/>
        <v>4.2766151046405819E-2</v>
      </c>
      <c r="H645" s="5">
        <v>4.7</v>
      </c>
      <c r="I645" s="2">
        <v>10</v>
      </c>
      <c r="J645" s="12">
        <f>I645/Pondération!$I$43</f>
        <v>9.0991810737033659E-3</v>
      </c>
    </row>
    <row r="646" spans="1:10" x14ac:dyDescent="0.25">
      <c r="A646" s="2" t="s">
        <v>77</v>
      </c>
      <c r="B646" s="2">
        <v>2014</v>
      </c>
      <c r="C646" s="2" t="s">
        <v>62</v>
      </c>
      <c r="D646" s="2" t="s">
        <v>37</v>
      </c>
      <c r="E646" s="2" t="s">
        <v>78</v>
      </c>
      <c r="F646" s="2" t="s">
        <v>79</v>
      </c>
      <c r="G646" s="2">
        <f t="shared" si="10"/>
        <v>7.0063694267515922E-2</v>
      </c>
      <c r="H646" s="5">
        <v>4.5294117647058822</v>
      </c>
      <c r="I646" s="2">
        <v>17</v>
      </c>
      <c r="J646" s="12">
        <f>I646/Pondération!$I$43</f>
        <v>1.5468607825295723E-2</v>
      </c>
    </row>
    <row r="647" spans="1:10" x14ac:dyDescent="0.25">
      <c r="A647" s="2" t="s">
        <v>77</v>
      </c>
      <c r="B647" s="2">
        <v>2014</v>
      </c>
      <c r="C647" s="2" t="s">
        <v>63</v>
      </c>
      <c r="D647" s="2" t="s">
        <v>37</v>
      </c>
      <c r="E647" s="2" t="s">
        <v>78</v>
      </c>
      <c r="F647" s="2" t="s">
        <v>79</v>
      </c>
      <c r="G647" s="2">
        <f t="shared" si="10"/>
        <v>0.12784349408553231</v>
      </c>
      <c r="H647" s="5">
        <v>4.532258064516129</v>
      </c>
      <c r="I647" s="2">
        <v>31</v>
      </c>
      <c r="J647" s="12">
        <f>I647/Pondération!$I$43</f>
        <v>2.8207461328480437E-2</v>
      </c>
    </row>
    <row r="648" spans="1:10" x14ac:dyDescent="0.25">
      <c r="A648" s="2" t="s">
        <v>77</v>
      </c>
      <c r="B648" s="2">
        <v>2014</v>
      </c>
      <c r="C648" s="2" t="s">
        <v>64</v>
      </c>
      <c r="D648" s="2" t="s">
        <v>37</v>
      </c>
      <c r="E648" s="2" t="s">
        <v>78</v>
      </c>
      <c r="F648" s="2" t="s">
        <v>79</v>
      </c>
      <c r="G648" s="2">
        <f t="shared" si="10"/>
        <v>0.27434030937215648</v>
      </c>
      <c r="H648" s="5">
        <v>4.5</v>
      </c>
      <c r="I648" s="2">
        <v>67</v>
      </c>
      <c r="J648" s="12">
        <f>I648/Pondération!$I$43</f>
        <v>6.0964513193812554E-2</v>
      </c>
    </row>
    <row r="649" spans="1:10" x14ac:dyDescent="0.25">
      <c r="A649" s="2" t="s">
        <v>77</v>
      </c>
      <c r="B649" s="2">
        <v>2014</v>
      </c>
      <c r="C649" s="2" t="s">
        <v>65</v>
      </c>
      <c r="D649" s="2" t="s">
        <v>37</v>
      </c>
      <c r="E649" s="2" t="s">
        <v>78</v>
      </c>
      <c r="F649" s="2" t="s">
        <v>79</v>
      </c>
      <c r="G649" s="2">
        <f t="shared" si="10"/>
        <v>0.45040946314831665</v>
      </c>
      <c r="H649" s="5">
        <v>4.583333333333333</v>
      </c>
      <c r="I649" s="2">
        <v>108</v>
      </c>
      <c r="J649" s="12">
        <f>I649/Pondération!$I$43</f>
        <v>9.8271155595996362E-2</v>
      </c>
    </row>
    <row r="650" spans="1:10" x14ac:dyDescent="0.25">
      <c r="A650" s="2" t="s">
        <v>77</v>
      </c>
      <c r="B650" s="2">
        <v>2014</v>
      </c>
      <c r="C650" s="2" t="s">
        <v>66</v>
      </c>
      <c r="D650" s="2" t="s">
        <v>37</v>
      </c>
      <c r="E650" s="2" t="s">
        <v>78</v>
      </c>
      <c r="F650" s="2" t="s">
        <v>79</v>
      </c>
      <c r="G650" s="2">
        <f t="shared" si="10"/>
        <v>0.44676979071883532</v>
      </c>
      <c r="H650" s="5">
        <v>4.5887850467289724</v>
      </c>
      <c r="I650" s="2">
        <v>107</v>
      </c>
      <c r="J650" s="12">
        <f>I650/Pondération!$I$43</f>
        <v>9.7361237488626018E-2</v>
      </c>
    </row>
    <row r="651" spans="1:10" x14ac:dyDescent="0.25">
      <c r="A651" s="2" t="s">
        <v>77</v>
      </c>
      <c r="B651" s="2">
        <v>2014</v>
      </c>
      <c r="C651" s="2" t="s">
        <v>67</v>
      </c>
      <c r="D651" s="2" t="s">
        <v>37</v>
      </c>
      <c r="E651" s="2" t="s">
        <v>78</v>
      </c>
      <c r="F651" s="2" t="s">
        <v>79</v>
      </c>
      <c r="G651" s="2">
        <f t="shared" si="10"/>
        <v>0.41492265696087355</v>
      </c>
      <c r="H651" s="5">
        <v>4.6060606060606064</v>
      </c>
      <c r="I651" s="2">
        <v>99</v>
      </c>
      <c r="J651" s="12">
        <f>I651/Pondération!$I$43</f>
        <v>9.0081892629663332E-2</v>
      </c>
    </row>
    <row r="652" spans="1:10" x14ac:dyDescent="0.25">
      <c r="A652" s="2" t="s">
        <v>77</v>
      </c>
      <c r="B652" s="2">
        <v>2014</v>
      </c>
      <c r="C652" s="2" t="s">
        <v>68</v>
      </c>
      <c r="D652" s="2" t="s">
        <v>37</v>
      </c>
      <c r="E652" s="2" t="s">
        <v>78</v>
      </c>
      <c r="F652" s="2" t="s">
        <v>79</v>
      </c>
      <c r="G652" s="2">
        <f t="shared" si="10"/>
        <v>0.94040036396724302</v>
      </c>
      <c r="H652" s="5">
        <v>4.5328947368421053</v>
      </c>
      <c r="I652" s="2">
        <v>228</v>
      </c>
      <c r="J652" s="12">
        <f>I652/Pondération!$I$43</f>
        <v>0.20746132848043677</v>
      </c>
    </row>
    <row r="653" spans="1:10" x14ac:dyDescent="0.25">
      <c r="A653" s="2" t="s">
        <v>77</v>
      </c>
      <c r="B653" s="2">
        <v>2014</v>
      </c>
      <c r="C653" s="2" t="s">
        <v>69</v>
      </c>
      <c r="D653" s="2" t="s">
        <v>37</v>
      </c>
      <c r="E653" s="2" t="s">
        <v>78</v>
      </c>
      <c r="F653" s="2" t="s">
        <v>79</v>
      </c>
      <c r="G653" s="2">
        <f t="shared" si="10"/>
        <v>0.5</v>
      </c>
      <c r="H653" s="5">
        <v>4.5791666666666666</v>
      </c>
      <c r="I653" s="2">
        <v>120</v>
      </c>
      <c r="J653" s="12">
        <f>I653/Pondération!$I$43</f>
        <v>0.1091901728844404</v>
      </c>
    </row>
    <row r="654" spans="1:10" x14ac:dyDescent="0.25">
      <c r="A654" s="2" t="s">
        <v>77</v>
      </c>
      <c r="B654" s="2">
        <v>2014</v>
      </c>
      <c r="C654" s="2" t="s">
        <v>70</v>
      </c>
      <c r="D654" s="2" t="s">
        <v>37</v>
      </c>
      <c r="E654" s="2" t="s">
        <v>78</v>
      </c>
      <c r="F654" s="2" t="s">
        <v>79</v>
      </c>
      <c r="G654" s="2">
        <f t="shared" si="10"/>
        <v>0.33393994540491356</v>
      </c>
      <c r="H654" s="5">
        <v>4.5875000000000004</v>
      </c>
      <c r="I654" s="2">
        <v>80</v>
      </c>
      <c r="J654" s="12">
        <f>I654/Pondération!$I$43</f>
        <v>7.2793448589626927E-2</v>
      </c>
    </row>
    <row r="655" spans="1:10" x14ac:dyDescent="0.25">
      <c r="A655" s="2" t="s">
        <v>77</v>
      </c>
      <c r="B655" s="2">
        <v>2014</v>
      </c>
      <c r="C655" s="2" t="s">
        <v>71</v>
      </c>
      <c r="D655" s="2" t="s">
        <v>37</v>
      </c>
      <c r="E655" s="2" t="s">
        <v>78</v>
      </c>
      <c r="F655" s="2" t="s">
        <v>79</v>
      </c>
      <c r="G655" s="2">
        <f t="shared" si="10"/>
        <v>0.87306642402183798</v>
      </c>
      <c r="H655" s="5">
        <v>4.8216080402010046</v>
      </c>
      <c r="I655" s="2">
        <v>199</v>
      </c>
      <c r="J655" s="12">
        <f>I655/Pondération!$I$43</f>
        <v>0.18107370336669701</v>
      </c>
    </row>
    <row r="656" spans="1:10" x14ac:dyDescent="0.25">
      <c r="A656" s="2" t="s">
        <v>77</v>
      </c>
      <c r="B656" s="2">
        <v>2014</v>
      </c>
      <c r="C656" s="2" t="s">
        <v>72</v>
      </c>
      <c r="D656" s="2" t="s">
        <v>37</v>
      </c>
      <c r="E656" s="2" t="s">
        <v>78</v>
      </c>
      <c r="F656" s="2" t="s">
        <v>79</v>
      </c>
      <c r="G656" s="2">
        <f t="shared" si="10"/>
        <v>0.13967242948134667</v>
      </c>
      <c r="H656" s="5">
        <v>4.6515151515151514</v>
      </c>
      <c r="I656" s="2">
        <v>33</v>
      </c>
      <c r="J656" s="12">
        <f>I656/Pondération!$I$43</f>
        <v>3.0027297543221108E-2</v>
      </c>
    </row>
    <row r="657" spans="1:10" x14ac:dyDescent="0.25">
      <c r="A657" s="2" t="s">
        <v>77</v>
      </c>
      <c r="B657" s="2">
        <v>2015</v>
      </c>
      <c r="C657" s="2" t="s">
        <v>73</v>
      </c>
      <c r="D657" s="2" t="s">
        <v>37</v>
      </c>
      <c r="E657" s="2" t="s">
        <v>78</v>
      </c>
      <c r="F657" s="2" t="s">
        <v>79</v>
      </c>
      <c r="G657" s="2">
        <f t="shared" si="10"/>
        <v>4.765993988836411E-2</v>
      </c>
      <c r="H657" s="5">
        <v>4.625</v>
      </c>
      <c r="I657" s="2">
        <v>24</v>
      </c>
      <c r="J657" s="12">
        <f>I657/Pondération!$H$43</f>
        <v>1.0304851867754402E-2</v>
      </c>
    </row>
    <row r="658" spans="1:10" x14ac:dyDescent="0.25">
      <c r="A658" s="2" t="s">
        <v>77</v>
      </c>
      <c r="B658" s="2">
        <v>2015</v>
      </c>
      <c r="C658" s="2" t="s">
        <v>74</v>
      </c>
      <c r="D658" s="2" t="s">
        <v>37</v>
      </c>
      <c r="E658" s="2" t="s">
        <v>78</v>
      </c>
      <c r="F658" s="2" t="s">
        <v>79</v>
      </c>
      <c r="G658" s="2">
        <f t="shared" si="10"/>
        <v>7.9647917561185055E-2</v>
      </c>
      <c r="H658" s="5">
        <v>4.524390243902439</v>
      </c>
      <c r="I658" s="2">
        <v>41</v>
      </c>
      <c r="J658" s="12">
        <f>I658/Pondération!$H$43</f>
        <v>1.7604121940747102E-2</v>
      </c>
    </row>
    <row r="659" spans="1:10" x14ac:dyDescent="0.25">
      <c r="A659" s="2" t="s">
        <v>77</v>
      </c>
      <c r="B659" s="2">
        <v>2015</v>
      </c>
      <c r="C659" s="2" t="s">
        <v>75</v>
      </c>
      <c r="D659" s="2" t="s">
        <v>37</v>
      </c>
      <c r="E659" s="2" t="s">
        <v>78</v>
      </c>
      <c r="F659" s="2" t="s">
        <v>79</v>
      </c>
      <c r="G659" s="2">
        <f t="shared" si="10"/>
        <v>8.7161872048089312E-2</v>
      </c>
      <c r="H659" s="5">
        <v>4.5111111111111111</v>
      </c>
      <c r="I659" s="2">
        <v>45</v>
      </c>
      <c r="J659" s="12">
        <f>I659/Pondération!$H$43</f>
        <v>1.9321597252039503E-2</v>
      </c>
    </row>
    <row r="660" spans="1:10" x14ac:dyDescent="0.25">
      <c r="A660" s="2" t="s">
        <v>77</v>
      </c>
      <c r="B660" s="2">
        <v>2015</v>
      </c>
      <c r="C660" s="2" t="s">
        <v>76</v>
      </c>
      <c r="D660" s="2" t="s">
        <v>37</v>
      </c>
      <c r="E660" s="2" t="s">
        <v>78</v>
      </c>
      <c r="F660" s="2" t="s">
        <v>79</v>
      </c>
      <c r="G660" s="2">
        <f t="shared" si="10"/>
        <v>0.27973379132674969</v>
      </c>
      <c r="H660" s="5">
        <v>4.5559440559440558</v>
      </c>
      <c r="I660" s="2">
        <v>143</v>
      </c>
      <c r="J660" s="12">
        <f>I660/Pondération!$H$43</f>
        <v>6.1399742378703305E-2</v>
      </c>
    </row>
    <row r="661" spans="1:10" x14ac:dyDescent="0.25">
      <c r="A661" s="2" t="s">
        <v>77</v>
      </c>
      <c r="B661" s="2">
        <v>2015</v>
      </c>
      <c r="C661" s="2" t="s">
        <v>7</v>
      </c>
      <c r="D661" s="2" t="s">
        <v>37</v>
      </c>
      <c r="E661" s="2" t="s">
        <v>78</v>
      </c>
      <c r="F661" s="2" t="s">
        <v>79</v>
      </c>
      <c r="G661" s="2">
        <f t="shared" si="10"/>
        <v>0.46736796908544437</v>
      </c>
      <c r="H661" s="5">
        <v>4.5354166666666664</v>
      </c>
      <c r="I661" s="2">
        <v>240</v>
      </c>
      <c r="J661" s="12">
        <f>I661/Pondération!$H$43</f>
        <v>0.10304851867754401</v>
      </c>
    </row>
    <row r="662" spans="1:10" x14ac:dyDescent="0.25">
      <c r="A662" s="2" t="s">
        <v>77</v>
      </c>
      <c r="B662" s="2">
        <v>2015</v>
      </c>
      <c r="C662" s="2" t="s">
        <v>11</v>
      </c>
      <c r="D662" s="2" t="s">
        <v>37</v>
      </c>
      <c r="E662" s="2" t="s">
        <v>78</v>
      </c>
      <c r="F662" s="2" t="s">
        <v>79</v>
      </c>
      <c r="G662" s="2">
        <f t="shared" si="10"/>
        <v>0.43881494203520827</v>
      </c>
      <c r="H662" s="5">
        <v>4.709677419354839</v>
      </c>
      <c r="I662" s="2">
        <v>217</v>
      </c>
      <c r="J662" s="12">
        <f>I662/Pondération!$H$43</f>
        <v>9.3173035637612714E-2</v>
      </c>
    </row>
    <row r="663" spans="1:10" x14ac:dyDescent="0.25">
      <c r="A663" s="2" t="s">
        <v>77</v>
      </c>
      <c r="B663" s="2">
        <v>2015</v>
      </c>
      <c r="C663" s="2" t="s">
        <v>12</v>
      </c>
      <c r="D663" s="2" t="s">
        <v>37</v>
      </c>
      <c r="E663" s="2" t="s">
        <v>78</v>
      </c>
      <c r="F663" s="2" t="s">
        <v>79</v>
      </c>
      <c r="G663" s="2">
        <f t="shared" si="10"/>
        <v>0.76921425504508378</v>
      </c>
      <c r="H663" s="5">
        <v>4.6775456919060057</v>
      </c>
      <c r="I663" s="2">
        <v>383</v>
      </c>
      <c r="J663" s="12">
        <f>I663/Pondération!$H$43</f>
        <v>0.16444826105624732</v>
      </c>
    </row>
    <row r="664" spans="1:10" x14ac:dyDescent="0.25">
      <c r="A664" s="2" t="s">
        <v>77</v>
      </c>
      <c r="B664" s="2">
        <v>2015</v>
      </c>
      <c r="C664" s="2" t="s">
        <v>13</v>
      </c>
      <c r="D664" s="2" t="s">
        <v>37</v>
      </c>
      <c r="E664" s="2" t="s">
        <v>78</v>
      </c>
      <c r="F664" s="2" t="s">
        <v>79</v>
      </c>
      <c r="G664" s="2">
        <f t="shared" si="10"/>
        <v>1.1423357664233575</v>
      </c>
      <c r="H664" s="5">
        <v>4.6029411764705879</v>
      </c>
      <c r="I664" s="2">
        <v>578</v>
      </c>
      <c r="J664" s="12">
        <f>I664/Pondération!$H$43</f>
        <v>0.24817518248175183</v>
      </c>
    </row>
    <row r="665" spans="1:10" x14ac:dyDescent="0.25">
      <c r="A665" s="2" t="s">
        <v>77</v>
      </c>
      <c r="B665" s="2">
        <v>2015</v>
      </c>
      <c r="C665" s="2" t="s">
        <v>14</v>
      </c>
      <c r="D665" s="2" t="s">
        <v>37</v>
      </c>
      <c r="E665" s="2" t="s">
        <v>78</v>
      </c>
      <c r="F665" s="2" t="s">
        <v>79</v>
      </c>
      <c r="G665" s="2">
        <f t="shared" si="10"/>
        <v>0.44525547445255476</v>
      </c>
      <c r="H665" s="5">
        <v>4.5682819383259909</v>
      </c>
      <c r="I665" s="2">
        <v>227</v>
      </c>
      <c r="J665" s="12">
        <f>I665/Pondération!$H$43</f>
        <v>9.7466723915843712E-2</v>
      </c>
    </row>
    <row r="666" spans="1:10" x14ac:dyDescent="0.25">
      <c r="A666" s="2" t="s">
        <v>77</v>
      </c>
      <c r="B666" s="2">
        <v>2015</v>
      </c>
      <c r="C666" s="2" t="s">
        <v>15</v>
      </c>
      <c r="D666" s="2" t="s">
        <v>37</v>
      </c>
      <c r="E666" s="2" t="s">
        <v>78</v>
      </c>
      <c r="F666" s="2" t="s">
        <v>79</v>
      </c>
      <c r="G666" s="2">
        <f t="shared" si="10"/>
        <v>0.56569343065693434</v>
      </c>
      <c r="H666" s="5">
        <v>4.7053571428571432</v>
      </c>
      <c r="I666" s="2">
        <v>280</v>
      </c>
      <c r="J666" s="12">
        <f>I666/Pondération!$H$43</f>
        <v>0.12022327179046802</v>
      </c>
    </row>
    <row r="667" spans="1:10" x14ac:dyDescent="0.25">
      <c r="A667" s="2" t="s">
        <v>77</v>
      </c>
      <c r="B667" s="2">
        <v>2015</v>
      </c>
      <c r="C667" s="2" t="s">
        <v>16</v>
      </c>
      <c r="D667" s="2" t="s">
        <v>37</v>
      </c>
      <c r="E667" s="2" t="s">
        <v>78</v>
      </c>
      <c r="F667" s="2" t="s">
        <v>79</v>
      </c>
      <c r="G667" s="2">
        <f t="shared" si="10"/>
        <v>0.1751824817518248</v>
      </c>
      <c r="H667" s="5">
        <v>4.4835164835164836</v>
      </c>
      <c r="I667" s="2">
        <v>91</v>
      </c>
      <c r="J667" s="12">
        <f>I667/Pondération!$H$43</f>
        <v>3.9072563331902101E-2</v>
      </c>
    </row>
    <row r="668" spans="1:10" x14ac:dyDescent="0.25">
      <c r="A668" s="2" t="s">
        <v>77</v>
      </c>
      <c r="B668" s="2">
        <v>2015</v>
      </c>
      <c r="C668" s="2" t="s">
        <v>17</v>
      </c>
      <c r="D668" s="2" t="s">
        <v>37</v>
      </c>
      <c r="E668" s="2" t="s">
        <v>78</v>
      </c>
      <c r="F668" s="2" t="s">
        <v>79</v>
      </c>
      <c r="G668" s="2">
        <f t="shared" si="10"/>
        <v>0.11829111206526406</v>
      </c>
      <c r="H668" s="5">
        <v>4.5916666666666668</v>
      </c>
      <c r="I668" s="2">
        <v>60</v>
      </c>
      <c r="J668" s="12">
        <f>I668/Pondération!$H$43</f>
        <v>2.5762129669386003E-2</v>
      </c>
    </row>
    <row r="669" spans="1:10" x14ac:dyDescent="0.25">
      <c r="A669" s="2" t="s">
        <v>77</v>
      </c>
      <c r="B669" s="2">
        <v>2016</v>
      </c>
      <c r="C669" s="2" t="s">
        <v>18</v>
      </c>
      <c r="D669" s="2" t="s">
        <v>37</v>
      </c>
      <c r="E669" s="2" t="s">
        <v>78</v>
      </c>
      <c r="F669" s="2" t="s">
        <v>79</v>
      </c>
      <c r="G669" s="2">
        <f t="shared" si="10"/>
        <v>6.4174454828660438E-2</v>
      </c>
      <c r="H669" s="5">
        <v>4.5777777777777775</v>
      </c>
      <c r="I669" s="2">
        <v>45</v>
      </c>
      <c r="J669" s="12">
        <f>I669/Pondération!$G$43</f>
        <v>1.4018691588785047E-2</v>
      </c>
    </row>
    <row r="670" spans="1:10" x14ac:dyDescent="0.25">
      <c r="A670" s="2" t="s">
        <v>77</v>
      </c>
      <c r="B670" s="2">
        <v>2016</v>
      </c>
      <c r="C670" s="2" t="s">
        <v>19</v>
      </c>
      <c r="D670" s="2" t="s">
        <v>37</v>
      </c>
      <c r="E670" s="2" t="s">
        <v>78</v>
      </c>
      <c r="F670" s="2" t="s">
        <v>79</v>
      </c>
      <c r="G670" s="2">
        <f t="shared" si="10"/>
        <v>0.14906542056074767</v>
      </c>
      <c r="H670" s="5">
        <v>4.5141509433962268</v>
      </c>
      <c r="I670" s="2">
        <v>106</v>
      </c>
      <c r="J670" s="12">
        <f>I670/Pondération!$G$43</f>
        <v>3.3021806853582553E-2</v>
      </c>
    </row>
    <row r="671" spans="1:10" x14ac:dyDescent="0.25">
      <c r="A671" s="2" t="s">
        <v>77</v>
      </c>
      <c r="B671" s="2">
        <v>2016</v>
      </c>
      <c r="C671" s="2" t="s">
        <v>20</v>
      </c>
      <c r="D671" s="2" t="s">
        <v>37</v>
      </c>
      <c r="E671" s="2" t="s">
        <v>78</v>
      </c>
      <c r="F671" s="2" t="s">
        <v>79</v>
      </c>
      <c r="G671" s="2">
        <f t="shared" si="10"/>
        <v>0.18193146417445485</v>
      </c>
      <c r="H671" s="5">
        <v>4.5271317829457365</v>
      </c>
      <c r="I671" s="2">
        <v>129</v>
      </c>
      <c r="J671" s="12">
        <f>I671/Pondération!$G$43</f>
        <v>4.018691588785047E-2</v>
      </c>
    </row>
    <row r="672" spans="1:10" x14ac:dyDescent="0.25">
      <c r="A672" s="2" t="s">
        <v>77</v>
      </c>
      <c r="B672" s="2">
        <v>2016</v>
      </c>
      <c r="C672" s="2" t="s">
        <v>21</v>
      </c>
      <c r="D672" s="2" t="s">
        <v>37</v>
      </c>
      <c r="E672" s="2" t="s">
        <v>78</v>
      </c>
      <c r="F672" s="2" t="s">
        <v>79</v>
      </c>
      <c r="G672" s="2">
        <f t="shared" si="10"/>
        <v>0.3179127725856698</v>
      </c>
      <c r="H672" s="5">
        <v>4.5154867256637168</v>
      </c>
      <c r="I672" s="2">
        <v>226</v>
      </c>
      <c r="J672" s="12">
        <f>I672/Pondération!$G$43</f>
        <v>7.0404984423676015E-2</v>
      </c>
    </row>
    <row r="673" spans="1:10" x14ac:dyDescent="0.25">
      <c r="A673" s="2" t="s">
        <v>77</v>
      </c>
      <c r="B673" s="2">
        <v>2016</v>
      </c>
      <c r="C673" s="2" t="s">
        <v>22</v>
      </c>
      <c r="D673" s="2" t="s">
        <v>37</v>
      </c>
      <c r="E673" s="2" t="s">
        <v>78</v>
      </c>
      <c r="F673" s="2" t="s">
        <v>79</v>
      </c>
      <c r="G673" s="2">
        <f t="shared" si="10"/>
        <v>0.45623052959501559</v>
      </c>
      <c r="H673" s="5">
        <v>4.5200617283950617</v>
      </c>
      <c r="I673" s="2">
        <v>324</v>
      </c>
      <c r="J673" s="12">
        <f>I673/Pondération!$G$43</f>
        <v>0.10093457943925234</v>
      </c>
    </row>
    <row r="674" spans="1:10" x14ac:dyDescent="0.25">
      <c r="A674" s="2" t="s">
        <v>77</v>
      </c>
      <c r="B674" s="2">
        <v>2016</v>
      </c>
      <c r="C674" s="2" t="s">
        <v>23</v>
      </c>
      <c r="D674" s="2" t="s">
        <v>37</v>
      </c>
      <c r="E674" s="2" t="s">
        <v>78</v>
      </c>
      <c r="F674" s="2" t="s">
        <v>79</v>
      </c>
      <c r="G674" s="2">
        <f t="shared" si="10"/>
        <v>0.2856697819314642</v>
      </c>
      <c r="H674" s="5">
        <v>4.5172413793103452</v>
      </c>
      <c r="I674" s="2">
        <v>203</v>
      </c>
      <c r="J674" s="12">
        <f>I674/Pondération!$G$43</f>
        <v>6.3239875389408104E-2</v>
      </c>
    </row>
    <row r="675" spans="1:10" x14ac:dyDescent="0.25">
      <c r="A675" s="2" t="s">
        <v>77</v>
      </c>
      <c r="B675" s="2">
        <v>2016</v>
      </c>
      <c r="C675" s="2" t="s">
        <v>24</v>
      </c>
      <c r="D675" s="2" t="s">
        <v>37</v>
      </c>
      <c r="E675" s="2" t="s">
        <v>78</v>
      </c>
      <c r="F675" s="2" t="s">
        <v>79</v>
      </c>
      <c r="G675" s="2">
        <f t="shared" si="10"/>
        <v>0.58489096573208721</v>
      </c>
      <c r="H675" s="5">
        <v>4.5350241545893724</v>
      </c>
      <c r="I675" s="2">
        <v>414</v>
      </c>
      <c r="J675" s="12">
        <f>I675/Pondération!$G$43</f>
        <v>0.12897196261682242</v>
      </c>
    </row>
    <row r="676" spans="1:10" x14ac:dyDescent="0.25">
      <c r="A676" s="2" t="s">
        <v>77</v>
      </c>
      <c r="B676" s="2">
        <v>2016</v>
      </c>
      <c r="C676" s="2" t="s">
        <v>25</v>
      </c>
      <c r="D676" s="2" t="s">
        <v>37</v>
      </c>
      <c r="E676" s="2" t="s">
        <v>78</v>
      </c>
      <c r="F676" s="2" t="s">
        <v>79</v>
      </c>
      <c r="G676" s="2">
        <f t="shared" si="10"/>
        <v>1.3372274143302179</v>
      </c>
      <c r="H676" s="5">
        <v>4.6106337271750801</v>
      </c>
      <c r="I676" s="2">
        <v>931</v>
      </c>
      <c r="J676" s="12">
        <f>I676/Pondération!$G$43</f>
        <v>0.29003115264797508</v>
      </c>
    </row>
    <row r="677" spans="1:10" x14ac:dyDescent="0.25">
      <c r="A677" s="2" t="s">
        <v>77</v>
      </c>
      <c r="B677" s="2">
        <v>2016</v>
      </c>
      <c r="C677" s="2" t="s">
        <v>26</v>
      </c>
      <c r="D677" s="2" t="s">
        <v>37</v>
      </c>
      <c r="E677" s="2" t="s">
        <v>78</v>
      </c>
      <c r="F677" s="2" t="s">
        <v>79</v>
      </c>
      <c r="G677" s="2">
        <f t="shared" si="10"/>
        <v>0.56915887850467284</v>
      </c>
      <c r="H677" s="5">
        <v>4.6488549618320612</v>
      </c>
      <c r="I677" s="2">
        <v>393</v>
      </c>
      <c r="J677" s="12">
        <f>I677/Pondération!$G$43</f>
        <v>0.12242990654205607</v>
      </c>
    </row>
    <row r="678" spans="1:10" x14ac:dyDescent="0.25">
      <c r="A678" s="2" t="s">
        <v>77</v>
      </c>
      <c r="B678" s="2">
        <v>2016</v>
      </c>
      <c r="C678" s="2" t="s">
        <v>27</v>
      </c>
      <c r="D678" s="2" t="s">
        <v>37</v>
      </c>
      <c r="E678" s="2" t="s">
        <v>78</v>
      </c>
      <c r="F678" s="2" t="s">
        <v>79</v>
      </c>
      <c r="G678" s="2">
        <f t="shared" si="10"/>
        <v>0.30124610591900314</v>
      </c>
      <c r="H678" s="5">
        <v>4.539906103286385</v>
      </c>
      <c r="I678" s="2">
        <v>213</v>
      </c>
      <c r="J678" s="12">
        <f>I678/Pondération!$G$43</f>
        <v>6.6355140186915892E-2</v>
      </c>
    </row>
    <row r="679" spans="1:10" x14ac:dyDescent="0.25">
      <c r="A679" s="2" t="s">
        <v>77</v>
      </c>
      <c r="B679" s="2">
        <v>2016</v>
      </c>
      <c r="C679" s="2" t="s">
        <v>28</v>
      </c>
      <c r="D679" s="2" t="s">
        <v>37</v>
      </c>
      <c r="E679" s="2" t="s">
        <v>78</v>
      </c>
      <c r="F679" s="2" t="s">
        <v>79</v>
      </c>
      <c r="G679" s="2">
        <f t="shared" si="10"/>
        <v>0.24096573208722741</v>
      </c>
      <c r="H679" s="5">
        <v>4.4970930232558137</v>
      </c>
      <c r="I679" s="2">
        <v>172</v>
      </c>
      <c r="J679" s="12">
        <f>I679/Pondération!$G$43</f>
        <v>5.3582554517133958E-2</v>
      </c>
    </row>
    <row r="680" spans="1:10" x14ac:dyDescent="0.25">
      <c r="A680" s="2" t="s">
        <v>77</v>
      </c>
      <c r="B680" s="2">
        <v>2016</v>
      </c>
      <c r="C680" s="2" t="s">
        <v>29</v>
      </c>
      <c r="D680" s="2" t="s">
        <v>37</v>
      </c>
      <c r="E680" s="2" t="s">
        <v>78</v>
      </c>
      <c r="F680" s="2" t="s">
        <v>79</v>
      </c>
      <c r="G680" s="2">
        <f t="shared" si="10"/>
        <v>7.5700934579439258E-2</v>
      </c>
      <c r="H680" s="5">
        <v>4.5</v>
      </c>
      <c r="I680" s="2">
        <v>54</v>
      </c>
      <c r="J680" s="12">
        <f>I680/Pondération!$G$43</f>
        <v>1.6822429906542057E-2</v>
      </c>
    </row>
    <row r="681" spans="1:10" x14ac:dyDescent="0.25">
      <c r="A681" s="2" t="s">
        <v>77</v>
      </c>
      <c r="B681" s="2">
        <v>2017</v>
      </c>
      <c r="C681" s="2" t="s">
        <v>30</v>
      </c>
      <c r="D681" s="2" t="s">
        <v>37</v>
      </c>
      <c r="E681" s="2" t="s">
        <v>78</v>
      </c>
      <c r="F681" s="2" t="s">
        <v>79</v>
      </c>
      <c r="G681" s="2">
        <f t="shared" si="10"/>
        <v>0.16293643688451209</v>
      </c>
      <c r="H681" s="5">
        <v>4.4390243902439028</v>
      </c>
      <c r="I681" s="2">
        <v>41</v>
      </c>
      <c r="J681" s="12">
        <f>I681/Pondération!$F$43</f>
        <v>3.6705461056401073E-2</v>
      </c>
    </row>
    <row r="682" spans="1:10" x14ac:dyDescent="0.25">
      <c r="A682" s="2" t="s">
        <v>77</v>
      </c>
      <c r="B682" s="2">
        <v>2017</v>
      </c>
      <c r="C682" s="2" t="s">
        <v>31</v>
      </c>
      <c r="D682" s="2" t="s">
        <v>37</v>
      </c>
      <c r="E682" s="2" t="s">
        <v>78</v>
      </c>
      <c r="F682" s="2" t="s">
        <v>79</v>
      </c>
      <c r="G682" s="2">
        <f t="shared" si="10"/>
        <v>0.46508504923903315</v>
      </c>
      <c r="H682" s="5">
        <v>4.4401709401709404</v>
      </c>
      <c r="I682" s="2">
        <v>117</v>
      </c>
      <c r="J682" s="12">
        <f>I682/Pondération!$F$43</f>
        <v>0.10474485228290063</v>
      </c>
    </row>
    <row r="683" spans="1:10" x14ac:dyDescent="0.25">
      <c r="A683" s="2" t="s">
        <v>77</v>
      </c>
      <c r="B683" s="2">
        <v>2017</v>
      </c>
      <c r="C683" s="2" t="s">
        <v>32</v>
      </c>
      <c r="D683" s="2" t="s">
        <v>37</v>
      </c>
      <c r="E683" s="2" t="s">
        <v>78</v>
      </c>
      <c r="F683" s="2" t="s">
        <v>79</v>
      </c>
      <c r="G683" s="2">
        <f t="shared" si="10"/>
        <v>0.39480752014324078</v>
      </c>
      <c r="H683" s="5">
        <v>4.5</v>
      </c>
      <c r="I683" s="2">
        <v>98</v>
      </c>
      <c r="J683" s="12">
        <f>I683/Pondération!$F$43</f>
        <v>8.7735004476275733E-2</v>
      </c>
    </row>
    <row r="684" spans="1:10" x14ac:dyDescent="0.25">
      <c r="A684" s="2" t="s">
        <v>77</v>
      </c>
      <c r="B684" s="2">
        <v>2017</v>
      </c>
      <c r="C684" s="2" t="s">
        <v>33</v>
      </c>
      <c r="D684" s="2" t="s">
        <v>37</v>
      </c>
      <c r="E684" s="2" t="s">
        <v>78</v>
      </c>
      <c r="F684" s="2" t="s">
        <v>79</v>
      </c>
      <c r="G684" s="2">
        <f t="shared" si="10"/>
        <v>1.5085049239033126</v>
      </c>
      <c r="H684" s="5">
        <v>4.5788043478260869</v>
      </c>
      <c r="I684" s="2">
        <v>368</v>
      </c>
      <c r="J684" s="12">
        <f>I684/Pondération!$F$43</f>
        <v>0.32945389435989259</v>
      </c>
    </row>
    <row r="685" spans="1:10" x14ac:dyDescent="0.25">
      <c r="A685" s="2" t="s">
        <v>77</v>
      </c>
      <c r="B685" s="2">
        <v>2017</v>
      </c>
      <c r="C685" s="2" t="s">
        <v>34</v>
      </c>
      <c r="D685" s="2" t="s">
        <v>37</v>
      </c>
      <c r="E685" s="2" t="s">
        <v>78</v>
      </c>
      <c r="F685" s="2" t="s">
        <v>79</v>
      </c>
      <c r="G685" s="2">
        <f t="shared" si="10"/>
        <v>1.4914950760966876</v>
      </c>
      <c r="H685" s="5">
        <v>4.5519125683060109</v>
      </c>
      <c r="I685" s="2">
        <v>366</v>
      </c>
      <c r="J685" s="12">
        <f>I685/Pondération!$F$43</f>
        <v>0.32766338406445839</v>
      </c>
    </row>
    <row r="686" spans="1:10" x14ac:dyDescent="0.25">
      <c r="A686" s="2" t="s">
        <v>77</v>
      </c>
      <c r="B686" s="2">
        <v>2017</v>
      </c>
      <c r="C686" s="2" t="s">
        <v>80</v>
      </c>
      <c r="D686" s="2" t="s">
        <v>37</v>
      </c>
      <c r="E686" s="2" t="s">
        <v>78</v>
      </c>
      <c r="F686" s="2" t="s">
        <v>79</v>
      </c>
      <c r="G686" s="2">
        <f t="shared" si="10"/>
        <v>0.51163831692032224</v>
      </c>
      <c r="H686" s="5">
        <v>4.5</v>
      </c>
      <c r="I686" s="2">
        <v>127</v>
      </c>
      <c r="J686" s="12">
        <f>I686/Pondération!$F$43</f>
        <v>0.11369740376007162</v>
      </c>
    </row>
    <row r="687" spans="1:10" x14ac:dyDescent="0.25">
      <c r="A687" s="2" t="s">
        <v>77</v>
      </c>
      <c r="B687" s="2">
        <v>2013</v>
      </c>
      <c r="C687" s="2" t="s">
        <v>51</v>
      </c>
      <c r="D687" s="2" t="s">
        <v>37</v>
      </c>
      <c r="E687" s="2" t="s">
        <v>78</v>
      </c>
      <c r="F687" s="2" t="s">
        <v>81</v>
      </c>
      <c r="G687" s="2">
        <f t="shared" si="10"/>
        <v>0.15625</v>
      </c>
      <c r="H687" s="5">
        <v>4.166666666666667</v>
      </c>
      <c r="I687" s="2">
        <v>3</v>
      </c>
      <c r="J687" s="12">
        <f>I687/Pondération!$J$44</f>
        <v>3.7499999999999999E-2</v>
      </c>
    </row>
    <row r="688" spans="1:10" x14ac:dyDescent="0.25">
      <c r="A688" s="2" t="s">
        <v>77</v>
      </c>
      <c r="B688" s="2">
        <v>2013</v>
      </c>
      <c r="C688" s="2" t="s">
        <v>52</v>
      </c>
      <c r="D688" s="2" t="s">
        <v>37</v>
      </c>
      <c r="E688" s="2" t="s">
        <v>78</v>
      </c>
      <c r="F688" s="2" t="s">
        <v>81</v>
      </c>
      <c r="G688" s="2">
        <f t="shared" si="10"/>
        <v>0.25624999999999998</v>
      </c>
      <c r="H688" s="5">
        <v>4.0999999999999996</v>
      </c>
      <c r="I688" s="2">
        <v>5</v>
      </c>
      <c r="J688" s="12">
        <f>I688/Pondération!$J$44</f>
        <v>6.25E-2</v>
      </c>
    </row>
    <row r="689" spans="1:10" x14ac:dyDescent="0.25">
      <c r="A689" s="2" t="s">
        <v>77</v>
      </c>
      <c r="B689" s="2">
        <v>2013</v>
      </c>
      <c r="C689" s="2" t="s">
        <v>53</v>
      </c>
      <c r="D689" s="2" t="s">
        <v>37</v>
      </c>
      <c r="E689" s="2" t="s">
        <v>78</v>
      </c>
      <c r="F689" s="2" t="s">
        <v>81</v>
      </c>
      <c r="G689" s="2">
        <f t="shared" si="10"/>
        <v>0.35624999999999996</v>
      </c>
      <c r="H689" s="5">
        <v>4.0714285714285712</v>
      </c>
      <c r="I689" s="2">
        <v>7</v>
      </c>
      <c r="J689" s="12">
        <f>I689/Pondération!$J$44</f>
        <v>8.7499999999999994E-2</v>
      </c>
    </row>
    <row r="690" spans="1:10" x14ac:dyDescent="0.25">
      <c r="A690" s="2" t="s">
        <v>77</v>
      </c>
      <c r="B690" s="2">
        <v>2013</v>
      </c>
      <c r="C690" s="2" t="s">
        <v>54</v>
      </c>
      <c r="D690" s="2" t="s">
        <v>37</v>
      </c>
      <c r="E690" s="2" t="s">
        <v>78</v>
      </c>
      <c r="F690" s="2" t="s">
        <v>81</v>
      </c>
      <c r="G690" s="2">
        <f t="shared" si="10"/>
        <v>0.25</v>
      </c>
      <c r="H690" s="5">
        <v>4</v>
      </c>
      <c r="I690" s="2">
        <v>5</v>
      </c>
      <c r="J690" s="12">
        <f>I690/Pondération!$J$44</f>
        <v>6.25E-2</v>
      </c>
    </row>
    <row r="691" spans="1:10" x14ac:dyDescent="0.25">
      <c r="A691" s="2" t="s">
        <v>77</v>
      </c>
      <c r="B691" s="2">
        <v>2013</v>
      </c>
      <c r="C691" s="2" t="s">
        <v>55</v>
      </c>
      <c r="D691" s="2" t="s">
        <v>37</v>
      </c>
      <c r="E691" s="2" t="s">
        <v>78</v>
      </c>
      <c r="F691" s="2" t="s">
        <v>81</v>
      </c>
      <c r="G691" s="2">
        <f t="shared" si="10"/>
        <v>0.72499999999999998</v>
      </c>
      <c r="H691" s="5">
        <v>4.1428571428571432</v>
      </c>
      <c r="I691" s="2">
        <v>14</v>
      </c>
      <c r="J691" s="12">
        <f>I691/Pondération!$J$44</f>
        <v>0.17499999999999999</v>
      </c>
    </row>
    <row r="692" spans="1:10" x14ac:dyDescent="0.25">
      <c r="A692" s="2" t="s">
        <v>77</v>
      </c>
      <c r="B692" s="2">
        <v>2013</v>
      </c>
      <c r="C692" s="2" t="s">
        <v>56</v>
      </c>
      <c r="D692" s="2" t="s">
        <v>37</v>
      </c>
      <c r="E692" s="2" t="s">
        <v>78</v>
      </c>
      <c r="F692" s="2" t="s">
        <v>81</v>
      </c>
      <c r="G692" s="2">
        <f t="shared" si="10"/>
        <v>1.33125</v>
      </c>
      <c r="H692" s="5">
        <v>4.0961538461538458</v>
      </c>
      <c r="I692" s="2">
        <v>26</v>
      </c>
      <c r="J692" s="12">
        <f>I692/Pondération!$J$44</f>
        <v>0.32500000000000001</v>
      </c>
    </row>
    <row r="693" spans="1:10" x14ac:dyDescent="0.25">
      <c r="A693" s="2" t="s">
        <v>77</v>
      </c>
      <c r="B693" s="2">
        <v>2013</v>
      </c>
      <c r="C693" s="2" t="s">
        <v>57</v>
      </c>
      <c r="D693" s="2" t="s">
        <v>37</v>
      </c>
      <c r="E693" s="2" t="s">
        <v>78</v>
      </c>
      <c r="F693" s="2" t="s">
        <v>81</v>
      </c>
      <c r="G693" s="2">
        <f t="shared" si="10"/>
        <v>0.30624999999999997</v>
      </c>
      <c r="H693" s="5">
        <v>4.083333333333333</v>
      </c>
      <c r="I693" s="2">
        <v>6</v>
      </c>
      <c r="J693" s="12">
        <f>I693/Pondération!$J$44</f>
        <v>7.4999999999999997E-2</v>
      </c>
    </row>
    <row r="694" spans="1:10" x14ac:dyDescent="0.25">
      <c r="A694" s="2" t="s">
        <v>77</v>
      </c>
      <c r="B694" s="2">
        <v>2013</v>
      </c>
      <c r="C694" s="2" t="s">
        <v>58</v>
      </c>
      <c r="D694" s="2" t="s">
        <v>37</v>
      </c>
      <c r="E694" s="2" t="s">
        <v>78</v>
      </c>
      <c r="F694" s="2" t="s">
        <v>81</v>
      </c>
      <c r="G694" s="2">
        <f t="shared" si="10"/>
        <v>0.36874999999999997</v>
      </c>
      <c r="H694" s="5">
        <v>4.2142857142857144</v>
      </c>
      <c r="I694" s="2">
        <v>7</v>
      </c>
      <c r="J694" s="12">
        <f>I694/Pondération!$J$44</f>
        <v>8.7499999999999994E-2</v>
      </c>
    </row>
    <row r="695" spans="1:10" x14ac:dyDescent="0.25">
      <c r="A695" s="2" t="s">
        <v>77</v>
      </c>
      <c r="B695" s="2">
        <v>2013</v>
      </c>
      <c r="C695" s="2" t="s">
        <v>59</v>
      </c>
      <c r="D695" s="2" t="s">
        <v>37</v>
      </c>
      <c r="E695" s="2" t="s">
        <v>78</v>
      </c>
      <c r="F695" s="2" t="s">
        <v>81</v>
      </c>
      <c r="G695" s="2">
        <f t="shared" si="10"/>
        <v>0.25</v>
      </c>
      <c r="H695" s="5">
        <v>4</v>
      </c>
      <c r="I695" s="2">
        <v>5</v>
      </c>
      <c r="J695" s="12">
        <f>I695/Pondération!$J$44</f>
        <v>6.25E-2</v>
      </c>
    </row>
    <row r="696" spans="1:10" x14ac:dyDescent="0.25">
      <c r="A696" s="2" t="s">
        <v>77</v>
      </c>
      <c r="B696" s="2">
        <v>2013</v>
      </c>
      <c r="C696" s="2" t="s">
        <v>60</v>
      </c>
      <c r="D696" s="2" t="s">
        <v>37</v>
      </c>
      <c r="E696" s="2" t="s">
        <v>78</v>
      </c>
      <c r="F696" s="2" t="s">
        <v>81</v>
      </c>
      <c r="G696" s="2">
        <f t="shared" si="10"/>
        <v>0.1125</v>
      </c>
      <c r="H696" s="5">
        <v>4.5</v>
      </c>
      <c r="I696" s="2">
        <v>2</v>
      </c>
      <c r="J696" s="12">
        <f>I696/Pondération!$J$44</f>
        <v>2.5000000000000001E-2</v>
      </c>
    </row>
    <row r="697" spans="1:10" x14ac:dyDescent="0.25">
      <c r="A697" s="2" t="s">
        <v>77</v>
      </c>
      <c r="B697" s="2">
        <v>2014</v>
      </c>
      <c r="C697" s="2" t="s">
        <v>61</v>
      </c>
      <c r="D697" s="2" t="s">
        <v>37</v>
      </c>
      <c r="E697" s="2" t="s">
        <v>78</v>
      </c>
      <c r="F697" s="2" t="s">
        <v>81</v>
      </c>
      <c r="G697" s="2">
        <f t="shared" si="10"/>
        <v>4.1860465116279069E-2</v>
      </c>
      <c r="H697" s="5">
        <v>4.5</v>
      </c>
      <c r="I697" s="2">
        <v>2</v>
      </c>
      <c r="J697" s="12">
        <f>I697/Pondération!$I$44</f>
        <v>9.3023255813953487E-3</v>
      </c>
    </row>
    <row r="698" spans="1:10" x14ac:dyDescent="0.25">
      <c r="A698" s="2" t="s">
        <v>77</v>
      </c>
      <c r="B698" s="2">
        <v>2014</v>
      </c>
      <c r="C698" s="2" t="s">
        <v>62</v>
      </c>
      <c r="D698" s="2" t="s">
        <v>37</v>
      </c>
      <c r="E698" s="2" t="s">
        <v>78</v>
      </c>
      <c r="F698" s="2" t="s">
        <v>81</v>
      </c>
      <c r="G698" s="2">
        <f t="shared" si="10"/>
        <v>2.3255813953488372E-2</v>
      </c>
      <c r="H698" s="5">
        <v>5</v>
      </c>
      <c r="I698" s="2">
        <v>1</v>
      </c>
      <c r="J698" s="12">
        <f>I698/Pondération!$I$44</f>
        <v>4.6511627906976744E-3</v>
      </c>
    </row>
    <row r="699" spans="1:10" x14ac:dyDescent="0.25">
      <c r="A699" s="2" t="s">
        <v>77</v>
      </c>
      <c r="B699" s="2">
        <v>2014</v>
      </c>
      <c r="C699" s="2" t="s">
        <v>63</v>
      </c>
      <c r="D699" s="2" t="s">
        <v>37</v>
      </c>
      <c r="E699" s="2" t="s">
        <v>78</v>
      </c>
      <c r="F699" s="2" t="s">
        <v>81</v>
      </c>
      <c r="G699" s="2">
        <f t="shared" si="10"/>
        <v>4.1860465116279069E-2</v>
      </c>
      <c r="H699" s="5">
        <v>4.5</v>
      </c>
      <c r="I699" s="2">
        <v>2</v>
      </c>
      <c r="J699" s="12">
        <f>I699/Pondération!$I$44</f>
        <v>9.3023255813953487E-3</v>
      </c>
    </row>
    <row r="700" spans="1:10" x14ac:dyDescent="0.25">
      <c r="A700" s="2" t="s">
        <v>77</v>
      </c>
      <c r="B700" s="2">
        <v>2014</v>
      </c>
      <c r="C700" s="2" t="s">
        <v>64</v>
      </c>
      <c r="D700" s="2" t="s">
        <v>37</v>
      </c>
      <c r="E700" s="2" t="s">
        <v>78</v>
      </c>
      <c r="F700" s="2" t="s">
        <v>81</v>
      </c>
      <c r="G700" s="2">
        <f t="shared" si="10"/>
        <v>0.13255813953488371</v>
      </c>
      <c r="H700" s="5">
        <v>4.0714285714285712</v>
      </c>
      <c r="I700" s="2">
        <v>7</v>
      </c>
      <c r="J700" s="12">
        <f>I700/Pondération!$I$44</f>
        <v>3.255813953488372E-2</v>
      </c>
    </row>
    <row r="701" spans="1:10" x14ac:dyDescent="0.25">
      <c r="A701" s="2" t="s">
        <v>77</v>
      </c>
      <c r="B701" s="2">
        <v>2014</v>
      </c>
      <c r="C701" s="2" t="s">
        <v>65</v>
      </c>
      <c r="D701" s="2" t="s">
        <v>37</v>
      </c>
      <c r="E701" s="2" t="s">
        <v>78</v>
      </c>
      <c r="F701" s="2" t="s">
        <v>81</v>
      </c>
      <c r="G701" s="2">
        <f t="shared" si="10"/>
        <v>0.37209302325581395</v>
      </c>
      <c r="H701" s="5">
        <v>4.4444444444444446</v>
      </c>
      <c r="I701" s="2">
        <v>18</v>
      </c>
      <c r="J701" s="12">
        <f>I701/Pondération!$I$44</f>
        <v>8.3720930232558138E-2</v>
      </c>
    </row>
    <row r="702" spans="1:10" x14ac:dyDescent="0.25">
      <c r="A702" s="2" t="s">
        <v>77</v>
      </c>
      <c r="B702" s="2">
        <v>2014</v>
      </c>
      <c r="C702" s="2" t="s">
        <v>66</v>
      </c>
      <c r="D702" s="2" t="s">
        <v>37</v>
      </c>
      <c r="E702" s="2" t="s">
        <v>78</v>
      </c>
      <c r="F702" s="2" t="s">
        <v>81</v>
      </c>
      <c r="G702" s="2">
        <f t="shared" si="10"/>
        <v>0.36046511627906974</v>
      </c>
      <c r="H702" s="5">
        <v>4.3055555555555554</v>
      </c>
      <c r="I702" s="2">
        <v>18</v>
      </c>
      <c r="J702" s="12">
        <f>I702/Pondération!$I$44</f>
        <v>8.3720930232558138E-2</v>
      </c>
    </row>
    <row r="703" spans="1:10" x14ac:dyDescent="0.25">
      <c r="A703" s="2" t="s">
        <v>77</v>
      </c>
      <c r="B703" s="2">
        <v>2014</v>
      </c>
      <c r="C703" s="2" t="s">
        <v>67</v>
      </c>
      <c r="D703" s="2" t="s">
        <v>37</v>
      </c>
      <c r="E703" s="2" t="s">
        <v>78</v>
      </c>
      <c r="F703" s="2" t="s">
        <v>81</v>
      </c>
      <c r="G703" s="2">
        <f t="shared" si="10"/>
        <v>0.79767441860465105</v>
      </c>
      <c r="H703" s="5">
        <v>4.2874999999999996</v>
      </c>
      <c r="I703" s="2">
        <v>40</v>
      </c>
      <c r="J703" s="12">
        <f>I703/Pondération!$I$44</f>
        <v>0.18604651162790697</v>
      </c>
    </row>
    <row r="704" spans="1:10" x14ac:dyDescent="0.25">
      <c r="A704" s="2" t="s">
        <v>77</v>
      </c>
      <c r="B704" s="2">
        <v>2014</v>
      </c>
      <c r="C704" s="2" t="s">
        <v>68</v>
      </c>
      <c r="D704" s="2" t="s">
        <v>37</v>
      </c>
      <c r="E704" s="2" t="s">
        <v>78</v>
      </c>
      <c r="F704" s="2" t="s">
        <v>81</v>
      </c>
      <c r="G704" s="2">
        <f t="shared" si="10"/>
        <v>1.0604651162790697</v>
      </c>
      <c r="H704" s="5">
        <v>4.3018867924528301</v>
      </c>
      <c r="I704" s="2">
        <v>53</v>
      </c>
      <c r="J704" s="12">
        <f>I704/Pondération!$I$44</f>
        <v>0.24651162790697675</v>
      </c>
    </row>
    <row r="705" spans="1:10" x14ac:dyDescent="0.25">
      <c r="A705" s="2" t="s">
        <v>77</v>
      </c>
      <c r="B705" s="2">
        <v>2014</v>
      </c>
      <c r="C705" s="2" t="s">
        <v>69</v>
      </c>
      <c r="D705" s="2" t="s">
        <v>37</v>
      </c>
      <c r="E705" s="2" t="s">
        <v>78</v>
      </c>
      <c r="F705" s="2" t="s">
        <v>81</v>
      </c>
      <c r="G705" s="2">
        <f t="shared" si="10"/>
        <v>0.44883720930232557</v>
      </c>
      <c r="H705" s="5">
        <v>3.86</v>
      </c>
      <c r="I705" s="2">
        <v>25</v>
      </c>
      <c r="J705" s="12">
        <f>I705/Pondération!$I$44</f>
        <v>0.11627906976744186</v>
      </c>
    </row>
    <row r="706" spans="1:10" x14ac:dyDescent="0.25">
      <c r="A706" s="2" t="s">
        <v>77</v>
      </c>
      <c r="B706" s="2">
        <v>2014</v>
      </c>
      <c r="C706" s="2" t="s">
        <v>70</v>
      </c>
      <c r="D706" s="2" t="s">
        <v>37</v>
      </c>
      <c r="E706" s="2" t="s">
        <v>78</v>
      </c>
      <c r="F706" s="2" t="s">
        <v>81</v>
      </c>
      <c r="G706" s="2">
        <f t="shared" ref="G706:G769" si="11">H706*J706</f>
        <v>0.2744186046511628</v>
      </c>
      <c r="H706" s="5">
        <v>4.2142857142857144</v>
      </c>
      <c r="I706" s="2">
        <v>14</v>
      </c>
      <c r="J706" s="12">
        <f>I706/Pondération!$I$44</f>
        <v>6.5116279069767441E-2</v>
      </c>
    </row>
    <row r="707" spans="1:10" x14ac:dyDescent="0.25">
      <c r="A707" s="2" t="s">
        <v>77</v>
      </c>
      <c r="B707" s="2">
        <v>2014</v>
      </c>
      <c r="C707" s="2" t="s">
        <v>71</v>
      </c>
      <c r="D707" s="2" t="s">
        <v>37</v>
      </c>
      <c r="E707" s="2" t="s">
        <v>78</v>
      </c>
      <c r="F707" s="2" t="s">
        <v>81</v>
      </c>
      <c r="G707" s="2">
        <f t="shared" si="11"/>
        <v>0.36279069767441863</v>
      </c>
      <c r="H707" s="5">
        <v>4.1052631578947372</v>
      </c>
      <c r="I707" s="2">
        <v>19</v>
      </c>
      <c r="J707" s="12">
        <f>I707/Pondération!$I$44</f>
        <v>8.8372093023255813E-2</v>
      </c>
    </row>
    <row r="708" spans="1:10" x14ac:dyDescent="0.25">
      <c r="A708" s="2" t="s">
        <v>77</v>
      </c>
      <c r="B708" s="2">
        <v>2014</v>
      </c>
      <c r="C708" s="2" t="s">
        <v>72</v>
      </c>
      <c r="D708" s="2" t="s">
        <v>37</v>
      </c>
      <c r="E708" s="2" t="s">
        <v>78</v>
      </c>
      <c r="F708" s="2" t="s">
        <v>81</v>
      </c>
      <c r="G708" s="2">
        <f t="shared" si="11"/>
        <v>0.30232558139534882</v>
      </c>
      <c r="H708" s="5">
        <v>4.0625</v>
      </c>
      <c r="I708" s="2">
        <v>16</v>
      </c>
      <c r="J708" s="12">
        <f>I708/Pondération!$I$44</f>
        <v>7.441860465116279E-2</v>
      </c>
    </row>
    <row r="709" spans="1:10" x14ac:dyDescent="0.25">
      <c r="A709" s="2" t="s">
        <v>77</v>
      </c>
      <c r="B709" s="2">
        <v>2015</v>
      </c>
      <c r="C709" s="2" t="s">
        <v>73</v>
      </c>
      <c r="D709" s="2" t="s">
        <v>37</v>
      </c>
      <c r="E709" s="2" t="s">
        <v>78</v>
      </c>
      <c r="F709" s="2" t="s">
        <v>81</v>
      </c>
      <c r="G709" s="2">
        <f t="shared" si="11"/>
        <v>5.018587360594795E-2</v>
      </c>
      <c r="H709" s="5">
        <v>4.5</v>
      </c>
      <c r="I709" s="2">
        <v>6</v>
      </c>
      <c r="J709" s="12">
        <f>I709/Pondération!$H$44</f>
        <v>1.1152416356877323E-2</v>
      </c>
    </row>
    <row r="710" spans="1:10" x14ac:dyDescent="0.25">
      <c r="A710" s="2" t="s">
        <v>77</v>
      </c>
      <c r="B710" s="2">
        <v>2015</v>
      </c>
      <c r="C710" s="2" t="s">
        <v>74</v>
      </c>
      <c r="D710" s="2" t="s">
        <v>37</v>
      </c>
      <c r="E710" s="2" t="s">
        <v>78</v>
      </c>
      <c r="F710" s="2" t="s">
        <v>81</v>
      </c>
      <c r="G710" s="2">
        <f t="shared" si="11"/>
        <v>0.22862453531598512</v>
      </c>
      <c r="H710" s="5">
        <v>4.5555555555555554</v>
      </c>
      <c r="I710" s="2">
        <v>27</v>
      </c>
      <c r="J710" s="12">
        <f>I710/Pondération!$H$44</f>
        <v>5.0185873605947957E-2</v>
      </c>
    </row>
    <row r="711" spans="1:10" x14ac:dyDescent="0.25">
      <c r="A711" s="2" t="s">
        <v>77</v>
      </c>
      <c r="B711" s="2">
        <v>2015</v>
      </c>
      <c r="C711" s="2" t="s">
        <v>75</v>
      </c>
      <c r="D711" s="2" t="s">
        <v>37</v>
      </c>
      <c r="E711" s="2" t="s">
        <v>78</v>
      </c>
      <c r="F711" s="2" t="s">
        <v>81</v>
      </c>
      <c r="G711" s="2">
        <f t="shared" si="11"/>
        <v>0.14219330855018586</v>
      </c>
      <c r="H711" s="5">
        <v>4.5</v>
      </c>
      <c r="I711" s="2">
        <v>17</v>
      </c>
      <c r="J711" s="12">
        <f>I711/Pondération!$H$44</f>
        <v>3.1598513011152414E-2</v>
      </c>
    </row>
    <row r="712" spans="1:10" x14ac:dyDescent="0.25">
      <c r="A712" s="2" t="s">
        <v>77</v>
      </c>
      <c r="B712" s="2">
        <v>2015</v>
      </c>
      <c r="C712" s="2" t="s">
        <v>76</v>
      </c>
      <c r="D712" s="2" t="s">
        <v>37</v>
      </c>
      <c r="E712" s="2" t="s">
        <v>78</v>
      </c>
      <c r="F712" s="2" t="s">
        <v>81</v>
      </c>
      <c r="G712" s="2">
        <f t="shared" si="11"/>
        <v>0.2918215613382899</v>
      </c>
      <c r="H712" s="5">
        <v>4.3611111111111107</v>
      </c>
      <c r="I712" s="2">
        <v>36</v>
      </c>
      <c r="J712" s="12">
        <f>I712/Pondération!$H$44</f>
        <v>6.6914498141263934E-2</v>
      </c>
    </row>
    <row r="713" spans="1:10" x14ac:dyDescent="0.25">
      <c r="A713" s="2" t="s">
        <v>77</v>
      </c>
      <c r="B713" s="2">
        <v>2015</v>
      </c>
      <c r="C713" s="2" t="s">
        <v>7</v>
      </c>
      <c r="D713" s="2" t="s">
        <v>37</v>
      </c>
      <c r="E713" s="2" t="s">
        <v>78</v>
      </c>
      <c r="F713" s="2" t="s">
        <v>81</v>
      </c>
      <c r="G713" s="2">
        <f t="shared" si="11"/>
        <v>0.47862453531598509</v>
      </c>
      <c r="H713" s="5">
        <v>4.4396551724137927</v>
      </c>
      <c r="I713" s="2">
        <v>58</v>
      </c>
      <c r="J713" s="12">
        <f>I713/Pondération!$H$44</f>
        <v>0.10780669144981413</v>
      </c>
    </row>
    <row r="714" spans="1:10" x14ac:dyDescent="0.25">
      <c r="A714" s="2" t="s">
        <v>77</v>
      </c>
      <c r="B714" s="2">
        <v>2015</v>
      </c>
      <c r="C714" s="2" t="s">
        <v>11</v>
      </c>
      <c r="D714" s="2" t="s">
        <v>37</v>
      </c>
      <c r="E714" s="2" t="s">
        <v>78</v>
      </c>
      <c r="F714" s="2" t="s">
        <v>81</v>
      </c>
      <c r="G714" s="2">
        <f t="shared" si="11"/>
        <v>0.2304832713754647</v>
      </c>
      <c r="H714" s="5">
        <v>4.4285714285714288</v>
      </c>
      <c r="I714" s="2">
        <v>28</v>
      </c>
      <c r="J714" s="12">
        <f>I714/Pondération!$H$44</f>
        <v>5.204460966542751E-2</v>
      </c>
    </row>
    <row r="715" spans="1:10" x14ac:dyDescent="0.25">
      <c r="A715" s="2" t="s">
        <v>77</v>
      </c>
      <c r="B715" s="2">
        <v>2015</v>
      </c>
      <c r="C715" s="2" t="s">
        <v>12</v>
      </c>
      <c r="D715" s="2" t="s">
        <v>37</v>
      </c>
      <c r="E715" s="2" t="s">
        <v>78</v>
      </c>
      <c r="F715" s="2" t="s">
        <v>81</v>
      </c>
      <c r="G715" s="2">
        <f t="shared" si="11"/>
        <v>0.72118959107806691</v>
      </c>
      <c r="H715" s="5">
        <v>4.3595505617977528</v>
      </c>
      <c r="I715" s="2">
        <v>89</v>
      </c>
      <c r="J715" s="12">
        <f>I715/Pondération!$H$44</f>
        <v>0.1654275092936803</v>
      </c>
    </row>
    <row r="716" spans="1:10" x14ac:dyDescent="0.25">
      <c r="A716" s="2" t="s">
        <v>77</v>
      </c>
      <c r="B716" s="2">
        <v>2015</v>
      </c>
      <c r="C716" s="2" t="s">
        <v>13</v>
      </c>
      <c r="D716" s="2" t="s">
        <v>37</v>
      </c>
      <c r="E716" s="2" t="s">
        <v>78</v>
      </c>
      <c r="F716" s="2" t="s">
        <v>81</v>
      </c>
      <c r="G716" s="2">
        <f t="shared" si="11"/>
        <v>0.90985130111524171</v>
      </c>
      <c r="H716" s="5">
        <v>4.2938596491228074</v>
      </c>
      <c r="I716" s="2">
        <v>114</v>
      </c>
      <c r="J716" s="12">
        <f>I716/Pondération!$H$44</f>
        <v>0.21189591078066913</v>
      </c>
    </row>
    <row r="717" spans="1:10" x14ac:dyDescent="0.25">
      <c r="A717" s="2" t="s">
        <v>77</v>
      </c>
      <c r="B717" s="2">
        <v>2015</v>
      </c>
      <c r="C717" s="2" t="s">
        <v>14</v>
      </c>
      <c r="D717" s="2" t="s">
        <v>37</v>
      </c>
      <c r="E717" s="2" t="s">
        <v>78</v>
      </c>
      <c r="F717" s="2" t="s">
        <v>81</v>
      </c>
      <c r="G717" s="2">
        <f t="shared" si="11"/>
        <v>0.43308550185873607</v>
      </c>
      <c r="H717" s="5">
        <v>4.3148148148148149</v>
      </c>
      <c r="I717" s="2">
        <v>54</v>
      </c>
      <c r="J717" s="12">
        <f>I717/Pondération!$H$44</f>
        <v>0.10037174721189591</v>
      </c>
    </row>
    <row r="718" spans="1:10" x14ac:dyDescent="0.25">
      <c r="A718" s="2" t="s">
        <v>77</v>
      </c>
      <c r="B718" s="2">
        <v>2015</v>
      </c>
      <c r="C718" s="2" t="s">
        <v>15</v>
      </c>
      <c r="D718" s="2" t="s">
        <v>37</v>
      </c>
      <c r="E718" s="2" t="s">
        <v>78</v>
      </c>
      <c r="F718" s="2" t="s">
        <v>81</v>
      </c>
      <c r="G718" s="2">
        <f t="shared" si="11"/>
        <v>0.4107806691449814</v>
      </c>
      <c r="H718" s="5">
        <v>4.42</v>
      </c>
      <c r="I718" s="2">
        <v>50</v>
      </c>
      <c r="J718" s="12">
        <f>I718/Pondération!$H$44</f>
        <v>9.2936802973977689E-2</v>
      </c>
    </row>
    <row r="719" spans="1:10" x14ac:dyDescent="0.25">
      <c r="A719" s="2" t="s">
        <v>77</v>
      </c>
      <c r="B719" s="2">
        <v>2015</v>
      </c>
      <c r="C719" s="2" t="s">
        <v>16</v>
      </c>
      <c r="D719" s="2" t="s">
        <v>37</v>
      </c>
      <c r="E719" s="2" t="s">
        <v>78</v>
      </c>
      <c r="F719" s="2" t="s">
        <v>81</v>
      </c>
      <c r="G719" s="2">
        <f t="shared" si="11"/>
        <v>0.25557620817843862</v>
      </c>
      <c r="H719" s="5">
        <v>4.296875</v>
      </c>
      <c r="I719" s="2">
        <v>32</v>
      </c>
      <c r="J719" s="12">
        <f>I719/Pondération!$H$44</f>
        <v>5.9479553903345722E-2</v>
      </c>
    </row>
    <row r="720" spans="1:10" x14ac:dyDescent="0.25">
      <c r="A720" s="2" t="s">
        <v>77</v>
      </c>
      <c r="B720" s="2">
        <v>2015</v>
      </c>
      <c r="C720" s="2" t="s">
        <v>17</v>
      </c>
      <c r="D720" s="2" t="s">
        <v>37</v>
      </c>
      <c r="E720" s="2" t="s">
        <v>78</v>
      </c>
      <c r="F720" s="2" t="s">
        <v>81</v>
      </c>
      <c r="G720" s="2">
        <f t="shared" si="11"/>
        <v>0.23420074349442382</v>
      </c>
      <c r="H720" s="5">
        <v>4.666666666666667</v>
      </c>
      <c r="I720" s="2">
        <v>27</v>
      </c>
      <c r="J720" s="12">
        <f>I720/Pondération!$H$44</f>
        <v>5.0185873605947957E-2</v>
      </c>
    </row>
    <row r="721" spans="1:10" x14ac:dyDescent="0.25">
      <c r="A721" s="2" t="s">
        <v>77</v>
      </c>
      <c r="B721" s="2">
        <v>2016</v>
      </c>
      <c r="C721" s="2" t="s">
        <v>18</v>
      </c>
      <c r="D721" s="2" t="s">
        <v>37</v>
      </c>
      <c r="E721" s="2" t="s">
        <v>78</v>
      </c>
      <c r="F721" s="2" t="s">
        <v>81</v>
      </c>
      <c r="G721" s="2">
        <f t="shared" si="11"/>
        <v>0.21405049396267836</v>
      </c>
      <c r="H721" s="5">
        <v>4.4318181818181817</v>
      </c>
      <c r="I721" s="2">
        <v>44</v>
      </c>
      <c r="J721" s="12">
        <f>I721/Pondération!$G$44</f>
        <v>4.8298572996706916E-2</v>
      </c>
    </row>
    <row r="722" spans="1:10" x14ac:dyDescent="0.25">
      <c r="A722" s="2" t="s">
        <v>77</v>
      </c>
      <c r="B722" s="2">
        <v>2016</v>
      </c>
      <c r="C722" s="2" t="s">
        <v>19</v>
      </c>
      <c r="D722" s="2" t="s">
        <v>37</v>
      </c>
      <c r="E722" s="2" t="s">
        <v>78</v>
      </c>
      <c r="F722" s="2" t="s">
        <v>81</v>
      </c>
      <c r="G722" s="2">
        <f t="shared" si="11"/>
        <v>0.26893523600439079</v>
      </c>
      <c r="H722" s="5">
        <v>4.375</v>
      </c>
      <c r="I722" s="2">
        <v>56</v>
      </c>
      <c r="J722" s="12">
        <f>I722/Pondération!$G$44</f>
        <v>6.1470911086717893E-2</v>
      </c>
    </row>
    <row r="723" spans="1:10" x14ac:dyDescent="0.25">
      <c r="A723" s="2" t="s">
        <v>77</v>
      </c>
      <c r="B723" s="2">
        <v>2016</v>
      </c>
      <c r="C723" s="2" t="s">
        <v>20</v>
      </c>
      <c r="D723" s="2" t="s">
        <v>37</v>
      </c>
      <c r="E723" s="2" t="s">
        <v>78</v>
      </c>
      <c r="F723" s="2" t="s">
        <v>81</v>
      </c>
      <c r="G723" s="2">
        <f t="shared" si="11"/>
        <v>0.33369923161361137</v>
      </c>
      <c r="H723" s="5">
        <v>4.5373134328358207</v>
      </c>
      <c r="I723" s="2">
        <v>67</v>
      </c>
      <c r="J723" s="12">
        <f>I723/Pondération!$G$44</f>
        <v>7.3545554335894617E-2</v>
      </c>
    </row>
    <row r="724" spans="1:10" x14ac:dyDescent="0.25">
      <c r="A724" s="2" t="s">
        <v>77</v>
      </c>
      <c r="B724" s="2">
        <v>2016</v>
      </c>
      <c r="C724" s="2" t="s">
        <v>21</v>
      </c>
      <c r="D724" s="2" t="s">
        <v>37</v>
      </c>
      <c r="E724" s="2" t="s">
        <v>78</v>
      </c>
      <c r="F724" s="2" t="s">
        <v>81</v>
      </c>
      <c r="G724" s="2">
        <f t="shared" si="11"/>
        <v>0.40944017563117452</v>
      </c>
      <c r="H724" s="5">
        <v>4.4404761904761907</v>
      </c>
      <c r="I724" s="2">
        <v>84</v>
      </c>
      <c r="J724" s="12">
        <f>I724/Pondération!$G$44</f>
        <v>9.2206366630076836E-2</v>
      </c>
    </row>
    <row r="725" spans="1:10" x14ac:dyDescent="0.25">
      <c r="A725" s="2" t="s">
        <v>77</v>
      </c>
      <c r="B725" s="2">
        <v>2016</v>
      </c>
      <c r="C725" s="2" t="s">
        <v>22</v>
      </c>
      <c r="D725" s="2" t="s">
        <v>37</v>
      </c>
      <c r="E725" s="2" t="s">
        <v>78</v>
      </c>
      <c r="F725" s="2" t="s">
        <v>81</v>
      </c>
      <c r="G725" s="2">
        <f t="shared" si="11"/>
        <v>0.37541163556531287</v>
      </c>
      <c r="H725" s="5">
        <v>4.384615384615385</v>
      </c>
      <c r="I725" s="2">
        <v>78</v>
      </c>
      <c r="J725" s="12">
        <f>I725/Pondération!$G$44</f>
        <v>8.5620197585071348E-2</v>
      </c>
    </row>
    <row r="726" spans="1:10" x14ac:dyDescent="0.25">
      <c r="A726" s="2" t="s">
        <v>77</v>
      </c>
      <c r="B726" s="2">
        <v>2016</v>
      </c>
      <c r="C726" s="2" t="s">
        <v>23</v>
      </c>
      <c r="D726" s="2" t="s">
        <v>37</v>
      </c>
      <c r="E726" s="2" t="s">
        <v>78</v>
      </c>
      <c r="F726" s="2" t="s">
        <v>81</v>
      </c>
      <c r="G726" s="2">
        <f t="shared" si="11"/>
        <v>0.24478594950603733</v>
      </c>
      <c r="H726" s="5">
        <v>4.46</v>
      </c>
      <c r="I726" s="2">
        <v>50</v>
      </c>
      <c r="J726" s="12">
        <f>I726/Pondération!$G$44</f>
        <v>5.4884742041712405E-2</v>
      </c>
    </row>
    <row r="727" spans="1:10" x14ac:dyDescent="0.25">
      <c r="A727" s="2" t="s">
        <v>77</v>
      </c>
      <c r="B727" s="2">
        <v>2016</v>
      </c>
      <c r="C727" s="2" t="s">
        <v>24</v>
      </c>
      <c r="D727" s="2" t="s">
        <v>37</v>
      </c>
      <c r="E727" s="2" t="s">
        <v>78</v>
      </c>
      <c r="F727" s="2" t="s">
        <v>81</v>
      </c>
      <c r="G727" s="2">
        <f t="shared" si="11"/>
        <v>0.5444566410537871</v>
      </c>
      <c r="H727" s="5">
        <v>4.3130434782608695</v>
      </c>
      <c r="I727" s="2">
        <v>115</v>
      </c>
      <c r="J727" s="12">
        <f>I727/Pondération!$G$44</f>
        <v>0.12623490669593854</v>
      </c>
    </row>
    <row r="728" spans="1:10" x14ac:dyDescent="0.25">
      <c r="A728" s="2" t="s">
        <v>77</v>
      </c>
      <c r="B728" s="2">
        <v>2016</v>
      </c>
      <c r="C728" s="2" t="s">
        <v>25</v>
      </c>
      <c r="D728" s="2" t="s">
        <v>37</v>
      </c>
      <c r="E728" s="2" t="s">
        <v>78</v>
      </c>
      <c r="F728" s="2" t="s">
        <v>81</v>
      </c>
      <c r="G728" s="2">
        <f t="shared" si="11"/>
        <v>0.71514818880351261</v>
      </c>
      <c r="H728" s="5">
        <v>4.314569536423841</v>
      </c>
      <c r="I728" s="2">
        <v>151</v>
      </c>
      <c r="J728" s="12">
        <f>I728/Pondération!$G$44</f>
        <v>0.16575192096597147</v>
      </c>
    </row>
    <row r="729" spans="1:10" x14ac:dyDescent="0.25">
      <c r="A729" s="2" t="s">
        <v>77</v>
      </c>
      <c r="B729" s="2">
        <v>2016</v>
      </c>
      <c r="C729" s="2" t="s">
        <v>26</v>
      </c>
      <c r="D729" s="2" t="s">
        <v>37</v>
      </c>
      <c r="E729" s="2" t="s">
        <v>78</v>
      </c>
      <c r="F729" s="2" t="s">
        <v>81</v>
      </c>
      <c r="G729" s="2">
        <f t="shared" si="11"/>
        <v>0.35675082327113067</v>
      </c>
      <c r="H729" s="5">
        <v>4.3918918918918921</v>
      </c>
      <c r="I729" s="2">
        <v>74</v>
      </c>
      <c r="J729" s="12">
        <f>I729/Pondération!$G$44</f>
        <v>8.1229418221734365E-2</v>
      </c>
    </row>
    <row r="730" spans="1:10" x14ac:dyDescent="0.25">
      <c r="A730" s="2" t="s">
        <v>77</v>
      </c>
      <c r="B730" s="2">
        <v>2016</v>
      </c>
      <c r="C730" s="2" t="s">
        <v>27</v>
      </c>
      <c r="D730" s="2" t="s">
        <v>37</v>
      </c>
      <c r="E730" s="2" t="s">
        <v>78</v>
      </c>
      <c r="F730" s="2" t="s">
        <v>81</v>
      </c>
      <c r="G730" s="2">
        <f t="shared" si="11"/>
        <v>0.29967069154774972</v>
      </c>
      <c r="H730" s="5">
        <v>4.403225806451613</v>
      </c>
      <c r="I730" s="2">
        <v>62</v>
      </c>
      <c r="J730" s="12">
        <f>I730/Pondération!$G$44</f>
        <v>6.8057080131723374E-2</v>
      </c>
    </row>
    <row r="731" spans="1:10" x14ac:dyDescent="0.25">
      <c r="A731" s="2" t="s">
        <v>77</v>
      </c>
      <c r="B731" s="2">
        <v>2016</v>
      </c>
      <c r="C731" s="2" t="s">
        <v>28</v>
      </c>
      <c r="D731" s="2" t="s">
        <v>37</v>
      </c>
      <c r="E731" s="2" t="s">
        <v>78</v>
      </c>
      <c r="F731" s="2" t="s">
        <v>81</v>
      </c>
      <c r="G731" s="2">
        <f t="shared" si="11"/>
        <v>0.35400658616904501</v>
      </c>
      <c r="H731" s="5">
        <v>4.542253521126761</v>
      </c>
      <c r="I731" s="2">
        <v>71</v>
      </c>
      <c r="J731" s="12">
        <f>I731/Pondération!$G$44</f>
        <v>7.7936333699231614E-2</v>
      </c>
    </row>
    <row r="732" spans="1:10" x14ac:dyDescent="0.25">
      <c r="A732" s="2" t="s">
        <v>77</v>
      </c>
      <c r="B732" s="2">
        <v>2016</v>
      </c>
      <c r="C732" s="2" t="s">
        <v>29</v>
      </c>
      <c r="D732" s="2" t="s">
        <v>37</v>
      </c>
      <c r="E732" s="2" t="s">
        <v>78</v>
      </c>
      <c r="F732" s="2" t="s">
        <v>81</v>
      </c>
      <c r="G732" s="2">
        <f t="shared" si="11"/>
        <v>0.29527991218441274</v>
      </c>
      <c r="H732" s="5">
        <v>4.5593220338983054</v>
      </c>
      <c r="I732" s="2">
        <v>59</v>
      </c>
      <c r="J732" s="12">
        <f>I732/Pondération!$G$44</f>
        <v>6.4763995609220637E-2</v>
      </c>
    </row>
    <row r="733" spans="1:10" x14ac:dyDescent="0.25">
      <c r="A733" s="2" t="s">
        <v>77</v>
      </c>
      <c r="B733" s="2">
        <v>2017</v>
      </c>
      <c r="C733" s="2" t="s">
        <v>30</v>
      </c>
      <c r="D733" s="2" t="s">
        <v>37</v>
      </c>
      <c r="E733" s="2" t="s">
        <v>78</v>
      </c>
      <c r="F733" s="2" t="s">
        <v>81</v>
      </c>
      <c r="G733" s="2">
        <f t="shared" si="11"/>
        <v>0.6740837696335078</v>
      </c>
      <c r="H733" s="5">
        <v>4.5982142857142856</v>
      </c>
      <c r="I733" s="2">
        <v>56</v>
      </c>
      <c r="J733" s="12">
        <f>I733/Pondération!$F$44</f>
        <v>0.14659685863874344</v>
      </c>
    </row>
    <row r="734" spans="1:10" x14ac:dyDescent="0.25">
      <c r="A734" s="2" t="s">
        <v>77</v>
      </c>
      <c r="B734" s="2">
        <v>2017</v>
      </c>
      <c r="C734" s="2" t="s">
        <v>31</v>
      </c>
      <c r="D734" s="2" t="s">
        <v>37</v>
      </c>
      <c r="E734" s="2" t="s">
        <v>78</v>
      </c>
      <c r="F734" s="2" t="s">
        <v>81</v>
      </c>
      <c r="G734" s="2">
        <f t="shared" si="11"/>
        <v>0.79581151832460728</v>
      </c>
      <c r="H734" s="5">
        <v>4.4057971014492754</v>
      </c>
      <c r="I734" s="2">
        <v>69</v>
      </c>
      <c r="J734" s="12">
        <f>I734/Pondération!$F$44</f>
        <v>0.1806282722513089</v>
      </c>
    </row>
    <row r="735" spans="1:10" x14ac:dyDescent="0.25">
      <c r="A735" s="2" t="s">
        <v>77</v>
      </c>
      <c r="B735" s="2">
        <v>2017</v>
      </c>
      <c r="C735" s="2" t="s">
        <v>32</v>
      </c>
      <c r="D735" s="2" t="s">
        <v>37</v>
      </c>
      <c r="E735" s="2" t="s">
        <v>78</v>
      </c>
      <c r="F735" s="2" t="s">
        <v>81</v>
      </c>
      <c r="G735" s="2">
        <f t="shared" si="11"/>
        <v>0.66753926701570676</v>
      </c>
      <c r="H735" s="5">
        <v>4.5535714285714288</v>
      </c>
      <c r="I735" s="2">
        <v>56</v>
      </c>
      <c r="J735" s="12">
        <f>I735/Pondération!$F$44</f>
        <v>0.14659685863874344</v>
      </c>
    </row>
    <row r="736" spans="1:10" x14ac:dyDescent="0.25">
      <c r="A736" s="2" t="s">
        <v>77</v>
      </c>
      <c r="B736" s="2">
        <v>2017</v>
      </c>
      <c r="C736" s="2" t="s">
        <v>33</v>
      </c>
      <c r="D736" s="2" t="s">
        <v>37</v>
      </c>
      <c r="E736" s="2" t="s">
        <v>78</v>
      </c>
      <c r="F736" s="2" t="s">
        <v>81</v>
      </c>
      <c r="G736" s="2">
        <f t="shared" si="11"/>
        <v>0.99607329842931935</v>
      </c>
      <c r="H736" s="5">
        <v>4.3735632183908049</v>
      </c>
      <c r="I736" s="2">
        <v>87</v>
      </c>
      <c r="J736" s="12">
        <f>I736/Pondération!$F$44</f>
        <v>0.22774869109947643</v>
      </c>
    </row>
    <row r="737" spans="1:10" x14ac:dyDescent="0.25">
      <c r="A737" s="2" t="s">
        <v>77</v>
      </c>
      <c r="B737" s="2">
        <v>2017</v>
      </c>
      <c r="C737" s="2" t="s">
        <v>34</v>
      </c>
      <c r="D737" s="2" t="s">
        <v>37</v>
      </c>
      <c r="E737" s="2" t="s">
        <v>78</v>
      </c>
      <c r="F737" s="2" t="s">
        <v>81</v>
      </c>
      <c r="G737" s="2">
        <f t="shared" si="11"/>
        <v>0.88219895287958106</v>
      </c>
      <c r="H737" s="5">
        <v>4.3766233766233764</v>
      </c>
      <c r="I737" s="2">
        <v>77</v>
      </c>
      <c r="J737" s="12">
        <f>I737/Pondération!$F$44</f>
        <v>0.20157068062827224</v>
      </c>
    </row>
    <row r="738" spans="1:10" x14ac:dyDescent="0.25">
      <c r="A738" s="2" t="s">
        <v>77</v>
      </c>
      <c r="B738" s="2">
        <v>2017</v>
      </c>
      <c r="C738" s="2" t="s">
        <v>80</v>
      </c>
      <c r="D738" s="2" t="s">
        <v>37</v>
      </c>
      <c r="E738" s="2" t="s">
        <v>78</v>
      </c>
      <c r="F738" s="2" t="s">
        <v>81</v>
      </c>
      <c r="G738" s="2">
        <f t="shared" si="11"/>
        <v>0.44633507853403143</v>
      </c>
      <c r="H738" s="5">
        <v>4.6081081081081079</v>
      </c>
      <c r="I738" s="2">
        <v>37</v>
      </c>
      <c r="J738" s="12">
        <f>I738/Pondération!$F$44</f>
        <v>9.6858638743455502E-2</v>
      </c>
    </row>
    <row r="739" spans="1:10" x14ac:dyDescent="0.25">
      <c r="A739" s="2" t="s">
        <v>77</v>
      </c>
      <c r="B739" s="2">
        <v>2013</v>
      </c>
      <c r="C739" s="2" t="s">
        <v>51</v>
      </c>
      <c r="D739" s="2" t="s">
        <v>37</v>
      </c>
      <c r="E739" s="2" t="s">
        <v>78</v>
      </c>
      <c r="F739" s="2" t="s">
        <v>83</v>
      </c>
      <c r="G739" s="2">
        <f t="shared" si="11"/>
        <v>0.20833333333333331</v>
      </c>
      <c r="H739" s="5">
        <v>5</v>
      </c>
      <c r="I739" s="2">
        <v>1</v>
      </c>
      <c r="J739" s="12">
        <f>I739/Pondération!$J$45</f>
        <v>4.1666666666666664E-2</v>
      </c>
    </row>
    <row r="740" spans="1:10" x14ac:dyDescent="0.25">
      <c r="A740" s="2" t="s">
        <v>77</v>
      </c>
      <c r="B740" s="2">
        <v>2013</v>
      </c>
      <c r="C740" s="2" t="s">
        <v>53</v>
      </c>
      <c r="D740" s="2" t="s">
        <v>37</v>
      </c>
      <c r="E740" s="2" t="s">
        <v>78</v>
      </c>
      <c r="F740" s="2" t="s">
        <v>83</v>
      </c>
      <c r="G740" s="2">
        <f t="shared" si="11"/>
        <v>0.1875</v>
      </c>
      <c r="H740" s="5">
        <v>4.5</v>
      </c>
      <c r="I740" s="2">
        <v>1</v>
      </c>
      <c r="J740" s="12">
        <f>I740/Pondération!$J$45</f>
        <v>4.1666666666666664E-2</v>
      </c>
    </row>
    <row r="741" spans="1:10" x14ac:dyDescent="0.25">
      <c r="A741" s="2" t="s">
        <v>77</v>
      </c>
      <c r="B741" s="2">
        <v>2013</v>
      </c>
      <c r="C741" s="2" t="s">
        <v>54</v>
      </c>
      <c r="D741" s="2" t="s">
        <v>37</v>
      </c>
      <c r="E741" s="2" t="s">
        <v>78</v>
      </c>
      <c r="F741" s="2" t="s">
        <v>83</v>
      </c>
      <c r="G741" s="2">
        <f t="shared" si="11"/>
        <v>0.79166666666666663</v>
      </c>
      <c r="H741" s="5">
        <v>4.75</v>
      </c>
      <c r="I741" s="2">
        <v>4</v>
      </c>
      <c r="J741" s="12">
        <f>I741/Pondération!$J$45</f>
        <v>0.16666666666666666</v>
      </c>
    </row>
    <row r="742" spans="1:10" x14ac:dyDescent="0.25">
      <c r="A742" s="2" t="s">
        <v>77</v>
      </c>
      <c r="B742" s="2">
        <v>2013</v>
      </c>
      <c r="C742" s="2" t="s">
        <v>55</v>
      </c>
      <c r="D742" s="2" t="s">
        <v>37</v>
      </c>
      <c r="E742" s="2" t="s">
        <v>78</v>
      </c>
      <c r="F742" s="2" t="s">
        <v>83</v>
      </c>
      <c r="G742" s="2">
        <f t="shared" si="11"/>
        <v>0.5</v>
      </c>
      <c r="H742" s="5">
        <v>4</v>
      </c>
      <c r="I742" s="2">
        <v>3</v>
      </c>
      <c r="J742" s="12">
        <f>I742/Pondération!$J$45</f>
        <v>0.125</v>
      </c>
    </row>
    <row r="743" spans="1:10" x14ac:dyDescent="0.25">
      <c r="A743" s="2" t="s">
        <v>77</v>
      </c>
      <c r="B743" s="2">
        <v>2013</v>
      </c>
      <c r="C743" s="2" t="s">
        <v>56</v>
      </c>
      <c r="D743" s="2" t="s">
        <v>37</v>
      </c>
      <c r="E743" s="2" t="s">
        <v>78</v>
      </c>
      <c r="F743" s="2" t="s">
        <v>83</v>
      </c>
      <c r="G743" s="2">
        <f t="shared" si="11"/>
        <v>0.33333333333333331</v>
      </c>
      <c r="H743" s="5">
        <v>4</v>
      </c>
      <c r="I743" s="2">
        <v>2</v>
      </c>
      <c r="J743" s="12">
        <f>I743/Pondération!$J$45</f>
        <v>8.3333333333333329E-2</v>
      </c>
    </row>
    <row r="744" spans="1:10" x14ac:dyDescent="0.25">
      <c r="A744" s="2" t="s">
        <v>77</v>
      </c>
      <c r="B744" s="2">
        <v>2013</v>
      </c>
      <c r="C744" s="2" t="s">
        <v>57</v>
      </c>
      <c r="D744" s="2" t="s">
        <v>37</v>
      </c>
      <c r="E744" s="2" t="s">
        <v>78</v>
      </c>
      <c r="F744" s="2" t="s">
        <v>83</v>
      </c>
      <c r="G744" s="2">
        <f t="shared" si="11"/>
        <v>1.2708333333333333</v>
      </c>
      <c r="H744" s="5">
        <v>4.3571428571428568</v>
      </c>
      <c r="I744" s="2">
        <v>7</v>
      </c>
      <c r="J744" s="12">
        <f>I744/Pondération!$J$45</f>
        <v>0.29166666666666669</v>
      </c>
    </row>
    <row r="745" spans="1:10" x14ac:dyDescent="0.25">
      <c r="A745" s="2" t="s">
        <v>77</v>
      </c>
      <c r="B745" s="2">
        <v>2013</v>
      </c>
      <c r="C745" s="2" t="s">
        <v>58</v>
      </c>
      <c r="D745" s="2" t="s">
        <v>37</v>
      </c>
      <c r="E745" s="2" t="s">
        <v>78</v>
      </c>
      <c r="F745" s="2" t="s">
        <v>83</v>
      </c>
      <c r="G745" s="2">
        <f t="shared" si="11"/>
        <v>0.58333333333333337</v>
      </c>
      <c r="H745" s="5">
        <v>4.666666666666667</v>
      </c>
      <c r="I745" s="2">
        <v>3</v>
      </c>
      <c r="J745" s="12">
        <f>I745/Pondération!$J$45</f>
        <v>0.125</v>
      </c>
    </row>
    <row r="746" spans="1:10" x14ac:dyDescent="0.25">
      <c r="A746" s="2" t="s">
        <v>77</v>
      </c>
      <c r="B746" s="2">
        <v>2013</v>
      </c>
      <c r="C746" s="2" t="s">
        <v>59</v>
      </c>
      <c r="D746" s="2" t="s">
        <v>37</v>
      </c>
      <c r="E746" s="2" t="s">
        <v>78</v>
      </c>
      <c r="F746" s="2" t="s">
        <v>83</v>
      </c>
      <c r="G746" s="2">
        <f t="shared" si="11"/>
        <v>0.20833333333333331</v>
      </c>
      <c r="H746" s="5">
        <v>5</v>
      </c>
      <c r="I746" s="2">
        <v>1</v>
      </c>
      <c r="J746" s="12">
        <f>I746/Pondération!$J$45</f>
        <v>4.1666666666666664E-2</v>
      </c>
    </row>
    <row r="747" spans="1:10" x14ac:dyDescent="0.25">
      <c r="A747" s="2" t="s">
        <v>77</v>
      </c>
      <c r="B747" s="2">
        <v>2013</v>
      </c>
      <c r="C747" s="2" t="s">
        <v>60</v>
      </c>
      <c r="D747" s="2" t="s">
        <v>37</v>
      </c>
      <c r="E747" s="2" t="s">
        <v>78</v>
      </c>
      <c r="F747" s="2" t="s">
        <v>83</v>
      </c>
      <c r="G747" s="2">
        <f t="shared" si="11"/>
        <v>0.41666666666666663</v>
      </c>
      <c r="H747" s="5">
        <v>5</v>
      </c>
      <c r="I747" s="2">
        <v>2</v>
      </c>
      <c r="J747" s="12">
        <f>I747/Pondération!$J$45</f>
        <v>8.3333333333333329E-2</v>
      </c>
    </row>
    <row r="748" spans="1:10" x14ac:dyDescent="0.25">
      <c r="A748" s="2" t="s">
        <v>77</v>
      </c>
      <c r="B748" s="2">
        <v>2014</v>
      </c>
      <c r="C748" s="2" t="s">
        <v>62</v>
      </c>
      <c r="D748" s="2" t="s">
        <v>37</v>
      </c>
      <c r="E748" s="2" t="s">
        <v>78</v>
      </c>
      <c r="F748" s="2" t="s">
        <v>83</v>
      </c>
      <c r="G748" s="2">
        <f t="shared" si="11"/>
        <v>0.21111111111111111</v>
      </c>
      <c r="H748" s="5">
        <v>4.75</v>
      </c>
      <c r="I748" s="2">
        <v>2</v>
      </c>
      <c r="J748" s="12">
        <f>I748/Pondération!$I$45</f>
        <v>4.4444444444444446E-2</v>
      </c>
    </row>
    <row r="749" spans="1:10" x14ac:dyDescent="0.25">
      <c r="A749" s="2" t="s">
        <v>77</v>
      </c>
      <c r="B749" s="2">
        <v>2014</v>
      </c>
      <c r="C749" s="2" t="s">
        <v>63</v>
      </c>
      <c r="D749" s="2" t="s">
        <v>37</v>
      </c>
      <c r="E749" s="2" t="s">
        <v>78</v>
      </c>
      <c r="F749" s="2" t="s">
        <v>83</v>
      </c>
      <c r="G749" s="2">
        <f t="shared" si="11"/>
        <v>0.2</v>
      </c>
      <c r="H749" s="5">
        <v>4.5</v>
      </c>
      <c r="I749" s="2">
        <v>2</v>
      </c>
      <c r="J749" s="12">
        <f>I749/Pondération!$I$45</f>
        <v>4.4444444444444446E-2</v>
      </c>
    </row>
    <row r="750" spans="1:10" x14ac:dyDescent="0.25">
      <c r="A750" s="2" t="s">
        <v>77</v>
      </c>
      <c r="B750" s="2">
        <v>2014</v>
      </c>
      <c r="C750" s="2" t="s">
        <v>64</v>
      </c>
      <c r="D750" s="2" t="s">
        <v>37</v>
      </c>
      <c r="E750" s="2" t="s">
        <v>78</v>
      </c>
      <c r="F750" s="2" t="s">
        <v>83</v>
      </c>
      <c r="G750" s="2">
        <f t="shared" si="11"/>
        <v>0.11111111111111112</v>
      </c>
      <c r="H750" s="5">
        <v>5</v>
      </c>
      <c r="I750" s="2">
        <v>1</v>
      </c>
      <c r="J750" s="12">
        <f>I750/Pondération!$I$45</f>
        <v>2.2222222222222223E-2</v>
      </c>
    </row>
    <row r="751" spans="1:10" x14ac:dyDescent="0.25">
      <c r="A751" s="2" t="s">
        <v>77</v>
      </c>
      <c r="B751" s="2">
        <v>2014</v>
      </c>
      <c r="C751" s="2" t="s">
        <v>65</v>
      </c>
      <c r="D751" s="2" t="s">
        <v>37</v>
      </c>
      <c r="E751" s="2" t="s">
        <v>78</v>
      </c>
      <c r="F751" s="2" t="s">
        <v>83</v>
      </c>
      <c r="G751" s="2">
        <f t="shared" si="11"/>
        <v>0.31111111111111112</v>
      </c>
      <c r="H751" s="5">
        <v>4.666666666666667</v>
      </c>
      <c r="I751" s="2">
        <v>3</v>
      </c>
      <c r="J751" s="12">
        <f>I751/Pondération!$I$45</f>
        <v>6.6666666666666666E-2</v>
      </c>
    </row>
    <row r="752" spans="1:10" x14ac:dyDescent="0.25">
      <c r="A752" s="2" t="s">
        <v>77</v>
      </c>
      <c r="B752" s="2">
        <v>2014</v>
      </c>
      <c r="C752" s="2" t="s">
        <v>66</v>
      </c>
      <c r="D752" s="2" t="s">
        <v>37</v>
      </c>
      <c r="E752" s="2" t="s">
        <v>78</v>
      </c>
      <c r="F752" s="2" t="s">
        <v>83</v>
      </c>
      <c r="G752" s="2">
        <f t="shared" si="11"/>
        <v>0.6</v>
      </c>
      <c r="H752" s="5">
        <v>4.5</v>
      </c>
      <c r="I752" s="2">
        <v>6</v>
      </c>
      <c r="J752" s="12">
        <f>I752/Pondération!$I$45</f>
        <v>0.13333333333333333</v>
      </c>
    </row>
    <row r="753" spans="1:10" x14ac:dyDescent="0.25">
      <c r="A753" s="2" t="s">
        <v>77</v>
      </c>
      <c r="B753" s="2">
        <v>2014</v>
      </c>
      <c r="C753" s="2" t="s">
        <v>67</v>
      </c>
      <c r="D753" s="2" t="s">
        <v>37</v>
      </c>
      <c r="E753" s="2" t="s">
        <v>78</v>
      </c>
      <c r="F753" s="2" t="s">
        <v>83</v>
      </c>
      <c r="G753" s="2">
        <f t="shared" si="11"/>
        <v>0.71111111111111114</v>
      </c>
      <c r="H753" s="5">
        <v>4.5714285714285712</v>
      </c>
      <c r="I753" s="2">
        <v>7</v>
      </c>
      <c r="J753" s="12">
        <f>I753/Pondération!$I$45</f>
        <v>0.15555555555555556</v>
      </c>
    </row>
    <row r="754" spans="1:10" x14ac:dyDescent="0.25">
      <c r="A754" s="2" t="s">
        <v>77</v>
      </c>
      <c r="B754" s="2">
        <v>2014</v>
      </c>
      <c r="C754" s="2" t="s">
        <v>68</v>
      </c>
      <c r="D754" s="2" t="s">
        <v>37</v>
      </c>
      <c r="E754" s="2" t="s">
        <v>78</v>
      </c>
      <c r="F754" s="2" t="s">
        <v>83</v>
      </c>
      <c r="G754" s="2">
        <f t="shared" si="11"/>
        <v>0.53333333333333333</v>
      </c>
      <c r="H754" s="5">
        <v>4.8</v>
      </c>
      <c r="I754" s="2">
        <v>5</v>
      </c>
      <c r="J754" s="12">
        <f>I754/Pondération!$I$45</f>
        <v>0.1111111111111111</v>
      </c>
    </row>
    <row r="755" spans="1:10" x14ac:dyDescent="0.25">
      <c r="A755" s="2" t="s">
        <v>77</v>
      </c>
      <c r="B755" s="2">
        <v>2014</v>
      </c>
      <c r="C755" s="2" t="s">
        <v>69</v>
      </c>
      <c r="D755" s="2" t="s">
        <v>37</v>
      </c>
      <c r="E755" s="2" t="s">
        <v>78</v>
      </c>
      <c r="F755" s="2" t="s">
        <v>83</v>
      </c>
      <c r="G755" s="2">
        <f t="shared" si="11"/>
        <v>0.46666666666666667</v>
      </c>
      <c r="H755" s="5">
        <v>4.2</v>
      </c>
      <c r="I755" s="2">
        <v>5</v>
      </c>
      <c r="J755" s="12">
        <f>I755/Pondération!$I$45</f>
        <v>0.1111111111111111</v>
      </c>
    </row>
    <row r="756" spans="1:10" x14ac:dyDescent="0.25">
      <c r="A756" s="2" t="s">
        <v>77</v>
      </c>
      <c r="B756" s="2">
        <v>2014</v>
      </c>
      <c r="C756" s="2" t="s">
        <v>70</v>
      </c>
      <c r="D756" s="2" t="s">
        <v>37</v>
      </c>
      <c r="E756" s="2" t="s">
        <v>78</v>
      </c>
      <c r="F756" s="2" t="s">
        <v>83</v>
      </c>
      <c r="G756" s="2">
        <f t="shared" si="11"/>
        <v>0.77777777777777779</v>
      </c>
      <c r="H756" s="5">
        <v>4.375</v>
      </c>
      <c r="I756" s="2">
        <v>8</v>
      </c>
      <c r="J756" s="12">
        <f>I756/Pondération!$I$45</f>
        <v>0.17777777777777778</v>
      </c>
    </row>
    <row r="757" spans="1:10" x14ac:dyDescent="0.25">
      <c r="A757" s="2" t="s">
        <v>77</v>
      </c>
      <c r="B757" s="2">
        <v>2014</v>
      </c>
      <c r="C757" s="2" t="s">
        <v>71</v>
      </c>
      <c r="D757" s="2" t="s">
        <v>37</v>
      </c>
      <c r="E757" s="2" t="s">
        <v>78</v>
      </c>
      <c r="F757" s="2" t="s">
        <v>83</v>
      </c>
      <c r="G757" s="2">
        <f t="shared" si="11"/>
        <v>0.37777777777777777</v>
      </c>
      <c r="H757" s="5">
        <v>4.25</v>
      </c>
      <c r="I757" s="2">
        <v>4</v>
      </c>
      <c r="J757" s="12">
        <f>I757/Pondération!$I$45</f>
        <v>8.8888888888888892E-2</v>
      </c>
    </row>
    <row r="758" spans="1:10" x14ac:dyDescent="0.25">
      <c r="A758" s="2" t="s">
        <v>77</v>
      </c>
      <c r="B758" s="2">
        <v>2014</v>
      </c>
      <c r="C758" s="2" t="s">
        <v>72</v>
      </c>
      <c r="D758" s="2" t="s">
        <v>37</v>
      </c>
      <c r="E758" s="2" t="s">
        <v>78</v>
      </c>
      <c r="F758" s="2" t="s">
        <v>83</v>
      </c>
      <c r="G758" s="2">
        <f t="shared" si="11"/>
        <v>0.18888888888888888</v>
      </c>
      <c r="H758" s="5">
        <v>4.25</v>
      </c>
      <c r="I758" s="2">
        <v>2</v>
      </c>
      <c r="J758" s="12">
        <f>I758/Pondération!$I$45</f>
        <v>4.4444444444444446E-2</v>
      </c>
    </row>
    <row r="759" spans="1:10" x14ac:dyDescent="0.25">
      <c r="A759" s="2" t="s">
        <v>77</v>
      </c>
      <c r="B759" s="2">
        <v>2015</v>
      </c>
      <c r="C759" s="2" t="s">
        <v>73</v>
      </c>
      <c r="D759" s="2" t="s">
        <v>37</v>
      </c>
      <c r="E759" s="2" t="s">
        <v>78</v>
      </c>
      <c r="F759" s="2" t="s">
        <v>83</v>
      </c>
      <c r="G759" s="2">
        <f t="shared" si="11"/>
        <v>0.14754098360655737</v>
      </c>
      <c r="H759" s="5">
        <v>4.5</v>
      </c>
      <c r="I759" s="2">
        <v>6</v>
      </c>
      <c r="J759" s="12">
        <f>I759/Pondération!$H$45</f>
        <v>3.2786885245901641E-2</v>
      </c>
    </row>
    <row r="760" spans="1:10" x14ac:dyDescent="0.25">
      <c r="A760" s="2" t="s">
        <v>77</v>
      </c>
      <c r="B760" s="2">
        <v>2015</v>
      </c>
      <c r="C760" s="2" t="s">
        <v>74</v>
      </c>
      <c r="D760" s="2" t="s">
        <v>37</v>
      </c>
      <c r="E760" s="2" t="s">
        <v>78</v>
      </c>
      <c r="F760" s="2" t="s">
        <v>83</v>
      </c>
      <c r="G760" s="2">
        <f t="shared" si="11"/>
        <v>0.45901639344262296</v>
      </c>
      <c r="H760" s="5">
        <v>4.666666666666667</v>
      </c>
      <c r="I760" s="2">
        <v>18</v>
      </c>
      <c r="J760" s="12">
        <f>I760/Pondération!$H$45</f>
        <v>9.8360655737704916E-2</v>
      </c>
    </row>
    <row r="761" spans="1:10" x14ac:dyDescent="0.25">
      <c r="A761" s="2" t="s">
        <v>77</v>
      </c>
      <c r="B761" s="2">
        <v>2015</v>
      </c>
      <c r="C761" s="2" t="s">
        <v>75</v>
      </c>
      <c r="D761" s="2" t="s">
        <v>37</v>
      </c>
      <c r="E761" s="2" t="s">
        <v>78</v>
      </c>
      <c r="F761" s="2" t="s">
        <v>83</v>
      </c>
      <c r="G761" s="2">
        <f t="shared" si="11"/>
        <v>0.13661202185792351</v>
      </c>
      <c r="H761" s="5">
        <v>4.166666666666667</v>
      </c>
      <c r="I761" s="2">
        <v>6</v>
      </c>
      <c r="J761" s="12">
        <f>I761/Pondération!$H$45</f>
        <v>3.2786885245901641E-2</v>
      </c>
    </row>
    <row r="762" spans="1:10" x14ac:dyDescent="0.25">
      <c r="A762" s="2" t="s">
        <v>77</v>
      </c>
      <c r="B762" s="2">
        <v>2015</v>
      </c>
      <c r="C762" s="2" t="s">
        <v>76</v>
      </c>
      <c r="D762" s="2" t="s">
        <v>37</v>
      </c>
      <c r="E762" s="2" t="s">
        <v>78</v>
      </c>
      <c r="F762" s="2" t="s">
        <v>83</v>
      </c>
      <c r="G762" s="2">
        <f t="shared" si="11"/>
        <v>0.12295081967213115</v>
      </c>
      <c r="H762" s="5">
        <v>4.5</v>
      </c>
      <c r="I762" s="2">
        <v>5</v>
      </c>
      <c r="J762" s="12">
        <f>I762/Pondération!$H$45</f>
        <v>2.7322404371584699E-2</v>
      </c>
    </row>
    <row r="763" spans="1:10" x14ac:dyDescent="0.25">
      <c r="A763" s="2" t="s">
        <v>77</v>
      </c>
      <c r="B763" s="2">
        <v>2015</v>
      </c>
      <c r="C763" s="2" t="s">
        <v>7</v>
      </c>
      <c r="D763" s="2" t="s">
        <v>37</v>
      </c>
      <c r="E763" s="2" t="s">
        <v>78</v>
      </c>
      <c r="F763" s="2" t="s">
        <v>83</v>
      </c>
      <c r="G763" s="2">
        <f t="shared" si="11"/>
        <v>0.26229508196721307</v>
      </c>
      <c r="H763" s="5">
        <v>4.3636363636363633</v>
      </c>
      <c r="I763" s="2">
        <v>11</v>
      </c>
      <c r="J763" s="12">
        <f>I763/Pondération!$H$45</f>
        <v>6.0109289617486336E-2</v>
      </c>
    </row>
    <row r="764" spans="1:10" x14ac:dyDescent="0.25">
      <c r="A764" s="2" t="s">
        <v>77</v>
      </c>
      <c r="B764" s="2">
        <v>2015</v>
      </c>
      <c r="C764" s="2" t="s">
        <v>11</v>
      </c>
      <c r="D764" s="2" t="s">
        <v>37</v>
      </c>
      <c r="E764" s="2" t="s">
        <v>78</v>
      </c>
      <c r="F764" s="2" t="s">
        <v>83</v>
      </c>
      <c r="G764" s="2">
        <f t="shared" si="11"/>
        <v>0.2103825136612022</v>
      </c>
      <c r="H764" s="5">
        <v>3.85</v>
      </c>
      <c r="I764" s="2">
        <v>10</v>
      </c>
      <c r="J764" s="12">
        <f>I764/Pondération!$H$45</f>
        <v>5.4644808743169397E-2</v>
      </c>
    </row>
    <row r="765" spans="1:10" x14ac:dyDescent="0.25">
      <c r="A765" s="2" t="s">
        <v>77</v>
      </c>
      <c r="B765" s="2">
        <v>2015</v>
      </c>
      <c r="C765" s="2" t="s">
        <v>12</v>
      </c>
      <c r="D765" s="2" t="s">
        <v>37</v>
      </c>
      <c r="E765" s="2" t="s">
        <v>78</v>
      </c>
      <c r="F765" s="2" t="s">
        <v>83</v>
      </c>
      <c r="G765" s="2">
        <f t="shared" si="11"/>
        <v>0.63114754098360659</v>
      </c>
      <c r="H765" s="5">
        <v>4.4423076923076925</v>
      </c>
      <c r="I765" s="2">
        <v>26</v>
      </c>
      <c r="J765" s="12">
        <f>I765/Pondération!$H$45</f>
        <v>0.14207650273224043</v>
      </c>
    </row>
    <row r="766" spans="1:10" x14ac:dyDescent="0.25">
      <c r="A766" s="2" t="s">
        <v>77</v>
      </c>
      <c r="B766" s="2">
        <v>2015</v>
      </c>
      <c r="C766" s="2" t="s">
        <v>13</v>
      </c>
      <c r="D766" s="2" t="s">
        <v>37</v>
      </c>
      <c r="E766" s="2" t="s">
        <v>78</v>
      </c>
      <c r="F766" s="2" t="s">
        <v>83</v>
      </c>
      <c r="G766" s="2">
        <f t="shared" si="11"/>
        <v>0.65573770491803274</v>
      </c>
      <c r="H766" s="5">
        <v>4.2857142857142856</v>
      </c>
      <c r="I766" s="2">
        <v>28</v>
      </c>
      <c r="J766" s="12">
        <f>I766/Pondération!$H$45</f>
        <v>0.15300546448087432</v>
      </c>
    </row>
    <row r="767" spans="1:10" x14ac:dyDescent="0.25">
      <c r="A767" s="2" t="s">
        <v>77</v>
      </c>
      <c r="B767" s="2">
        <v>2015</v>
      </c>
      <c r="C767" s="2" t="s">
        <v>14</v>
      </c>
      <c r="D767" s="2" t="s">
        <v>37</v>
      </c>
      <c r="E767" s="2" t="s">
        <v>78</v>
      </c>
      <c r="F767" s="2" t="s">
        <v>83</v>
      </c>
      <c r="G767" s="2">
        <f t="shared" si="11"/>
        <v>0.40710382513661203</v>
      </c>
      <c r="H767" s="5">
        <v>4.1388888888888893</v>
      </c>
      <c r="I767" s="2">
        <v>18</v>
      </c>
      <c r="J767" s="12">
        <f>I767/Pondération!$H$45</f>
        <v>9.8360655737704916E-2</v>
      </c>
    </row>
    <row r="768" spans="1:10" x14ac:dyDescent="0.25">
      <c r="A768" s="2" t="s">
        <v>77</v>
      </c>
      <c r="B768" s="2">
        <v>2015</v>
      </c>
      <c r="C768" s="2" t="s">
        <v>15</v>
      </c>
      <c r="D768" s="2" t="s">
        <v>37</v>
      </c>
      <c r="E768" s="2" t="s">
        <v>78</v>
      </c>
      <c r="F768" s="2" t="s">
        <v>83</v>
      </c>
      <c r="G768" s="2">
        <f t="shared" si="11"/>
        <v>0.51092896174863389</v>
      </c>
      <c r="H768" s="5">
        <v>4.25</v>
      </c>
      <c r="I768" s="2">
        <v>22</v>
      </c>
      <c r="J768" s="12">
        <f>I768/Pondération!$H$45</f>
        <v>0.12021857923497267</v>
      </c>
    </row>
    <row r="769" spans="1:10" x14ac:dyDescent="0.25">
      <c r="A769" s="2" t="s">
        <v>77</v>
      </c>
      <c r="B769" s="2">
        <v>2015</v>
      </c>
      <c r="C769" s="2" t="s">
        <v>16</v>
      </c>
      <c r="D769" s="2" t="s">
        <v>37</v>
      </c>
      <c r="E769" s="2" t="s">
        <v>78</v>
      </c>
      <c r="F769" s="2" t="s">
        <v>83</v>
      </c>
      <c r="G769" s="2">
        <f t="shared" si="11"/>
        <v>0.3551912568306011</v>
      </c>
      <c r="H769" s="5">
        <v>4.0625</v>
      </c>
      <c r="I769" s="2">
        <v>16</v>
      </c>
      <c r="J769" s="12">
        <f>I769/Pondération!$H$45</f>
        <v>8.7431693989071038E-2</v>
      </c>
    </row>
    <row r="770" spans="1:10" x14ac:dyDescent="0.25">
      <c r="A770" s="2" t="s">
        <v>77</v>
      </c>
      <c r="B770" s="2">
        <v>2015</v>
      </c>
      <c r="C770" s="2" t="s">
        <v>17</v>
      </c>
      <c r="D770" s="2" t="s">
        <v>37</v>
      </c>
      <c r="E770" s="2" t="s">
        <v>78</v>
      </c>
      <c r="F770" s="2" t="s">
        <v>83</v>
      </c>
      <c r="G770" s="2">
        <f t="shared" ref="G770:G833" si="12">H770*J770</f>
        <v>0.42349726775956287</v>
      </c>
      <c r="H770" s="5">
        <v>4.5588235294117645</v>
      </c>
      <c r="I770" s="2">
        <v>17</v>
      </c>
      <c r="J770" s="12">
        <f>I770/Pondération!$H$45</f>
        <v>9.2896174863387984E-2</v>
      </c>
    </row>
    <row r="771" spans="1:10" x14ac:dyDescent="0.25">
      <c r="A771" s="2" t="s">
        <v>77</v>
      </c>
      <c r="B771" s="2">
        <v>2016</v>
      </c>
      <c r="C771" s="2" t="s">
        <v>18</v>
      </c>
      <c r="D771" s="2" t="s">
        <v>37</v>
      </c>
      <c r="E771" s="2" t="s">
        <v>78</v>
      </c>
      <c r="F771" s="2" t="s">
        <v>83</v>
      </c>
      <c r="G771" s="2">
        <f t="shared" si="12"/>
        <v>0.25310559006211181</v>
      </c>
      <c r="H771" s="5">
        <v>4.2894736842105265</v>
      </c>
      <c r="I771" s="2">
        <v>19</v>
      </c>
      <c r="J771" s="12">
        <f>I771/Pondération!$G$45</f>
        <v>5.9006211180124224E-2</v>
      </c>
    </row>
    <row r="772" spans="1:10" x14ac:dyDescent="0.25">
      <c r="A772" s="2" t="s">
        <v>77</v>
      </c>
      <c r="B772" s="2">
        <v>2016</v>
      </c>
      <c r="C772" s="2" t="s">
        <v>19</v>
      </c>
      <c r="D772" s="2" t="s">
        <v>37</v>
      </c>
      <c r="E772" s="2" t="s">
        <v>78</v>
      </c>
      <c r="F772" s="2" t="s">
        <v>83</v>
      </c>
      <c r="G772" s="2">
        <f t="shared" si="12"/>
        <v>0.13819875776397517</v>
      </c>
      <c r="H772" s="5">
        <v>4.45</v>
      </c>
      <c r="I772" s="2">
        <v>10</v>
      </c>
      <c r="J772" s="12">
        <f>I772/Pondération!$G$45</f>
        <v>3.1055900621118012E-2</v>
      </c>
    </row>
    <row r="773" spans="1:10" x14ac:dyDescent="0.25">
      <c r="A773" s="2" t="s">
        <v>77</v>
      </c>
      <c r="B773" s="2">
        <v>2016</v>
      </c>
      <c r="C773" s="2" t="s">
        <v>20</v>
      </c>
      <c r="D773" s="2" t="s">
        <v>37</v>
      </c>
      <c r="E773" s="2" t="s">
        <v>78</v>
      </c>
      <c r="F773" s="2" t="s">
        <v>83</v>
      </c>
      <c r="G773" s="2">
        <f t="shared" si="12"/>
        <v>0.38819875776397522</v>
      </c>
      <c r="H773" s="5">
        <v>4.3103448275862073</v>
      </c>
      <c r="I773" s="2">
        <v>29</v>
      </c>
      <c r="J773" s="12">
        <f>I773/Pondération!$G$45</f>
        <v>9.0062111801242239E-2</v>
      </c>
    </row>
    <row r="774" spans="1:10" x14ac:dyDescent="0.25">
      <c r="A774" s="2" t="s">
        <v>77</v>
      </c>
      <c r="B774" s="2">
        <v>2016</v>
      </c>
      <c r="C774" s="2" t="s">
        <v>21</v>
      </c>
      <c r="D774" s="2" t="s">
        <v>37</v>
      </c>
      <c r="E774" s="2" t="s">
        <v>78</v>
      </c>
      <c r="F774" s="2" t="s">
        <v>83</v>
      </c>
      <c r="G774" s="2">
        <f t="shared" si="12"/>
        <v>0.38819875776397522</v>
      </c>
      <c r="H774" s="5">
        <v>4.3103448275862073</v>
      </c>
      <c r="I774" s="2">
        <v>29</v>
      </c>
      <c r="J774" s="12">
        <f>I774/Pondération!$G$45</f>
        <v>9.0062111801242239E-2</v>
      </c>
    </row>
    <row r="775" spans="1:10" x14ac:dyDescent="0.25">
      <c r="A775" s="2" t="s">
        <v>77</v>
      </c>
      <c r="B775" s="2">
        <v>2016</v>
      </c>
      <c r="C775" s="2" t="s">
        <v>22</v>
      </c>
      <c r="D775" s="2" t="s">
        <v>37</v>
      </c>
      <c r="E775" s="2" t="s">
        <v>78</v>
      </c>
      <c r="F775" s="2" t="s">
        <v>83</v>
      </c>
      <c r="G775" s="2">
        <f t="shared" si="12"/>
        <v>0.26708074534161491</v>
      </c>
      <c r="H775" s="5">
        <v>4.3</v>
      </c>
      <c r="I775" s="2">
        <v>20</v>
      </c>
      <c r="J775" s="12">
        <f>I775/Pondération!$G$45</f>
        <v>6.2111801242236024E-2</v>
      </c>
    </row>
    <row r="776" spans="1:10" x14ac:dyDescent="0.25">
      <c r="A776" s="2" t="s">
        <v>77</v>
      </c>
      <c r="B776" s="2">
        <v>2016</v>
      </c>
      <c r="C776" s="2" t="s">
        <v>23</v>
      </c>
      <c r="D776" s="2" t="s">
        <v>37</v>
      </c>
      <c r="E776" s="2" t="s">
        <v>78</v>
      </c>
      <c r="F776" s="2" t="s">
        <v>83</v>
      </c>
      <c r="G776" s="2">
        <f t="shared" si="12"/>
        <v>0.30124223602484473</v>
      </c>
      <c r="H776" s="5">
        <v>4.2173913043478262</v>
      </c>
      <c r="I776" s="2">
        <v>23</v>
      </c>
      <c r="J776" s="12">
        <f>I776/Pondération!$G$45</f>
        <v>7.1428571428571425E-2</v>
      </c>
    </row>
    <row r="777" spans="1:10" x14ac:dyDescent="0.25">
      <c r="A777" s="2" t="s">
        <v>77</v>
      </c>
      <c r="B777" s="2">
        <v>2016</v>
      </c>
      <c r="C777" s="2" t="s">
        <v>24</v>
      </c>
      <c r="D777" s="2" t="s">
        <v>37</v>
      </c>
      <c r="E777" s="2" t="s">
        <v>78</v>
      </c>
      <c r="F777" s="2" t="s">
        <v>83</v>
      </c>
      <c r="G777" s="2">
        <f t="shared" si="12"/>
        <v>0.33850931677018636</v>
      </c>
      <c r="H777" s="5">
        <v>4.1923076923076925</v>
      </c>
      <c r="I777" s="2">
        <v>26</v>
      </c>
      <c r="J777" s="12">
        <f>I777/Pondération!$G$45</f>
        <v>8.0745341614906832E-2</v>
      </c>
    </row>
    <row r="778" spans="1:10" x14ac:dyDescent="0.25">
      <c r="A778" s="2" t="s">
        <v>77</v>
      </c>
      <c r="B778" s="2">
        <v>2016</v>
      </c>
      <c r="C778" s="2" t="s">
        <v>25</v>
      </c>
      <c r="D778" s="2" t="s">
        <v>37</v>
      </c>
      <c r="E778" s="2" t="s">
        <v>78</v>
      </c>
      <c r="F778" s="2" t="s">
        <v>83</v>
      </c>
      <c r="G778" s="2">
        <f t="shared" si="12"/>
        <v>0.81832298136645953</v>
      </c>
      <c r="H778" s="5">
        <v>4.3916666666666666</v>
      </c>
      <c r="I778" s="2">
        <v>60</v>
      </c>
      <c r="J778" s="12">
        <f>I778/Pondération!$G$45</f>
        <v>0.18633540372670807</v>
      </c>
    </row>
    <row r="779" spans="1:10" x14ac:dyDescent="0.25">
      <c r="A779" s="2" t="s">
        <v>77</v>
      </c>
      <c r="B779" s="2">
        <v>2016</v>
      </c>
      <c r="C779" s="2" t="s">
        <v>26</v>
      </c>
      <c r="D779" s="2" t="s">
        <v>37</v>
      </c>
      <c r="E779" s="2" t="s">
        <v>78</v>
      </c>
      <c r="F779" s="2" t="s">
        <v>83</v>
      </c>
      <c r="G779" s="2">
        <f t="shared" si="12"/>
        <v>0.30590062111801247</v>
      </c>
      <c r="H779" s="5">
        <v>4.104166666666667</v>
      </c>
      <c r="I779" s="2">
        <v>24</v>
      </c>
      <c r="J779" s="12">
        <f>I779/Pondération!$G$45</f>
        <v>7.4534161490683232E-2</v>
      </c>
    </row>
    <row r="780" spans="1:10" x14ac:dyDescent="0.25">
      <c r="A780" s="2" t="s">
        <v>77</v>
      </c>
      <c r="B780" s="2">
        <v>2016</v>
      </c>
      <c r="C780" s="2" t="s">
        <v>27</v>
      </c>
      <c r="D780" s="2" t="s">
        <v>37</v>
      </c>
      <c r="E780" s="2" t="s">
        <v>78</v>
      </c>
      <c r="F780" s="2" t="s">
        <v>83</v>
      </c>
      <c r="G780" s="2">
        <f t="shared" si="12"/>
        <v>0.33074534161490676</v>
      </c>
      <c r="H780" s="5">
        <v>4.26</v>
      </c>
      <c r="I780" s="2">
        <v>25</v>
      </c>
      <c r="J780" s="12">
        <f>I780/Pondération!$G$45</f>
        <v>7.7639751552795025E-2</v>
      </c>
    </row>
    <row r="781" spans="1:10" x14ac:dyDescent="0.25">
      <c r="A781" s="2" t="s">
        <v>77</v>
      </c>
      <c r="B781" s="2">
        <v>2016</v>
      </c>
      <c r="C781" s="2" t="s">
        <v>28</v>
      </c>
      <c r="D781" s="2" t="s">
        <v>37</v>
      </c>
      <c r="E781" s="2" t="s">
        <v>78</v>
      </c>
      <c r="F781" s="2" t="s">
        <v>83</v>
      </c>
      <c r="G781" s="2">
        <f t="shared" si="12"/>
        <v>0.52639751552795033</v>
      </c>
      <c r="H781" s="5">
        <v>4.3461538461538458</v>
      </c>
      <c r="I781" s="2">
        <v>39</v>
      </c>
      <c r="J781" s="12">
        <f>I781/Pondération!$G$45</f>
        <v>0.12111801242236025</v>
      </c>
    </row>
    <row r="782" spans="1:10" x14ac:dyDescent="0.25">
      <c r="A782" s="2" t="s">
        <v>77</v>
      </c>
      <c r="B782" s="2">
        <v>2016</v>
      </c>
      <c r="C782" s="2" t="s">
        <v>29</v>
      </c>
      <c r="D782" s="2" t="s">
        <v>37</v>
      </c>
      <c r="E782" s="2" t="s">
        <v>78</v>
      </c>
      <c r="F782" s="2" t="s">
        <v>83</v>
      </c>
      <c r="G782" s="2">
        <f t="shared" si="12"/>
        <v>0.24223602484472048</v>
      </c>
      <c r="H782" s="5">
        <v>4.333333333333333</v>
      </c>
      <c r="I782" s="2">
        <v>18</v>
      </c>
      <c r="J782" s="12">
        <f>I782/Pondération!$G$45</f>
        <v>5.5900621118012424E-2</v>
      </c>
    </row>
    <row r="783" spans="1:10" x14ac:dyDescent="0.25">
      <c r="A783" s="2" t="s">
        <v>77</v>
      </c>
      <c r="B783" s="2">
        <v>2017</v>
      </c>
      <c r="C783" s="2" t="s">
        <v>30</v>
      </c>
      <c r="D783" s="2" t="s">
        <v>37</v>
      </c>
      <c r="E783" s="2" t="s">
        <v>78</v>
      </c>
      <c r="F783" s="2" t="s">
        <v>83</v>
      </c>
      <c r="G783" s="2">
        <f t="shared" si="12"/>
        <v>0.36071428571428571</v>
      </c>
      <c r="H783" s="5">
        <v>3.8846153846153846</v>
      </c>
      <c r="I783" s="2">
        <v>13</v>
      </c>
      <c r="J783" s="12">
        <f>I783/Pondération!$F$45</f>
        <v>9.285714285714286E-2</v>
      </c>
    </row>
    <row r="784" spans="1:10" x14ac:dyDescent="0.25">
      <c r="A784" s="2" t="s">
        <v>77</v>
      </c>
      <c r="B784" s="2">
        <v>2017</v>
      </c>
      <c r="C784" s="2" t="s">
        <v>31</v>
      </c>
      <c r="D784" s="2" t="s">
        <v>37</v>
      </c>
      <c r="E784" s="2" t="s">
        <v>78</v>
      </c>
      <c r="F784" s="2" t="s">
        <v>83</v>
      </c>
      <c r="G784" s="2">
        <f t="shared" si="12"/>
        <v>0.70714285714285707</v>
      </c>
      <c r="H784" s="5">
        <v>4.3043478260869561</v>
      </c>
      <c r="I784" s="2">
        <v>23</v>
      </c>
      <c r="J784" s="12">
        <f>I784/Pondération!$F$45</f>
        <v>0.16428571428571428</v>
      </c>
    </row>
    <row r="785" spans="1:10" x14ac:dyDescent="0.25">
      <c r="A785" s="2" t="s">
        <v>77</v>
      </c>
      <c r="B785" s="2">
        <v>2017</v>
      </c>
      <c r="C785" s="2" t="s">
        <v>32</v>
      </c>
      <c r="D785" s="2" t="s">
        <v>37</v>
      </c>
      <c r="E785" s="2" t="s">
        <v>78</v>
      </c>
      <c r="F785" s="2" t="s">
        <v>83</v>
      </c>
      <c r="G785" s="2">
        <f t="shared" si="12"/>
        <v>0.6785714285714286</v>
      </c>
      <c r="H785" s="5">
        <v>4.3181818181818183</v>
      </c>
      <c r="I785" s="2">
        <v>22</v>
      </c>
      <c r="J785" s="12">
        <f>I785/Pondération!$F$45</f>
        <v>0.15714285714285714</v>
      </c>
    </row>
    <row r="786" spans="1:10" x14ac:dyDescent="0.25">
      <c r="A786" s="2" t="s">
        <v>77</v>
      </c>
      <c r="B786" s="2">
        <v>2017</v>
      </c>
      <c r="C786" s="2" t="s">
        <v>33</v>
      </c>
      <c r="D786" s="2" t="s">
        <v>37</v>
      </c>
      <c r="E786" s="2" t="s">
        <v>78</v>
      </c>
      <c r="F786" s="2" t="s">
        <v>83</v>
      </c>
      <c r="G786" s="2">
        <f t="shared" si="12"/>
        <v>0.73928571428571421</v>
      </c>
      <c r="H786" s="5">
        <v>4.1399999999999997</v>
      </c>
      <c r="I786" s="2">
        <v>25</v>
      </c>
      <c r="J786" s="12">
        <f>I786/Pondération!$F$45</f>
        <v>0.17857142857142858</v>
      </c>
    </row>
    <row r="787" spans="1:10" x14ac:dyDescent="0.25">
      <c r="A787" s="2" t="s">
        <v>77</v>
      </c>
      <c r="B787" s="2">
        <v>2017</v>
      </c>
      <c r="C787" s="2" t="s">
        <v>34</v>
      </c>
      <c r="D787" s="2" t="s">
        <v>37</v>
      </c>
      <c r="E787" s="2" t="s">
        <v>78</v>
      </c>
      <c r="F787" s="2" t="s">
        <v>83</v>
      </c>
      <c r="G787" s="2">
        <f t="shared" si="12"/>
        <v>1.3107142857142857</v>
      </c>
      <c r="H787" s="5">
        <v>4.1704545454545459</v>
      </c>
      <c r="I787" s="2">
        <v>44</v>
      </c>
      <c r="J787" s="12">
        <f>I787/Pondération!$F$45</f>
        <v>0.31428571428571428</v>
      </c>
    </row>
    <row r="788" spans="1:10" x14ac:dyDescent="0.25">
      <c r="A788" s="2" t="s">
        <v>77</v>
      </c>
      <c r="B788" s="2">
        <v>2017</v>
      </c>
      <c r="C788" s="2" t="s">
        <v>80</v>
      </c>
      <c r="D788" s="2" t="s">
        <v>37</v>
      </c>
      <c r="E788" s="2" t="s">
        <v>78</v>
      </c>
      <c r="F788" s="2" t="s">
        <v>83</v>
      </c>
      <c r="G788" s="2">
        <f t="shared" si="12"/>
        <v>0.36785714285714288</v>
      </c>
      <c r="H788" s="5">
        <v>3.9615384615384617</v>
      </c>
      <c r="I788" s="2">
        <v>13</v>
      </c>
      <c r="J788" s="12">
        <f>I788/Pondération!$F$45</f>
        <v>9.285714285714286E-2</v>
      </c>
    </row>
    <row r="789" spans="1:10" x14ac:dyDescent="0.25">
      <c r="A789" s="2" t="s">
        <v>77</v>
      </c>
      <c r="B789" s="2">
        <v>2013</v>
      </c>
      <c r="C789" s="2" t="s">
        <v>53</v>
      </c>
      <c r="D789" s="2" t="s">
        <v>37</v>
      </c>
      <c r="E789" s="2" t="s">
        <v>78</v>
      </c>
      <c r="F789" s="2" t="s">
        <v>84</v>
      </c>
      <c r="G789" s="2">
        <f t="shared" si="12"/>
        <v>2.25</v>
      </c>
      <c r="H789" s="5">
        <v>4.5</v>
      </c>
      <c r="I789" s="2">
        <v>1</v>
      </c>
      <c r="J789" s="12">
        <f>I789/Pondération!$J$46</f>
        <v>0.5</v>
      </c>
    </row>
    <row r="790" spans="1:10" x14ac:dyDescent="0.25">
      <c r="A790" s="2" t="s">
        <v>77</v>
      </c>
      <c r="B790" s="2">
        <v>2013</v>
      </c>
      <c r="C790" s="2" t="s">
        <v>56</v>
      </c>
      <c r="D790" s="2" t="s">
        <v>37</v>
      </c>
      <c r="E790" s="2" t="s">
        <v>78</v>
      </c>
      <c r="F790" s="2" t="s">
        <v>84</v>
      </c>
      <c r="G790" s="2">
        <f t="shared" si="12"/>
        <v>2</v>
      </c>
      <c r="H790" s="5">
        <v>4</v>
      </c>
      <c r="I790" s="2">
        <v>1</v>
      </c>
      <c r="J790" s="12">
        <f>I790/Pondération!$J$46</f>
        <v>0.5</v>
      </c>
    </row>
    <row r="791" spans="1:10" x14ac:dyDescent="0.25">
      <c r="A791" s="2" t="s">
        <v>77</v>
      </c>
      <c r="B791" s="2">
        <v>2014</v>
      </c>
      <c r="C791" s="2" t="s">
        <v>61</v>
      </c>
      <c r="D791" s="2" t="s">
        <v>37</v>
      </c>
      <c r="E791" s="2" t="s">
        <v>78</v>
      </c>
      <c r="F791" s="2" t="s">
        <v>84</v>
      </c>
      <c r="G791" s="2">
        <f t="shared" si="12"/>
        <v>6.7567567567567571E-2</v>
      </c>
      <c r="H791" s="5">
        <v>5</v>
      </c>
      <c r="I791" s="2">
        <v>1</v>
      </c>
      <c r="J791" s="12">
        <f>I791/Pondération!$I$46</f>
        <v>1.3513513513513514E-2</v>
      </c>
    </row>
    <row r="792" spans="1:10" x14ac:dyDescent="0.25">
      <c r="A792" s="2" t="s">
        <v>77</v>
      </c>
      <c r="B792" s="2">
        <v>2014</v>
      </c>
      <c r="C792" s="2" t="s">
        <v>64</v>
      </c>
      <c r="D792" s="2" t="s">
        <v>37</v>
      </c>
      <c r="E792" s="2" t="s">
        <v>78</v>
      </c>
      <c r="F792" s="2" t="s">
        <v>84</v>
      </c>
      <c r="G792" s="2">
        <f t="shared" si="12"/>
        <v>0.54054054054054057</v>
      </c>
      <c r="H792" s="5">
        <v>5</v>
      </c>
      <c r="I792" s="2">
        <v>8</v>
      </c>
      <c r="J792" s="12">
        <f>I792/Pondération!$I$46</f>
        <v>0.10810810810810811</v>
      </c>
    </row>
    <row r="793" spans="1:10" x14ac:dyDescent="0.25">
      <c r="A793" s="2" t="s">
        <v>77</v>
      </c>
      <c r="B793" s="2">
        <v>2014</v>
      </c>
      <c r="C793" s="2" t="s">
        <v>65</v>
      </c>
      <c r="D793" s="2" t="s">
        <v>37</v>
      </c>
      <c r="E793" s="2" t="s">
        <v>78</v>
      </c>
      <c r="F793" s="2" t="s">
        <v>84</v>
      </c>
      <c r="G793" s="2">
        <f t="shared" si="12"/>
        <v>0.3175675675675676</v>
      </c>
      <c r="H793" s="5">
        <v>4.7</v>
      </c>
      <c r="I793" s="2">
        <v>5</v>
      </c>
      <c r="J793" s="12">
        <f>I793/Pondération!$I$46</f>
        <v>6.7567567567567571E-2</v>
      </c>
    </row>
    <row r="794" spans="1:10" x14ac:dyDescent="0.25">
      <c r="A794" s="2" t="s">
        <v>77</v>
      </c>
      <c r="B794" s="2">
        <v>2014</v>
      </c>
      <c r="C794" s="2" t="s">
        <v>66</v>
      </c>
      <c r="D794" s="2" t="s">
        <v>37</v>
      </c>
      <c r="E794" s="2" t="s">
        <v>78</v>
      </c>
      <c r="F794" s="2" t="s">
        <v>84</v>
      </c>
      <c r="G794" s="2">
        <f t="shared" si="12"/>
        <v>0.25</v>
      </c>
      <c r="H794" s="5">
        <v>4.625</v>
      </c>
      <c r="I794" s="2">
        <v>4</v>
      </c>
      <c r="J794" s="12">
        <f>I794/Pondération!$I$46</f>
        <v>5.4054054054054057E-2</v>
      </c>
    </row>
    <row r="795" spans="1:10" x14ac:dyDescent="0.25">
      <c r="A795" s="2" t="s">
        <v>77</v>
      </c>
      <c r="B795" s="2">
        <v>2014</v>
      </c>
      <c r="C795" s="2" t="s">
        <v>67</v>
      </c>
      <c r="D795" s="2" t="s">
        <v>37</v>
      </c>
      <c r="E795" s="2" t="s">
        <v>78</v>
      </c>
      <c r="F795" s="2" t="s">
        <v>84</v>
      </c>
      <c r="G795" s="2">
        <f t="shared" si="12"/>
        <v>0.46621621621621628</v>
      </c>
      <c r="H795" s="5">
        <v>4.9285714285714288</v>
      </c>
      <c r="I795" s="2">
        <v>7</v>
      </c>
      <c r="J795" s="12">
        <f>I795/Pondération!$I$46</f>
        <v>9.45945945945946E-2</v>
      </c>
    </row>
    <row r="796" spans="1:10" x14ac:dyDescent="0.25">
      <c r="A796" s="2" t="s">
        <v>77</v>
      </c>
      <c r="B796" s="2">
        <v>2014</v>
      </c>
      <c r="C796" s="2" t="s">
        <v>68</v>
      </c>
      <c r="D796" s="2" t="s">
        <v>37</v>
      </c>
      <c r="E796" s="2" t="s">
        <v>78</v>
      </c>
      <c r="F796" s="2" t="s">
        <v>84</v>
      </c>
      <c r="G796" s="2">
        <f t="shared" si="12"/>
        <v>0.84459459459459463</v>
      </c>
      <c r="H796" s="5">
        <v>4.8076923076923075</v>
      </c>
      <c r="I796" s="2">
        <v>13</v>
      </c>
      <c r="J796" s="12">
        <f>I796/Pondération!$I$46</f>
        <v>0.17567567567567569</v>
      </c>
    </row>
    <row r="797" spans="1:10" x14ac:dyDescent="0.25">
      <c r="A797" s="2" t="s">
        <v>77</v>
      </c>
      <c r="B797" s="2">
        <v>2014</v>
      </c>
      <c r="C797" s="2" t="s">
        <v>69</v>
      </c>
      <c r="D797" s="2" t="s">
        <v>37</v>
      </c>
      <c r="E797" s="2" t="s">
        <v>78</v>
      </c>
      <c r="F797" s="2" t="s">
        <v>84</v>
      </c>
      <c r="G797" s="2">
        <f t="shared" si="12"/>
        <v>0.71621621621621623</v>
      </c>
      <c r="H797" s="5">
        <v>4.8181818181818183</v>
      </c>
      <c r="I797" s="2">
        <v>11</v>
      </c>
      <c r="J797" s="12">
        <f>I797/Pondération!$I$46</f>
        <v>0.14864864864864866</v>
      </c>
    </row>
    <row r="798" spans="1:10" x14ac:dyDescent="0.25">
      <c r="A798" s="2" t="s">
        <v>77</v>
      </c>
      <c r="B798" s="2">
        <v>2014</v>
      </c>
      <c r="C798" s="2" t="s">
        <v>70</v>
      </c>
      <c r="D798" s="2" t="s">
        <v>37</v>
      </c>
      <c r="E798" s="2" t="s">
        <v>78</v>
      </c>
      <c r="F798" s="2" t="s">
        <v>84</v>
      </c>
      <c r="G798" s="2">
        <f t="shared" si="12"/>
        <v>0.70945945945945943</v>
      </c>
      <c r="H798" s="5">
        <v>4.7727272727272725</v>
      </c>
      <c r="I798" s="2">
        <v>11</v>
      </c>
      <c r="J798" s="12">
        <f>I798/Pondération!$I$46</f>
        <v>0.14864864864864866</v>
      </c>
    </row>
    <row r="799" spans="1:10" x14ac:dyDescent="0.25">
      <c r="A799" s="2" t="s">
        <v>77</v>
      </c>
      <c r="B799" s="2">
        <v>2014</v>
      </c>
      <c r="C799" s="2" t="s">
        <v>71</v>
      </c>
      <c r="D799" s="2" t="s">
        <v>37</v>
      </c>
      <c r="E799" s="2" t="s">
        <v>78</v>
      </c>
      <c r="F799" s="2" t="s">
        <v>84</v>
      </c>
      <c r="G799" s="2">
        <f t="shared" si="12"/>
        <v>0.77702702702702708</v>
      </c>
      <c r="H799" s="5">
        <v>4.791666666666667</v>
      </c>
      <c r="I799" s="2">
        <v>12</v>
      </c>
      <c r="J799" s="12">
        <f>I799/Pondération!$I$46</f>
        <v>0.16216216216216217</v>
      </c>
    </row>
    <row r="800" spans="1:10" x14ac:dyDescent="0.25">
      <c r="A800" s="2" t="s">
        <v>77</v>
      </c>
      <c r="B800" s="2">
        <v>2014</v>
      </c>
      <c r="C800" s="2" t="s">
        <v>72</v>
      </c>
      <c r="D800" s="2" t="s">
        <v>37</v>
      </c>
      <c r="E800" s="2" t="s">
        <v>78</v>
      </c>
      <c r="F800" s="2" t="s">
        <v>84</v>
      </c>
      <c r="G800" s="2">
        <f t="shared" si="12"/>
        <v>0.13513513513513514</v>
      </c>
      <c r="H800" s="5">
        <v>5</v>
      </c>
      <c r="I800" s="2">
        <v>2</v>
      </c>
      <c r="J800" s="12">
        <f>I800/Pondération!$I$46</f>
        <v>2.7027027027027029E-2</v>
      </c>
    </row>
    <row r="801" spans="1:10" x14ac:dyDescent="0.25">
      <c r="A801" s="2" t="s">
        <v>77</v>
      </c>
      <c r="B801" s="2">
        <v>2015</v>
      </c>
      <c r="C801" s="2" t="s">
        <v>73</v>
      </c>
      <c r="D801" s="2" t="s">
        <v>37</v>
      </c>
      <c r="E801" s="2" t="s">
        <v>78</v>
      </c>
      <c r="F801" s="2" t="s">
        <v>84</v>
      </c>
      <c r="G801" s="2">
        <f t="shared" si="12"/>
        <v>0.23287671232876708</v>
      </c>
      <c r="H801" s="5">
        <v>4.8571428571428568</v>
      </c>
      <c r="I801" s="2">
        <v>7</v>
      </c>
      <c r="J801" s="12">
        <f>I801/Pondération!$H$46</f>
        <v>4.7945205479452052E-2</v>
      </c>
    </row>
    <row r="802" spans="1:10" x14ac:dyDescent="0.25">
      <c r="A802" s="2" t="s">
        <v>77</v>
      </c>
      <c r="B802" s="2">
        <v>2015</v>
      </c>
      <c r="C802" s="2" t="s">
        <v>74</v>
      </c>
      <c r="D802" s="2" t="s">
        <v>37</v>
      </c>
      <c r="E802" s="2" t="s">
        <v>78</v>
      </c>
      <c r="F802" s="2" t="s">
        <v>84</v>
      </c>
      <c r="G802" s="2">
        <f t="shared" si="12"/>
        <v>0.1541095890410959</v>
      </c>
      <c r="H802" s="5">
        <v>4.5</v>
      </c>
      <c r="I802" s="2">
        <v>5</v>
      </c>
      <c r="J802" s="12">
        <f>I802/Pondération!$H$46</f>
        <v>3.4246575342465752E-2</v>
      </c>
    </row>
    <row r="803" spans="1:10" x14ac:dyDescent="0.25">
      <c r="A803" s="2" t="s">
        <v>77</v>
      </c>
      <c r="B803" s="2">
        <v>2015</v>
      </c>
      <c r="C803" s="2" t="s">
        <v>75</v>
      </c>
      <c r="D803" s="2" t="s">
        <v>37</v>
      </c>
      <c r="E803" s="2" t="s">
        <v>78</v>
      </c>
      <c r="F803" s="2" t="s">
        <v>84</v>
      </c>
      <c r="G803" s="2">
        <f t="shared" si="12"/>
        <v>0.18835616438356162</v>
      </c>
      <c r="H803" s="5">
        <v>4.583333333333333</v>
      </c>
      <c r="I803" s="2">
        <v>6</v>
      </c>
      <c r="J803" s="12">
        <f>I803/Pondération!$H$46</f>
        <v>4.1095890410958902E-2</v>
      </c>
    </row>
    <row r="804" spans="1:10" x14ac:dyDescent="0.25">
      <c r="A804" s="2" t="s">
        <v>77</v>
      </c>
      <c r="B804" s="2">
        <v>2015</v>
      </c>
      <c r="C804" s="2" t="s">
        <v>76</v>
      </c>
      <c r="D804" s="2" t="s">
        <v>37</v>
      </c>
      <c r="E804" s="2" t="s">
        <v>78</v>
      </c>
      <c r="F804" s="2" t="s">
        <v>84</v>
      </c>
      <c r="G804" s="2">
        <f t="shared" si="12"/>
        <v>0.23287671232876708</v>
      </c>
      <c r="H804" s="5">
        <v>4.8571428571428568</v>
      </c>
      <c r="I804" s="2">
        <v>7</v>
      </c>
      <c r="J804" s="12">
        <f>I804/Pondération!$H$46</f>
        <v>4.7945205479452052E-2</v>
      </c>
    </row>
    <row r="805" spans="1:10" x14ac:dyDescent="0.25">
      <c r="A805" s="2" t="s">
        <v>77</v>
      </c>
      <c r="B805" s="2">
        <v>2015</v>
      </c>
      <c r="C805" s="2" t="s">
        <v>7</v>
      </c>
      <c r="D805" s="2" t="s">
        <v>37</v>
      </c>
      <c r="E805" s="2" t="s">
        <v>78</v>
      </c>
      <c r="F805" s="2" t="s">
        <v>84</v>
      </c>
      <c r="G805" s="2">
        <f t="shared" si="12"/>
        <v>0.35273972602739723</v>
      </c>
      <c r="H805" s="5">
        <v>4.6818181818181817</v>
      </c>
      <c r="I805" s="2">
        <v>11</v>
      </c>
      <c r="J805" s="12">
        <f>I805/Pondération!$H$46</f>
        <v>7.5342465753424653E-2</v>
      </c>
    </row>
    <row r="806" spans="1:10" x14ac:dyDescent="0.25">
      <c r="A806" s="2" t="s">
        <v>77</v>
      </c>
      <c r="B806" s="2">
        <v>2015</v>
      </c>
      <c r="C806" s="2" t="s">
        <v>11</v>
      </c>
      <c r="D806" s="2" t="s">
        <v>37</v>
      </c>
      <c r="E806" s="2" t="s">
        <v>78</v>
      </c>
      <c r="F806" s="2" t="s">
        <v>84</v>
      </c>
      <c r="G806" s="2">
        <f t="shared" si="12"/>
        <v>0.64726027397260266</v>
      </c>
      <c r="H806" s="5">
        <v>4.7249999999999996</v>
      </c>
      <c r="I806" s="2">
        <v>20</v>
      </c>
      <c r="J806" s="12">
        <f>I806/Pondération!$H$46</f>
        <v>0.13698630136986301</v>
      </c>
    </row>
    <row r="807" spans="1:10" x14ac:dyDescent="0.25">
      <c r="A807" s="2" t="s">
        <v>77</v>
      </c>
      <c r="B807" s="2">
        <v>2015</v>
      </c>
      <c r="C807" s="2" t="s">
        <v>12</v>
      </c>
      <c r="D807" s="2" t="s">
        <v>37</v>
      </c>
      <c r="E807" s="2" t="s">
        <v>78</v>
      </c>
      <c r="F807" s="2" t="s">
        <v>84</v>
      </c>
      <c r="G807" s="2">
        <f t="shared" si="12"/>
        <v>0.57876712328767121</v>
      </c>
      <c r="H807" s="5">
        <v>4.6944444444444446</v>
      </c>
      <c r="I807" s="2">
        <v>18</v>
      </c>
      <c r="J807" s="12">
        <f>I807/Pondération!$H$46</f>
        <v>0.12328767123287671</v>
      </c>
    </row>
    <row r="808" spans="1:10" x14ac:dyDescent="0.25">
      <c r="A808" s="2" t="s">
        <v>77</v>
      </c>
      <c r="B808" s="2">
        <v>2015</v>
      </c>
      <c r="C808" s="2" t="s">
        <v>13</v>
      </c>
      <c r="D808" s="2" t="s">
        <v>37</v>
      </c>
      <c r="E808" s="2" t="s">
        <v>78</v>
      </c>
      <c r="F808" s="2" t="s">
        <v>84</v>
      </c>
      <c r="G808" s="2">
        <f t="shared" si="12"/>
        <v>0.40753424657534243</v>
      </c>
      <c r="H808" s="5">
        <v>4.5769230769230766</v>
      </c>
      <c r="I808" s="2">
        <v>13</v>
      </c>
      <c r="J808" s="12">
        <f>I808/Pondération!$H$46</f>
        <v>8.9041095890410954E-2</v>
      </c>
    </row>
    <row r="809" spans="1:10" x14ac:dyDescent="0.25">
      <c r="A809" s="2" t="s">
        <v>77</v>
      </c>
      <c r="B809" s="2">
        <v>2015</v>
      </c>
      <c r="C809" s="2" t="s">
        <v>14</v>
      </c>
      <c r="D809" s="2" t="s">
        <v>37</v>
      </c>
      <c r="E809" s="2" t="s">
        <v>78</v>
      </c>
      <c r="F809" s="2" t="s">
        <v>84</v>
      </c>
      <c r="G809" s="2">
        <f t="shared" si="12"/>
        <v>0.63356164383561642</v>
      </c>
      <c r="H809" s="5">
        <v>4.625</v>
      </c>
      <c r="I809" s="2">
        <v>20</v>
      </c>
      <c r="J809" s="12">
        <f>I809/Pondération!$H$46</f>
        <v>0.13698630136986301</v>
      </c>
    </row>
    <row r="810" spans="1:10" x14ac:dyDescent="0.25">
      <c r="A810" s="2" t="s">
        <v>77</v>
      </c>
      <c r="B810" s="2">
        <v>2015</v>
      </c>
      <c r="C810" s="2" t="s">
        <v>15</v>
      </c>
      <c r="D810" s="2" t="s">
        <v>37</v>
      </c>
      <c r="E810" s="2" t="s">
        <v>78</v>
      </c>
      <c r="F810" s="2" t="s">
        <v>84</v>
      </c>
      <c r="G810" s="2">
        <f t="shared" si="12"/>
        <v>0.4452054794520548</v>
      </c>
      <c r="H810" s="5">
        <v>4.6428571428571432</v>
      </c>
      <c r="I810" s="2">
        <v>14</v>
      </c>
      <c r="J810" s="12">
        <f>I810/Pondération!$H$46</f>
        <v>9.5890410958904104E-2</v>
      </c>
    </row>
    <row r="811" spans="1:10" x14ac:dyDescent="0.25">
      <c r="A811" s="2" t="s">
        <v>77</v>
      </c>
      <c r="B811" s="2">
        <v>2015</v>
      </c>
      <c r="C811" s="2" t="s">
        <v>16</v>
      </c>
      <c r="D811" s="2" t="s">
        <v>37</v>
      </c>
      <c r="E811" s="2" t="s">
        <v>78</v>
      </c>
      <c r="F811" s="2" t="s">
        <v>84</v>
      </c>
      <c r="G811" s="2">
        <f t="shared" si="12"/>
        <v>0.36643835616438353</v>
      </c>
      <c r="H811" s="5">
        <v>4.458333333333333</v>
      </c>
      <c r="I811" s="2">
        <v>12</v>
      </c>
      <c r="J811" s="12">
        <f>I811/Pondération!$H$46</f>
        <v>8.2191780821917804E-2</v>
      </c>
    </row>
    <row r="812" spans="1:10" x14ac:dyDescent="0.25">
      <c r="A812" s="2" t="s">
        <v>77</v>
      </c>
      <c r="B812" s="2">
        <v>2015</v>
      </c>
      <c r="C812" s="2" t="s">
        <v>17</v>
      </c>
      <c r="D812" s="2" t="s">
        <v>37</v>
      </c>
      <c r="E812" s="2" t="s">
        <v>78</v>
      </c>
      <c r="F812" s="2" t="s">
        <v>84</v>
      </c>
      <c r="G812" s="2">
        <f t="shared" si="12"/>
        <v>0.38356164383561642</v>
      </c>
      <c r="H812" s="5">
        <v>4.3076923076923075</v>
      </c>
      <c r="I812" s="2">
        <v>13</v>
      </c>
      <c r="J812" s="12">
        <f>I812/Pondération!$H$46</f>
        <v>8.9041095890410954E-2</v>
      </c>
    </row>
    <row r="813" spans="1:10" x14ac:dyDescent="0.25">
      <c r="A813" s="2" t="s">
        <v>77</v>
      </c>
      <c r="B813" s="2">
        <v>2016</v>
      </c>
      <c r="C813" s="2" t="s">
        <v>18</v>
      </c>
      <c r="D813" s="2" t="s">
        <v>37</v>
      </c>
      <c r="E813" s="2" t="s">
        <v>78</v>
      </c>
      <c r="F813" s="2" t="s">
        <v>84</v>
      </c>
      <c r="G813" s="2">
        <f t="shared" si="12"/>
        <v>0.21090047393364927</v>
      </c>
      <c r="H813" s="5">
        <v>4.45</v>
      </c>
      <c r="I813" s="2">
        <v>10</v>
      </c>
      <c r="J813" s="12">
        <f>I813/Pondération!$G$46</f>
        <v>4.7393364928909949E-2</v>
      </c>
    </row>
    <row r="814" spans="1:10" x14ac:dyDescent="0.25">
      <c r="A814" s="2" t="s">
        <v>77</v>
      </c>
      <c r="B814" s="2">
        <v>2016</v>
      </c>
      <c r="C814" s="2" t="s">
        <v>19</v>
      </c>
      <c r="D814" s="2" t="s">
        <v>37</v>
      </c>
      <c r="E814" s="2" t="s">
        <v>78</v>
      </c>
      <c r="F814" s="2" t="s">
        <v>84</v>
      </c>
      <c r="G814" s="2">
        <f t="shared" si="12"/>
        <v>0.34834123222748814</v>
      </c>
      <c r="H814" s="5">
        <v>4.3235294117647056</v>
      </c>
      <c r="I814" s="2">
        <v>17</v>
      </c>
      <c r="J814" s="12">
        <f>I814/Pondération!$G$46</f>
        <v>8.0568720379146919E-2</v>
      </c>
    </row>
    <row r="815" spans="1:10" x14ac:dyDescent="0.25">
      <c r="A815" s="2" t="s">
        <v>77</v>
      </c>
      <c r="B815" s="2">
        <v>2016</v>
      </c>
      <c r="C815" s="2" t="s">
        <v>20</v>
      </c>
      <c r="D815" s="2" t="s">
        <v>37</v>
      </c>
      <c r="E815" s="2" t="s">
        <v>78</v>
      </c>
      <c r="F815" s="2" t="s">
        <v>84</v>
      </c>
      <c r="G815" s="2">
        <f t="shared" si="12"/>
        <v>0.23459715639810425</v>
      </c>
      <c r="H815" s="5">
        <v>4.5</v>
      </c>
      <c r="I815" s="2">
        <v>11</v>
      </c>
      <c r="J815" s="12">
        <f>I815/Pondération!$G$46</f>
        <v>5.2132701421800945E-2</v>
      </c>
    </row>
    <row r="816" spans="1:10" x14ac:dyDescent="0.25">
      <c r="A816" s="2" t="s">
        <v>77</v>
      </c>
      <c r="B816" s="2">
        <v>2016</v>
      </c>
      <c r="C816" s="2" t="s">
        <v>21</v>
      </c>
      <c r="D816" s="2" t="s">
        <v>37</v>
      </c>
      <c r="E816" s="2" t="s">
        <v>78</v>
      </c>
      <c r="F816" s="2" t="s">
        <v>84</v>
      </c>
      <c r="G816" s="2">
        <f t="shared" si="12"/>
        <v>0.43364928909952605</v>
      </c>
      <c r="H816" s="5">
        <v>4.3571428571428568</v>
      </c>
      <c r="I816" s="2">
        <v>21</v>
      </c>
      <c r="J816" s="12">
        <f>I816/Pondération!$G$46</f>
        <v>9.9526066350710901E-2</v>
      </c>
    </row>
    <row r="817" spans="1:10" x14ac:dyDescent="0.25">
      <c r="A817" s="2" t="s">
        <v>77</v>
      </c>
      <c r="B817" s="2">
        <v>2016</v>
      </c>
      <c r="C817" s="2" t="s">
        <v>22</v>
      </c>
      <c r="D817" s="2" t="s">
        <v>37</v>
      </c>
      <c r="E817" s="2" t="s">
        <v>78</v>
      </c>
      <c r="F817" s="2" t="s">
        <v>84</v>
      </c>
      <c r="G817" s="2">
        <f t="shared" si="12"/>
        <v>0.32227488151658767</v>
      </c>
      <c r="H817" s="5">
        <v>4.5333333333333332</v>
      </c>
      <c r="I817" s="2">
        <v>15</v>
      </c>
      <c r="J817" s="12">
        <f>I817/Pondération!$G$46</f>
        <v>7.1090047393364927E-2</v>
      </c>
    </row>
    <row r="818" spans="1:10" x14ac:dyDescent="0.25">
      <c r="A818" s="2" t="s">
        <v>77</v>
      </c>
      <c r="B818" s="2">
        <v>2016</v>
      </c>
      <c r="C818" s="2" t="s">
        <v>23</v>
      </c>
      <c r="D818" s="2" t="s">
        <v>37</v>
      </c>
      <c r="E818" s="2" t="s">
        <v>78</v>
      </c>
      <c r="F818" s="2" t="s">
        <v>84</v>
      </c>
      <c r="G818" s="2">
        <f t="shared" si="12"/>
        <v>0.38862559241706163</v>
      </c>
      <c r="H818" s="5">
        <v>4.5555555555555554</v>
      </c>
      <c r="I818" s="2">
        <v>18</v>
      </c>
      <c r="J818" s="12">
        <f>I818/Pondération!$G$46</f>
        <v>8.5308056872037921E-2</v>
      </c>
    </row>
    <row r="819" spans="1:10" x14ac:dyDescent="0.25">
      <c r="A819" s="2" t="s">
        <v>77</v>
      </c>
      <c r="B819" s="2">
        <v>2016</v>
      </c>
      <c r="C819" s="2" t="s">
        <v>24</v>
      </c>
      <c r="D819" s="2" t="s">
        <v>37</v>
      </c>
      <c r="E819" s="2" t="s">
        <v>78</v>
      </c>
      <c r="F819" s="2" t="s">
        <v>84</v>
      </c>
      <c r="G819" s="2">
        <f t="shared" si="12"/>
        <v>0.53080568720379151</v>
      </c>
      <c r="H819" s="5">
        <v>4.4800000000000004</v>
      </c>
      <c r="I819" s="2">
        <v>25</v>
      </c>
      <c r="J819" s="12">
        <f>I819/Pondération!$G$46</f>
        <v>0.11848341232227488</v>
      </c>
    </row>
    <row r="820" spans="1:10" x14ac:dyDescent="0.25">
      <c r="A820" s="2" t="s">
        <v>77</v>
      </c>
      <c r="B820" s="2">
        <v>2016</v>
      </c>
      <c r="C820" s="2" t="s">
        <v>25</v>
      </c>
      <c r="D820" s="2" t="s">
        <v>37</v>
      </c>
      <c r="E820" s="2" t="s">
        <v>78</v>
      </c>
      <c r="F820" s="2" t="s">
        <v>84</v>
      </c>
      <c r="G820" s="2">
        <f t="shared" si="12"/>
        <v>0.49289099526066349</v>
      </c>
      <c r="H820" s="5">
        <v>4.5217391304347823</v>
      </c>
      <c r="I820" s="2">
        <v>23</v>
      </c>
      <c r="J820" s="12">
        <f>I820/Pondération!$G$46</f>
        <v>0.10900473933649289</v>
      </c>
    </row>
    <row r="821" spans="1:10" x14ac:dyDescent="0.25">
      <c r="A821" s="2" t="s">
        <v>77</v>
      </c>
      <c r="B821" s="2">
        <v>2016</v>
      </c>
      <c r="C821" s="2" t="s">
        <v>26</v>
      </c>
      <c r="D821" s="2" t="s">
        <v>37</v>
      </c>
      <c r="E821" s="2" t="s">
        <v>78</v>
      </c>
      <c r="F821" s="2" t="s">
        <v>84</v>
      </c>
      <c r="G821" s="2">
        <f t="shared" si="12"/>
        <v>0.37440758293838866</v>
      </c>
      <c r="H821" s="5">
        <v>4.6470588235294121</v>
      </c>
      <c r="I821" s="2">
        <v>17</v>
      </c>
      <c r="J821" s="12">
        <f>I821/Pondération!$G$46</f>
        <v>8.0568720379146919E-2</v>
      </c>
    </row>
    <row r="822" spans="1:10" x14ac:dyDescent="0.25">
      <c r="A822" s="2" t="s">
        <v>77</v>
      </c>
      <c r="B822" s="2">
        <v>2016</v>
      </c>
      <c r="C822" s="2" t="s">
        <v>27</v>
      </c>
      <c r="D822" s="2" t="s">
        <v>37</v>
      </c>
      <c r="E822" s="2" t="s">
        <v>78</v>
      </c>
      <c r="F822" s="2" t="s">
        <v>84</v>
      </c>
      <c r="G822" s="2">
        <f t="shared" si="12"/>
        <v>0.54265402843601895</v>
      </c>
      <c r="H822" s="5">
        <v>4.4038461538461542</v>
      </c>
      <c r="I822" s="2">
        <v>26</v>
      </c>
      <c r="J822" s="12">
        <f>I822/Pondération!$G$46</f>
        <v>0.12322274881516587</v>
      </c>
    </row>
    <row r="823" spans="1:10" x14ac:dyDescent="0.25">
      <c r="A823" s="2" t="s">
        <v>77</v>
      </c>
      <c r="B823" s="2">
        <v>2016</v>
      </c>
      <c r="C823" s="2" t="s">
        <v>28</v>
      </c>
      <c r="D823" s="2" t="s">
        <v>37</v>
      </c>
      <c r="E823" s="2" t="s">
        <v>78</v>
      </c>
      <c r="F823" s="2" t="s">
        <v>84</v>
      </c>
      <c r="G823" s="2">
        <f t="shared" si="12"/>
        <v>0.24881516587677724</v>
      </c>
      <c r="H823" s="5">
        <v>4.375</v>
      </c>
      <c r="I823" s="2">
        <v>12</v>
      </c>
      <c r="J823" s="12">
        <f>I823/Pondération!$G$46</f>
        <v>5.6872037914691941E-2</v>
      </c>
    </row>
    <row r="824" spans="1:10" x14ac:dyDescent="0.25">
      <c r="A824" s="2" t="s">
        <v>77</v>
      </c>
      <c r="B824" s="2">
        <v>2016</v>
      </c>
      <c r="C824" s="2" t="s">
        <v>29</v>
      </c>
      <c r="D824" s="2" t="s">
        <v>37</v>
      </c>
      <c r="E824" s="2" t="s">
        <v>78</v>
      </c>
      <c r="F824" s="2" t="s">
        <v>84</v>
      </c>
      <c r="G824" s="2">
        <f t="shared" si="12"/>
        <v>0.36492890995260668</v>
      </c>
      <c r="H824" s="5">
        <v>4.8125</v>
      </c>
      <c r="I824" s="2">
        <v>16</v>
      </c>
      <c r="J824" s="12">
        <f>I824/Pondération!$G$46</f>
        <v>7.582938388625593E-2</v>
      </c>
    </row>
    <row r="825" spans="1:10" x14ac:dyDescent="0.25">
      <c r="A825" s="2" t="s">
        <v>77</v>
      </c>
      <c r="B825" s="2">
        <v>2017</v>
      </c>
      <c r="C825" s="2" t="s">
        <v>30</v>
      </c>
      <c r="D825" s="2" t="s">
        <v>37</v>
      </c>
      <c r="E825" s="2" t="s">
        <v>78</v>
      </c>
      <c r="F825" s="2" t="s">
        <v>84</v>
      </c>
      <c r="G825" s="2">
        <f t="shared" si="12"/>
        <v>1.119205298013245</v>
      </c>
      <c r="H825" s="5">
        <v>4.6944444444444446</v>
      </c>
      <c r="I825" s="2">
        <v>36</v>
      </c>
      <c r="J825" s="12">
        <f>I825/Pondération!$F$46</f>
        <v>0.23841059602649006</v>
      </c>
    </row>
    <row r="826" spans="1:10" x14ac:dyDescent="0.25">
      <c r="A826" s="2" t="s">
        <v>77</v>
      </c>
      <c r="B826" s="2">
        <v>2017</v>
      </c>
      <c r="C826" s="2" t="s">
        <v>31</v>
      </c>
      <c r="D826" s="2" t="s">
        <v>37</v>
      </c>
      <c r="E826" s="2" t="s">
        <v>78</v>
      </c>
      <c r="F826" s="2" t="s">
        <v>84</v>
      </c>
      <c r="G826" s="2">
        <f t="shared" si="12"/>
        <v>0.76821192052980136</v>
      </c>
      <c r="H826" s="5">
        <v>4.6399999999999997</v>
      </c>
      <c r="I826" s="2">
        <v>25</v>
      </c>
      <c r="J826" s="12">
        <f>I826/Pondération!$F$46</f>
        <v>0.16556291390728478</v>
      </c>
    </row>
    <row r="827" spans="1:10" x14ac:dyDescent="0.25">
      <c r="A827" s="2" t="s">
        <v>77</v>
      </c>
      <c r="B827" s="2">
        <v>2017</v>
      </c>
      <c r="C827" s="2" t="s">
        <v>32</v>
      </c>
      <c r="D827" s="2" t="s">
        <v>37</v>
      </c>
      <c r="E827" s="2" t="s">
        <v>78</v>
      </c>
      <c r="F827" s="2" t="s">
        <v>84</v>
      </c>
      <c r="G827" s="2">
        <f t="shared" si="12"/>
        <v>0.57615894039735094</v>
      </c>
      <c r="H827" s="5">
        <v>4.5789473684210522</v>
      </c>
      <c r="I827" s="2">
        <v>19</v>
      </c>
      <c r="J827" s="12">
        <f>I827/Pondération!$F$46</f>
        <v>0.12582781456953643</v>
      </c>
    </row>
    <row r="828" spans="1:10" x14ac:dyDescent="0.25">
      <c r="A828" s="2" t="s">
        <v>77</v>
      </c>
      <c r="B828" s="2">
        <v>2017</v>
      </c>
      <c r="C828" s="2" t="s">
        <v>33</v>
      </c>
      <c r="D828" s="2" t="s">
        <v>37</v>
      </c>
      <c r="E828" s="2" t="s">
        <v>78</v>
      </c>
      <c r="F828" s="2" t="s">
        <v>84</v>
      </c>
      <c r="G828" s="2">
        <f t="shared" si="12"/>
        <v>0.72185430463576161</v>
      </c>
      <c r="H828" s="5">
        <v>4.541666666666667</v>
      </c>
      <c r="I828" s="2">
        <v>24</v>
      </c>
      <c r="J828" s="12">
        <f>I828/Pondération!$F$46</f>
        <v>0.15894039735099338</v>
      </c>
    </row>
    <row r="829" spans="1:10" x14ac:dyDescent="0.25">
      <c r="A829" s="2" t="s">
        <v>77</v>
      </c>
      <c r="B829" s="2">
        <v>2017</v>
      </c>
      <c r="C829" s="2" t="s">
        <v>34</v>
      </c>
      <c r="D829" s="2" t="s">
        <v>37</v>
      </c>
      <c r="E829" s="2" t="s">
        <v>78</v>
      </c>
      <c r="F829" s="2" t="s">
        <v>84</v>
      </c>
      <c r="G829" s="2">
        <f t="shared" si="12"/>
        <v>0.78145695364238399</v>
      </c>
      <c r="H829" s="5">
        <v>4.5384615384615383</v>
      </c>
      <c r="I829" s="2">
        <v>26</v>
      </c>
      <c r="J829" s="12">
        <f>I829/Pondération!$F$46</f>
        <v>0.17218543046357615</v>
      </c>
    </row>
    <row r="830" spans="1:10" x14ac:dyDescent="0.25">
      <c r="A830" s="2" t="s">
        <v>77</v>
      </c>
      <c r="B830" s="2">
        <v>2017</v>
      </c>
      <c r="C830" s="2" t="s">
        <v>80</v>
      </c>
      <c r="D830" s="2" t="s">
        <v>37</v>
      </c>
      <c r="E830" s="2" t="s">
        <v>78</v>
      </c>
      <c r="F830" s="2" t="s">
        <v>84</v>
      </c>
      <c r="G830" s="2">
        <f t="shared" si="12"/>
        <v>0.57284768211920523</v>
      </c>
      <c r="H830" s="5">
        <v>4.1190476190476186</v>
      </c>
      <c r="I830" s="2">
        <v>21</v>
      </c>
      <c r="J830" s="12">
        <f>I830/Pondération!$F$46</f>
        <v>0.13907284768211919</v>
      </c>
    </row>
    <row r="831" spans="1:10" x14ac:dyDescent="0.25">
      <c r="A831" s="2" t="s">
        <v>77</v>
      </c>
      <c r="B831" s="2">
        <v>2013</v>
      </c>
      <c r="C831" s="2" t="s">
        <v>49</v>
      </c>
      <c r="D831" s="2" t="s">
        <v>38</v>
      </c>
      <c r="E831" s="2" t="s">
        <v>78</v>
      </c>
      <c r="F831" s="2" t="s">
        <v>79</v>
      </c>
      <c r="G831" s="2">
        <f t="shared" si="12"/>
        <v>1.4307228915662652E-2</v>
      </c>
      <c r="H831" s="5">
        <v>4.75</v>
      </c>
      <c r="I831" s="2">
        <v>2</v>
      </c>
      <c r="J831" s="12">
        <f>I831/Pondération!$J$56</f>
        <v>3.0120481927710845E-3</v>
      </c>
    </row>
    <row r="832" spans="1:10" x14ac:dyDescent="0.25">
      <c r="A832" s="2" t="s">
        <v>77</v>
      </c>
      <c r="B832" s="2">
        <v>2013</v>
      </c>
      <c r="C832" s="2" t="s">
        <v>50</v>
      </c>
      <c r="D832" s="2" t="s">
        <v>38</v>
      </c>
      <c r="E832" s="2" t="s">
        <v>78</v>
      </c>
      <c r="F832" s="2" t="s">
        <v>79</v>
      </c>
      <c r="G832" s="2">
        <f t="shared" si="12"/>
        <v>5.0451807228915659E-2</v>
      </c>
      <c r="H832" s="5">
        <v>4.7857142857142856</v>
      </c>
      <c r="I832" s="2">
        <v>7</v>
      </c>
      <c r="J832" s="12">
        <f>I832/Pondération!$J$56</f>
        <v>1.0542168674698794E-2</v>
      </c>
    </row>
    <row r="833" spans="1:10" x14ac:dyDescent="0.25">
      <c r="A833" s="2" t="s">
        <v>77</v>
      </c>
      <c r="B833" s="2">
        <v>2013</v>
      </c>
      <c r="C833" s="2" t="s">
        <v>51</v>
      </c>
      <c r="D833" s="2" t="s">
        <v>38</v>
      </c>
      <c r="E833" s="2" t="s">
        <v>78</v>
      </c>
      <c r="F833" s="2" t="s">
        <v>79</v>
      </c>
      <c r="G833" s="2">
        <f t="shared" si="12"/>
        <v>4.8945783132530118E-2</v>
      </c>
      <c r="H833" s="5">
        <v>4.6428571428571432</v>
      </c>
      <c r="I833" s="2">
        <v>7</v>
      </c>
      <c r="J833" s="12">
        <f>I833/Pondération!$J$56</f>
        <v>1.0542168674698794E-2</v>
      </c>
    </row>
    <row r="834" spans="1:10" x14ac:dyDescent="0.25">
      <c r="A834" s="2" t="s">
        <v>77</v>
      </c>
      <c r="B834" s="2">
        <v>2013</v>
      </c>
      <c r="C834" s="2" t="s">
        <v>52</v>
      </c>
      <c r="D834" s="2" t="s">
        <v>38</v>
      </c>
      <c r="E834" s="2" t="s">
        <v>78</v>
      </c>
      <c r="F834" s="2" t="s">
        <v>79</v>
      </c>
      <c r="G834" s="2">
        <f t="shared" ref="G834:G897" si="13">H834*J834</f>
        <v>0.13930722891566263</v>
      </c>
      <c r="H834" s="5">
        <v>4.8684210526315788</v>
      </c>
      <c r="I834" s="2">
        <v>19</v>
      </c>
      <c r="J834" s="12">
        <f>I834/Pondération!$J$56</f>
        <v>2.86144578313253E-2</v>
      </c>
    </row>
    <row r="835" spans="1:10" x14ac:dyDescent="0.25">
      <c r="A835" s="2" t="s">
        <v>77</v>
      </c>
      <c r="B835" s="2">
        <v>2013</v>
      </c>
      <c r="C835" s="2" t="s">
        <v>53</v>
      </c>
      <c r="D835" s="2" t="s">
        <v>38</v>
      </c>
      <c r="E835" s="2" t="s">
        <v>78</v>
      </c>
      <c r="F835" s="2" t="s">
        <v>79</v>
      </c>
      <c r="G835" s="2">
        <f t="shared" si="13"/>
        <v>0.41566265060240959</v>
      </c>
      <c r="H835" s="5">
        <v>4.5999999999999996</v>
      </c>
      <c r="I835" s="2">
        <v>60</v>
      </c>
      <c r="J835" s="12">
        <f>I835/Pondération!$J$56</f>
        <v>9.036144578313253E-2</v>
      </c>
    </row>
    <row r="836" spans="1:10" x14ac:dyDescent="0.25">
      <c r="A836" s="2" t="s">
        <v>77</v>
      </c>
      <c r="B836" s="2">
        <v>2013</v>
      </c>
      <c r="C836" s="2" t="s">
        <v>54</v>
      </c>
      <c r="D836" s="2" t="s">
        <v>38</v>
      </c>
      <c r="E836" s="2" t="s">
        <v>78</v>
      </c>
      <c r="F836" s="2" t="s">
        <v>79</v>
      </c>
      <c r="G836" s="2">
        <f t="shared" si="13"/>
        <v>0.57379518072289148</v>
      </c>
      <c r="H836" s="5">
        <v>4.7037037037037033</v>
      </c>
      <c r="I836" s="2">
        <v>81</v>
      </c>
      <c r="J836" s="12">
        <f>I836/Pondération!$J$56</f>
        <v>0.12198795180722892</v>
      </c>
    </row>
    <row r="837" spans="1:10" x14ac:dyDescent="0.25">
      <c r="A837" s="2" t="s">
        <v>77</v>
      </c>
      <c r="B837" s="2">
        <v>2013</v>
      </c>
      <c r="C837" s="2" t="s">
        <v>55</v>
      </c>
      <c r="D837" s="2" t="s">
        <v>38</v>
      </c>
      <c r="E837" s="2" t="s">
        <v>78</v>
      </c>
      <c r="F837" s="2" t="s">
        <v>79</v>
      </c>
      <c r="G837" s="2">
        <f t="shared" si="13"/>
        <v>0.70557228915662651</v>
      </c>
      <c r="H837" s="5">
        <v>4.6386138613861387</v>
      </c>
      <c r="I837" s="2">
        <v>101</v>
      </c>
      <c r="J837" s="12">
        <f>I837/Pondération!$J$56</f>
        <v>0.15210843373493976</v>
      </c>
    </row>
    <row r="838" spans="1:10" x14ac:dyDescent="0.25">
      <c r="A838" s="2" t="s">
        <v>77</v>
      </c>
      <c r="B838" s="2">
        <v>2013</v>
      </c>
      <c r="C838" s="2" t="s">
        <v>56</v>
      </c>
      <c r="D838" s="2" t="s">
        <v>38</v>
      </c>
      <c r="E838" s="2" t="s">
        <v>78</v>
      </c>
      <c r="F838" s="2" t="s">
        <v>79</v>
      </c>
      <c r="G838" s="2">
        <f t="shared" si="13"/>
        <v>1.1144578313253013</v>
      </c>
      <c r="H838" s="5">
        <v>4.5962732919254661</v>
      </c>
      <c r="I838" s="2">
        <v>161</v>
      </c>
      <c r="J838" s="12">
        <f>I838/Pondération!$J$56</f>
        <v>0.24246987951807228</v>
      </c>
    </row>
    <row r="839" spans="1:10" x14ac:dyDescent="0.25">
      <c r="A839" s="2" t="s">
        <v>77</v>
      </c>
      <c r="B839" s="2">
        <v>2013</v>
      </c>
      <c r="C839" s="2" t="s">
        <v>57</v>
      </c>
      <c r="D839" s="2" t="s">
        <v>38</v>
      </c>
      <c r="E839" s="2" t="s">
        <v>78</v>
      </c>
      <c r="F839" s="2" t="s">
        <v>79</v>
      </c>
      <c r="G839" s="2">
        <f t="shared" si="13"/>
        <v>0.88478915662650603</v>
      </c>
      <c r="H839" s="5">
        <v>4.58984375</v>
      </c>
      <c r="I839" s="2">
        <v>128</v>
      </c>
      <c r="J839" s="12">
        <f>I839/Pondération!$J$56</f>
        <v>0.19277108433734941</v>
      </c>
    </row>
    <row r="840" spans="1:10" x14ac:dyDescent="0.25">
      <c r="A840" s="2" t="s">
        <v>77</v>
      </c>
      <c r="B840" s="2">
        <v>2013</v>
      </c>
      <c r="C840" s="2" t="s">
        <v>58</v>
      </c>
      <c r="D840" s="2" t="s">
        <v>38</v>
      </c>
      <c r="E840" s="2" t="s">
        <v>78</v>
      </c>
      <c r="F840" s="2" t="s">
        <v>79</v>
      </c>
      <c r="G840" s="2">
        <f t="shared" si="13"/>
        <v>0.43448795180722888</v>
      </c>
      <c r="H840" s="5">
        <v>4.5793650793650791</v>
      </c>
      <c r="I840" s="2">
        <v>63</v>
      </c>
      <c r="J840" s="12">
        <f>I840/Pondération!$J$56</f>
        <v>9.4879518072289157E-2</v>
      </c>
    </row>
    <row r="841" spans="1:10" x14ac:dyDescent="0.25">
      <c r="A841" s="2" t="s">
        <v>77</v>
      </c>
      <c r="B841" s="2">
        <v>2013</v>
      </c>
      <c r="C841" s="2" t="s">
        <v>59</v>
      </c>
      <c r="D841" s="2" t="s">
        <v>38</v>
      </c>
      <c r="E841" s="2" t="s">
        <v>78</v>
      </c>
      <c r="F841" s="2" t="s">
        <v>79</v>
      </c>
      <c r="G841" s="2">
        <f t="shared" si="13"/>
        <v>0.11822289156626505</v>
      </c>
      <c r="H841" s="5">
        <v>4.617647058823529</v>
      </c>
      <c r="I841" s="2">
        <v>17</v>
      </c>
      <c r="J841" s="12">
        <f>I841/Pondération!$J$56</f>
        <v>2.5602409638554216E-2</v>
      </c>
    </row>
    <row r="842" spans="1:10" x14ac:dyDescent="0.25">
      <c r="A842" s="2" t="s">
        <v>77</v>
      </c>
      <c r="B842" s="2">
        <v>2013</v>
      </c>
      <c r="C842" s="2" t="s">
        <v>60</v>
      </c>
      <c r="D842" s="2" t="s">
        <v>38</v>
      </c>
      <c r="E842" s="2" t="s">
        <v>78</v>
      </c>
      <c r="F842" s="2" t="s">
        <v>79</v>
      </c>
      <c r="G842" s="2">
        <f t="shared" si="13"/>
        <v>0.12650602409638556</v>
      </c>
      <c r="H842" s="5">
        <v>4.666666666666667</v>
      </c>
      <c r="I842" s="2">
        <v>18</v>
      </c>
      <c r="J842" s="12">
        <f>I842/Pondération!$J$56</f>
        <v>2.710843373493976E-2</v>
      </c>
    </row>
    <row r="843" spans="1:10" x14ac:dyDescent="0.25">
      <c r="A843" s="2" t="s">
        <v>77</v>
      </c>
      <c r="B843" s="2">
        <v>2014</v>
      </c>
      <c r="C843" s="2" t="s">
        <v>61</v>
      </c>
      <c r="D843" s="2" t="s">
        <v>38</v>
      </c>
      <c r="E843" s="2" t="s">
        <v>78</v>
      </c>
      <c r="F843" s="2" t="s">
        <v>79</v>
      </c>
      <c r="G843" s="2">
        <f t="shared" si="13"/>
        <v>9.2546273136568276E-3</v>
      </c>
      <c r="H843" s="5">
        <v>4.625</v>
      </c>
      <c r="I843" s="2">
        <v>4</v>
      </c>
      <c r="J843" s="12">
        <f>I843/Pondération!$I$56</f>
        <v>2.0010005002501249E-3</v>
      </c>
    </row>
    <row r="844" spans="1:10" x14ac:dyDescent="0.25">
      <c r="A844" s="2" t="s">
        <v>77</v>
      </c>
      <c r="B844" s="2">
        <v>2014</v>
      </c>
      <c r="C844" s="2" t="s">
        <v>62</v>
      </c>
      <c r="D844" s="2" t="s">
        <v>38</v>
      </c>
      <c r="E844" s="2" t="s">
        <v>78</v>
      </c>
      <c r="F844" s="2" t="s">
        <v>79</v>
      </c>
      <c r="G844" s="2">
        <f t="shared" si="13"/>
        <v>4.1270635317658823E-2</v>
      </c>
      <c r="H844" s="5">
        <v>4.583333333333333</v>
      </c>
      <c r="I844" s="2">
        <v>18</v>
      </c>
      <c r="J844" s="12">
        <f>I844/Pondération!$I$56</f>
        <v>9.0045022511255624E-3</v>
      </c>
    </row>
    <row r="845" spans="1:10" x14ac:dyDescent="0.25">
      <c r="A845" s="2" t="s">
        <v>77</v>
      </c>
      <c r="B845" s="2">
        <v>2014</v>
      </c>
      <c r="C845" s="2" t="s">
        <v>63</v>
      </c>
      <c r="D845" s="2" t="s">
        <v>38</v>
      </c>
      <c r="E845" s="2" t="s">
        <v>78</v>
      </c>
      <c r="F845" s="2" t="s">
        <v>79</v>
      </c>
      <c r="G845" s="2">
        <f t="shared" si="13"/>
        <v>4.2021010505252629E-2</v>
      </c>
      <c r="H845" s="5">
        <v>4.666666666666667</v>
      </c>
      <c r="I845" s="2">
        <v>18</v>
      </c>
      <c r="J845" s="12">
        <f>I845/Pondération!$I$56</f>
        <v>9.0045022511255624E-3</v>
      </c>
    </row>
    <row r="846" spans="1:10" x14ac:dyDescent="0.25">
      <c r="A846" s="2" t="s">
        <v>77</v>
      </c>
      <c r="B846" s="2">
        <v>2014</v>
      </c>
      <c r="C846" s="2" t="s">
        <v>64</v>
      </c>
      <c r="D846" s="2" t="s">
        <v>38</v>
      </c>
      <c r="E846" s="2" t="s">
        <v>78</v>
      </c>
      <c r="F846" s="2" t="s">
        <v>79</v>
      </c>
      <c r="G846" s="2">
        <f t="shared" si="13"/>
        <v>5.1775887943971984E-2</v>
      </c>
      <c r="H846" s="5">
        <v>4.7045454545454541</v>
      </c>
      <c r="I846" s="2">
        <v>22</v>
      </c>
      <c r="J846" s="12">
        <f>I846/Pondération!$I$56</f>
        <v>1.1005502751375688E-2</v>
      </c>
    </row>
    <row r="847" spans="1:10" x14ac:dyDescent="0.25">
      <c r="A847" s="2" t="s">
        <v>77</v>
      </c>
      <c r="B847" s="2">
        <v>2014</v>
      </c>
      <c r="C847" s="2" t="s">
        <v>65</v>
      </c>
      <c r="D847" s="2" t="s">
        <v>38</v>
      </c>
      <c r="E847" s="2" t="s">
        <v>78</v>
      </c>
      <c r="F847" s="2" t="s">
        <v>79</v>
      </c>
      <c r="G847" s="2">
        <f t="shared" si="13"/>
        <v>0.24062031015507754</v>
      </c>
      <c r="H847" s="5">
        <v>4.625</v>
      </c>
      <c r="I847" s="2">
        <v>104</v>
      </c>
      <c r="J847" s="12">
        <f>I847/Pondération!$I$56</f>
        <v>5.2026013006503252E-2</v>
      </c>
    </row>
    <row r="848" spans="1:10" x14ac:dyDescent="0.25">
      <c r="A848" s="2" t="s">
        <v>77</v>
      </c>
      <c r="B848" s="2">
        <v>2014</v>
      </c>
      <c r="C848" s="2" t="s">
        <v>66</v>
      </c>
      <c r="D848" s="2" t="s">
        <v>38</v>
      </c>
      <c r="E848" s="2" t="s">
        <v>78</v>
      </c>
      <c r="F848" s="2" t="s">
        <v>79</v>
      </c>
      <c r="G848" s="2">
        <f t="shared" si="13"/>
        <v>0.36243121560780384</v>
      </c>
      <c r="H848" s="5">
        <v>4.6741935483870964</v>
      </c>
      <c r="I848" s="2">
        <v>155</v>
      </c>
      <c r="J848" s="12">
        <f>I848/Pondération!$I$56</f>
        <v>7.7538769384692341E-2</v>
      </c>
    </row>
    <row r="849" spans="1:10" x14ac:dyDescent="0.25">
      <c r="A849" s="2" t="s">
        <v>77</v>
      </c>
      <c r="B849" s="2">
        <v>2014</v>
      </c>
      <c r="C849" s="2" t="s">
        <v>67</v>
      </c>
      <c r="D849" s="2" t="s">
        <v>38</v>
      </c>
      <c r="E849" s="2" t="s">
        <v>78</v>
      </c>
      <c r="F849" s="2" t="s">
        <v>79</v>
      </c>
      <c r="G849" s="2">
        <f t="shared" si="13"/>
        <v>0.79089544772386189</v>
      </c>
      <c r="H849" s="5">
        <v>4.7194029850746269</v>
      </c>
      <c r="I849" s="2">
        <v>335</v>
      </c>
      <c r="J849" s="12">
        <f>I849/Pondération!$I$56</f>
        <v>0.16758379189594796</v>
      </c>
    </row>
    <row r="850" spans="1:10" x14ac:dyDescent="0.25">
      <c r="A850" s="2" t="s">
        <v>77</v>
      </c>
      <c r="B850" s="2">
        <v>2014</v>
      </c>
      <c r="C850" s="2" t="s">
        <v>68</v>
      </c>
      <c r="D850" s="2" t="s">
        <v>38</v>
      </c>
      <c r="E850" s="2" t="s">
        <v>78</v>
      </c>
      <c r="F850" s="2" t="s">
        <v>79</v>
      </c>
      <c r="G850" s="2">
        <f t="shared" si="13"/>
        <v>1.3954477238619309</v>
      </c>
      <c r="H850" s="5">
        <v>4.6260364842454393</v>
      </c>
      <c r="I850" s="2">
        <v>603</v>
      </c>
      <c r="J850" s="12">
        <f>I850/Pondération!$I$56</f>
        <v>0.30165082541270638</v>
      </c>
    </row>
    <row r="851" spans="1:10" x14ac:dyDescent="0.25">
      <c r="A851" s="2" t="s">
        <v>77</v>
      </c>
      <c r="B851" s="2">
        <v>2014</v>
      </c>
      <c r="C851" s="2" t="s">
        <v>69</v>
      </c>
      <c r="D851" s="2" t="s">
        <v>38</v>
      </c>
      <c r="E851" s="2" t="s">
        <v>78</v>
      </c>
      <c r="F851" s="2" t="s">
        <v>79</v>
      </c>
      <c r="G851" s="2">
        <f t="shared" si="13"/>
        <v>1.1485742871435718</v>
      </c>
      <c r="H851" s="5">
        <v>4.666666666666667</v>
      </c>
      <c r="I851" s="2">
        <v>492</v>
      </c>
      <c r="J851" s="12">
        <f>I851/Pondération!$I$56</f>
        <v>0.24612306153076538</v>
      </c>
    </row>
    <row r="852" spans="1:10" x14ac:dyDescent="0.25">
      <c r="A852" s="2" t="s">
        <v>77</v>
      </c>
      <c r="B852" s="2">
        <v>2014</v>
      </c>
      <c r="C852" s="2" t="s">
        <v>70</v>
      </c>
      <c r="D852" s="2" t="s">
        <v>38</v>
      </c>
      <c r="E852" s="2" t="s">
        <v>78</v>
      </c>
      <c r="F852" s="2" t="s">
        <v>79</v>
      </c>
      <c r="G852" s="2">
        <f t="shared" si="13"/>
        <v>0.41445722861430717</v>
      </c>
      <c r="H852" s="5">
        <v>4.6284916201117321</v>
      </c>
      <c r="I852" s="2">
        <v>179</v>
      </c>
      <c r="J852" s="12">
        <f>I852/Pondération!$I$56</f>
        <v>8.95447723861931E-2</v>
      </c>
    </row>
    <row r="853" spans="1:10" x14ac:dyDescent="0.25">
      <c r="A853" s="2" t="s">
        <v>77</v>
      </c>
      <c r="B853" s="2">
        <v>2014</v>
      </c>
      <c r="C853" s="2" t="s">
        <v>71</v>
      </c>
      <c r="D853" s="2" t="s">
        <v>38</v>
      </c>
      <c r="E853" s="2" t="s">
        <v>78</v>
      </c>
      <c r="F853" s="2" t="s">
        <v>79</v>
      </c>
      <c r="G853" s="2">
        <f t="shared" si="13"/>
        <v>7.2786393196598298E-2</v>
      </c>
      <c r="H853" s="5">
        <v>4.546875</v>
      </c>
      <c r="I853" s="2">
        <v>32</v>
      </c>
      <c r="J853" s="12">
        <f>I853/Pondération!$I$56</f>
        <v>1.6008004002000999E-2</v>
      </c>
    </row>
    <row r="854" spans="1:10" x14ac:dyDescent="0.25">
      <c r="A854" s="2" t="s">
        <v>77</v>
      </c>
      <c r="B854" s="2">
        <v>2014</v>
      </c>
      <c r="C854" s="2" t="s">
        <v>72</v>
      </c>
      <c r="D854" s="2" t="s">
        <v>38</v>
      </c>
      <c r="E854" s="2" t="s">
        <v>78</v>
      </c>
      <c r="F854" s="2" t="s">
        <v>79</v>
      </c>
      <c r="G854" s="2">
        <f t="shared" si="13"/>
        <v>8.5292646323161567E-2</v>
      </c>
      <c r="H854" s="5">
        <v>4.6081081081081079</v>
      </c>
      <c r="I854" s="2">
        <v>37</v>
      </c>
      <c r="J854" s="12">
        <f>I854/Pondération!$I$56</f>
        <v>1.8509254627313655E-2</v>
      </c>
    </row>
    <row r="855" spans="1:10" x14ac:dyDescent="0.25">
      <c r="A855" s="2" t="s">
        <v>77</v>
      </c>
      <c r="B855" s="2">
        <v>2015</v>
      </c>
      <c r="C855" s="2" t="s">
        <v>73</v>
      </c>
      <c r="D855" s="2" t="s">
        <v>38</v>
      </c>
      <c r="E855" s="2" t="s">
        <v>78</v>
      </c>
      <c r="F855" s="2" t="s">
        <v>79</v>
      </c>
      <c r="G855" s="2">
        <f t="shared" si="13"/>
        <v>2.1138211382113817E-2</v>
      </c>
      <c r="H855" s="5">
        <v>4.68</v>
      </c>
      <c r="I855" s="2">
        <v>25</v>
      </c>
      <c r="J855" s="12">
        <f>I855/Pondération!$H$56</f>
        <v>4.5167118337850042E-3</v>
      </c>
    </row>
    <row r="856" spans="1:10" x14ac:dyDescent="0.25">
      <c r="A856" s="2" t="s">
        <v>77</v>
      </c>
      <c r="B856" s="2">
        <v>2015</v>
      </c>
      <c r="C856" s="2" t="s">
        <v>74</v>
      </c>
      <c r="D856" s="2" t="s">
        <v>38</v>
      </c>
      <c r="E856" s="2" t="s">
        <v>78</v>
      </c>
      <c r="F856" s="2" t="s">
        <v>79</v>
      </c>
      <c r="G856" s="2">
        <f t="shared" si="13"/>
        <v>2.7461607949412829E-2</v>
      </c>
      <c r="H856" s="5">
        <v>4.6060606060606064</v>
      </c>
      <c r="I856" s="2">
        <v>33</v>
      </c>
      <c r="J856" s="12">
        <f>I856/Pondération!$H$56</f>
        <v>5.962059620596206E-3</v>
      </c>
    </row>
    <row r="857" spans="1:10" x14ac:dyDescent="0.25">
      <c r="A857" s="2" t="s">
        <v>77</v>
      </c>
      <c r="B857" s="2">
        <v>2015</v>
      </c>
      <c r="C857" s="2" t="s">
        <v>75</v>
      </c>
      <c r="D857" s="2" t="s">
        <v>38</v>
      </c>
      <c r="E857" s="2" t="s">
        <v>78</v>
      </c>
      <c r="F857" s="2" t="s">
        <v>79</v>
      </c>
      <c r="G857" s="2">
        <f t="shared" si="13"/>
        <v>2.5654923215898826E-2</v>
      </c>
      <c r="H857" s="5">
        <v>4.580645161290323</v>
      </c>
      <c r="I857" s="2">
        <v>31</v>
      </c>
      <c r="J857" s="12">
        <f>I857/Pondération!$H$56</f>
        <v>5.6007226738934053E-3</v>
      </c>
    </row>
    <row r="858" spans="1:10" x14ac:dyDescent="0.25">
      <c r="A858" s="2" t="s">
        <v>77</v>
      </c>
      <c r="B858" s="2">
        <v>2015</v>
      </c>
      <c r="C858" s="2" t="s">
        <v>76</v>
      </c>
      <c r="D858" s="2" t="s">
        <v>38</v>
      </c>
      <c r="E858" s="2" t="s">
        <v>78</v>
      </c>
      <c r="F858" s="2" t="s">
        <v>79</v>
      </c>
      <c r="G858" s="2">
        <f t="shared" si="13"/>
        <v>8.7353206865401989E-2</v>
      </c>
      <c r="H858" s="5">
        <v>4.6490384615384617</v>
      </c>
      <c r="I858" s="2">
        <v>104</v>
      </c>
      <c r="J858" s="12">
        <f>I858/Pondération!$H$56</f>
        <v>1.878952122854562E-2</v>
      </c>
    </row>
    <row r="859" spans="1:10" x14ac:dyDescent="0.25">
      <c r="A859" s="2" t="s">
        <v>77</v>
      </c>
      <c r="B859" s="2">
        <v>2015</v>
      </c>
      <c r="C859" s="2" t="s">
        <v>7</v>
      </c>
      <c r="D859" s="2" t="s">
        <v>38</v>
      </c>
      <c r="E859" s="2" t="s">
        <v>78</v>
      </c>
      <c r="F859" s="2" t="s">
        <v>79</v>
      </c>
      <c r="G859" s="2">
        <f t="shared" si="13"/>
        <v>0.28048780487804881</v>
      </c>
      <c r="H859" s="5">
        <v>4.690332326283988</v>
      </c>
      <c r="I859" s="2">
        <v>331</v>
      </c>
      <c r="J859" s="12">
        <f>I859/Pondération!$H$56</f>
        <v>5.9801264679313459E-2</v>
      </c>
    </row>
    <row r="860" spans="1:10" x14ac:dyDescent="0.25">
      <c r="A860" s="2" t="s">
        <v>77</v>
      </c>
      <c r="B860" s="2">
        <v>2015</v>
      </c>
      <c r="C860" s="2" t="s">
        <v>11</v>
      </c>
      <c r="D860" s="2" t="s">
        <v>38</v>
      </c>
      <c r="E860" s="2" t="s">
        <v>78</v>
      </c>
      <c r="F860" s="2" t="s">
        <v>79</v>
      </c>
      <c r="G860" s="2">
        <f t="shared" si="13"/>
        <v>0.51851851851851849</v>
      </c>
      <c r="H860" s="5">
        <v>4.7049180327868854</v>
      </c>
      <c r="I860" s="2">
        <v>610</v>
      </c>
      <c r="J860" s="12">
        <f>I860/Pondération!$H$56</f>
        <v>0.1102077687443541</v>
      </c>
    </row>
    <row r="861" spans="1:10" x14ac:dyDescent="0.25">
      <c r="A861" s="2" t="s">
        <v>77</v>
      </c>
      <c r="B861" s="2">
        <v>2015</v>
      </c>
      <c r="C861" s="2" t="s">
        <v>12</v>
      </c>
      <c r="D861" s="2" t="s">
        <v>38</v>
      </c>
      <c r="E861" s="2" t="s">
        <v>78</v>
      </c>
      <c r="F861" s="2" t="s">
        <v>79</v>
      </c>
      <c r="G861" s="2">
        <f t="shared" si="13"/>
        <v>0.90325203252032527</v>
      </c>
      <c r="H861" s="5">
        <v>4.6811797752808992</v>
      </c>
      <c r="I861" s="2">
        <v>1068</v>
      </c>
      <c r="J861" s="12">
        <f>I861/Pondération!$H$56</f>
        <v>0.19295392953929538</v>
      </c>
    </row>
    <row r="862" spans="1:10" x14ac:dyDescent="0.25">
      <c r="A862" s="2" t="s">
        <v>77</v>
      </c>
      <c r="B862" s="2">
        <v>2015</v>
      </c>
      <c r="C862" s="2" t="s">
        <v>13</v>
      </c>
      <c r="D862" s="2" t="s">
        <v>38</v>
      </c>
      <c r="E862" s="2" t="s">
        <v>78</v>
      </c>
      <c r="F862" s="2" t="s">
        <v>79</v>
      </c>
      <c r="G862" s="2">
        <f t="shared" si="13"/>
        <v>1.3929539295392954</v>
      </c>
      <c r="H862" s="5">
        <v>4.664246823956443</v>
      </c>
      <c r="I862" s="2">
        <v>1653</v>
      </c>
      <c r="J862" s="12">
        <f>I862/Pondération!$H$56</f>
        <v>0.29864498644986448</v>
      </c>
    </row>
    <row r="863" spans="1:10" x14ac:dyDescent="0.25">
      <c r="A863" s="2" t="s">
        <v>77</v>
      </c>
      <c r="B863" s="2">
        <v>2015</v>
      </c>
      <c r="C863" s="2" t="s">
        <v>14</v>
      </c>
      <c r="D863" s="2" t="s">
        <v>38</v>
      </c>
      <c r="E863" s="2" t="s">
        <v>78</v>
      </c>
      <c r="F863" s="2" t="s">
        <v>79</v>
      </c>
      <c r="G863" s="2">
        <f t="shared" si="13"/>
        <v>0.97759710930442634</v>
      </c>
      <c r="H863" s="5">
        <v>4.6606373815676143</v>
      </c>
      <c r="I863" s="2">
        <v>1161</v>
      </c>
      <c r="J863" s="12">
        <f>I863/Pondération!$H$56</f>
        <v>0.2097560975609756</v>
      </c>
    </row>
    <row r="864" spans="1:10" x14ac:dyDescent="0.25">
      <c r="A864" s="2" t="s">
        <v>77</v>
      </c>
      <c r="B864" s="2">
        <v>2015</v>
      </c>
      <c r="C864" s="2" t="s">
        <v>15</v>
      </c>
      <c r="D864" s="2" t="s">
        <v>38</v>
      </c>
      <c r="E864" s="2" t="s">
        <v>78</v>
      </c>
      <c r="F864" s="2" t="s">
        <v>79</v>
      </c>
      <c r="G864" s="2">
        <f t="shared" si="13"/>
        <v>0.32583559168925019</v>
      </c>
      <c r="H864" s="5">
        <v>4.6602067183462532</v>
      </c>
      <c r="I864" s="2">
        <v>387</v>
      </c>
      <c r="J864" s="12">
        <f>I864/Pondération!$H$56</f>
        <v>6.9918699186991867E-2</v>
      </c>
    </row>
    <row r="865" spans="1:10" x14ac:dyDescent="0.25">
      <c r="A865" s="2" t="s">
        <v>77</v>
      </c>
      <c r="B865" s="2">
        <v>2015</v>
      </c>
      <c r="C865" s="2" t="s">
        <v>16</v>
      </c>
      <c r="D865" s="2" t="s">
        <v>38</v>
      </c>
      <c r="E865" s="2" t="s">
        <v>78</v>
      </c>
      <c r="F865" s="2" t="s">
        <v>79</v>
      </c>
      <c r="G865" s="2">
        <f t="shared" si="13"/>
        <v>6.3866305329719958E-2</v>
      </c>
      <c r="H865" s="5">
        <v>4.6513157894736841</v>
      </c>
      <c r="I865" s="2">
        <v>76</v>
      </c>
      <c r="J865" s="12">
        <f>I865/Pondération!$H$56</f>
        <v>1.3730803974706414E-2</v>
      </c>
    </row>
    <row r="866" spans="1:10" x14ac:dyDescent="0.25">
      <c r="A866" s="2" t="s">
        <v>77</v>
      </c>
      <c r="B866" s="2">
        <v>2015</v>
      </c>
      <c r="C866" s="2" t="s">
        <v>17</v>
      </c>
      <c r="D866" s="2" t="s">
        <v>38</v>
      </c>
      <c r="E866" s="2" t="s">
        <v>78</v>
      </c>
      <c r="F866" s="2" t="s">
        <v>79</v>
      </c>
      <c r="G866" s="2">
        <f t="shared" si="13"/>
        <v>4.6160794941282744E-2</v>
      </c>
      <c r="H866" s="5">
        <v>4.5625</v>
      </c>
      <c r="I866" s="2">
        <v>56</v>
      </c>
      <c r="J866" s="12">
        <f>I866/Pondération!$H$56</f>
        <v>1.011743450767841E-2</v>
      </c>
    </row>
    <row r="867" spans="1:10" x14ac:dyDescent="0.25">
      <c r="A867" s="2" t="s">
        <v>77</v>
      </c>
      <c r="B867" s="2">
        <v>2016</v>
      </c>
      <c r="C867" s="2" t="s">
        <v>18</v>
      </c>
      <c r="D867" s="2" t="s">
        <v>38</v>
      </c>
      <c r="E867" s="2" t="s">
        <v>78</v>
      </c>
      <c r="F867" s="2" t="s">
        <v>79</v>
      </c>
      <c r="G867" s="2">
        <f t="shared" si="13"/>
        <v>2.3771108959879533E-2</v>
      </c>
      <c r="H867" s="5">
        <v>4.7021276595744679</v>
      </c>
      <c r="I867" s="2">
        <v>47</v>
      </c>
      <c r="J867" s="12">
        <f>I867/Pondération!$G$56</f>
        <v>5.05539421318705E-3</v>
      </c>
    </row>
    <row r="868" spans="1:10" x14ac:dyDescent="0.25">
      <c r="A868" s="2" t="s">
        <v>77</v>
      </c>
      <c r="B868" s="2">
        <v>2016</v>
      </c>
      <c r="C868" s="2" t="s">
        <v>19</v>
      </c>
      <c r="D868" s="2" t="s">
        <v>38</v>
      </c>
      <c r="E868" s="2" t="s">
        <v>78</v>
      </c>
      <c r="F868" s="2" t="s">
        <v>79</v>
      </c>
      <c r="G868" s="2">
        <f t="shared" si="13"/>
        <v>4.5498547918683449E-2</v>
      </c>
      <c r="H868" s="5">
        <v>4.5483870967741939</v>
      </c>
      <c r="I868" s="2">
        <v>93</v>
      </c>
      <c r="J868" s="12">
        <f>I868/Pondération!$G$56</f>
        <v>1.0003226847370119E-2</v>
      </c>
    </row>
    <row r="869" spans="1:10" x14ac:dyDescent="0.25">
      <c r="A869" s="2" t="s">
        <v>77</v>
      </c>
      <c r="B869" s="2">
        <v>2016</v>
      </c>
      <c r="C869" s="2" t="s">
        <v>20</v>
      </c>
      <c r="D869" s="2" t="s">
        <v>38</v>
      </c>
      <c r="E869" s="2" t="s">
        <v>78</v>
      </c>
      <c r="F869" s="2" t="s">
        <v>79</v>
      </c>
      <c r="G869" s="2">
        <f t="shared" si="13"/>
        <v>2.2641712380337742E-2</v>
      </c>
      <c r="H869" s="5">
        <v>4.677777777777778</v>
      </c>
      <c r="I869" s="2">
        <v>45</v>
      </c>
      <c r="J869" s="12">
        <f>I869/Pondération!$G$56</f>
        <v>4.8402710551790898E-3</v>
      </c>
    </row>
    <row r="870" spans="1:10" x14ac:dyDescent="0.25">
      <c r="A870" s="2" t="s">
        <v>77</v>
      </c>
      <c r="B870" s="2">
        <v>2016</v>
      </c>
      <c r="C870" s="2" t="s">
        <v>21</v>
      </c>
      <c r="D870" s="2" t="s">
        <v>38</v>
      </c>
      <c r="E870" s="2" t="s">
        <v>78</v>
      </c>
      <c r="F870" s="2" t="s">
        <v>79</v>
      </c>
      <c r="G870" s="2">
        <f t="shared" si="13"/>
        <v>0.15456598902871896</v>
      </c>
      <c r="H870" s="5">
        <v>4.650485436893204</v>
      </c>
      <c r="I870" s="2">
        <v>309</v>
      </c>
      <c r="J870" s="12">
        <f>I870/Pondération!$G$56</f>
        <v>3.3236527912229752E-2</v>
      </c>
    </row>
    <row r="871" spans="1:10" x14ac:dyDescent="0.25">
      <c r="A871" s="2" t="s">
        <v>77</v>
      </c>
      <c r="B871" s="2">
        <v>2016</v>
      </c>
      <c r="C871" s="2" t="s">
        <v>22</v>
      </c>
      <c r="D871" s="2" t="s">
        <v>38</v>
      </c>
      <c r="E871" s="2" t="s">
        <v>78</v>
      </c>
      <c r="F871" s="2" t="s">
        <v>79</v>
      </c>
      <c r="G871" s="2">
        <f t="shared" si="13"/>
        <v>0.26696783908787786</v>
      </c>
      <c r="H871" s="5">
        <v>4.6741996233521661</v>
      </c>
      <c r="I871" s="2">
        <v>531</v>
      </c>
      <c r="J871" s="12">
        <f>I871/Pondération!$G$56</f>
        <v>5.7115198451113264E-2</v>
      </c>
    </row>
    <row r="872" spans="1:10" x14ac:dyDescent="0.25">
      <c r="A872" s="2" t="s">
        <v>77</v>
      </c>
      <c r="B872" s="2">
        <v>2016</v>
      </c>
      <c r="C872" s="2" t="s">
        <v>23</v>
      </c>
      <c r="D872" s="2" t="s">
        <v>38</v>
      </c>
      <c r="E872" s="2" t="s">
        <v>78</v>
      </c>
      <c r="F872" s="2" t="s">
        <v>79</v>
      </c>
      <c r="G872" s="2">
        <f t="shared" si="13"/>
        <v>0.49489082499731102</v>
      </c>
      <c r="H872" s="5">
        <v>4.6663286004056799</v>
      </c>
      <c r="I872" s="2">
        <v>986</v>
      </c>
      <c r="J872" s="12">
        <f>I872/Pondération!$G$56</f>
        <v>0.10605571689792406</v>
      </c>
    </row>
    <row r="873" spans="1:10" x14ac:dyDescent="0.25">
      <c r="A873" s="2" t="s">
        <v>77</v>
      </c>
      <c r="B873" s="2">
        <v>2016</v>
      </c>
      <c r="C873" s="2" t="s">
        <v>24</v>
      </c>
      <c r="D873" s="2" t="s">
        <v>38</v>
      </c>
      <c r="E873" s="2" t="s">
        <v>78</v>
      </c>
      <c r="F873" s="2" t="s">
        <v>79</v>
      </c>
      <c r="G873" s="2">
        <f t="shared" si="13"/>
        <v>0.94960740023663548</v>
      </c>
      <c r="H873" s="5">
        <v>4.6588390501319266</v>
      </c>
      <c r="I873" s="2">
        <v>1895</v>
      </c>
      <c r="J873" s="12">
        <f>I873/Pondération!$G$56</f>
        <v>0.20382919221254167</v>
      </c>
    </row>
    <row r="874" spans="1:10" x14ac:dyDescent="0.25">
      <c r="A874" s="2" t="s">
        <v>77</v>
      </c>
      <c r="B874" s="2">
        <v>2016</v>
      </c>
      <c r="C874" s="2" t="s">
        <v>25</v>
      </c>
      <c r="D874" s="2" t="s">
        <v>38</v>
      </c>
      <c r="E874" s="2" t="s">
        <v>78</v>
      </c>
      <c r="F874" s="2" t="s">
        <v>79</v>
      </c>
      <c r="G874" s="2">
        <f t="shared" si="13"/>
        <v>1.3895342583629129</v>
      </c>
      <c r="H874" s="5">
        <v>4.6369346733668344</v>
      </c>
      <c r="I874" s="2">
        <v>2786</v>
      </c>
      <c r="J874" s="12">
        <f>I874/Pondération!$G$56</f>
        <v>0.29966655910508766</v>
      </c>
    </row>
    <row r="875" spans="1:10" x14ac:dyDescent="0.25">
      <c r="A875" s="2" t="s">
        <v>77</v>
      </c>
      <c r="B875" s="2">
        <v>2016</v>
      </c>
      <c r="C875" s="2" t="s">
        <v>26</v>
      </c>
      <c r="D875" s="2" t="s">
        <v>38</v>
      </c>
      <c r="E875" s="2" t="s">
        <v>78</v>
      </c>
      <c r="F875" s="2" t="s">
        <v>79</v>
      </c>
      <c r="G875" s="2">
        <f t="shared" si="13"/>
        <v>0.8684521888781328</v>
      </c>
      <c r="H875" s="5">
        <v>4.6509216589861753</v>
      </c>
      <c r="I875" s="2">
        <v>1736</v>
      </c>
      <c r="J875" s="12">
        <f>I875/Pondération!$G$56</f>
        <v>0.1867269011509089</v>
      </c>
    </row>
    <row r="876" spans="1:10" x14ac:dyDescent="0.25">
      <c r="A876" s="2" t="s">
        <v>77</v>
      </c>
      <c r="B876" s="2">
        <v>2016</v>
      </c>
      <c r="C876" s="2" t="s">
        <v>27</v>
      </c>
      <c r="D876" s="2" t="s">
        <v>38</v>
      </c>
      <c r="E876" s="2" t="s">
        <v>78</v>
      </c>
      <c r="F876" s="2" t="s">
        <v>79</v>
      </c>
      <c r="G876" s="2">
        <f t="shared" si="13"/>
        <v>0.31752178121974833</v>
      </c>
      <c r="H876" s="5">
        <v>4.619718309859155</v>
      </c>
      <c r="I876" s="2">
        <v>639</v>
      </c>
      <c r="J876" s="12">
        <f>I876/Pondération!$G$56</f>
        <v>6.8731848983543078E-2</v>
      </c>
    </row>
    <row r="877" spans="1:10" x14ac:dyDescent="0.25">
      <c r="A877" s="2" t="s">
        <v>77</v>
      </c>
      <c r="B877" s="2">
        <v>2016</v>
      </c>
      <c r="C877" s="2" t="s">
        <v>28</v>
      </c>
      <c r="D877" s="2" t="s">
        <v>38</v>
      </c>
      <c r="E877" s="2" t="s">
        <v>78</v>
      </c>
      <c r="F877" s="2" t="s">
        <v>79</v>
      </c>
      <c r="G877" s="2">
        <f t="shared" si="13"/>
        <v>8.2553511885554473E-2</v>
      </c>
      <c r="H877" s="5">
        <v>4.6515151515151514</v>
      </c>
      <c r="I877" s="2">
        <v>165</v>
      </c>
      <c r="J877" s="12">
        <f>I877/Pondération!$G$56</f>
        <v>1.7747660535656663E-2</v>
      </c>
    </row>
    <row r="878" spans="1:10" x14ac:dyDescent="0.25">
      <c r="A878" s="2" t="s">
        <v>77</v>
      </c>
      <c r="B878" s="2">
        <v>2016</v>
      </c>
      <c r="C878" s="2" t="s">
        <v>29</v>
      </c>
      <c r="D878" s="2" t="s">
        <v>38</v>
      </c>
      <c r="E878" s="2" t="s">
        <v>78</v>
      </c>
      <c r="F878" s="2" t="s">
        <v>79</v>
      </c>
      <c r="G878" s="2">
        <f t="shared" si="13"/>
        <v>3.2322254490695916E-2</v>
      </c>
      <c r="H878" s="5">
        <v>4.6230769230769226</v>
      </c>
      <c r="I878" s="2">
        <v>65</v>
      </c>
      <c r="J878" s="12">
        <f>I878/Pondération!$G$56</f>
        <v>6.9915026352586852E-3</v>
      </c>
    </row>
    <row r="879" spans="1:10" x14ac:dyDescent="0.25">
      <c r="A879" s="2" t="s">
        <v>77</v>
      </c>
      <c r="B879" s="2">
        <v>2017</v>
      </c>
      <c r="C879" s="2" t="s">
        <v>30</v>
      </c>
      <c r="D879" s="2" t="s">
        <v>38</v>
      </c>
      <c r="E879" s="2" t="s">
        <v>78</v>
      </c>
      <c r="F879" s="2" t="s">
        <v>79</v>
      </c>
      <c r="G879" s="2">
        <f t="shared" si="13"/>
        <v>0.16031822565091608</v>
      </c>
      <c r="H879" s="5">
        <v>4.6180555555555554</v>
      </c>
      <c r="I879" s="2">
        <v>72</v>
      </c>
      <c r="J879" s="12">
        <f>I879/Pondération!$F$56</f>
        <v>3.4715525554484088E-2</v>
      </c>
    </row>
    <row r="880" spans="1:10" x14ac:dyDescent="0.25">
      <c r="A880" s="2" t="s">
        <v>77</v>
      </c>
      <c r="B880" s="2">
        <v>2017</v>
      </c>
      <c r="C880" s="2" t="s">
        <v>31</v>
      </c>
      <c r="D880" s="2" t="s">
        <v>38</v>
      </c>
      <c r="E880" s="2" t="s">
        <v>78</v>
      </c>
      <c r="F880" s="2" t="s">
        <v>79</v>
      </c>
      <c r="G880" s="2">
        <f t="shared" si="13"/>
        <v>0.13548698167791706</v>
      </c>
      <c r="H880" s="5">
        <v>4.6065573770491799</v>
      </c>
      <c r="I880" s="2">
        <v>61</v>
      </c>
      <c r="J880" s="12">
        <f>I880/Pondération!$F$56</f>
        <v>2.9411764705882353E-2</v>
      </c>
    </row>
    <row r="881" spans="1:10" x14ac:dyDescent="0.25">
      <c r="A881" s="2" t="s">
        <v>77</v>
      </c>
      <c r="B881" s="2">
        <v>2017</v>
      </c>
      <c r="C881" s="2" t="s">
        <v>32</v>
      </c>
      <c r="D881" s="2" t="s">
        <v>38</v>
      </c>
      <c r="E881" s="2" t="s">
        <v>78</v>
      </c>
      <c r="F881" s="2" t="s">
        <v>79</v>
      </c>
      <c r="G881" s="2">
        <f t="shared" si="13"/>
        <v>0.14585342333654774</v>
      </c>
      <c r="H881" s="5">
        <v>4.583333333333333</v>
      </c>
      <c r="I881" s="2">
        <v>66</v>
      </c>
      <c r="J881" s="12">
        <f>I881/Pondération!$F$56</f>
        <v>3.1822565091610418E-2</v>
      </c>
    </row>
    <row r="882" spans="1:10" x14ac:dyDescent="0.25">
      <c r="A882" s="2" t="s">
        <v>77</v>
      </c>
      <c r="B882" s="2">
        <v>2017</v>
      </c>
      <c r="C882" s="2" t="s">
        <v>33</v>
      </c>
      <c r="D882" s="2" t="s">
        <v>38</v>
      </c>
      <c r="E882" s="2" t="s">
        <v>78</v>
      </c>
      <c r="F882" s="2" t="s">
        <v>79</v>
      </c>
      <c r="G882" s="2">
        <f t="shared" si="13"/>
        <v>0.99349083895853429</v>
      </c>
      <c r="H882" s="5">
        <v>4.6512415349887135</v>
      </c>
      <c r="I882" s="2">
        <v>443</v>
      </c>
      <c r="J882" s="12">
        <f>I882/Pondération!$F$56</f>
        <v>0.21359691417550628</v>
      </c>
    </row>
    <row r="883" spans="1:10" x14ac:dyDescent="0.25">
      <c r="A883" s="2" t="s">
        <v>77</v>
      </c>
      <c r="B883" s="2">
        <v>2017</v>
      </c>
      <c r="C883" s="2" t="s">
        <v>34</v>
      </c>
      <c r="D883" s="2" t="s">
        <v>38</v>
      </c>
      <c r="E883" s="2" t="s">
        <v>78</v>
      </c>
      <c r="F883" s="2" t="s">
        <v>79</v>
      </c>
      <c r="G883" s="2">
        <f t="shared" si="13"/>
        <v>1.7179363548698166</v>
      </c>
      <c r="H883" s="5">
        <v>4.6819973718791061</v>
      </c>
      <c r="I883" s="2">
        <v>761</v>
      </c>
      <c r="J883" s="12">
        <f>I883/Pondération!$F$56</f>
        <v>0.36692381870781099</v>
      </c>
    </row>
    <row r="884" spans="1:10" x14ac:dyDescent="0.25">
      <c r="A884" s="2" t="s">
        <v>77</v>
      </c>
      <c r="B884" s="2">
        <v>2017</v>
      </c>
      <c r="C884" s="2" t="s">
        <v>80</v>
      </c>
      <c r="D884" s="2" t="s">
        <v>38</v>
      </c>
      <c r="E884" s="2" t="s">
        <v>78</v>
      </c>
      <c r="F884" s="2" t="s">
        <v>79</v>
      </c>
      <c r="G884" s="2">
        <f t="shared" si="13"/>
        <v>1.5057859209257476</v>
      </c>
      <c r="H884" s="5">
        <v>4.6542473919523104</v>
      </c>
      <c r="I884" s="2">
        <v>671</v>
      </c>
      <c r="J884" s="12">
        <f>I884/Pondération!$F$56</f>
        <v>0.3235294117647059</v>
      </c>
    </row>
    <row r="885" spans="1:10" x14ac:dyDescent="0.25">
      <c r="A885" s="2" t="s">
        <v>77</v>
      </c>
      <c r="B885" s="2">
        <v>2013</v>
      </c>
      <c r="C885" s="2" t="s">
        <v>52</v>
      </c>
      <c r="D885" s="2" t="s">
        <v>38</v>
      </c>
      <c r="E885" s="2" t="s">
        <v>78</v>
      </c>
      <c r="F885" s="2" t="s">
        <v>81</v>
      </c>
      <c r="G885" s="2">
        <f t="shared" si="13"/>
        <v>1.125</v>
      </c>
      <c r="H885" s="5">
        <v>4.5</v>
      </c>
      <c r="I885" s="2">
        <v>1</v>
      </c>
      <c r="J885" s="12">
        <f>I885/Pondération!$J$57</f>
        <v>0.25</v>
      </c>
    </row>
    <row r="886" spans="1:10" x14ac:dyDescent="0.25">
      <c r="A886" s="2" t="s">
        <v>77</v>
      </c>
      <c r="B886" s="2">
        <v>2013</v>
      </c>
      <c r="C886" s="2" t="s">
        <v>55</v>
      </c>
      <c r="D886" s="2" t="s">
        <v>38</v>
      </c>
      <c r="E886" s="2" t="s">
        <v>78</v>
      </c>
      <c r="F886" s="2" t="s">
        <v>81</v>
      </c>
      <c r="G886" s="2">
        <f t="shared" si="13"/>
        <v>1.25</v>
      </c>
      <c r="H886" s="5">
        <v>5</v>
      </c>
      <c r="I886" s="2">
        <v>1</v>
      </c>
      <c r="J886" s="12">
        <f>I886/Pondération!$J$57</f>
        <v>0.25</v>
      </c>
    </row>
    <row r="887" spans="1:10" x14ac:dyDescent="0.25">
      <c r="A887" s="2" t="s">
        <v>77</v>
      </c>
      <c r="B887" s="2">
        <v>2013</v>
      </c>
      <c r="C887" s="2" t="s">
        <v>57</v>
      </c>
      <c r="D887" s="2" t="s">
        <v>38</v>
      </c>
      <c r="E887" s="2" t="s">
        <v>78</v>
      </c>
      <c r="F887" s="2" t="s">
        <v>81</v>
      </c>
      <c r="G887" s="2">
        <f t="shared" si="13"/>
        <v>1.25</v>
      </c>
      <c r="H887" s="5">
        <v>5</v>
      </c>
      <c r="I887" s="2">
        <v>1</v>
      </c>
      <c r="J887" s="12">
        <f>I887/Pondération!$J$57</f>
        <v>0.25</v>
      </c>
    </row>
    <row r="888" spans="1:10" x14ac:dyDescent="0.25">
      <c r="A888" s="2" t="s">
        <v>77</v>
      </c>
      <c r="B888" s="2">
        <v>2013</v>
      </c>
      <c r="C888" s="2" t="s">
        <v>58</v>
      </c>
      <c r="D888" s="2" t="s">
        <v>38</v>
      </c>
      <c r="E888" s="2" t="s">
        <v>78</v>
      </c>
      <c r="F888" s="2" t="s">
        <v>81</v>
      </c>
      <c r="G888" s="2">
        <f t="shared" si="13"/>
        <v>1.25</v>
      </c>
      <c r="H888" s="5">
        <v>5</v>
      </c>
      <c r="I888" s="2">
        <v>1</v>
      </c>
      <c r="J888" s="12">
        <f>I888/Pondération!$J$57</f>
        <v>0.25</v>
      </c>
    </row>
    <row r="889" spans="1:10" x14ac:dyDescent="0.25">
      <c r="A889" s="2" t="s">
        <v>77</v>
      </c>
      <c r="B889" s="2">
        <v>2014</v>
      </c>
      <c r="C889" s="2" t="s">
        <v>61</v>
      </c>
      <c r="D889" s="2" t="s">
        <v>38</v>
      </c>
      <c r="E889" s="2" t="s">
        <v>78</v>
      </c>
      <c r="F889" s="2" t="s">
        <v>81</v>
      </c>
      <c r="G889" s="2">
        <f t="shared" si="13"/>
        <v>0.76829268292682928</v>
      </c>
      <c r="H889" s="5">
        <v>4.5</v>
      </c>
      <c r="I889" s="2">
        <v>7</v>
      </c>
      <c r="J889" s="12">
        <f>I889/Pondération!$I$57</f>
        <v>0.17073170731707318</v>
      </c>
    </row>
    <row r="890" spans="1:10" x14ac:dyDescent="0.25">
      <c r="A890" s="2" t="s">
        <v>77</v>
      </c>
      <c r="B890" s="2">
        <v>2014</v>
      </c>
      <c r="C890" s="2" t="s">
        <v>62</v>
      </c>
      <c r="D890" s="2" t="s">
        <v>38</v>
      </c>
      <c r="E890" s="2" t="s">
        <v>78</v>
      </c>
      <c r="F890" s="2" t="s">
        <v>81</v>
      </c>
      <c r="G890" s="2">
        <f t="shared" si="13"/>
        <v>0.10975609756097561</v>
      </c>
      <c r="H890" s="5">
        <v>4.5</v>
      </c>
      <c r="I890" s="2">
        <v>1</v>
      </c>
      <c r="J890" s="12">
        <f>I890/Pondération!$I$57</f>
        <v>2.4390243902439025E-2</v>
      </c>
    </row>
    <row r="891" spans="1:10" x14ac:dyDescent="0.25">
      <c r="A891" s="2" t="s">
        <v>77</v>
      </c>
      <c r="B891" s="2">
        <v>2014</v>
      </c>
      <c r="C891" s="2" t="s">
        <v>63</v>
      </c>
      <c r="D891" s="2" t="s">
        <v>38</v>
      </c>
      <c r="E891" s="2" t="s">
        <v>78</v>
      </c>
      <c r="F891" s="2" t="s">
        <v>81</v>
      </c>
      <c r="G891" s="2">
        <f t="shared" si="13"/>
        <v>0.10975609756097561</v>
      </c>
      <c r="H891" s="5">
        <v>4.5</v>
      </c>
      <c r="I891" s="2">
        <v>1</v>
      </c>
      <c r="J891" s="12">
        <f>I891/Pondération!$I$57</f>
        <v>2.4390243902439025E-2</v>
      </c>
    </row>
    <row r="892" spans="1:10" x14ac:dyDescent="0.25">
      <c r="A892" s="2" t="s">
        <v>77</v>
      </c>
      <c r="B892" s="2">
        <v>2014</v>
      </c>
      <c r="C892" s="2" t="s">
        <v>64</v>
      </c>
      <c r="D892" s="2" t="s">
        <v>38</v>
      </c>
      <c r="E892" s="2" t="s">
        <v>78</v>
      </c>
      <c r="F892" s="2" t="s">
        <v>81</v>
      </c>
      <c r="G892" s="2">
        <f t="shared" si="13"/>
        <v>0.10975609756097561</v>
      </c>
      <c r="H892" s="5">
        <v>4.5</v>
      </c>
      <c r="I892" s="2">
        <v>1</v>
      </c>
      <c r="J892" s="12">
        <f>I892/Pondération!$I$57</f>
        <v>2.4390243902439025E-2</v>
      </c>
    </row>
    <row r="893" spans="1:10" x14ac:dyDescent="0.25">
      <c r="A893" s="2" t="s">
        <v>77</v>
      </c>
      <c r="B893" s="2">
        <v>2014</v>
      </c>
      <c r="C893" s="2" t="s">
        <v>66</v>
      </c>
      <c r="D893" s="2" t="s">
        <v>38</v>
      </c>
      <c r="E893" s="2" t="s">
        <v>78</v>
      </c>
      <c r="F893" s="2" t="s">
        <v>81</v>
      </c>
      <c r="G893" s="2">
        <f t="shared" si="13"/>
        <v>0.43902439024390244</v>
      </c>
      <c r="H893" s="5">
        <v>4.5</v>
      </c>
      <c r="I893" s="2">
        <v>4</v>
      </c>
      <c r="J893" s="12">
        <f>I893/Pondération!$I$57</f>
        <v>9.7560975609756101E-2</v>
      </c>
    </row>
    <row r="894" spans="1:10" x14ac:dyDescent="0.25">
      <c r="A894" s="2" t="s">
        <v>77</v>
      </c>
      <c r="B894" s="2">
        <v>2014</v>
      </c>
      <c r="C894" s="2" t="s">
        <v>67</v>
      </c>
      <c r="D894" s="2" t="s">
        <v>38</v>
      </c>
      <c r="E894" s="2" t="s">
        <v>78</v>
      </c>
      <c r="F894" s="2" t="s">
        <v>81</v>
      </c>
      <c r="G894" s="2">
        <f t="shared" si="13"/>
        <v>0.58536585365853655</v>
      </c>
      <c r="H894" s="5">
        <v>4.8</v>
      </c>
      <c r="I894" s="2">
        <v>5</v>
      </c>
      <c r="J894" s="12">
        <f>I894/Pondération!$I$57</f>
        <v>0.12195121951219512</v>
      </c>
    </row>
    <row r="895" spans="1:10" x14ac:dyDescent="0.25">
      <c r="A895" s="2" t="s">
        <v>77</v>
      </c>
      <c r="B895" s="2">
        <v>2014</v>
      </c>
      <c r="C895" s="2" t="s">
        <v>68</v>
      </c>
      <c r="D895" s="2" t="s">
        <v>38</v>
      </c>
      <c r="E895" s="2" t="s">
        <v>78</v>
      </c>
      <c r="F895" s="2" t="s">
        <v>81</v>
      </c>
      <c r="G895" s="2">
        <f t="shared" si="13"/>
        <v>1.0365853658536586</v>
      </c>
      <c r="H895" s="5">
        <v>4.25</v>
      </c>
      <c r="I895" s="2">
        <v>10</v>
      </c>
      <c r="J895" s="12">
        <f>I895/Pondération!$I$57</f>
        <v>0.24390243902439024</v>
      </c>
    </row>
    <row r="896" spans="1:10" x14ac:dyDescent="0.25">
      <c r="A896" s="2" t="s">
        <v>77</v>
      </c>
      <c r="B896" s="2">
        <v>2014</v>
      </c>
      <c r="C896" s="2" t="s">
        <v>69</v>
      </c>
      <c r="D896" s="2" t="s">
        <v>38</v>
      </c>
      <c r="E896" s="2" t="s">
        <v>78</v>
      </c>
      <c r="F896" s="2" t="s">
        <v>81</v>
      </c>
      <c r="G896" s="2">
        <f t="shared" si="13"/>
        <v>0.84146341463414642</v>
      </c>
      <c r="H896" s="5">
        <v>4.3125</v>
      </c>
      <c r="I896" s="2">
        <v>8</v>
      </c>
      <c r="J896" s="12">
        <f>I896/Pondération!$I$57</f>
        <v>0.1951219512195122</v>
      </c>
    </row>
    <row r="897" spans="1:10" x14ac:dyDescent="0.25">
      <c r="A897" s="2" t="s">
        <v>77</v>
      </c>
      <c r="B897" s="2">
        <v>2014</v>
      </c>
      <c r="C897" s="2" t="s">
        <v>71</v>
      </c>
      <c r="D897" s="2" t="s">
        <v>38</v>
      </c>
      <c r="E897" s="2" t="s">
        <v>78</v>
      </c>
      <c r="F897" s="2" t="s">
        <v>81</v>
      </c>
      <c r="G897" s="2">
        <f t="shared" si="13"/>
        <v>0.3048780487804878</v>
      </c>
      <c r="H897" s="5">
        <v>4.166666666666667</v>
      </c>
      <c r="I897" s="2">
        <v>3</v>
      </c>
      <c r="J897" s="12">
        <f>I897/Pondération!$I$57</f>
        <v>7.3170731707317069E-2</v>
      </c>
    </row>
    <row r="898" spans="1:10" x14ac:dyDescent="0.25">
      <c r="A898" s="2" t="s">
        <v>77</v>
      </c>
      <c r="B898" s="2">
        <v>2014</v>
      </c>
      <c r="C898" s="2" t="s">
        <v>72</v>
      </c>
      <c r="D898" s="2" t="s">
        <v>38</v>
      </c>
      <c r="E898" s="2" t="s">
        <v>78</v>
      </c>
      <c r="F898" s="2" t="s">
        <v>81</v>
      </c>
      <c r="G898" s="2">
        <f t="shared" ref="G898:G961" si="14">H898*J898</f>
        <v>9.7560975609756101E-2</v>
      </c>
      <c r="H898" s="5">
        <v>4</v>
      </c>
      <c r="I898" s="2">
        <v>1</v>
      </c>
      <c r="J898" s="12">
        <f>I898/Pondération!$I$57</f>
        <v>2.4390243902439025E-2</v>
      </c>
    </row>
    <row r="899" spans="1:10" x14ac:dyDescent="0.25">
      <c r="A899" s="2" t="s">
        <v>77</v>
      </c>
      <c r="B899" s="2">
        <v>2015</v>
      </c>
      <c r="C899" s="2" t="s">
        <v>73</v>
      </c>
      <c r="D899" s="2" t="s">
        <v>38</v>
      </c>
      <c r="E899" s="2" t="s">
        <v>78</v>
      </c>
      <c r="F899" s="2" t="s">
        <v>81</v>
      </c>
      <c r="G899" s="2">
        <f t="shared" si="14"/>
        <v>0.11538461538461538</v>
      </c>
      <c r="H899" s="5">
        <v>4.5</v>
      </c>
      <c r="I899" s="2">
        <v>2</v>
      </c>
      <c r="J899" s="12">
        <f>I899/Pondération!$H$57</f>
        <v>2.564102564102564E-2</v>
      </c>
    </row>
    <row r="900" spans="1:10" x14ac:dyDescent="0.25">
      <c r="A900" s="2" t="s">
        <v>77</v>
      </c>
      <c r="B900" s="2">
        <v>2015</v>
      </c>
      <c r="C900" s="2" t="s">
        <v>75</v>
      </c>
      <c r="D900" s="2" t="s">
        <v>38</v>
      </c>
      <c r="E900" s="2" t="s">
        <v>78</v>
      </c>
      <c r="F900" s="2" t="s">
        <v>81</v>
      </c>
      <c r="G900" s="2">
        <f t="shared" si="14"/>
        <v>5.7692307692307689E-2</v>
      </c>
      <c r="H900" s="5">
        <v>4.5</v>
      </c>
      <c r="I900" s="2">
        <v>1</v>
      </c>
      <c r="J900" s="12">
        <f>I900/Pondération!$H$57</f>
        <v>1.282051282051282E-2</v>
      </c>
    </row>
    <row r="901" spans="1:10" x14ac:dyDescent="0.25">
      <c r="A901" s="2" t="s">
        <v>77</v>
      </c>
      <c r="B901" s="2">
        <v>2015</v>
      </c>
      <c r="C901" s="2" t="s">
        <v>76</v>
      </c>
      <c r="D901" s="2" t="s">
        <v>38</v>
      </c>
      <c r="E901" s="2" t="s">
        <v>78</v>
      </c>
      <c r="F901" s="2" t="s">
        <v>81</v>
      </c>
      <c r="G901" s="2">
        <f t="shared" si="14"/>
        <v>0.30128205128205127</v>
      </c>
      <c r="H901" s="5">
        <v>4.7</v>
      </c>
      <c r="I901" s="2">
        <v>5</v>
      </c>
      <c r="J901" s="12">
        <f>I901/Pondération!$H$57</f>
        <v>6.4102564102564097E-2</v>
      </c>
    </row>
    <row r="902" spans="1:10" x14ac:dyDescent="0.25">
      <c r="A902" s="2" t="s">
        <v>77</v>
      </c>
      <c r="B902" s="2">
        <v>2015</v>
      </c>
      <c r="C902" s="2" t="s">
        <v>7</v>
      </c>
      <c r="D902" s="2" t="s">
        <v>38</v>
      </c>
      <c r="E902" s="2" t="s">
        <v>78</v>
      </c>
      <c r="F902" s="2" t="s">
        <v>81</v>
      </c>
      <c r="G902" s="2">
        <f t="shared" si="14"/>
        <v>1.1923076923076923</v>
      </c>
      <c r="H902" s="5">
        <v>4.8947368421052628</v>
      </c>
      <c r="I902" s="2">
        <v>19</v>
      </c>
      <c r="J902" s="12">
        <f>I902/Pondération!$H$57</f>
        <v>0.24358974358974358</v>
      </c>
    </row>
    <row r="903" spans="1:10" x14ac:dyDescent="0.25">
      <c r="A903" s="2" t="s">
        <v>77</v>
      </c>
      <c r="B903" s="2">
        <v>2015</v>
      </c>
      <c r="C903" s="2" t="s">
        <v>11</v>
      </c>
      <c r="D903" s="2" t="s">
        <v>38</v>
      </c>
      <c r="E903" s="2" t="s">
        <v>78</v>
      </c>
      <c r="F903" s="2" t="s">
        <v>81</v>
      </c>
      <c r="G903" s="2">
        <f t="shared" si="14"/>
        <v>0.64102564102564108</v>
      </c>
      <c r="H903" s="5">
        <v>4.5454545454545459</v>
      </c>
      <c r="I903" s="2">
        <v>11</v>
      </c>
      <c r="J903" s="12">
        <f>I903/Pondération!$H$57</f>
        <v>0.14102564102564102</v>
      </c>
    </row>
    <row r="904" spans="1:10" x14ac:dyDescent="0.25">
      <c r="A904" s="2" t="s">
        <v>77</v>
      </c>
      <c r="B904" s="2">
        <v>2015</v>
      </c>
      <c r="C904" s="2" t="s">
        <v>12</v>
      </c>
      <c r="D904" s="2" t="s">
        <v>38</v>
      </c>
      <c r="E904" s="2" t="s">
        <v>78</v>
      </c>
      <c r="F904" s="2" t="s">
        <v>81</v>
      </c>
      <c r="G904" s="2">
        <f t="shared" si="14"/>
        <v>0.84615384615384626</v>
      </c>
      <c r="H904" s="5">
        <v>4.4000000000000004</v>
      </c>
      <c r="I904" s="2">
        <v>15</v>
      </c>
      <c r="J904" s="12">
        <f>I904/Pondération!$H$57</f>
        <v>0.19230769230769232</v>
      </c>
    </row>
    <row r="905" spans="1:10" x14ac:dyDescent="0.25">
      <c r="A905" s="2" t="s">
        <v>77</v>
      </c>
      <c r="B905" s="2">
        <v>2015</v>
      </c>
      <c r="C905" s="2" t="s">
        <v>13</v>
      </c>
      <c r="D905" s="2" t="s">
        <v>38</v>
      </c>
      <c r="E905" s="2" t="s">
        <v>78</v>
      </c>
      <c r="F905" s="2" t="s">
        <v>81</v>
      </c>
      <c r="G905" s="2">
        <f t="shared" si="14"/>
        <v>0.72435897435897434</v>
      </c>
      <c r="H905" s="5">
        <v>4.708333333333333</v>
      </c>
      <c r="I905" s="2">
        <v>12</v>
      </c>
      <c r="J905" s="12">
        <f>I905/Pondération!$H$57</f>
        <v>0.15384615384615385</v>
      </c>
    </row>
    <row r="906" spans="1:10" x14ac:dyDescent="0.25">
      <c r="A906" s="2" t="s">
        <v>77</v>
      </c>
      <c r="B906" s="2">
        <v>2015</v>
      </c>
      <c r="C906" s="2" t="s">
        <v>14</v>
      </c>
      <c r="D906" s="2" t="s">
        <v>38</v>
      </c>
      <c r="E906" s="2" t="s">
        <v>78</v>
      </c>
      <c r="F906" s="2" t="s">
        <v>81</v>
      </c>
      <c r="G906" s="2">
        <f t="shared" si="14"/>
        <v>0.27564102564102561</v>
      </c>
      <c r="H906" s="5">
        <v>4.3</v>
      </c>
      <c r="I906" s="2">
        <v>5</v>
      </c>
      <c r="J906" s="12">
        <f>I906/Pondération!$H$57</f>
        <v>6.4102564102564097E-2</v>
      </c>
    </row>
    <row r="907" spans="1:10" x14ac:dyDescent="0.25">
      <c r="A907" s="2" t="s">
        <v>77</v>
      </c>
      <c r="B907" s="2">
        <v>2015</v>
      </c>
      <c r="C907" s="2" t="s">
        <v>15</v>
      </c>
      <c r="D907" s="2" t="s">
        <v>38</v>
      </c>
      <c r="E907" s="2" t="s">
        <v>78</v>
      </c>
      <c r="F907" s="2" t="s">
        <v>81</v>
      </c>
      <c r="G907" s="2">
        <f t="shared" si="14"/>
        <v>0.30128205128205127</v>
      </c>
      <c r="H907" s="5">
        <v>3.9166666666666665</v>
      </c>
      <c r="I907" s="2">
        <v>6</v>
      </c>
      <c r="J907" s="12">
        <f>I907/Pondération!$H$57</f>
        <v>7.6923076923076927E-2</v>
      </c>
    </row>
    <row r="908" spans="1:10" x14ac:dyDescent="0.25">
      <c r="A908" s="2" t="s">
        <v>77</v>
      </c>
      <c r="B908" s="2">
        <v>2015</v>
      </c>
      <c r="C908" s="2" t="s">
        <v>16</v>
      </c>
      <c r="D908" s="2" t="s">
        <v>38</v>
      </c>
      <c r="E908" s="2" t="s">
        <v>78</v>
      </c>
      <c r="F908" s="2" t="s">
        <v>81</v>
      </c>
      <c r="G908" s="2">
        <f t="shared" si="14"/>
        <v>6.4102564102564097E-2</v>
      </c>
      <c r="H908" s="5">
        <v>5</v>
      </c>
      <c r="I908" s="2">
        <v>1</v>
      </c>
      <c r="J908" s="12">
        <f>I908/Pondération!$H$57</f>
        <v>1.282051282051282E-2</v>
      </c>
    </row>
    <row r="909" spans="1:10" x14ac:dyDescent="0.25">
      <c r="A909" s="2" t="s">
        <v>77</v>
      </c>
      <c r="B909" s="2">
        <v>2015</v>
      </c>
      <c r="C909" s="2" t="s">
        <v>17</v>
      </c>
      <c r="D909" s="2" t="s">
        <v>38</v>
      </c>
      <c r="E909" s="2" t="s">
        <v>78</v>
      </c>
      <c r="F909" s="2" t="s">
        <v>81</v>
      </c>
      <c r="G909" s="2">
        <f t="shared" si="14"/>
        <v>5.7692307692307689E-2</v>
      </c>
      <c r="H909" s="5">
        <v>4.5</v>
      </c>
      <c r="I909" s="2">
        <v>1</v>
      </c>
      <c r="J909" s="12">
        <f>I909/Pondération!$H$57</f>
        <v>1.282051282051282E-2</v>
      </c>
    </row>
    <row r="910" spans="1:10" x14ac:dyDescent="0.25">
      <c r="A910" s="2" t="s">
        <v>77</v>
      </c>
      <c r="B910" s="2">
        <v>2016</v>
      </c>
      <c r="C910" s="2" t="s">
        <v>18</v>
      </c>
      <c r="D910" s="2" t="s">
        <v>38</v>
      </c>
      <c r="E910" s="2" t="s">
        <v>78</v>
      </c>
      <c r="F910" s="2" t="s">
        <v>81</v>
      </c>
      <c r="G910" s="2">
        <f t="shared" si="14"/>
        <v>0.05</v>
      </c>
      <c r="H910" s="5">
        <v>5</v>
      </c>
      <c r="I910" s="2">
        <v>1</v>
      </c>
      <c r="J910" s="12">
        <f>I910/Pondération!$G$57</f>
        <v>0.01</v>
      </c>
    </row>
    <row r="911" spans="1:10" x14ac:dyDescent="0.25">
      <c r="A911" s="2" t="s">
        <v>77</v>
      </c>
      <c r="B911" s="2">
        <v>2016</v>
      </c>
      <c r="C911" s="2" t="s">
        <v>19</v>
      </c>
      <c r="D911" s="2" t="s">
        <v>38</v>
      </c>
      <c r="E911" s="2" t="s">
        <v>78</v>
      </c>
      <c r="F911" s="2" t="s">
        <v>81</v>
      </c>
      <c r="G911" s="2">
        <f t="shared" si="14"/>
        <v>4.4999999999999998E-2</v>
      </c>
      <c r="H911" s="5">
        <v>4.5</v>
      </c>
      <c r="I911" s="2">
        <v>1</v>
      </c>
      <c r="J911" s="12">
        <f>I911/Pondération!$G$57</f>
        <v>0.01</v>
      </c>
    </row>
    <row r="912" spans="1:10" x14ac:dyDescent="0.25">
      <c r="A912" s="2" t="s">
        <v>77</v>
      </c>
      <c r="B912" s="2">
        <v>2016</v>
      </c>
      <c r="C912" s="2" t="s">
        <v>20</v>
      </c>
      <c r="D912" s="2" t="s">
        <v>38</v>
      </c>
      <c r="E912" s="2" t="s">
        <v>78</v>
      </c>
      <c r="F912" s="2" t="s">
        <v>81</v>
      </c>
      <c r="G912" s="2">
        <f t="shared" si="14"/>
        <v>0.14499999999999999</v>
      </c>
      <c r="H912" s="5">
        <v>4.833333333333333</v>
      </c>
      <c r="I912" s="2">
        <v>3</v>
      </c>
      <c r="J912" s="12">
        <f>I912/Pondération!$G$57</f>
        <v>0.03</v>
      </c>
    </row>
    <row r="913" spans="1:10" x14ac:dyDescent="0.25">
      <c r="A913" s="2" t="s">
        <v>77</v>
      </c>
      <c r="B913" s="2">
        <v>2016</v>
      </c>
      <c r="C913" s="2" t="s">
        <v>21</v>
      </c>
      <c r="D913" s="2" t="s">
        <v>38</v>
      </c>
      <c r="E913" s="2" t="s">
        <v>78</v>
      </c>
      <c r="F913" s="2" t="s">
        <v>81</v>
      </c>
      <c r="G913" s="2">
        <f t="shared" si="14"/>
        <v>0.215</v>
      </c>
      <c r="H913" s="5">
        <v>4.3</v>
      </c>
      <c r="I913" s="2">
        <v>5</v>
      </c>
      <c r="J913" s="12">
        <f>I913/Pondération!$G$57</f>
        <v>0.05</v>
      </c>
    </row>
    <row r="914" spans="1:10" x14ac:dyDescent="0.25">
      <c r="A914" s="2" t="s">
        <v>77</v>
      </c>
      <c r="B914" s="2">
        <v>2016</v>
      </c>
      <c r="C914" s="2" t="s">
        <v>22</v>
      </c>
      <c r="D914" s="2" t="s">
        <v>38</v>
      </c>
      <c r="E914" s="2" t="s">
        <v>78</v>
      </c>
      <c r="F914" s="2" t="s">
        <v>81</v>
      </c>
      <c r="G914" s="2">
        <f t="shared" si="14"/>
        <v>0.27</v>
      </c>
      <c r="H914" s="5">
        <v>4.5</v>
      </c>
      <c r="I914" s="2">
        <v>6</v>
      </c>
      <c r="J914" s="12">
        <f>I914/Pondération!$G$57</f>
        <v>0.06</v>
      </c>
    </row>
    <row r="915" spans="1:10" x14ac:dyDescent="0.25">
      <c r="A915" s="2" t="s">
        <v>77</v>
      </c>
      <c r="B915" s="2">
        <v>2016</v>
      </c>
      <c r="C915" s="2" t="s">
        <v>23</v>
      </c>
      <c r="D915" s="2" t="s">
        <v>38</v>
      </c>
      <c r="E915" s="2" t="s">
        <v>78</v>
      </c>
      <c r="F915" s="2" t="s">
        <v>81</v>
      </c>
      <c r="G915" s="2">
        <f t="shared" si="14"/>
        <v>0.17500000000000002</v>
      </c>
      <c r="H915" s="5">
        <v>4.375</v>
      </c>
      <c r="I915" s="2">
        <v>4</v>
      </c>
      <c r="J915" s="12">
        <f>I915/Pondération!$G$57</f>
        <v>0.04</v>
      </c>
    </row>
    <row r="916" spans="1:10" x14ac:dyDescent="0.25">
      <c r="A916" s="2" t="s">
        <v>77</v>
      </c>
      <c r="B916" s="2">
        <v>2016</v>
      </c>
      <c r="C916" s="2" t="s">
        <v>24</v>
      </c>
      <c r="D916" s="2" t="s">
        <v>38</v>
      </c>
      <c r="E916" s="2" t="s">
        <v>78</v>
      </c>
      <c r="F916" s="2" t="s">
        <v>81</v>
      </c>
      <c r="G916" s="2">
        <f t="shared" si="14"/>
        <v>1.0149999999999999</v>
      </c>
      <c r="H916" s="5">
        <v>4.6136363636363633</v>
      </c>
      <c r="I916" s="2">
        <v>22</v>
      </c>
      <c r="J916" s="12">
        <f>I916/Pondération!$G$57</f>
        <v>0.22</v>
      </c>
    </row>
    <row r="917" spans="1:10" x14ac:dyDescent="0.25">
      <c r="A917" s="2" t="s">
        <v>77</v>
      </c>
      <c r="B917" s="2">
        <v>2016</v>
      </c>
      <c r="C917" s="2" t="s">
        <v>25</v>
      </c>
      <c r="D917" s="2" t="s">
        <v>38</v>
      </c>
      <c r="E917" s="2" t="s">
        <v>78</v>
      </c>
      <c r="F917" s="2" t="s">
        <v>81</v>
      </c>
      <c r="G917" s="2">
        <f t="shared" si="14"/>
        <v>1.4350000000000001</v>
      </c>
      <c r="H917" s="5">
        <v>4.484375</v>
      </c>
      <c r="I917" s="2">
        <v>32</v>
      </c>
      <c r="J917" s="12">
        <f>I917/Pondération!$G$57</f>
        <v>0.32</v>
      </c>
    </row>
    <row r="918" spans="1:10" x14ac:dyDescent="0.25">
      <c r="A918" s="2" t="s">
        <v>77</v>
      </c>
      <c r="B918" s="2">
        <v>2016</v>
      </c>
      <c r="C918" s="2" t="s">
        <v>26</v>
      </c>
      <c r="D918" s="2" t="s">
        <v>38</v>
      </c>
      <c r="E918" s="2" t="s">
        <v>78</v>
      </c>
      <c r="F918" s="2" t="s">
        <v>81</v>
      </c>
      <c r="G918" s="2">
        <f t="shared" si="14"/>
        <v>0.83500000000000008</v>
      </c>
      <c r="H918" s="5">
        <v>4.6388888888888893</v>
      </c>
      <c r="I918" s="2">
        <v>18</v>
      </c>
      <c r="J918" s="12">
        <f>I918/Pondération!$G$57</f>
        <v>0.18</v>
      </c>
    </row>
    <row r="919" spans="1:10" x14ac:dyDescent="0.25">
      <c r="A919" s="2" t="s">
        <v>77</v>
      </c>
      <c r="B919" s="2">
        <v>2016</v>
      </c>
      <c r="C919" s="2" t="s">
        <v>27</v>
      </c>
      <c r="D919" s="2" t="s">
        <v>38</v>
      </c>
      <c r="E919" s="2" t="s">
        <v>78</v>
      </c>
      <c r="F919" s="2" t="s">
        <v>81</v>
      </c>
      <c r="G919" s="2">
        <f t="shared" si="14"/>
        <v>0.18</v>
      </c>
      <c r="H919" s="5">
        <v>4.5</v>
      </c>
      <c r="I919" s="2">
        <v>4</v>
      </c>
      <c r="J919" s="12">
        <f>I919/Pondération!$G$57</f>
        <v>0.04</v>
      </c>
    </row>
    <row r="920" spans="1:10" x14ac:dyDescent="0.25">
      <c r="A920" s="2" t="s">
        <v>77</v>
      </c>
      <c r="B920" s="2">
        <v>2016</v>
      </c>
      <c r="C920" s="2" t="s">
        <v>28</v>
      </c>
      <c r="D920" s="2" t="s">
        <v>38</v>
      </c>
      <c r="E920" s="2" t="s">
        <v>78</v>
      </c>
      <c r="F920" s="2" t="s">
        <v>81</v>
      </c>
      <c r="G920" s="2">
        <f t="shared" si="14"/>
        <v>0.14000000000000001</v>
      </c>
      <c r="H920" s="5">
        <v>4.666666666666667</v>
      </c>
      <c r="I920" s="2">
        <v>3</v>
      </c>
      <c r="J920" s="12">
        <f>I920/Pondération!$G$57</f>
        <v>0.03</v>
      </c>
    </row>
    <row r="921" spans="1:10" x14ac:dyDescent="0.25">
      <c r="A921" s="2" t="s">
        <v>77</v>
      </c>
      <c r="B921" s="2">
        <v>2016</v>
      </c>
      <c r="C921" s="2" t="s">
        <v>29</v>
      </c>
      <c r="D921" s="2" t="s">
        <v>38</v>
      </c>
      <c r="E921" s="2" t="s">
        <v>78</v>
      </c>
      <c r="F921" s="2" t="s">
        <v>81</v>
      </c>
      <c r="G921" s="2">
        <f t="shared" si="14"/>
        <v>0.04</v>
      </c>
      <c r="H921" s="5">
        <v>4</v>
      </c>
      <c r="I921" s="2">
        <v>1</v>
      </c>
      <c r="J921" s="12">
        <f>I921/Pondération!$G$57</f>
        <v>0.01</v>
      </c>
    </row>
    <row r="922" spans="1:10" x14ac:dyDescent="0.25">
      <c r="A922" s="2" t="s">
        <v>77</v>
      </c>
      <c r="B922" s="2">
        <v>2017</v>
      </c>
      <c r="C922" s="2" t="s">
        <v>33</v>
      </c>
      <c r="D922" s="2" t="s">
        <v>38</v>
      </c>
      <c r="E922" s="2" t="s">
        <v>78</v>
      </c>
      <c r="F922" s="2" t="s">
        <v>81</v>
      </c>
      <c r="G922" s="2">
        <f t="shared" si="14"/>
        <v>1.7272727272727273</v>
      </c>
      <c r="H922" s="5">
        <v>4.75</v>
      </c>
      <c r="I922" s="2">
        <v>4</v>
      </c>
      <c r="J922" s="12">
        <f>I922/Pondération!$F$57</f>
        <v>0.36363636363636365</v>
      </c>
    </row>
    <row r="923" spans="1:10" x14ac:dyDescent="0.25">
      <c r="A923" s="2" t="s">
        <v>77</v>
      </c>
      <c r="B923" s="2">
        <v>2017</v>
      </c>
      <c r="C923" s="2" t="s">
        <v>34</v>
      </c>
      <c r="D923" s="2" t="s">
        <v>38</v>
      </c>
      <c r="E923" s="2" t="s">
        <v>78</v>
      </c>
      <c r="F923" s="2" t="s">
        <v>81</v>
      </c>
      <c r="G923" s="2">
        <f t="shared" si="14"/>
        <v>1.6818181818181819</v>
      </c>
      <c r="H923" s="5">
        <v>4.625</v>
      </c>
      <c r="I923" s="2">
        <v>4</v>
      </c>
      <c r="J923" s="12">
        <f>I923/Pondération!$F$57</f>
        <v>0.36363636363636365</v>
      </c>
    </row>
    <row r="924" spans="1:10" x14ac:dyDescent="0.25">
      <c r="A924" s="2" t="s">
        <v>77</v>
      </c>
      <c r="B924" s="2">
        <v>2017</v>
      </c>
      <c r="C924" s="2" t="s">
        <v>80</v>
      </c>
      <c r="D924" s="2" t="s">
        <v>38</v>
      </c>
      <c r="E924" s="2" t="s">
        <v>78</v>
      </c>
      <c r="F924" s="2" t="s">
        <v>81</v>
      </c>
      <c r="G924" s="2">
        <f t="shared" si="14"/>
        <v>1.1363636363636365</v>
      </c>
      <c r="H924" s="5">
        <v>4.166666666666667</v>
      </c>
      <c r="I924" s="2">
        <v>3</v>
      </c>
      <c r="J924" s="12">
        <f>I924/Pondération!$F$57</f>
        <v>0.27272727272727271</v>
      </c>
    </row>
    <row r="925" spans="1:10" x14ac:dyDescent="0.25">
      <c r="A925" s="2" t="s">
        <v>77</v>
      </c>
      <c r="B925" s="2">
        <v>2013</v>
      </c>
      <c r="C925" s="2" t="s">
        <v>53</v>
      </c>
      <c r="D925" s="2" t="s">
        <v>38</v>
      </c>
      <c r="E925" s="2" t="s">
        <v>78</v>
      </c>
      <c r="F925" s="2" t="s">
        <v>83</v>
      </c>
      <c r="G925" s="2">
        <f t="shared" si="14"/>
        <v>0.625</v>
      </c>
      <c r="H925" s="5">
        <v>5</v>
      </c>
      <c r="I925" s="2">
        <v>1</v>
      </c>
      <c r="J925" s="12">
        <f>I925/Pondération!$J$58</f>
        <v>0.125</v>
      </c>
    </row>
    <row r="926" spans="1:10" x14ac:dyDescent="0.25">
      <c r="A926" s="2" t="s">
        <v>77</v>
      </c>
      <c r="B926" s="2">
        <v>2013</v>
      </c>
      <c r="C926" s="2" t="s">
        <v>56</v>
      </c>
      <c r="D926" s="2" t="s">
        <v>38</v>
      </c>
      <c r="E926" s="2" t="s">
        <v>78</v>
      </c>
      <c r="F926" s="2" t="s">
        <v>83</v>
      </c>
      <c r="G926" s="2">
        <f t="shared" si="14"/>
        <v>2.3125</v>
      </c>
      <c r="H926" s="5">
        <v>4.625</v>
      </c>
      <c r="I926" s="2">
        <v>4</v>
      </c>
      <c r="J926" s="12">
        <f>I926/Pondération!$J$58</f>
        <v>0.5</v>
      </c>
    </row>
    <row r="927" spans="1:10" x14ac:dyDescent="0.25">
      <c r="A927" s="2" t="s">
        <v>77</v>
      </c>
      <c r="B927" s="2">
        <v>2013</v>
      </c>
      <c r="C927" s="2" t="s">
        <v>57</v>
      </c>
      <c r="D927" s="2" t="s">
        <v>38</v>
      </c>
      <c r="E927" s="2" t="s">
        <v>78</v>
      </c>
      <c r="F927" s="2" t="s">
        <v>83</v>
      </c>
      <c r="G927" s="2">
        <f t="shared" si="14"/>
        <v>0.5625</v>
      </c>
      <c r="H927" s="5">
        <v>4.5</v>
      </c>
      <c r="I927" s="2">
        <v>1</v>
      </c>
      <c r="J927" s="12">
        <f>I927/Pondération!$J$58</f>
        <v>0.125</v>
      </c>
    </row>
    <row r="928" spans="1:10" x14ac:dyDescent="0.25">
      <c r="A928" s="2" t="s">
        <v>77</v>
      </c>
      <c r="B928" s="2">
        <v>2013</v>
      </c>
      <c r="C928" s="2" t="s">
        <v>58</v>
      </c>
      <c r="D928" s="2" t="s">
        <v>38</v>
      </c>
      <c r="E928" s="2" t="s">
        <v>78</v>
      </c>
      <c r="F928" s="2" t="s">
        <v>83</v>
      </c>
      <c r="G928" s="2">
        <f t="shared" si="14"/>
        <v>1.1875</v>
      </c>
      <c r="H928" s="5">
        <v>4.75</v>
      </c>
      <c r="I928" s="2">
        <v>2</v>
      </c>
      <c r="J928" s="12">
        <f>I928/Pondération!$J$58</f>
        <v>0.25</v>
      </c>
    </row>
    <row r="929" spans="1:10" x14ac:dyDescent="0.25">
      <c r="A929" s="2" t="s">
        <v>77</v>
      </c>
      <c r="B929" s="2">
        <v>2014</v>
      </c>
      <c r="C929" s="2" t="s">
        <v>64</v>
      </c>
      <c r="D929" s="2" t="s">
        <v>38</v>
      </c>
      <c r="E929" s="2" t="s">
        <v>78</v>
      </c>
      <c r="F929" s="2" t="s">
        <v>83</v>
      </c>
      <c r="G929" s="2">
        <f t="shared" si="14"/>
        <v>0.125</v>
      </c>
      <c r="H929" s="5">
        <v>4.5</v>
      </c>
      <c r="I929" s="2">
        <v>1</v>
      </c>
      <c r="J929" s="12">
        <f>I929/Pondération!$I$58</f>
        <v>2.7777777777777776E-2</v>
      </c>
    </row>
    <row r="930" spans="1:10" x14ac:dyDescent="0.25">
      <c r="A930" s="2" t="s">
        <v>77</v>
      </c>
      <c r="B930" s="2">
        <v>2014</v>
      </c>
      <c r="C930" s="2" t="s">
        <v>65</v>
      </c>
      <c r="D930" s="2" t="s">
        <v>38</v>
      </c>
      <c r="E930" s="2" t="s">
        <v>78</v>
      </c>
      <c r="F930" s="2" t="s">
        <v>83</v>
      </c>
      <c r="G930" s="2">
        <f t="shared" si="14"/>
        <v>0.1388888888888889</v>
      </c>
      <c r="H930" s="5">
        <v>5</v>
      </c>
      <c r="I930" s="2">
        <v>1</v>
      </c>
      <c r="J930" s="12">
        <f>I930/Pondération!$I$58</f>
        <v>2.7777777777777776E-2</v>
      </c>
    </row>
    <row r="931" spans="1:10" x14ac:dyDescent="0.25">
      <c r="A931" s="2" t="s">
        <v>77</v>
      </c>
      <c r="B931" s="2">
        <v>2014</v>
      </c>
      <c r="C931" s="2" t="s">
        <v>66</v>
      </c>
      <c r="D931" s="2" t="s">
        <v>38</v>
      </c>
      <c r="E931" s="2" t="s">
        <v>78</v>
      </c>
      <c r="F931" s="2" t="s">
        <v>83</v>
      </c>
      <c r="G931" s="2">
        <f t="shared" si="14"/>
        <v>0.3888888888888889</v>
      </c>
      <c r="H931" s="5">
        <v>4.666666666666667</v>
      </c>
      <c r="I931" s="2">
        <v>3</v>
      </c>
      <c r="J931" s="12">
        <f>I931/Pondération!$I$58</f>
        <v>8.3333333333333329E-2</v>
      </c>
    </row>
    <row r="932" spans="1:10" x14ac:dyDescent="0.25">
      <c r="A932" s="2" t="s">
        <v>77</v>
      </c>
      <c r="B932" s="2">
        <v>2014</v>
      </c>
      <c r="C932" s="2" t="s">
        <v>67</v>
      </c>
      <c r="D932" s="2" t="s">
        <v>38</v>
      </c>
      <c r="E932" s="2" t="s">
        <v>78</v>
      </c>
      <c r="F932" s="2" t="s">
        <v>83</v>
      </c>
      <c r="G932" s="2">
        <f t="shared" si="14"/>
        <v>0.68055555555555558</v>
      </c>
      <c r="H932" s="5">
        <v>4.9000000000000004</v>
      </c>
      <c r="I932" s="2">
        <v>5</v>
      </c>
      <c r="J932" s="12">
        <f>I932/Pondération!$I$58</f>
        <v>0.1388888888888889</v>
      </c>
    </row>
    <row r="933" spans="1:10" x14ac:dyDescent="0.25">
      <c r="A933" s="2" t="s">
        <v>77</v>
      </c>
      <c r="B933" s="2">
        <v>2014</v>
      </c>
      <c r="C933" s="2" t="s">
        <v>68</v>
      </c>
      <c r="D933" s="2" t="s">
        <v>38</v>
      </c>
      <c r="E933" s="2" t="s">
        <v>78</v>
      </c>
      <c r="F933" s="2" t="s">
        <v>83</v>
      </c>
      <c r="G933" s="2">
        <f t="shared" si="14"/>
        <v>1.4583333333333335</v>
      </c>
      <c r="H933" s="5">
        <v>4.7727272727272725</v>
      </c>
      <c r="I933" s="2">
        <v>11</v>
      </c>
      <c r="J933" s="12">
        <f>I933/Pondération!$I$58</f>
        <v>0.30555555555555558</v>
      </c>
    </row>
    <row r="934" spans="1:10" x14ac:dyDescent="0.25">
      <c r="A934" s="2" t="s">
        <v>77</v>
      </c>
      <c r="B934" s="2">
        <v>2014</v>
      </c>
      <c r="C934" s="2" t="s">
        <v>69</v>
      </c>
      <c r="D934" s="2" t="s">
        <v>38</v>
      </c>
      <c r="E934" s="2" t="s">
        <v>78</v>
      </c>
      <c r="F934" s="2" t="s">
        <v>83</v>
      </c>
      <c r="G934" s="2">
        <f t="shared" si="14"/>
        <v>1.2083333333333333</v>
      </c>
      <c r="H934" s="5">
        <v>4.3499999999999996</v>
      </c>
      <c r="I934" s="2">
        <v>10</v>
      </c>
      <c r="J934" s="12">
        <f>I934/Pondération!$I$58</f>
        <v>0.27777777777777779</v>
      </c>
    </row>
    <row r="935" spans="1:10" x14ac:dyDescent="0.25">
      <c r="A935" s="2" t="s">
        <v>77</v>
      </c>
      <c r="B935" s="2">
        <v>2014</v>
      </c>
      <c r="C935" s="2" t="s">
        <v>70</v>
      </c>
      <c r="D935" s="2" t="s">
        <v>38</v>
      </c>
      <c r="E935" s="2" t="s">
        <v>78</v>
      </c>
      <c r="F935" s="2" t="s">
        <v>83</v>
      </c>
      <c r="G935" s="2">
        <f t="shared" si="14"/>
        <v>0.3888888888888889</v>
      </c>
      <c r="H935" s="5">
        <v>4.666666666666667</v>
      </c>
      <c r="I935" s="2">
        <v>3</v>
      </c>
      <c r="J935" s="12">
        <f>I935/Pondération!$I$58</f>
        <v>8.3333333333333329E-2</v>
      </c>
    </row>
    <row r="936" spans="1:10" x14ac:dyDescent="0.25">
      <c r="A936" s="2" t="s">
        <v>77</v>
      </c>
      <c r="B936" s="2">
        <v>2014</v>
      </c>
      <c r="C936" s="2" t="s">
        <v>71</v>
      </c>
      <c r="D936" s="2" t="s">
        <v>38</v>
      </c>
      <c r="E936" s="2" t="s">
        <v>78</v>
      </c>
      <c r="F936" s="2" t="s">
        <v>83</v>
      </c>
      <c r="G936" s="2">
        <f t="shared" si="14"/>
        <v>0.2638888888888889</v>
      </c>
      <c r="H936" s="5">
        <v>4.75</v>
      </c>
      <c r="I936" s="2">
        <v>2</v>
      </c>
      <c r="J936" s="12">
        <f>I936/Pondération!$I$58</f>
        <v>5.5555555555555552E-2</v>
      </c>
    </row>
    <row r="937" spans="1:10" x14ac:dyDescent="0.25">
      <c r="A937" s="2" t="s">
        <v>77</v>
      </c>
      <c r="B937" s="2">
        <v>2015</v>
      </c>
      <c r="C937" s="2" t="s">
        <v>73</v>
      </c>
      <c r="D937" s="2" t="s">
        <v>38</v>
      </c>
      <c r="E937" s="2" t="s">
        <v>78</v>
      </c>
      <c r="F937" s="2" t="s">
        <v>83</v>
      </c>
      <c r="G937" s="2">
        <f t="shared" si="14"/>
        <v>6.5217391304347824E-2</v>
      </c>
      <c r="H937" s="5">
        <v>4.5</v>
      </c>
      <c r="I937" s="2">
        <v>2</v>
      </c>
      <c r="J937" s="12">
        <f>I937/Pondération!$H$58</f>
        <v>1.4492753623188406E-2</v>
      </c>
    </row>
    <row r="938" spans="1:10" x14ac:dyDescent="0.25">
      <c r="A938" s="2" t="s">
        <v>77</v>
      </c>
      <c r="B938" s="2">
        <v>2015</v>
      </c>
      <c r="C938" s="2" t="s">
        <v>74</v>
      </c>
      <c r="D938" s="2" t="s">
        <v>38</v>
      </c>
      <c r="E938" s="2" t="s">
        <v>78</v>
      </c>
      <c r="F938" s="2" t="s">
        <v>83</v>
      </c>
      <c r="G938" s="2">
        <f t="shared" si="14"/>
        <v>3.2608695652173912E-2</v>
      </c>
      <c r="H938" s="5">
        <v>4.5</v>
      </c>
      <c r="I938" s="2">
        <v>1</v>
      </c>
      <c r="J938" s="12">
        <f>I938/Pondération!$H$58</f>
        <v>7.246376811594203E-3</v>
      </c>
    </row>
    <row r="939" spans="1:10" x14ac:dyDescent="0.25">
      <c r="A939" s="2" t="s">
        <v>77</v>
      </c>
      <c r="B939" s="2">
        <v>2015</v>
      </c>
      <c r="C939" s="2" t="s">
        <v>75</v>
      </c>
      <c r="D939" s="2" t="s">
        <v>38</v>
      </c>
      <c r="E939" s="2" t="s">
        <v>78</v>
      </c>
      <c r="F939" s="2" t="s">
        <v>83</v>
      </c>
      <c r="G939" s="2">
        <f t="shared" si="14"/>
        <v>6.5217391304347824E-2</v>
      </c>
      <c r="H939" s="5">
        <v>4.5</v>
      </c>
      <c r="I939" s="2">
        <v>2</v>
      </c>
      <c r="J939" s="12">
        <f>I939/Pondération!$H$58</f>
        <v>1.4492753623188406E-2</v>
      </c>
    </row>
    <row r="940" spans="1:10" x14ac:dyDescent="0.25">
      <c r="A940" s="2" t="s">
        <v>77</v>
      </c>
      <c r="B940" s="2">
        <v>2015</v>
      </c>
      <c r="C940" s="2" t="s">
        <v>76</v>
      </c>
      <c r="D940" s="2" t="s">
        <v>38</v>
      </c>
      <c r="E940" s="2" t="s">
        <v>78</v>
      </c>
      <c r="F940" s="2" t="s">
        <v>83</v>
      </c>
      <c r="G940" s="2">
        <f t="shared" si="14"/>
        <v>0.12681159420289856</v>
      </c>
      <c r="H940" s="5">
        <v>4.375</v>
      </c>
      <c r="I940" s="2">
        <v>4</v>
      </c>
      <c r="J940" s="12">
        <f>I940/Pondération!$H$58</f>
        <v>2.8985507246376812E-2</v>
      </c>
    </row>
    <row r="941" spans="1:10" x14ac:dyDescent="0.25">
      <c r="A941" s="2" t="s">
        <v>77</v>
      </c>
      <c r="B941" s="2">
        <v>2015</v>
      </c>
      <c r="C941" s="2" t="s">
        <v>7</v>
      </c>
      <c r="D941" s="2" t="s">
        <v>38</v>
      </c>
      <c r="E941" s="2" t="s">
        <v>78</v>
      </c>
      <c r="F941" s="2" t="s">
        <v>83</v>
      </c>
      <c r="G941" s="2">
        <f t="shared" si="14"/>
        <v>0.6123188405797102</v>
      </c>
      <c r="H941" s="5">
        <v>4.6944444444444446</v>
      </c>
      <c r="I941" s="2">
        <v>18</v>
      </c>
      <c r="J941" s="12">
        <f>I941/Pondération!$H$58</f>
        <v>0.13043478260869565</v>
      </c>
    </row>
    <row r="942" spans="1:10" x14ac:dyDescent="0.25">
      <c r="A942" s="2" t="s">
        <v>77</v>
      </c>
      <c r="B942" s="2">
        <v>2015</v>
      </c>
      <c r="C942" s="2" t="s">
        <v>11</v>
      </c>
      <c r="D942" s="2" t="s">
        <v>38</v>
      </c>
      <c r="E942" s="2" t="s">
        <v>78</v>
      </c>
      <c r="F942" s="2" t="s">
        <v>83</v>
      </c>
      <c r="G942" s="2">
        <f t="shared" si="14"/>
        <v>0.48550724637681159</v>
      </c>
      <c r="H942" s="5">
        <v>4.7857142857142856</v>
      </c>
      <c r="I942" s="2">
        <v>14</v>
      </c>
      <c r="J942" s="12">
        <f>I942/Pondération!$H$58</f>
        <v>0.10144927536231885</v>
      </c>
    </row>
    <row r="943" spans="1:10" x14ac:dyDescent="0.25">
      <c r="A943" s="2" t="s">
        <v>77</v>
      </c>
      <c r="B943" s="2">
        <v>2015</v>
      </c>
      <c r="C943" s="2" t="s">
        <v>12</v>
      </c>
      <c r="D943" s="2" t="s">
        <v>38</v>
      </c>
      <c r="E943" s="2" t="s">
        <v>78</v>
      </c>
      <c r="F943" s="2" t="s">
        <v>83</v>
      </c>
      <c r="G943" s="2">
        <f t="shared" si="14"/>
        <v>0.62318840579710144</v>
      </c>
      <c r="H943" s="5">
        <v>4.5263157894736841</v>
      </c>
      <c r="I943" s="2">
        <v>19</v>
      </c>
      <c r="J943" s="12">
        <f>I943/Pondération!$H$58</f>
        <v>0.13768115942028986</v>
      </c>
    </row>
    <row r="944" spans="1:10" x14ac:dyDescent="0.25">
      <c r="A944" s="2" t="s">
        <v>77</v>
      </c>
      <c r="B944" s="2">
        <v>2015</v>
      </c>
      <c r="C944" s="2" t="s">
        <v>13</v>
      </c>
      <c r="D944" s="2" t="s">
        <v>38</v>
      </c>
      <c r="E944" s="2" t="s">
        <v>78</v>
      </c>
      <c r="F944" s="2" t="s">
        <v>83</v>
      </c>
      <c r="G944" s="2">
        <f t="shared" si="14"/>
        <v>0.90579710144927539</v>
      </c>
      <c r="H944" s="5">
        <v>4.6296296296296298</v>
      </c>
      <c r="I944" s="2">
        <v>27</v>
      </c>
      <c r="J944" s="12">
        <f>I944/Pondération!$H$58</f>
        <v>0.19565217391304349</v>
      </c>
    </row>
    <row r="945" spans="1:10" x14ac:dyDescent="0.25">
      <c r="A945" s="2" t="s">
        <v>77</v>
      </c>
      <c r="B945" s="2">
        <v>2015</v>
      </c>
      <c r="C945" s="2" t="s">
        <v>14</v>
      </c>
      <c r="D945" s="2" t="s">
        <v>38</v>
      </c>
      <c r="E945" s="2" t="s">
        <v>78</v>
      </c>
      <c r="F945" s="2" t="s">
        <v>83</v>
      </c>
      <c r="G945" s="2">
        <f t="shared" si="14"/>
        <v>0.92391304347826098</v>
      </c>
      <c r="H945" s="5">
        <v>4.5535714285714288</v>
      </c>
      <c r="I945" s="2">
        <v>28</v>
      </c>
      <c r="J945" s="12">
        <f>I945/Pondération!$H$58</f>
        <v>0.20289855072463769</v>
      </c>
    </row>
    <row r="946" spans="1:10" x14ac:dyDescent="0.25">
      <c r="A946" s="2" t="s">
        <v>77</v>
      </c>
      <c r="B946" s="2">
        <v>2015</v>
      </c>
      <c r="C946" s="2" t="s">
        <v>15</v>
      </c>
      <c r="D946" s="2" t="s">
        <v>38</v>
      </c>
      <c r="E946" s="2" t="s">
        <v>78</v>
      </c>
      <c r="F946" s="2" t="s">
        <v>83</v>
      </c>
      <c r="G946" s="2">
        <f t="shared" si="14"/>
        <v>0.65579710144927539</v>
      </c>
      <c r="H946" s="5">
        <v>4.5250000000000004</v>
      </c>
      <c r="I946" s="2">
        <v>20</v>
      </c>
      <c r="J946" s="12">
        <f>I946/Pondération!$H$58</f>
        <v>0.14492753623188406</v>
      </c>
    </row>
    <row r="947" spans="1:10" x14ac:dyDescent="0.25">
      <c r="A947" s="2" t="s">
        <v>77</v>
      </c>
      <c r="B947" s="2">
        <v>2015</v>
      </c>
      <c r="C947" s="2" t="s">
        <v>16</v>
      </c>
      <c r="D947" s="2" t="s">
        <v>38</v>
      </c>
      <c r="E947" s="2" t="s">
        <v>78</v>
      </c>
      <c r="F947" s="2" t="s">
        <v>83</v>
      </c>
      <c r="G947" s="2">
        <f t="shared" si="14"/>
        <v>9.7826086956521729E-2</v>
      </c>
      <c r="H947" s="5">
        <v>4.5</v>
      </c>
      <c r="I947" s="2">
        <v>3</v>
      </c>
      <c r="J947" s="12">
        <f>I947/Pondération!$H$58</f>
        <v>2.1739130434782608E-2</v>
      </c>
    </row>
    <row r="948" spans="1:10" x14ac:dyDescent="0.25">
      <c r="A948" s="2" t="s">
        <v>77</v>
      </c>
      <c r="B948" s="2">
        <v>2016</v>
      </c>
      <c r="C948" s="2" t="s">
        <v>18</v>
      </c>
      <c r="D948" s="2" t="s">
        <v>38</v>
      </c>
      <c r="E948" s="2" t="s">
        <v>78</v>
      </c>
      <c r="F948" s="2" t="s">
        <v>83</v>
      </c>
      <c r="G948" s="2">
        <f t="shared" si="14"/>
        <v>3.4883720930232558E-2</v>
      </c>
      <c r="H948" s="5">
        <v>4.5</v>
      </c>
      <c r="I948" s="2">
        <v>2</v>
      </c>
      <c r="J948" s="12">
        <f>I948/Pondération!$G$58</f>
        <v>7.7519379844961239E-3</v>
      </c>
    </row>
    <row r="949" spans="1:10" x14ac:dyDescent="0.25">
      <c r="A949" s="2" t="s">
        <v>77</v>
      </c>
      <c r="B949" s="2">
        <v>2016</v>
      </c>
      <c r="C949" s="2" t="s">
        <v>19</v>
      </c>
      <c r="D949" s="2" t="s">
        <v>38</v>
      </c>
      <c r="E949" s="2" t="s">
        <v>78</v>
      </c>
      <c r="F949" s="2" t="s">
        <v>83</v>
      </c>
      <c r="G949" s="2">
        <f t="shared" si="14"/>
        <v>5.8139534883720929E-2</v>
      </c>
      <c r="H949" s="5">
        <v>5</v>
      </c>
      <c r="I949" s="2">
        <v>3</v>
      </c>
      <c r="J949" s="12">
        <f>I949/Pondération!$G$58</f>
        <v>1.1627906976744186E-2</v>
      </c>
    </row>
    <row r="950" spans="1:10" x14ac:dyDescent="0.25">
      <c r="A950" s="2" t="s">
        <v>77</v>
      </c>
      <c r="B950" s="2">
        <v>2016</v>
      </c>
      <c r="C950" s="2" t="s">
        <v>20</v>
      </c>
      <c r="D950" s="2" t="s">
        <v>38</v>
      </c>
      <c r="E950" s="2" t="s">
        <v>78</v>
      </c>
      <c r="F950" s="2" t="s">
        <v>83</v>
      </c>
      <c r="G950" s="2">
        <f t="shared" si="14"/>
        <v>6.9767441860465115E-2</v>
      </c>
      <c r="H950" s="5">
        <v>4.5</v>
      </c>
      <c r="I950" s="2">
        <v>4</v>
      </c>
      <c r="J950" s="12">
        <f>I950/Pondération!$G$58</f>
        <v>1.5503875968992248E-2</v>
      </c>
    </row>
    <row r="951" spans="1:10" x14ac:dyDescent="0.25">
      <c r="A951" s="2" t="s">
        <v>77</v>
      </c>
      <c r="B951" s="2">
        <v>2016</v>
      </c>
      <c r="C951" s="2" t="s">
        <v>21</v>
      </c>
      <c r="D951" s="2" t="s">
        <v>38</v>
      </c>
      <c r="E951" s="2" t="s">
        <v>78</v>
      </c>
      <c r="F951" s="2" t="s">
        <v>83</v>
      </c>
      <c r="G951" s="2">
        <f t="shared" si="14"/>
        <v>0.25775193798449614</v>
      </c>
      <c r="H951" s="5">
        <v>4.4333333333333336</v>
      </c>
      <c r="I951" s="2">
        <v>15</v>
      </c>
      <c r="J951" s="12">
        <f>I951/Pondération!$G$58</f>
        <v>5.8139534883720929E-2</v>
      </c>
    </row>
    <row r="952" spans="1:10" x14ac:dyDescent="0.25">
      <c r="A952" s="2" t="s">
        <v>77</v>
      </c>
      <c r="B952" s="2">
        <v>2016</v>
      </c>
      <c r="C952" s="2" t="s">
        <v>22</v>
      </c>
      <c r="D952" s="2" t="s">
        <v>38</v>
      </c>
      <c r="E952" s="2" t="s">
        <v>78</v>
      </c>
      <c r="F952" s="2" t="s">
        <v>83</v>
      </c>
      <c r="G952" s="2">
        <f t="shared" si="14"/>
        <v>0.47674418604651164</v>
      </c>
      <c r="H952" s="5">
        <v>4.7307692307692308</v>
      </c>
      <c r="I952" s="2">
        <v>26</v>
      </c>
      <c r="J952" s="12">
        <f>I952/Pondération!$G$58</f>
        <v>0.10077519379844961</v>
      </c>
    </row>
    <row r="953" spans="1:10" x14ac:dyDescent="0.25">
      <c r="A953" s="2" t="s">
        <v>77</v>
      </c>
      <c r="B953" s="2">
        <v>2016</v>
      </c>
      <c r="C953" s="2" t="s">
        <v>23</v>
      </c>
      <c r="D953" s="2" t="s">
        <v>38</v>
      </c>
      <c r="E953" s="2" t="s">
        <v>78</v>
      </c>
      <c r="F953" s="2" t="s">
        <v>83</v>
      </c>
      <c r="G953" s="2">
        <f t="shared" si="14"/>
        <v>0.46705426356589147</v>
      </c>
      <c r="H953" s="5">
        <v>4.4629629629629628</v>
      </c>
      <c r="I953" s="2">
        <v>27</v>
      </c>
      <c r="J953" s="12">
        <f>I953/Pondération!$G$58</f>
        <v>0.10465116279069768</v>
      </c>
    </row>
    <row r="954" spans="1:10" x14ac:dyDescent="0.25">
      <c r="A954" s="2" t="s">
        <v>77</v>
      </c>
      <c r="B954" s="2">
        <v>2016</v>
      </c>
      <c r="C954" s="2" t="s">
        <v>24</v>
      </c>
      <c r="D954" s="2" t="s">
        <v>38</v>
      </c>
      <c r="E954" s="2" t="s">
        <v>78</v>
      </c>
      <c r="F954" s="2" t="s">
        <v>83</v>
      </c>
      <c r="G954" s="2">
        <f t="shared" si="14"/>
        <v>0.56782945736434109</v>
      </c>
      <c r="H954" s="5">
        <v>4.4393939393939394</v>
      </c>
      <c r="I954" s="2">
        <v>33</v>
      </c>
      <c r="J954" s="12">
        <f>I954/Pondération!$G$58</f>
        <v>0.12790697674418605</v>
      </c>
    </row>
    <row r="955" spans="1:10" x14ac:dyDescent="0.25">
      <c r="A955" s="2" t="s">
        <v>77</v>
      </c>
      <c r="B955" s="2">
        <v>2016</v>
      </c>
      <c r="C955" s="2" t="s">
        <v>25</v>
      </c>
      <c r="D955" s="2" t="s">
        <v>38</v>
      </c>
      <c r="E955" s="2" t="s">
        <v>78</v>
      </c>
      <c r="F955" s="2" t="s">
        <v>83</v>
      </c>
      <c r="G955" s="2">
        <f t="shared" si="14"/>
        <v>1.2674418604651163</v>
      </c>
      <c r="H955" s="5">
        <v>4.541666666666667</v>
      </c>
      <c r="I955" s="2">
        <v>72</v>
      </c>
      <c r="J955" s="12">
        <f>I955/Pondération!$G$58</f>
        <v>0.27906976744186046</v>
      </c>
    </row>
    <row r="956" spans="1:10" x14ac:dyDescent="0.25">
      <c r="A956" s="2" t="s">
        <v>77</v>
      </c>
      <c r="B956" s="2">
        <v>2016</v>
      </c>
      <c r="C956" s="2" t="s">
        <v>26</v>
      </c>
      <c r="D956" s="2" t="s">
        <v>38</v>
      </c>
      <c r="E956" s="2" t="s">
        <v>78</v>
      </c>
      <c r="F956" s="2" t="s">
        <v>83</v>
      </c>
      <c r="G956" s="2">
        <f t="shared" si="14"/>
        <v>0.70348837209302328</v>
      </c>
      <c r="H956" s="5">
        <v>4.6538461538461542</v>
      </c>
      <c r="I956" s="2">
        <v>39</v>
      </c>
      <c r="J956" s="12">
        <f>I956/Pondération!$G$58</f>
        <v>0.15116279069767441</v>
      </c>
    </row>
    <row r="957" spans="1:10" x14ac:dyDescent="0.25">
      <c r="A957" s="2" t="s">
        <v>77</v>
      </c>
      <c r="B957" s="2">
        <v>2016</v>
      </c>
      <c r="C957" s="2" t="s">
        <v>27</v>
      </c>
      <c r="D957" s="2" t="s">
        <v>38</v>
      </c>
      <c r="E957" s="2" t="s">
        <v>78</v>
      </c>
      <c r="F957" s="2" t="s">
        <v>83</v>
      </c>
      <c r="G957" s="2">
        <f t="shared" si="14"/>
        <v>0.42441860465116277</v>
      </c>
      <c r="H957" s="5">
        <v>4.5625</v>
      </c>
      <c r="I957" s="2">
        <v>24</v>
      </c>
      <c r="J957" s="12">
        <f>I957/Pondération!$G$58</f>
        <v>9.3023255813953487E-2</v>
      </c>
    </row>
    <row r="958" spans="1:10" x14ac:dyDescent="0.25">
      <c r="A958" s="2" t="s">
        <v>77</v>
      </c>
      <c r="B958" s="2">
        <v>2016</v>
      </c>
      <c r="C958" s="2" t="s">
        <v>28</v>
      </c>
      <c r="D958" s="2" t="s">
        <v>38</v>
      </c>
      <c r="E958" s="2" t="s">
        <v>78</v>
      </c>
      <c r="F958" s="2" t="s">
        <v>83</v>
      </c>
      <c r="G958" s="2">
        <f t="shared" si="14"/>
        <v>0.12015503875968993</v>
      </c>
      <c r="H958" s="5">
        <v>4.4285714285714288</v>
      </c>
      <c r="I958" s="2">
        <v>7</v>
      </c>
      <c r="J958" s="12">
        <f>I958/Pondération!$G$58</f>
        <v>2.7131782945736434E-2</v>
      </c>
    </row>
    <row r="959" spans="1:10" x14ac:dyDescent="0.25">
      <c r="A959" s="2" t="s">
        <v>77</v>
      </c>
      <c r="B959" s="2">
        <v>2016</v>
      </c>
      <c r="C959" s="2" t="s">
        <v>29</v>
      </c>
      <c r="D959" s="2" t="s">
        <v>38</v>
      </c>
      <c r="E959" s="2" t="s">
        <v>78</v>
      </c>
      <c r="F959" s="2" t="s">
        <v>83</v>
      </c>
      <c r="G959" s="2">
        <f t="shared" si="14"/>
        <v>0.10852713178294573</v>
      </c>
      <c r="H959" s="5">
        <v>4.666666666666667</v>
      </c>
      <c r="I959" s="2">
        <v>6</v>
      </c>
      <c r="J959" s="12">
        <f>I959/Pondération!$G$58</f>
        <v>2.3255813953488372E-2</v>
      </c>
    </row>
    <row r="960" spans="1:10" x14ac:dyDescent="0.25">
      <c r="A960" s="2" t="s">
        <v>77</v>
      </c>
      <c r="B960" s="2">
        <v>2017</v>
      </c>
      <c r="C960" s="2" t="s">
        <v>30</v>
      </c>
      <c r="D960" s="2" t="s">
        <v>38</v>
      </c>
      <c r="E960" s="2" t="s">
        <v>78</v>
      </c>
      <c r="F960" s="2" t="s">
        <v>83</v>
      </c>
      <c r="G960" s="2">
        <f t="shared" si="14"/>
        <v>0.16964285714285712</v>
      </c>
      <c r="H960" s="5">
        <v>4.75</v>
      </c>
      <c r="I960" s="2">
        <v>2</v>
      </c>
      <c r="J960" s="12">
        <f>I960/Pondération!$F$58</f>
        <v>3.5714285714285712E-2</v>
      </c>
    </row>
    <row r="961" spans="1:10" x14ac:dyDescent="0.25">
      <c r="A961" s="2" t="s">
        <v>77</v>
      </c>
      <c r="B961" s="2">
        <v>2017</v>
      </c>
      <c r="C961" s="2" t="s">
        <v>31</v>
      </c>
      <c r="D961" s="2" t="s">
        <v>38</v>
      </c>
      <c r="E961" s="2" t="s">
        <v>78</v>
      </c>
      <c r="F961" s="2" t="s">
        <v>83</v>
      </c>
      <c r="G961" s="2">
        <f t="shared" si="14"/>
        <v>8.9285714285714274E-2</v>
      </c>
      <c r="H961" s="5">
        <v>5</v>
      </c>
      <c r="I961" s="2">
        <v>1</v>
      </c>
      <c r="J961" s="12">
        <f>I961/Pondération!$F$58</f>
        <v>1.7857142857142856E-2</v>
      </c>
    </row>
    <row r="962" spans="1:10" x14ac:dyDescent="0.25">
      <c r="A962" s="2" t="s">
        <v>77</v>
      </c>
      <c r="B962" s="2">
        <v>2017</v>
      </c>
      <c r="C962" s="2" t="s">
        <v>32</v>
      </c>
      <c r="D962" s="2" t="s">
        <v>38</v>
      </c>
      <c r="E962" s="2" t="s">
        <v>78</v>
      </c>
      <c r="F962" s="2" t="s">
        <v>83</v>
      </c>
      <c r="G962" s="2">
        <f t="shared" ref="G962:G1025" si="15">H962*J962</f>
        <v>0.3839285714285714</v>
      </c>
      <c r="H962" s="5">
        <v>4.3</v>
      </c>
      <c r="I962" s="2">
        <v>5</v>
      </c>
      <c r="J962" s="12">
        <f>I962/Pondération!$F$58</f>
        <v>8.9285714285714288E-2</v>
      </c>
    </row>
    <row r="963" spans="1:10" x14ac:dyDescent="0.25">
      <c r="A963" s="2" t="s">
        <v>77</v>
      </c>
      <c r="B963" s="2">
        <v>2017</v>
      </c>
      <c r="C963" s="2" t="s">
        <v>33</v>
      </c>
      <c r="D963" s="2" t="s">
        <v>38</v>
      </c>
      <c r="E963" s="2" t="s">
        <v>78</v>
      </c>
      <c r="F963" s="2" t="s">
        <v>83</v>
      </c>
      <c r="G963" s="2">
        <f t="shared" si="15"/>
        <v>1.294642857142857</v>
      </c>
      <c r="H963" s="5">
        <v>4.53125</v>
      </c>
      <c r="I963" s="2">
        <v>16</v>
      </c>
      <c r="J963" s="12">
        <f>I963/Pondération!$F$58</f>
        <v>0.2857142857142857</v>
      </c>
    </row>
    <row r="964" spans="1:10" x14ac:dyDescent="0.25">
      <c r="A964" s="2" t="s">
        <v>77</v>
      </c>
      <c r="B964" s="2">
        <v>2017</v>
      </c>
      <c r="C964" s="2" t="s">
        <v>34</v>
      </c>
      <c r="D964" s="2" t="s">
        <v>38</v>
      </c>
      <c r="E964" s="2" t="s">
        <v>78</v>
      </c>
      <c r="F964" s="2" t="s">
        <v>83</v>
      </c>
      <c r="G964" s="2">
        <f t="shared" si="15"/>
        <v>1.5000000000000002</v>
      </c>
      <c r="H964" s="5">
        <v>4.666666666666667</v>
      </c>
      <c r="I964" s="2">
        <v>18</v>
      </c>
      <c r="J964" s="12">
        <f>I964/Pondération!$F$58</f>
        <v>0.32142857142857145</v>
      </c>
    </row>
    <row r="965" spans="1:10" x14ac:dyDescent="0.25">
      <c r="A965" s="2" t="s">
        <v>77</v>
      </c>
      <c r="B965" s="2">
        <v>2017</v>
      </c>
      <c r="C965" s="2" t="s">
        <v>80</v>
      </c>
      <c r="D965" s="2" t="s">
        <v>38</v>
      </c>
      <c r="E965" s="2" t="s">
        <v>78</v>
      </c>
      <c r="F965" s="2" t="s">
        <v>83</v>
      </c>
      <c r="G965" s="2">
        <f t="shared" si="15"/>
        <v>1.125</v>
      </c>
      <c r="H965" s="5">
        <v>4.5</v>
      </c>
      <c r="I965" s="2">
        <v>14</v>
      </c>
      <c r="J965" s="12">
        <f>I965/Pondération!$F$58</f>
        <v>0.25</v>
      </c>
    </row>
    <row r="966" spans="1:10" x14ac:dyDescent="0.25">
      <c r="A966" s="2" t="s">
        <v>77</v>
      </c>
      <c r="B966" s="2">
        <v>2013</v>
      </c>
      <c r="C966" s="2" t="s">
        <v>53</v>
      </c>
      <c r="D966" s="2" t="s">
        <v>38</v>
      </c>
      <c r="E966" s="2" t="s">
        <v>78</v>
      </c>
      <c r="F966" s="2" t="s">
        <v>84</v>
      </c>
      <c r="G966" s="2">
        <f t="shared" si="15"/>
        <v>0.5</v>
      </c>
      <c r="H966" s="5">
        <v>5</v>
      </c>
      <c r="I966" s="2">
        <v>1</v>
      </c>
      <c r="J966" s="12">
        <f>I966/Pondération!$J$59</f>
        <v>0.1</v>
      </c>
    </row>
    <row r="967" spans="1:10" x14ac:dyDescent="0.25">
      <c r="A967" s="2" t="s">
        <v>77</v>
      </c>
      <c r="B967" s="2">
        <v>2013</v>
      </c>
      <c r="C967" s="2" t="s">
        <v>56</v>
      </c>
      <c r="D967" s="2" t="s">
        <v>38</v>
      </c>
      <c r="E967" s="2" t="s">
        <v>78</v>
      </c>
      <c r="F967" s="2" t="s">
        <v>84</v>
      </c>
      <c r="G967" s="2">
        <f t="shared" si="15"/>
        <v>1.3499999999999999</v>
      </c>
      <c r="H967" s="5">
        <v>4.5</v>
      </c>
      <c r="I967" s="2">
        <v>3</v>
      </c>
      <c r="J967" s="12">
        <f>I967/Pondération!$J$59</f>
        <v>0.3</v>
      </c>
    </row>
    <row r="968" spans="1:10" x14ac:dyDescent="0.25">
      <c r="A968" s="2" t="s">
        <v>77</v>
      </c>
      <c r="B968" s="2">
        <v>2013</v>
      </c>
      <c r="C968" s="2" t="s">
        <v>57</v>
      </c>
      <c r="D968" s="2" t="s">
        <v>38</v>
      </c>
      <c r="E968" s="2" t="s">
        <v>78</v>
      </c>
      <c r="F968" s="2" t="s">
        <v>84</v>
      </c>
      <c r="G968" s="2">
        <f t="shared" si="15"/>
        <v>0.8</v>
      </c>
      <c r="H968" s="5">
        <v>4</v>
      </c>
      <c r="I968" s="2">
        <v>2</v>
      </c>
      <c r="J968" s="12">
        <f>I968/Pondération!$J$59</f>
        <v>0.2</v>
      </c>
    </row>
    <row r="969" spans="1:10" x14ac:dyDescent="0.25">
      <c r="A969" s="2" t="s">
        <v>77</v>
      </c>
      <c r="B969" s="2">
        <v>2013</v>
      </c>
      <c r="C969" s="2" t="s">
        <v>59</v>
      </c>
      <c r="D969" s="2" t="s">
        <v>38</v>
      </c>
      <c r="E969" s="2" t="s">
        <v>78</v>
      </c>
      <c r="F969" s="2" t="s">
        <v>84</v>
      </c>
      <c r="G969" s="2">
        <f t="shared" si="15"/>
        <v>1.8</v>
      </c>
      <c r="H969" s="5">
        <v>4.5</v>
      </c>
      <c r="I969" s="2">
        <v>4</v>
      </c>
      <c r="J969" s="12">
        <f>I969/Pondération!$J$59</f>
        <v>0.4</v>
      </c>
    </row>
    <row r="970" spans="1:10" x14ac:dyDescent="0.25">
      <c r="A970" s="2" t="s">
        <v>77</v>
      </c>
      <c r="B970" s="2">
        <v>2014</v>
      </c>
      <c r="C970" s="2" t="s">
        <v>62</v>
      </c>
      <c r="D970" s="2" t="s">
        <v>38</v>
      </c>
      <c r="E970" s="2" t="s">
        <v>78</v>
      </c>
      <c r="F970" s="2" t="s">
        <v>84</v>
      </c>
      <c r="G970" s="2">
        <f t="shared" si="15"/>
        <v>7.7777777777777779E-2</v>
      </c>
      <c r="H970" s="5">
        <v>3.5</v>
      </c>
      <c r="I970" s="2">
        <v>1</v>
      </c>
      <c r="J970" s="12">
        <f>I970/Pondération!$I$59</f>
        <v>2.2222222222222223E-2</v>
      </c>
    </row>
    <row r="971" spans="1:10" x14ac:dyDescent="0.25">
      <c r="A971" s="2" t="s">
        <v>77</v>
      </c>
      <c r="B971" s="2">
        <v>2014</v>
      </c>
      <c r="C971" s="2" t="s">
        <v>66</v>
      </c>
      <c r="D971" s="2" t="s">
        <v>38</v>
      </c>
      <c r="E971" s="2" t="s">
        <v>78</v>
      </c>
      <c r="F971" s="2" t="s">
        <v>84</v>
      </c>
      <c r="G971" s="2">
        <f t="shared" si="15"/>
        <v>0.46666666666666667</v>
      </c>
      <c r="H971" s="5">
        <v>4.2</v>
      </c>
      <c r="I971" s="2">
        <v>5</v>
      </c>
      <c r="J971" s="12">
        <f>I971/Pondération!$I$59</f>
        <v>0.1111111111111111</v>
      </c>
    </row>
    <row r="972" spans="1:10" x14ac:dyDescent="0.25">
      <c r="A972" s="2" t="s">
        <v>77</v>
      </c>
      <c r="B972" s="2">
        <v>2014</v>
      </c>
      <c r="C972" s="2" t="s">
        <v>67</v>
      </c>
      <c r="D972" s="2" t="s">
        <v>38</v>
      </c>
      <c r="E972" s="2" t="s">
        <v>78</v>
      </c>
      <c r="F972" s="2" t="s">
        <v>84</v>
      </c>
      <c r="G972" s="2">
        <f t="shared" si="15"/>
        <v>1.2777777777777777</v>
      </c>
      <c r="H972" s="5">
        <v>4.4230769230769234</v>
      </c>
      <c r="I972" s="2">
        <v>13</v>
      </c>
      <c r="J972" s="12">
        <f>I972/Pondération!$I$59</f>
        <v>0.28888888888888886</v>
      </c>
    </row>
    <row r="973" spans="1:10" x14ac:dyDescent="0.25">
      <c r="A973" s="2" t="s">
        <v>77</v>
      </c>
      <c r="B973" s="2">
        <v>2014</v>
      </c>
      <c r="C973" s="2" t="s">
        <v>68</v>
      </c>
      <c r="D973" s="2" t="s">
        <v>38</v>
      </c>
      <c r="E973" s="2" t="s">
        <v>78</v>
      </c>
      <c r="F973" s="2" t="s">
        <v>84</v>
      </c>
      <c r="G973" s="2">
        <f t="shared" si="15"/>
        <v>1.6333333333333333</v>
      </c>
      <c r="H973" s="5">
        <v>4.59375</v>
      </c>
      <c r="I973" s="2">
        <v>16</v>
      </c>
      <c r="J973" s="12">
        <f>I973/Pondération!$I$59</f>
        <v>0.35555555555555557</v>
      </c>
    </row>
    <row r="974" spans="1:10" x14ac:dyDescent="0.25">
      <c r="A974" s="2" t="s">
        <v>77</v>
      </c>
      <c r="B974" s="2">
        <v>2014</v>
      </c>
      <c r="C974" s="2" t="s">
        <v>69</v>
      </c>
      <c r="D974" s="2" t="s">
        <v>38</v>
      </c>
      <c r="E974" s="2" t="s">
        <v>78</v>
      </c>
      <c r="F974" s="2" t="s">
        <v>84</v>
      </c>
      <c r="G974" s="2">
        <f t="shared" si="15"/>
        <v>0.37777777777777777</v>
      </c>
      <c r="H974" s="5">
        <v>4.25</v>
      </c>
      <c r="I974" s="2">
        <v>4</v>
      </c>
      <c r="J974" s="12">
        <f>I974/Pondération!$I$59</f>
        <v>8.8888888888888892E-2</v>
      </c>
    </row>
    <row r="975" spans="1:10" x14ac:dyDescent="0.25">
      <c r="A975" s="2" t="s">
        <v>77</v>
      </c>
      <c r="B975" s="2">
        <v>2014</v>
      </c>
      <c r="C975" s="2" t="s">
        <v>70</v>
      </c>
      <c r="D975" s="2" t="s">
        <v>38</v>
      </c>
      <c r="E975" s="2" t="s">
        <v>78</v>
      </c>
      <c r="F975" s="2" t="s">
        <v>84</v>
      </c>
      <c r="G975" s="2">
        <f t="shared" si="15"/>
        <v>7.7777777777777779E-2</v>
      </c>
      <c r="H975" s="5">
        <v>3.5</v>
      </c>
      <c r="I975" s="2">
        <v>1</v>
      </c>
      <c r="J975" s="12">
        <f>I975/Pondération!$I$59</f>
        <v>2.2222222222222223E-2</v>
      </c>
    </row>
    <row r="976" spans="1:10" x14ac:dyDescent="0.25">
      <c r="A976" s="2" t="s">
        <v>77</v>
      </c>
      <c r="B976" s="2">
        <v>2014</v>
      </c>
      <c r="C976" s="2" t="s">
        <v>71</v>
      </c>
      <c r="D976" s="2" t="s">
        <v>38</v>
      </c>
      <c r="E976" s="2" t="s">
        <v>78</v>
      </c>
      <c r="F976" s="2" t="s">
        <v>84</v>
      </c>
      <c r="G976" s="2">
        <f t="shared" si="15"/>
        <v>0.39999999999999997</v>
      </c>
      <c r="H976" s="5">
        <v>3.6</v>
      </c>
      <c r="I976" s="2">
        <v>5</v>
      </c>
      <c r="J976" s="12">
        <f>I976/Pondération!$I$59</f>
        <v>0.1111111111111111</v>
      </c>
    </row>
    <row r="977" spans="1:10" x14ac:dyDescent="0.25">
      <c r="A977" s="2" t="s">
        <v>77</v>
      </c>
      <c r="B977" s="2">
        <v>2015</v>
      </c>
      <c r="C977" s="2" t="s">
        <v>75</v>
      </c>
      <c r="D977" s="2" t="s">
        <v>38</v>
      </c>
      <c r="E977" s="2" t="s">
        <v>78</v>
      </c>
      <c r="F977" s="2" t="s">
        <v>84</v>
      </c>
      <c r="G977" s="2">
        <f t="shared" si="15"/>
        <v>9.49367088607595E-2</v>
      </c>
      <c r="H977" s="5">
        <v>5</v>
      </c>
      <c r="I977" s="2">
        <v>3</v>
      </c>
      <c r="J977" s="12">
        <f>I977/Pondération!$H$59</f>
        <v>1.8987341772151899E-2</v>
      </c>
    </row>
    <row r="978" spans="1:10" x14ac:dyDescent="0.25">
      <c r="A978" s="2" t="s">
        <v>77</v>
      </c>
      <c r="B978" s="2">
        <v>2015</v>
      </c>
      <c r="C978" s="2" t="s">
        <v>76</v>
      </c>
      <c r="D978" s="2" t="s">
        <v>38</v>
      </c>
      <c r="E978" s="2" t="s">
        <v>78</v>
      </c>
      <c r="F978" s="2" t="s">
        <v>84</v>
      </c>
      <c r="G978" s="2">
        <f t="shared" si="15"/>
        <v>0.10759493670886076</v>
      </c>
      <c r="H978" s="5">
        <v>4.25</v>
      </c>
      <c r="I978" s="2">
        <v>4</v>
      </c>
      <c r="J978" s="12">
        <f>I978/Pondération!$H$59</f>
        <v>2.5316455696202531E-2</v>
      </c>
    </row>
    <row r="979" spans="1:10" x14ac:dyDescent="0.25">
      <c r="A979" s="2" t="s">
        <v>77</v>
      </c>
      <c r="B979" s="2">
        <v>2015</v>
      </c>
      <c r="C979" s="2" t="s">
        <v>7</v>
      </c>
      <c r="D979" s="2" t="s">
        <v>38</v>
      </c>
      <c r="E979" s="2" t="s">
        <v>78</v>
      </c>
      <c r="F979" s="2" t="s">
        <v>84</v>
      </c>
      <c r="G979" s="2">
        <f t="shared" si="15"/>
        <v>0.26582278481012661</v>
      </c>
      <c r="H979" s="5">
        <v>4.2</v>
      </c>
      <c r="I979" s="2">
        <v>10</v>
      </c>
      <c r="J979" s="12">
        <f>I979/Pondération!$H$59</f>
        <v>6.3291139240506333E-2</v>
      </c>
    </row>
    <row r="980" spans="1:10" x14ac:dyDescent="0.25">
      <c r="A980" s="2" t="s">
        <v>77</v>
      </c>
      <c r="B980" s="2">
        <v>2015</v>
      </c>
      <c r="C980" s="2" t="s">
        <v>11</v>
      </c>
      <c r="D980" s="2" t="s">
        <v>38</v>
      </c>
      <c r="E980" s="2" t="s">
        <v>78</v>
      </c>
      <c r="F980" s="2" t="s">
        <v>84</v>
      </c>
      <c r="G980" s="2">
        <f t="shared" si="15"/>
        <v>0.46202531645569622</v>
      </c>
      <c r="H980" s="5">
        <v>3.8421052631578947</v>
      </c>
      <c r="I980" s="2">
        <v>19</v>
      </c>
      <c r="J980" s="12">
        <f>I980/Pondération!$H$59</f>
        <v>0.12025316455696203</v>
      </c>
    </row>
    <row r="981" spans="1:10" x14ac:dyDescent="0.25">
      <c r="A981" s="2" t="s">
        <v>77</v>
      </c>
      <c r="B981" s="2">
        <v>2015</v>
      </c>
      <c r="C981" s="2" t="s">
        <v>12</v>
      </c>
      <c r="D981" s="2" t="s">
        <v>38</v>
      </c>
      <c r="E981" s="2" t="s">
        <v>78</v>
      </c>
      <c r="F981" s="2" t="s">
        <v>84</v>
      </c>
      <c r="G981" s="2">
        <f t="shared" si="15"/>
        <v>0.68670886075949367</v>
      </c>
      <c r="H981" s="5">
        <v>3.875</v>
      </c>
      <c r="I981" s="2">
        <v>28</v>
      </c>
      <c r="J981" s="12">
        <f>I981/Pondération!$H$59</f>
        <v>0.17721518987341772</v>
      </c>
    </row>
    <row r="982" spans="1:10" x14ac:dyDescent="0.25">
      <c r="A982" s="2" t="s">
        <v>77</v>
      </c>
      <c r="B982" s="2">
        <v>2015</v>
      </c>
      <c r="C982" s="2" t="s">
        <v>13</v>
      </c>
      <c r="D982" s="2" t="s">
        <v>38</v>
      </c>
      <c r="E982" s="2" t="s">
        <v>78</v>
      </c>
      <c r="F982" s="2" t="s">
        <v>84</v>
      </c>
      <c r="G982" s="2">
        <f t="shared" si="15"/>
        <v>1.3291139240506329</v>
      </c>
      <c r="H982" s="5">
        <v>3.8888888888888888</v>
      </c>
      <c r="I982" s="2">
        <v>54</v>
      </c>
      <c r="J982" s="12">
        <f>I982/Pondération!$H$59</f>
        <v>0.34177215189873417</v>
      </c>
    </row>
    <row r="983" spans="1:10" x14ac:dyDescent="0.25">
      <c r="A983" s="2" t="s">
        <v>77</v>
      </c>
      <c r="B983" s="2">
        <v>2015</v>
      </c>
      <c r="C983" s="2" t="s">
        <v>14</v>
      </c>
      <c r="D983" s="2" t="s">
        <v>38</v>
      </c>
      <c r="E983" s="2" t="s">
        <v>78</v>
      </c>
      <c r="F983" s="2" t="s">
        <v>84</v>
      </c>
      <c r="G983" s="2">
        <f t="shared" si="15"/>
        <v>0.65189873417721522</v>
      </c>
      <c r="H983" s="5">
        <v>3.8148148148148149</v>
      </c>
      <c r="I983" s="2">
        <v>27</v>
      </c>
      <c r="J983" s="12">
        <f>I983/Pondération!$H$59</f>
        <v>0.17088607594936708</v>
      </c>
    </row>
    <row r="984" spans="1:10" x14ac:dyDescent="0.25">
      <c r="A984" s="2" t="s">
        <v>77</v>
      </c>
      <c r="B984" s="2">
        <v>2015</v>
      </c>
      <c r="C984" s="2" t="s">
        <v>15</v>
      </c>
      <c r="D984" s="2" t="s">
        <v>38</v>
      </c>
      <c r="E984" s="2" t="s">
        <v>78</v>
      </c>
      <c r="F984" s="2" t="s">
        <v>84</v>
      </c>
      <c r="G984" s="2">
        <f t="shared" si="15"/>
        <v>0.22784810126582278</v>
      </c>
      <c r="H984" s="5">
        <v>4.5</v>
      </c>
      <c r="I984" s="2">
        <v>8</v>
      </c>
      <c r="J984" s="12">
        <f>I984/Pondération!$H$59</f>
        <v>5.0632911392405063E-2</v>
      </c>
    </row>
    <row r="985" spans="1:10" x14ac:dyDescent="0.25">
      <c r="A985" s="2" t="s">
        <v>77</v>
      </c>
      <c r="B985" s="2">
        <v>2015</v>
      </c>
      <c r="C985" s="2" t="s">
        <v>16</v>
      </c>
      <c r="D985" s="2" t="s">
        <v>38</v>
      </c>
      <c r="E985" s="2" t="s">
        <v>78</v>
      </c>
      <c r="F985" s="2" t="s">
        <v>84</v>
      </c>
      <c r="G985" s="2">
        <f t="shared" si="15"/>
        <v>7.5949367088607597E-2</v>
      </c>
      <c r="H985" s="5">
        <v>4</v>
      </c>
      <c r="I985" s="2">
        <v>3</v>
      </c>
      <c r="J985" s="12">
        <f>I985/Pondération!$H$59</f>
        <v>1.8987341772151899E-2</v>
      </c>
    </row>
    <row r="986" spans="1:10" x14ac:dyDescent="0.25">
      <c r="A986" s="2" t="s">
        <v>77</v>
      </c>
      <c r="B986" s="2">
        <v>2015</v>
      </c>
      <c r="C986" s="2" t="s">
        <v>17</v>
      </c>
      <c r="D986" s="2" t="s">
        <v>38</v>
      </c>
      <c r="E986" s="2" t="s">
        <v>78</v>
      </c>
      <c r="F986" s="2" t="s">
        <v>84</v>
      </c>
      <c r="G986" s="2">
        <f t="shared" si="15"/>
        <v>4.7468354430379743E-2</v>
      </c>
      <c r="H986" s="5">
        <v>3.75</v>
      </c>
      <c r="I986" s="2">
        <v>2</v>
      </c>
      <c r="J986" s="12">
        <f>I986/Pondération!$H$59</f>
        <v>1.2658227848101266E-2</v>
      </c>
    </row>
    <row r="987" spans="1:10" x14ac:dyDescent="0.25">
      <c r="A987" s="2" t="s">
        <v>77</v>
      </c>
      <c r="B987" s="2">
        <v>2016</v>
      </c>
      <c r="C987" s="2" t="s">
        <v>18</v>
      </c>
      <c r="D987" s="2" t="s">
        <v>38</v>
      </c>
      <c r="E987" s="2" t="s">
        <v>78</v>
      </c>
      <c r="F987" s="2" t="s">
        <v>84</v>
      </c>
      <c r="G987" s="2">
        <f t="shared" si="15"/>
        <v>3.2863849765258218E-2</v>
      </c>
      <c r="H987" s="5">
        <v>3.5</v>
      </c>
      <c r="I987" s="2">
        <v>2</v>
      </c>
      <c r="J987" s="12">
        <f>I987/Pondération!$G$59</f>
        <v>9.3896713615023476E-3</v>
      </c>
    </row>
    <row r="988" spans="1:10" x14ac:dyDescent="0.25">
      <c r="A988" s="2" t="s">
        <v>77</v>
      </c>
      <c r="B988" s="2">
        <v>2016</v>
      </c>
      <c r="C988" s="2" t="s">
        <v>20</v>
      </c>
      <c r="D988" s="2" t="s">
        <v>38</v>
      </c>
      <c r="E988" s="2" t="s">
        <v>78</v>
      </c>
      <c r="F988" s="2" t="s">
        <v>84</v>
      </c>
      <c r="G988" s="2">
        <f t="shared" si="15"/>
        <v>3.2863849765258218E-2</v>
      </c>
      <c r="H988" s="5">
        <v>3.5</v>
      </c>
      <c r="I988" s="2">
        <v>2</v>
      </c>
      <c r="J988" s="12">
        <f>I988/Pondération!$G$59</f>
        <v>9.3896713615023476E-3</v>
      </c>
    </row>
    <row r="989" spans="1:10" x14ac:dyDescent="0.25">
      <c r="A989" s="2" t="s">
        <v>77</v>
      </c>
      <c r="B989" s="2">
        <v>2016</v>
      </c>
      <c r="C989" s="2" t="s">
        <v>21</v>
      </c>
      <c r="D989" s="2" t="s">
        <v>38</v>
      </c>
      <c r="E989" s="2" t="s">
        <v>78</v>
      </c>
      <c r="F989" s="2" t="s">
        <v>84</v>
      </c>
      <c r="G989" s="2">
        <f t="shared" si="15"/>
        <v>0.17370892018779341</v>
      </c>
      <c r="H989" s="5">
        <v>4.1111111111111107</v>
      </c>
      <c r="I989" s="2">
        <v>9</v>
      </c>
      <c r="J989" s="12">
        <f>I989/Pondération!$G$59</f>
        <v>4.2253521126760563E-2</v>
      </c>
    </row>
    <row r="990" spans="1:10" x14ac:dyDescent="0.25">
      <c r="A990" s="2" t="s">
        <v>77</v>
      </c>
      <c r="B990" s="2">
        <v>2016</v>
      </c>
      <c r="C990" s="2" t="s">
        <v>22</v>
      </c>
      <c r="D990" s="2" t="s">
        <v>38</v>
      </c>
      <c r="E990" s="2" t="s">
        <v>78</v>
      </c>
      <c r="F990" s="2" t="s">
        <v>84</v>
      </c>
      <c r="G990" s="2">
        <f t="shared" si="15"/>
        <v>0.1901408450704225</v>
      </c>
      <c r="H990" s="5">
        <v>4.05</v>
      </c>
      <c r="I990" s="2">
        <v>10</v>
      </c>
      <c r="J990" s="12">
        <f>I990/Pondération!$G$59</f>
        <v>4.6948356807511735E-2</v>
      </c>
    </row>
    <row r="991" spans="1:10" x14ac:dyDescent="0.25">
      <c r="A991" s="2" t="s">
        <v>77</v>
      </c>
      <c r="B991" s="2">
        <v>2016</v>
      </c>
      <c r="C991" s="2" t="s">
        <v>23</v>
      </c>
      <c r="D991" s="2" t="s">
        <v>38</v>
      </c>
      <c r="E991" s="2" t="s">
        <v>78</v>
      </c>
      <c r="F991" s="2" t="s">
        <v>84</v>
      </c>
      <c r="G991" s="2">
        <f t="shared" si="15"/>
        <v>0.30751173708920188</v>
      </c>
      <c r="H991" s="5">
        <v>3.8529411764705883</v>
      </c>
      <c r="I991" s="2">
        <v>17</v>
      </c>
      <c r="J991" s="12">
        <f>I991/Pondération!$G$59</f>
        <v>7.9812206572769953E-2</v>
      </c>
    </row>
    <row r="992" spans="1:10" x14ac:dyDescent="0.25">
      <c r="A992" s="2" t="s">
        <v>77</v>
      </c>
      <c r="B992" s="2">
        <v>2016</v>
      </c>
      <c r="C992" s="2" t="s">
        <v>24</v>
      </c>
      <c r="D992" s="2" t="s">
        <v>38</v>
      </c>
      <c r="E992" s="2" t="s">
        <v>78</v>
      </c>
      <c r="F992" s="2" t="s">
        <v>84</v>
      </c>
      <c r="G992" s="2">
        <f t="shared" si="15"/>
        <v>0.80046948356807512</v>
      </c>
      <c r="H992" s="5">
        <v>3.9651162790697674</v>
      </c>
      <c r="I992" s="2">
        <v>43</v>
      </c>
      <c r="J992" s="12">
        <f>I992/Pondération!$G$59</f>
        <v>0.20187793427230047</v>
      </c>
    </row>
    <row r="993" spans="1:10" x14ac:dyDescent="0.25">
      <c r="A993" s="2" t="s">
        <v>77</v>
      </c>
      <c r="B993" s="2">
        <v>2016</v>
      </c>
      <c r="C993" s="2" t="s">
        <v>25</v>
      </c>
      <c r="D993" s="2" t="s">
        <v>38</v>
      </c>
      <c r="E993" s="2" t="s">
        <v>78</v>
      </c>
      <c r="F993" s="2" t="s">
        <v>84</v>
      </c>
      <c r="G993" s="2">
        <f t="shared" si="15"/>
        <v>1.2206572769953052</v>
      </c>
      <c r="H993" s="5">
        <v>3.8805970149253732</v>
      </c>
      <c r="I993" s="2">
        <v>67</v>
      </c>
      <c r="J993" s="12">
        <f>I993/Pondération!$G$59</f>
        <v>0.31455399061032863</v>
      </c>
    </row>
    <row r="994" spans="1:10" x14ac:dyDescent="0.25">
      <c r="A994" s="2" t="s">
        <v>77</v>
      </c>
      <c r="B994" s="2">
        <v>2016</v>
      </c>
      <c r="C994" s="2" t="s">
        <v>26</v>
      </c>
      <c r="D994" s="2" t="s">
        <v>38</v>
      </c>
      <c r="E994" s="2" t="s">
        <v>78</v>
      </c>
      <c r="F994" s="2" t="s">
        <v>84</v>
      </c>
      <c r="G994" s="2">
        <f t="shared" si="15"/>
        <v>0.94131455399061037</v>
      </c>
      <c r="H994" s="5">
        <v>4.091836734693878</v>
      </c>
      <c r="I994" s="2">
        <v>49</v>
      </c>
      <c r="J994" s="12">
        <f>I994/Pondération!$G$59</f>
        <v>0.2300469483568075</v>
      </c>
    </row>
    <row r="995" spans="1:10" x14ac:dyDescent="0.25">
      <c r="A995" s="2" t="s">
        <v>77</v>
      </c>
      <c r="B995" s="2">
        <v>2016</v>
      </c>
      <c r="C995" s="2" t="s">
        <v>27</v>
      </c>
      <c r="D995" s="2" t="s">
        <v>38</v>
      </c>
      <c r="E995" s="2" t="s">
        <v>78</v>
      </c>
      <c r="F995" s="2" t="s">
        <v>84</v>
      </c>
      <c r="G995" s="2">
        <f t="shared" si="15"/>
        <v>0.18309859154929575</v>
      </c>
      <c r="H995" s="5">
        <v>3.9</v>
      </c>
      <c r="I995" s="2">
        <v>10</v>
      </c>
      <c r="J995" s="12">
        <f>I995/Pondération!$G$59</f>
        <v>4.6948356807511735E-2</v>
      </c>
    </row>
    <row r="996" spans="1:10" x14ac:dyDescent="0.25">
      <c r="A996" s="2" t="s">
        <v>77</v>
      </c>
      <c r="B996" s="2">
        <v>2016</v>
      </c>
      <c r="C996" s="2" t="s">
        <v>28</v>
      </c>
      <c r="D996" s="2" t="s">
        <v>38</v>
      </c>
      <c r="E996" s="2" t="s">
        <v>78</v>
      </c>
      <c r="F996" s="2" t="s">
        <v>84</v>
      </c>
      <c r="G996" s="2">
        <f t="shared" si="15"/>
        <v>3.7558685446009391E-2</v>
      </c>
      <c r="H996" s="5">
        <v>4</v>
      </c>
      <c r="I996" s="2">
        <v>2</v>
      </c>
      <c r="J996" s="12">
        <f>I996/Pondération!$G$59</f>
        <v>9.3896713615023476E-3</v>
      </c>
    </row>
    <row r="997" spans="1:10" x14ac:dyDescent="0.25">
      <c r="A997" s="2" t="s">
        <v>77</v>
      </c>
      <c r="B997" s="2">
        <v>2016</v>
      </c>
      <c r="C997" s="2" t="s">
        <v>29</v>
      </c>
      <c r="D997" s="2" t="s">
        <v>38</v>
      </c>
      <c r="E997" s="2" t="s">
        <v>78</v>
      </c>
      <c r="F997" s="2" t="s">
        <v>84</v>
      </c>
      <c r="G997" s="2">
        <f t="shared" si="15"/>
        <v>3.7558685446009391E-2</v>
      </c>
      <c r="H997" s="5">
        <v>4</v>
      </c>
      <c r="I997" s="2">
        <v>2</v>
      </c>
      <c r="J997" s="12">
        <f>I997/Pondération!$G$59</f>
        <v>9.3896713615023476E-3</v>
      </c>
    </row>
    <row r="998" spans="1:10" x14ac:dyDescent="0.25">
      <c r="A998" s="2" t="s">
        <v>77</v>
      </c>
      <c r="B998" s="2">
        <v>2017</v>
      </c>
      <c r="C998" s="2" t="s">
        <v>31</v>
      </c>
      <c r="D998" s="2" t="s">
        <v>38</v>
      </c>
      <c r="E998" s="2" t="s">
        <v>78</v>
      </c>
      <c r="F998" s="2" t="s">
        <v>84</v>
      </c>
      <c r="G998" s="2">
        <f t="shared" si="15"/>
        <v>0.19607843137254902</v>
      </c>
      <c r="H998" s="5">
        <v>5</v>
      </c>
      <c r="I998" s="2">
        <v>2</v>
      </c>
      <c r="J998" s="12">
        <f>I998/Pondération!$F$59</f>
        <v>3.9215686274509803E-2</v>
      </c>
    </row>
    <row r="999" spans="1:10" x14ac:dyDescent="0.25">
      <c r="A999" s="2" t="s">
        <v>77</v>
      </c>
      <c r="B999" s="2">
        <v>2017</v>
      </c>
      <c r="C999" s="2" t="s">
        <v>32</v>
      </c>
      <c r="D999" s="2" t="s">
        <v>38</v>
      </c>
      <c r="E999" s="2" t="s">
        <v>78</v>
      </c>
      <c r="F999" s="2" t="s">
        <v>84</v>
      </c>
      <c r="G999" s="2">
        <f t="shared" si="15"/>
        <v>0.16666666666666666</v>
      </c>
      <c r="H999" s="5">
        <v>4.25</v>
      </c>
      <c r="I999" s="2">
        <v>2</v>
      </c>
      <c r="J999" s="12">
        <f>I999/Pondération!$F$59</f>
        <v>3.9215686274509803E-2</v>
      </c>
    </row>
    <row r="1000" spans="1:10" x14ac:dyDescent="0.25">
      <c r="A1000" s="2" t="s">
        <v>77</v>
      </c>
      <c r="B1000" s="2">
        <v>2017</v>
      </c>
      <c r="C1000" s="2" t="s">
        <v>33</v>
      </c>
      <c r="D1000" s="2" t="s">
        <v>38</v>
      </c>
      <c r="E1000" s="2" t="s">
        <v>78</v>
      </c>
      <c r="F1000" s="2" t="s">
        <v>84</v>
      </c>
      <c r="G1000" s="2">
        <f t="shared" si="15"/>
        <v>1.0980392156862746</v>
      </c>
      <c r="H1000" s="5">
        <v>4</v>
      </c>
      <c r="I1000" s="2">
        <v>14</v>
      </c>
      <c r="J1000" s="12">
        <f>I1000/Pondération!$F$59</f>
        <v>0.27450980392156865</v>
      </c>
    </row>
    <row r="1001" spans="1:10" x14ac:dyDescent="0.25">
      <c r="A1001" s="2" t="s">
        <v>77</v>
      </c>
      <c r="B1001" s="2">
        <v>2017</v>
      </c>
      <c r="C1001" s="2" t="s">
        <v>34</v>
      </c>
      <c r="D1001" s="2" t="s">
        <v>38</v>
      </c>
      <c r="E1001" s="2" t="s">
        <v>78</v>
      </c>
      <c r="F1001" s="2" t="s">
        <v>84</v>
      </c>
      <c r="G1001" s="2">
        <f t="shared" si="15"/>
        <v>1.5588235294117647</v>
      </c>
      <c r="H1001" s="5">
        <v>4.1842105263157894</v>
      </c>
      <c r="I1001" s="2">
        <v>19</v>
      </c>
      <c r="J1001" s="12">
        <f>I1001/Pondération!$F$59</f>
        <v>0.37254901960784315</v>
      </c>
    </row>
    <row r="1002" spans="1:10" x14ac:dyDescent="0.25">
      <c r="A1002" s="2" t="s">
        <v>77</v>
      </c>
      <c r="B1002" s="2">
        <v>2017</v>
      </c>
      <c r="C1002" s="2" t="s">
        <v>80</v>
      </c>
      <c r="D1002" s="2" t="s">
        <v>38</v>
      </c>
      <c r="E1002" s="2" t="s">
        <v>78</v>
      </c>
      <c r="F1002" s="2" t="s">
        <v>84</v>
      </c>
      <c r="G1002" s="2">
        <f t="shared" si="15"/>
        <v>1.1862745098039216</v>
      </c>
      <c r="H1002" s="5">
        <v>4.3214285714285712</v>
      </c>
      <c r="I1002" s="2">
        <v>14</v>
      </c>
      <c r="J1002" s="12">
        <f>I1002/Pondération!$F$59</f>
        <v>0.27450980392156865</v>
      </c>
    </row>
    <row r="1003" spans="1:10" x14ac:dyDescent="0.25">
      <c r="A1003" s="2" t="s">
        <v>77</v>
      </c>
      <c r="B1003" s="2">
        <v>2013</v>
      </c>
      <c r="C1003" s="2" t="s">
        <v>49</v>
      </c>
      <c r="D1003" s="2" t="s">
        <v>39</v>
      </c>
      <c r="E1003" s="2" t="s">
        <v>78</v>
      </c>
      <c r="F1003" s="2" t="s">
        <v>79</v>
      </c>
      <c r="G1003" s="2">
        <f t="shared" si="15"/>
        <v>0.14751286449399659</v>
      </c>
      <c r="H1003" s="5">
        <v>3.7391304347826089</v>
      </c>
      <c r="I1003" s="2">
        <v>23</v>
      </c>
      <c r="J1003" s="12">
        <f>I1003/Pondération!$J$69</f>
        <v>3.9451114922813037E-2</v>
      </c>
    </row>
    <row r="1004" spans="1:10" x14ac:dyDescent="0.25">
      <c r="A1004" s="2" t="s">
        <v>77</v>
      </c>
      <c r="B1004" s="2">
        <v>2013</v>
      </c>
      <c r="C1004" s="2" t="s">
        <v>50</v>
      </c>
      <c r="D1004" s="2" t="s">
        <v>39</v>
      </c>
      <c r="E1004" s="2" t="s">
        <v>78</v>
      </c>
      <c r="F1004" s="2" t="s">
        <v>79</v>
      </c>
      <c r="G1004" s="2">
        <f t="shared" si="15"/>
        <v>0.13121783876500859</v>
      </c>
      <c r="H1004" s="5">
        <v>4.25</v>
      </c>
      <c r="I1004" s="2">
        <v>18</v>
      </c>
      <c r="J1004" s="12">
        <f>I1004/Pondération!$J$69</f>
        <v>3.0874785591766724E-2</v>
      </c>
    </row>
    <row r="1005" spans="1:10" x14ac:dyDescent="0.25">
      <c r="A1005" s="2" t="s">
        <v>77</v>
      </c>
      <c r="B1005" s="2">
        <v>2013</v>
      </c>
      <c r="C1005" s="2" t="s">
        <v>51</v>
      </c>
      <c r="D1005" s="2" t="s">
        <v>39</v>
      </c>
      <c r="E1005" s="2" t="s">
        <v>78</v>
      </c>
      <c r="F1005" s="2" t="s">
        <v>79</v>
      </c>
      <c r="G1005" s="2">
        <f t="shared" si="15"/>
        <v>0.19554030874785588</v>
      </c>
      <c r="H1005" s="5">
        <v>4.0714285714285712</v>
      </c>
      <c r="I1005" s="2">
        <v>28</v>
      </c>
      <c r="J1005" s="12">
        <f>I1005/Pondération!$J$69</f>
        <v>4.8027444253859346E-2</v>
      </c>
    </row>
    <row r="1006" spans="1:10" x14ac:dyDescent="0.25">
      <c r="A1006" s="2" t="s">
        <v>77</v>
      </c>
      <c r="B1006" s="2">
        <v>2013</v>
      </c>
      <c r="C1006" s="2" t="s">
        <v>52</v>
      </c>
      <c r="D1006" s="2" t="s">
        <v>39</v>
      </c>
      <c r="E1006" s="2" t="s">
        <v>78</v>
      </c>
      <c r="F1006" s="2" t="s">
        <v>79</v>
      </c>
      <c r="G1006" s="2">
        <f t="shared" si="15"/>
        <v>0.33361921097770153</v>
      </c>
      <c r="H1006" s="5">
        <v>4.1382978723404253</v>
      </c>
      <c r="I1006" s="2">
        <v>47</v>
      </c>
      <c r="J1006" s="12">
        <f>I1006/Pondération!$J$69</f>
        <v>8.0617495711835338E-2</v>
      </c>
    </row>
    <row r="1007" spans="1:10" x14ac:dyDescent="0.25">
      <c r="A1007" s="2" t="s">
        <v>77</v>
      </c>
      <c r="B1007" s="2">
        <v>2013</v>
      </c>
      <c r="C1007" s="2" t="s">
        <v>53</v>
      </c>
      <c r="D1007" s="2" t="s">
        <v>39</v>
      </c>
      <c r="E1007" s="2" t="s">
        <v>78</v>
      </c>
      <c r="F1007" s="2" t="s">
        <v>79</v>
      </c>
      <c r="G1007" s="2">
        <f t="shared" si="15"/>
        <v>0.47770154373927959</v>
      </c>
      <c r="H1007" s="5">
        <v>3.9785714285714286</v>
      </c>
      <c r="I1007" s="2">
        <v>70</v>
      </c>
      <c r="J1007" s="12">
        <f>I1007/Pondération!$J$69</f>
        <v>0.12006861063464837</v>
      </c>
    </row>
    <row r="1008" spans="1:10" x14ac:dyDescent="0.25">
      <c r="A1008" s="2" t="s">
        <v>77</v>
      </c>
      <c r="B1008" s="2">
        <v>2013</v>
      </c>
      <c r="C1008" s="2" t="s">
        <v>54</v>
      </c>
      <c r="D1008" s="2" t="s">
        <v>39</v>
      </c>
      <c r="E1008" s="2" t="s">
        <v>78</v>
      </c>
      <c r="F1008" s="2" t="s">
        <v>79</v>
      </c>
      <c r="G1008" s="2">
        <f t="shared" si="15"/>
        <v>0.25214408233276153</v>
      </c>
      <c r="H1008" s="5">
        <v>3.8684210526315788</v>
      </c>
      <c r="I1008" s="2">
        <v>38</v>
      </c>
      <c r="J1008" s="12">
        <f>I1008/Pondération!$J$69</f>
        <v>6.5180102915951971E-2</v>
      </c>
    </row>
    <row r="1009" spans="1:10" x14ac:dyDescent="0.25">
      <c r="A1009" s="2" t="s">
        <v>77</v>
      </c>
      <c r="B1009" s="2">
        <v>2013</v>
      </c>
      <c r="C1009" s="2" t="s">
        <v>55</v>
      </c>
      <c r="D1009" s="2" t="s">
        <v>39</v>
      </c>
      <c r="E1009" s="2" t="s">
        <v>78</v>
      </c>
      <c r="F1009" s="2" t="s">
        <v>79</v>
      </c>
      <c r="G1009" s="2">
        <f t="shared" si="15"/>
        <v>0.63722126929674106</v>
      </c>
      <c r="H1009" s="5">
        <v>3.8697916666666665</v>
      </c>
      <c r="I1009" s="2">
        <v>96</v>
      </c>
      <c r="J1009" s="12">
        <f>I1009/Pondération!$J$69</f>
        <v>0.16466552315608921</v>
      </c>
    </row>
    <row r="1010" spans="1:10" x14ac:dyDescent="0.25">
      <c r="A1010" s="2" t="s">
        <v>77</v>
      </c>
      <c r="B1010" s="2">
        <v>2013</v>
      </c>
      <c r="C1010" s="2" t="s">
        <v>56</v>
      </c>
      <c r="D1010" s="2" t="s">
        <v>39</v>
      </c>
      <c r="E1010" s="2" t="s">
        <v>78</v>
      </c>
      <c r="F1010" s="2" t="s">
        <v>79</v>
      </c>
      <c r="G1010" s="2">
        <f t="shared" si="15"/>
        <v>0.87307032590051459</v>
      </c>
      <c r="H1010" s="5">
        <v>3.856060606060606</v>
      </c>
      <c r="I1010" s="2">
        <v>132</v>
      </c>
      <c r="J1010" s="12">
        <f>I1010/Pondération!$J$69</f>
        <v>0.22641509433962265</v>
      </c>
    </row>
    <row r="1011" spans="1:10" x14ac:dyDescent="0.25">
      <c r="A1011" s="2" t="s">
        <v>77</v>
      </c>
      <c r="B1011" s="2">
        <v>2013</v>
      </c>
      <c r="C1011" s="2" t="s">
        <v>57</v>
      </c>
      <c r="D1011" s="2" t="s">
        <v>39</v>
      </c>
      <c r="E1011" s="2" t="s">
        <v>78</v>
      </c>
      <c r="F1011" s="2" t="s">
        <v>79</v>
      </c>
      <c r="G1011" s="2">
        <f t="shared" si="15"/>
        <v>0.29502572898799312</v>
      </c>
      <c r="H1011" s="5">
        <v>4</v>
      </c>
      <c r="I1011" s="2">
        <v>43</v>
      </c>
      <c r="J1011" s="12">
        <f>I1011/Pondération!$J$69</f>
        <v>7.375643224699828E-2</v>
      </c>
    </row>
    <row r="1012" spans="1:10" x14ac:dyDescent="0.25">
      <c r="A1012" s="2" t="s">
        <v>77</v>
      </c>
      <c r="B1012" s="2">
        <v>2013</v>
      </c>
      <c r="C1012" s="2" t="s">
        <v>58</v>
      </c>
      <c r="D1012" s="2" t="s">
        <v>39</v>
      </c>
      <c r="E1012" s="2" t="s">
        <v>78</v>
      </c>
      <c r="F1012" s="2" t="s">
        <v>79</v>
      </c>
      <c r="G1012" s="2">
        <f t="shared" si="15"/>
        <v>0.274442538593482</v>
      </c>
      <c r="H1012" s="5">
        <v>4</v>
      </c>
      <c r="I1012" s="2">
        <v>40</v>
      </c>
      <c r="J1012" s="12">
        <f>I1012/Pondération!$J$69</f>
        <v>6.86106346483705E-2</v>
      </c>
    </row>
    <row r="1013" spans="1:10" x14ac:dyDescent="0.25">
      <c r="A1013" s="2" t="s">
        <v>77</v>
      </c>
      <c r="B1013" s="2">
        <v>2013</v>
      </c>
      <c r="C1013" s="2" t="s">
        <v>59</v>
      </c>
      <c r="D1013" s="2" t="s">
        <v>39</v>
      </c>
      <c r="E1013" s="2" t="s">
        <v>78</v>
      </c>
      <c r="F1013" s="2" t="s">
        <v>79</v>
      </c>
      <c r="G1013" s="2">
        <f t="shared" si="15"/>
        <v>0.153516295025729</v>
      </c>
      <c r="H1013" s="5">
        <v>4.0681818181818183</v>
      </c>
      <c r="I1013" s="2">
        <v>22</v>
      </c>
      <c r="J1013" s="12">
        <f>I1013/Pondération!$J$69</f>
        <v>3.7735849056603772E-2</v>
      </c>
    </row>
    <row r="1014" spans="1:10" x14ac:dyDescent="0.25">
      <c r="A1014" s="2" t="s">
        <v>77</v>
      </c>
      <c r="B1014" s="2">
        <v>2013</v>
      </c>
      <c r="C1014" s="2" t="s">
        <v>60</v>
      </c>
      <c r="D1014" s="2" t="s">
        <v>39</v>
      </c>
      <c r="E1014" s="2" t="s">
        <v>78</v>
      </c>
      <c r="F1014" s="2" t="s">
        <v>79</v>
      </c>
      <c r="G1014" s="2">
        <f t="shared" si="15"/>
        <v>0.18010291595197256</v>
      </c>
      <c r="H1014" s="5">
        <v>4.0384615384615383</v>
      </c>
      <c r="I1014" s="2">
        <v>26</v>
      </c>
      <c r="J1014" s="12">
        <f>I1014/Pondération!$J$69</f>
        <v>4.4596912521440824E-2</v>
      </c>
    </row>
    <row r="1015" spans="1:10" x14ac:dyDescent="0.25">
      <c r="A1015" s="2" t="s">
        <v>77</v>
      </c>
      <c r="B1015" s="2">
        <v>2014</v>
      </c>
      <c r="C1015" s="2" t="s">
        <v>61</v>
      </c>
      <c r="D1015" s="2" t="s">
        <v>39</v>
      </c>
      <c r="E1015" s="2" t="s">
        <v>78</v>
      </c>
      <c r="F1015" s="2" t="s">
        <v>79</v>
      </c>
      <c r="G1015" s="2">
        <f t="shared" si="15"/>
        <v>0.10181190681622088</v>
      </c>
      <c r="H1015" s="5">
        <v>4.068965517241379</v>
      </c>
      <c r="I1015" s="2">
        <v>29</v>
      </c>
      <c r="J1015" s="12">
        <f>I1015/Pondération!$I$69</f>
        <v>2.5021570319240724E-2</v>
      </c>
    </row>
    <row r="1016" spans="1:10" x14ac:dyDescent="0.25">
      <c r="A1016" s="2" t="s">
        <v>77</v>
      </c>
      <c r="B1016" s="2">
        <v>2014</v>
      </c>
      <c r="C1016" s="2" t="s">
        <v>62</v>
      </c>
      <c r="D1016" s="2" t="s">
        <v>39</v>
      </c>
      <c r="E1016" s="2" t="s">
        <v>78</v>
      </c>
      <c r="F1016" s="2" t="s">
        <v>79</v>
      </c>
      <c r="G1016" s="2">
        <f t="shared" si="15"/>
        <v>8.0241587575496112E-2</v>
      </c>
      <c r="H1016" s="5">
        <v>3.875</v>
      </c>
      <c r="I1016" s="2">
        <v>24</v>
      </c>
      <c r="J1016" s="12">
        <f>I1016/Pondération!$I$69</f>
        <v>2.0707506471095771E-2</v>
      </c>
    </row>
    <row r="1017" spans="1:10" x14ac:dyDescent="0.25">
      <c r="A1017" s="2" t="s">
        <v>77</v>
      </c>
      <c r="B1017" s="2">
        <v>2014</v>
      </c>
      <c r="C1017" s="2" t="s">
        <v>63</v>
      </c>
      <c r="D1017" s="2" t="s">
        <v>39</v>
      </c>
      <c r="E1017" s="2" t="s">
        <v>78</v>
      </c>
      <c r="F1017" s="2" t="s">
        <v>79</v>
      </c>
      <c r="G1017" s="2">
        <f t="shared" si="15"/>
        <v>0.12338222605694565</v>
      </c>
      <c r="H1017" s="5">
        <v>4.2058823529411766</v>
      </c>
      <c r="I1017" s="2">
        <v>34</v>
      </c>
      <c r="J1017" s="12">
        <f>I1017/Pondération!$I$69</f>
        <v>2.9335634167385678E-2</v>
      </c>
    </row>
    <row r="1018" spans="1:10" x14ac:dyDescent="0.25">
      <c r="A1018" s="2" t="s">
        <v>77</v>
      </c>
      <c r="B1018" s="2">
        <v>2014</v>
      </c>
      <c r="C1018" s="2" t="s">
        <v>64</v>
      </c>
      <c r="D1018" s="2" t="s">
        <v>39</v>
      </c>
      <c r="E1018" s="2" t="s">
        <v>78</v>
      </c>
      <c r="F1018" s="2" t="s">
        <v>79</v>
      </c>
      <c r="G1018" s="2">
        <f t="shared" si="15"/>
        <v>0.30069025021570317</v>
      </c>
      <c r="H1018" s="5">
        <v>3.9602272727272729</v>
      </c>
      <c r="I1018" s="2">
        <v>88</v>
      </c>
      <c r="J1018" s="12">
        <f>I1018/Pondération!$I$69</f>
        <v>7.5927523727351162E-2</v>
      </c>
    </row>
    <row r="1019" spans="1:10" x14ac:dyDescent="0.25">
      <c r="A1019" s="2" t="s">
        <v>77</v>
      </c>
      <c r="B1019" s="2">
        <v>2014</v>
      </c>
      <c r="C1019" s="2" t="s">
        <v>65</v>
      </c>
      <c r="D1019" s="2" t="s">
        <v>39</v>
      </c>
      <c r="E1019" s="2" t="s">
        <v>78</v>
      </c>
      <c r="F1019" s="2" t="s">
        <v>79</v>
      </c>
      <c r="G1019" s="2">
        <f t="shared" si="15"/>
        <v>0.28429680759275239</v>
      </c>
      <c r="H1019" s="5">
        <v>4.0679012345679011</v>
      </c>
      <c r="I1019" s="2">
        <v>81</v>
      </c>
      <c r="J1019" s="12">
        <f>I1019/Pondération!$I$69</f>
        <v>6.9887834339948232E-2</v>
      </c>
    </row>
    <row r="1020" spans="1:10" x14ac:dyDescent="0.25">
      <c r="A1020" s="2" t="s">
        <v>77</v>
      </c>
      <c r="B1020" s="2">
        <v>2014</v>
      </c>
      <c r="C1020" s="2" t="s">
        <v>66</v>
      </c>
      <c r="D1020" s="2" t="s">
        <v>39</v>
      </c>
      <c r="E1020" s="2" t="s">
        <v>78</v>
      </c>
      <c r="F1020" s="2" t="s">
        <v>79</v>
      </c>
      <c r="G1020" s="2">
        <f t="shared" si="15"/>
        <v>0.31578947368421051</v>
      </c>
      <c r="H1020" s="5">
        <v>4.0219780219780219</v>
      </c>
      <c r="I1020" s="2">
        <v>91</v>
      </c>
      <c r="J1020" s="12">
        <f>I1020/Pondération!$I$69</f>
        <v>7.8515962036238132E-2</v>
      </c>
    </row>
    <row r="1021" spans="1:10" x14ac:dyDescent="0.25">
      <c r="A1021" s="2" t="s">
        <v>77</v>
      </c>
      <c r="B1021" s="2">
        <v>2014</v>
      </c>
      <c r="C1021" s="2" t="s">
        <v>67</v>
      </c>
      <c r="D1021" s="2" t="s">
        <v>39</v>
      </c>
      <c r="E1021" s="2" t="s">
        <v>78</v>
      </c>
      <c r="F1021" s="2" t="s">
        <v>79</v>
      </c>
      <c r="G1021" s="2">
        <f t="shared" si="15"/>
        <v>0.42795513373597927</v>
      </c>
      <c r="H1021" s="5">
        <v>4.0325203252032518</v>
      </c>
      <c r="I1021" s="2">
        <v>123</v>
      </c>
      <c r="J1021" s="12">
        <f>I1021/Pondération!$I$69</f>
        <v>0.10612597066436583</v>
      </c>
    </row>
    <row r="1022" spans="1:10" x14ac:dyDescent="0.25">
      <c r="A1022" s="2" t="s">
        <v>77</v>
      </c>
      <c r="B1022" s="2">
        <v>2014</v>
      </c>
      <c r="C1022" s="2" t="s">
        <v>68</v>
      </c>
      <c r="D1022" s="2" t="s">
        <v>39</v>
      </c>
      <c r="E1022" s="2" t="s">
        <v>78</v>
      </c>
      <c r="F1022" s="2" t="s">
        <v>79</v>
      </c>
      <c r="G1022" s="2">
        <f t="shared" si="15"/>
        <v>0.9814495254529767</v>
      </c>
      <c r="H1022" s="5">
        <v>4.0625</v>
      </c>
      <c r="I1022" s="2">
        <v>280</v>
      </c>
      <c r="J1022" s="12">
        <f>I1022/Pondération!$I$69</f>
        <v>0.24158757549611734</v>
      </c>
    </row>
    <row r="1023" spans="1:10" x14ac:dyDescent="0.25">
      <c r="A1023" s="2" t="s">
        <v>77</v>
      </c>
      <c r="B1023" s="2">
        <v>2014</v>
      </c>
      <c r="C1023" s="2" t="s">
        <v>69</v>
      </c>
      <c r="D1023" s="2" t="s">
        <v>39</v>
      </c>
      <c r="E1023" s="2" t="s">
        <v>78</v>
      </c>
      <c r="F1023" s="2" t="s">
        <v>79</v>
      </c>
      <c r="G1023" s="2">
        <f t="shared" si="15"/>
        <v>0.48403796376186364</v>
      </c>
      <c r="H1023" s="5">
        <v>4.0359712230215825</v>
      </c>
      <c r="I1023" s="2">
        <v>139</v>
      </c>
      <c r="J1023" s="12">
        <f>I1023/Pondération!$I$69</f>
        <v>0.11993097497842968</v>
      </c>
    </row>
    <row r="1024" spans="1:10" x14ac:dyDescent="0.25">
      <c r="A1024" s="2" t="s">
        <v>77</v>
      </c>
      <c r="B1024" s="2">
        <v>2014</v>
      </c>
      <c r="C1024" s="2" t="s">
        <v>70</v>
      </c>
      <c r="D1024" s="2" t="s">
        <v>39</v>
      </c>
      <c r="E1024" s="2" t="s">
        <v>78</v>
      </c>
      <c r="F1024" s="2" t="s">
        <v>79</v>
      </c>
      <c r="G1024" s="2">
        <f t="shared" si="15"/>
        <v>0.38222605694564282</v>
      </c>
      <c r="H1024" s="5">
        <v>4.1018518518518521</v>
      </c>
      <c r="I1024" s="2">
        <v>108</v>
      </c>
      <c r="J1024" s="12">
        <f>I1024/Pondération!$I$69</f>
        <v>9.3183779119930976E-2</v>
      </c>
    </row>
    <row r="1025" spans="1:10" x14ac:dyDescent="0.25">
      <c r="A1025" s="2" t="s">
        <v>77</v>
      </c>
      <c r="B1025" s="2">
        <v>2014</v>
      </c>
      <c r="C1025" s="2" t="s">
        <v>71</v>
      </c>
      <c r="D1025" s="2" t="s">
        <v>39</v>
      </c>
      <c r="E1025" s="2" t="s">
        <v>78</v>
      </c>
      <c r="F1025" s="2" t="s">
        <v>79</v>
      </c>
      <c r="G1025" s="2">
        <f t="shared" si="15"/>
        <v>0.36324417601380504</v>
      </c>
      <c r="H1025" s="5">
        <v>4.1683168316831685</v>
      </c>
      <c r="I1025" s="2">
        <v>101</v>
      </c>
      <c r="J1025" s="12">
        <f>I1025/Pondération!$I$69</f>
        <v>8.7144089732528046E-2</v>
      </c>
    </row>
    <row r="1026" spans="1:10" x14ac:dyDescent="0.25">
      <c r="A1026" s="2" t="s">
        <v>77</v>
      </c>
      <c r="B1026" s="2">
        <v>2014</v>
      </c>
      <c r="C1026" s="2" t="s">
        <v>72</v>
      </c>
      <c r="D1026" s="2" t="s">
        <v>39</v>
      </c>
      <c r="E1026" s="2" t="s">
        <v>78</v>
      </c>
      <c r="F1026" s="2" t="s">
        <v>79</v>
      </c>
      <c r="G1026" s="2">
        <f t="shared" ref="G1026:G1089" si="16">H1026*J1026</f>
        <v>0.21095772217428815</v>
      </c>
      <c r="H1026" s="5">
        <v>4.0081967213114753</v>
      </c>
      <c r="I1026" s="2">
        <v>61</v>
      </c>
      <c r="J1026" s="12">
        <f>I1026/Pondération!$I$69</f>
        <v>5.2631578947368418E-2</v>
      </c>
    </row>
    <row r="1027" spans="1:10" x14ac:dyDescent="0.25">
      <c r="A1027" s="2" t="s">
        <v>77</v>
      </c>
      <c r="B1027" s="2">
        <v>2015</v>
      </c>
      <c r="C1027" s="2" t="s">
        <v>73</v>
      </c>
      <c r="D1027" s="2" t="s">
        <v>39</v>
      </c>
      <c r="E1027" s="2" t="s">
        <v>78</v>
      </c>
      <c r="F1027" s="2" t="s">
        <v>79</v>
      </c>
      <c r="G1027" s="2">
        <f t="shared" si="16"/>
        <v>9.6390484003281388E-2</v>
      </c>
      <c r="H1027" s="5">
        <v>4.1228070175438596</v>
      </c>
      <c r="I1027" s="2">
        <v>57</v>
      </c>
      <c r="J1027" s="12">
        <f>I1027/Pondération!$H$69</f>
        <v>2.3379819524200166E-2</v>
      </c>
    </row>
    <row r="1028" spans="1:10" x14ac:dyDescent="0.25">
      <c r="A1028" s="2" t="s">
        <v>77</v>
      </c>
      <c r="B1028" s="2">
        <v>2015</v>
      </c>
      <c r="C1028" s="2" t="s">
        <v>74</v>
      </c>
      <c r="D1028" s="2" t="s">
        <v>39</v>
      </c>
      <c r="E1028" s="2" t="s">
        <v>78</v>
      </c>
      <c r="F1028" s="2" t="s">
        <v>79</v>
      </c>
      <c r="G1028" s="2">
        <f t="shared" si="16"/>
        <v>0.14950779327317473</v>
      </c>
      <c r="H1028" s="5">
        <v>4.2383720930232558</v>
      </c>
      <c r="I1028" s="2">
        <v>86</v>
      </c>
      <c r="J1028" s="12">
        <f>I1028/Pondération!$H$69</f>
        <v>3.5274815422477443E-2</v>
      </c>
    </row>
    <row r="1029" spans="1:10" x14ac:dyDescent="0.25">
      <c r="A1029" s="2" t="s">
        <v>77</v>
      </c>
      <c r="B1029" s="2">
        <v>2015</v>
      </c>
      <c r="C1029" s="2" t="s">
        <v>75</v>
      </c>
      <c r="D1029" s="2" t="s">
        <v>39</v>
      </c>
      <c r="E1029" s="2" t="s">
        <v>78</v>
      </c>
      <c r="F1029" s="2" t="s">
        <v>79</v>
      </c>
      <c r="G1029" s="2">
        <f t="shared" si="16"/>
        <v>0.17268252666119771</v>
      </c>
      <c r="H1029" s="5">
        <v>4.1683168316831685</v>
      </c>
      <c r="I1029" s="2">
        <v>101</v>
      </c>
      <c r="J1029" s="12">
        <f>I1029/Pondération!$H$69</f>
        <v>4.1427399507793276E-2</v>
      </c>
    </row>
    <row r="1030" spans="1:10" x14ac:dyDescent="0.25">
      <c r="A1030" s="2" t="s">
        <v>77</v>
      </c>
      <c r="B1030" s="2">
        <v>2015</v>
      </c>
      <c r="C1030" s="2" t="s">
        <v>76</v>
      </c>
      <c r="D1030" s="2" t="s">
        <v>39</v>
      </c>
      <c r="E1030" s="2" t="s">
        <v>78</v>
      </c>
      <c r="F1030" s="2" t="s">
        <v>79</v>
      </c>
      <c r="G1030" s="2">
        <f t="shared" si="16"/>
        <v>0.22867104183757181</v>
      </c>
      <c r="H1030" s="5">
        <v>4.0107913669064752</v>
      </c>
      <c r="I1030" s="2">
        <v>139</v>
      </c>
      <c r="J1030" s="12">
        <f>I1030/Pondération!$H$69</f>
        <v>5.7013945857260051E-2</v>
      </c>
    </row>
    <row r="1031" spans="1:10" x14ac:dyDescent="0.25">
      <c r="A1031" s="2" t="s">
        <v>77</v>
      </c>
      <c r="B1031" s="2">
        <v>2015</v>
      </c>
      <c r="C1031" s="2" t="s">
        <v>7</v>
      </c>
      <c r="D1031" s="2" t="s">
        <v>39</v>
      </c>
      <c r="E1031" s="2" t="s">
        <v>78</v>
      </c>
      <c r="F1031" s="2" t="s">
        <v>79</v>
      </c>
      <c r="G1031" s="2">
        <f t="shared" si="16"/>
        <v>0.37592288761279735</v>
      </c>
      <c r="H1031" s="5">
        <v>3.9334763948497855</v>
      </c>
      <c r="I1031" s="2">
        <v>233</v>
      </c>
      <c r="J1031" s="12">
        <f>I1031/Pondération!$H$69</f>
        <v>9.5570139458572595E-2</v>
      </c>
    </row>
    <row r="1032" spans="1:10" x14ac:dyDescent="0.25">
      <c r="A1032" s="2" t="s">
        <v>77</v>
      </c>
      <c r="B1032" s="2">
        <v>2015</v>
      </c>
      <c r="C1032" s="2" t="s">
        <v>11</v>
      </c>
      <c r="D1032" s="2" t="s">
        <v>39</v>
      </c>
      <c r="E1032" s="2" t="s">
        <v>78</v>
      </c>
      <c r="F1032" s="2" t="s">
        <v>79</v>
      </c>
      <c r="G1032" s="2">
        <f t="shared" si="16"/>
        <v>0.26722723543888433</v>
      </c>
      <c r="H1032" s="5">
        <v>3.9969325153374231</v>
      </c>
      <c r="I1032" s="2">
        <v>163</v>
      </c>
      <c r="J1032" s="12">
        <f>I1032/Pondération!$H$69</f>
        <v>6.6858080393765382E-2</v>
      </c>
    </row>
    <row r="1033" spans="1:10" x14ac:dyDescent="0.25">
      <c r="A1033" s="2" t="s">
        <v>77</v>
      </c>
      <c r="B1033" s="2">
        <v>2015</v>
      </c>
      <c r="C1033" s="2" t="s">
        <v>12</v>
      </c>
      <c r="D1033" s="2" t="s">
        <v>39</v>
      </c>
      <c r="E1033" s="2" t="s">
        <v>78</v>
      </c>
      <c r="F1033" s="2" t="s">
        <v>79</v>
      </c>
      <c r="G1033" s="2">
        <f t="shared" si="16"/>
        <v>0.6365873666940115</v>
      </c>
      <c r="H1033" s="5">
        <v>4.0628272251308903</v>
      </c>
      <c r="I1033" s="2">
        <v>382</v>
      </c>
      <c r="J1033" s="12">
        <f>I1033/Pondération!$H$69</f>
        <v>0.15668580803937654</v>
      </c>
    </row>
    <row r="1034" spans="1:10" x14ac:dyDescent="0.25">
      <c r="A1034" s="2" t="s">
        <v>77</v>
      </c>
      <c r="B1034" s="2">
        <v>2015</v>
      </c>
      <c r="C1034" s="2" t="s">
        <v>13</v>
      </c>
      <c r="D1034" s="2" t="s">
        <v>39</v>
      </c>
      <c r="E1034" s="2" t="s">
        <v>78</v>
      </c>
      <c r="F1034" s="2" t="s">
        <v>79</v>
      </c>
      <c r="G1034" s="2">
        <f t="shared" si="16"/>
        <v>1.0059474979491387</v>
      </c>
      <c r="H1034" s="5">
        <v>4.0470297029702973</v>
      </c>
      <c r="I1034" s="2">
        <v>606</v>
      </c>
      <c r="J1034" s="12">
        <f>I1034/Pondération!$H$69</f>
        <v>0.24856439704675964</v>
      </c>
    </row>
    <row r="1035" spans="1:10" x14ac:dyDescent="0.25">
      <c r="A1035" s="2" t="s">
        <v>77</v>
      </c>
      <c r="B1035" s="2">
        <v>2015</v>
      </c>
      <c r="C1035" s="2" t="s">
        <v>14</v>
      </c>
      <c r="D1035" s="2" t="s">
        <v>39</v>
      </c>
      <c r="E1035" s="2" t="s">
        <v>78</v>
      </c>
      <c r="F1035" s="2" t="s">
        <v>79</v>
      </c>
      <c r="G1035" s="2">
        <f t="shared" si="16"/>
        <v>0.40689089417555374</v>
      </c>
      <c r="H1035" s="5">
        <v>4</v>
      </c>
      <c r="I1035" s="2">
        <v>248</v>
      </c>
      <c r="J1035" s="12">
        <f>I1035/Pondération!$H$69</f>
        <v>0.10172272354388844</v>
      </c>
    </row>
    <row r="1036" spans="1:10" x14ac:dyDescent="0.25">
      <c r="A1036" s="2" t="s">
        <v>77</v>
      </c>
      <c r="B1036" s="2">
        <v>2015</v>
      </c>
      <c r="C1036" s="2" t="s">
        <v>15</v>
      </c>
      <c r="D1036" s="2" t="s">
        <v>39</v>
      </c>
      <c r="E1036" s="2" t="s">
        <v>78</v>
      </c>
      <c r="F1036" s="2" t="s">
        <v>79</v>
      </c>
      <c r="G1036" s="2">
        <f t="shared" si="16"/>
        <v>0.28589007383100901</v>
      </c>
      <c r="H1036" s="5">
        <v>4.0523255813953485</v>
      </c>
      <c r="I1036" s="2">
        <v>172</v>
      </c>
      <c r="J1036" s="12">
        <f>I1036/Pondération!$H$69</f>
        <v>7.0549630844954886E-2</v>
      </c>
    </row>
    <row r="1037" spans="1:10" x14ac:dyDescent="0.25">
      <c r="A1037" s="2" t="s">
        <v>77</v>
      </c>
      <c r="B1037" s="2">
        <v>2015</v>
      </c>
      <c r="C1037" s="2" t="s">
        <v>16</v>
      </c>
      <c r="D1037" s="2" t="s">
        <v>39</v>
      </c>
      <c r="E1037" s="2" t="s">
        <v>78</v>
      </c>
      <c r="F1037" s="2" t="s">
        <v>79</v>
      </c>
      <c r="G1037" s="2">
        <f t="shared" si="16"/>
        <v>0.20816242821985234</v>
      </c>
      <c r="H1037" s="5">
        <v>4.1260162601626016</v>
      </c>
      <c r="I1037" s="2">
        <v>123</v>
      </c>
      <c r="J1037" s="12">
        <f>I1037/Pondération!$H$69</f>
        <v>5.0451189499589828E-2</v>
      </c>
    </row>
    <row r="1038" spans="1:10" x14ac:dyDescent="0.25">
      <c r="A1038" s="2" t="s">
        <v>77</v>
      </c>
      <c r="B1038" s="2">
        <v>2015</v>
      </c>
      <c r="C1038" s="2" t="s">
        <v>17</v>
      </c>
      <c r="D1038" s="2" t="s">
        <v>39</v>
      </c>
      <c r="E1038" s="2" t="s">
        <v>78</v>
      </c>
      <c r="F1038" s="2" t="s">
        <v>79</v>
      </c>
      <c r="G1038" s="2">
        <f t="shared" si="16"/>
        <v>0.20057424118129616</v>
      </c>
      <c r="H1038" s="5">
        <v>3.8203125</v>
      </c>
      <c r="I1038" s="2">
        <v>128</v>
      </c>
      <c r="J1038" s="12">
        <f>I1038/Pondération!$H$69</f>
        <v>5.2502050861361775E-2</v>
      </c>
    </row>
    <row r="1039" spans="1:10" x14ac:dyDescent="0.25">
      <c r="A1039" s="2" t="s">
        <v>77</v>
      </c>
      <c r="B1039" s="2">
        <v>2016</v>
      </c>
      <c r="C1039" s="2" t="s">
        <v>18</v>
      </c>
      <c r="D1039" s="2" t="s">
        <v>39</v>
      </c>
      <c r="E1039" s="2" t="s">
        <v>78</v>
      </c>
      <c r="F1039" s="2" t="s">
        <v>79</v>
      </c>
      <c r="G1039" s="2">
        <f t="shared" si="16"/>
        <v>0.22042708626018545</v>
      </c>
      <c r="H1039" s="5">
        <v>4.0438144329896906</v>
      </c>
      <c r="I1039" s="2">
        <v>194</v>
      </c>
      <c r="J1039" s="12">
        <f>I1039/Pondération!$G$69</f>
        <v>5.4509693734195001E-2</v>
      </c>
    </row>
    <row r="1040" spans="1:10" x14ac:dyDescent="0.25">
      <c r="A1040" s="2" t="s">
        <v>77</v>
      </c>
      <c r="B1040" s="2">
        <v>2016</v>
      </c>
      <c r="C1040" s="2" t="s">
        <v>19</v>
      </c>
      <c r="D1040" s="2" t="s">
        <v>39</v>
      </c>
      <c r="E1040" s="2" t="s">
        <v>78</v>
      </c>
      <c r="F1040" s="2" t="s">
        <v>79</v>
      </c>
      <c r="G1040" s="2">
        <f t="shared" si="16"/>
        <v>0.24150042146670408</v>
      </c>
      <c r="H1040" s="5">
        <v>4.2761194029850742</v>
      </c>
      <c r="I1040" s="2">
        <v>201</v>
      </c>
      <c r="J1040" s="12">
        <f>I1040/Pondération!$G$69</f>
        <v>5.6476538353470072E-2</v>
      </c>
    </row>
    <row r="1041" spans="1:10" x14ac:dyDescent="0.25">
      <c r="A1041" s="2" t="s">
        <v>77</v>
      </c>
      <c r="B1041" s="2">
        <v>2016</v>
      </c>
      <c r="C1041" s="2" t="s">
        <v>20</v>
      </c>
      <c r="D1041" s="2" t="s">
        <v>39</v>
      </c>
      <c r="E1041" s="2" t="s">
        <v>78</v>
      </c>
      <c r="F1041" s="2" t="s">
        <v>79</v>
      </c>
      <c r="G1041" s="2">
        <f t="shared" si="16"/>
        <v>0.24290531048047204</v>
      </c>
      <c r="H1041" s="5">
        <v>4.15625</v>
      </c>
      <c r="I1041" s="2">
        <v>208</v>
      </c>
      <c r="J1041" s="12">
        <f>I1041/Pondération!$G$69</f>
        <v>5.844338297274515E-2</v>
      </c>
    </row>
    <row r="1042" spans="1:10" x14ac:dyDescent="0.25">
      <c r="A1042" s="2" t="s">
        <v>77</v>
      </c>
      <c r="B1042" s="2">
        <v>2016</v>
      </c>
      <c r="C1042" s="2" t="s">
        <v>21</v>
      </c>
      <c r="D1042" s="2" t="s">
        <v>39</v>
      </c>
      <c r="E1042" s="2" t="s">
        <v>78</v>
      </c>
      <c r="F1042" s="2" t="s">
        <v>79</v>
      </c>
      <c r="G1042" s="2">
        <f t="shared" si="16"/>
        <v>0.29404327058162405</v>
      </c>
      <c r="H1042" s="5">
        <v>4.1200787401574805</v>
      </c>
      <c r="I1042" s="2">
        <v>254</v>
      </c>
      <c r="J1042" s="12">
        <f>I1042/Pondération!$G$69</f>
        <v>7.1368361899409941E-2</v>
      </c>
    </row>
    <row r="1043" spans="1:10" x14ac:dyDescent="0.25">
      <c r="A1043" s="2" t="s">
        <v>77</v>
      </c>
      <c r="B1043" s="2">
        <v>2016</v>
      </c>
      <c r="C1043" s="2" t="s">
        <v>22</v>
      </c>
      <c r="D1043" s="2" t="s">
        <v>39</v>
      </c>
      <c r="E1043" s="2" t="s">
        <v>78</v>
      </c>
      <c r="F1043" s="2" t="s">
        <v>79</v>
      </c>
      <c r="G1043" s="2">
        <f t="shared" si="16"/>
        <v>0.38283225625175615</v>
      </c>
      <c r="H1043" s="5">
        <v>4.0310650887573969</v>
      </c>
      <c r="I1043" s="2">
        <v>338</v>
      </c>
      <c r="J1043" s="12">
        <f>I1043/Pondération!$G$69</f>
        <v>9.4970497330710876E-2</v>
      </c>
    </row>
    <row r="1044" spans="1:10" x14ac:dyDescent="0.25">
      <c r="A1044" s="2" t="s">
        <v>77</v>
      </c>
      <c r="B1044" s="2">
        <v>2016</v>
      </c>
      <c r="C1044" s="2" t="s">
        <v>23</v>
      </c>
      <c r="D1044" s="2" t="s">
        <v>39</v>
      </c>
      <c r="E1044" s="2" t="s">
        <v>78</v>
      </c>
      <c r="F1044" s="2" t="s">
        <v>79</v>
      </c>
      <c r="G1044" s="2">
        <f t="shared" si="16"/>
        <v>0.24220286597358809</v>
      </c>
      <c r="H1044" s="5">
        <v>4.0853080568720381</v>
      </c>
      <c r="I1044" s="2">
        <v>211</v>
      </c>
      <c r="J1044" s="12">
        <f>I1044/Pondération!$G$69</f>
        <v>5.9286316381005899E-2</v>
      </c>
    </row>
    <row r="1045" spans="1:10" x14ac:dyDescent="0.25">
      <c r="A1045" s="2" t="s">
        <v>77</v>
      </c>
      <c r="B1045" s="2">
        <v>2016</v>
      </c>
      <c r="C1045" s="2" t="s">
        <v>24</v>
      </c>
      <c r="D1045" s="2" t="s">
        <v>39</v>
      </c>
      <c r="E1045" s="2" t="s">
        <v>78</v>
      </c>
      <c r="F1045" s="2" t="s">
        <v>79</v>
      </c>
      <c r="G1045" s="2">
        <f t="shared" si="16"/>
        <v>0.57389716212419217</v>
      </c>
      <c r="H1045" s="5">
        <v>4.1940451745379876</v>
      </c>
      <c r="I1045" s="2">
        <v>487</v>
      </c>
      <c r="J1045" s="12">
        <f>I1045/Pondération!$G$69</f>
        <v>0.13683618994099467</v>
      </c>
    </row>
    <row r="1046" spans="1:10" x14ac:dyDescent="0.25">
      <c r="A1046" s="2" t="s">
        <v>77</v>
      </c>
      <c r="B1046" s="2">
        <v>2016</v>
      </c>
      <c r="C1046" s="2" t="s">
        <v>25</v>
      </c>
      <c r="D1046" s="2" t="s">
        <v>39</v>
      </c>
      <c r="E1046" s="2" t="s">
        <v>78</v>
      </c>
      <c r="F1046" s="2" t="s">
        <v>79</v>
      </c>
      <c r="G1046" s="2">
        <f t="shared" si="16"/>
        <v>0.97162124192188815</v>
      </c>
      <c r="H1046" s="5">
        <v>4.15625</v>
      </c>
      <c r="I1046" s="2">
        <v>832</v>
      </c>
      <c r="J1046" s="12">
        <f>I1046/Pondération!$G$69</f>
        <v>0.2337735318909806</v>
      </c>
    </row>
    <row r="1047" spans="1:10" x14ac:dyDescent="0.25">
      <c r="A1047" s="2" t="s">
        <v>77</v>
      </c>
      <c r="B1047" s="2">
        <v>2016</v>
      </c>
      <c r="C1047" s="2" t="s">
        <v>26</v>
      </c>
      <c r="D1047" s="2" t="s">
        <v>39</v>
      </c>
      <c r="E1047" s="2" t="s">
        <v>78</v>
      </c>
      <c r="F1047" s="2" t="s">
        <v>79</v>
      </c>
      <c r="G1047" s="2">
        <f t="shared" si="16"/>
        <v>0.3847991008710312</v>
      </c>
      <c r="H1047" s="5">
        <v>4.125</v>
      </c>
      <c r="I1047" s="2">
        <v>332</v>
      </c>
      <c r="J1047" s="12">
        <f>I1047/Pondération!$G$69</f>
        <v>9.3284630514189379E-2</v>
      </c>
    </row>
    <row r="1048" spans="1:10" x14ac:dyDescent="0.25">
      <c r="A1048" s="2" t="s">
        <v>77</v>
      </c>
      <c r="B1048" s="2">
        <v>2016</v>
      </c>
      <c r="C1048" s="2" t="s">
        <v>27</v>
      </c>
      <c r="D1048" s="2" t="s">
        <v>39</v>
      </c>
      <c r="E1048" s="2" t="s">
        <v>78</v>
      </c>
      <c r="F1048" s="2" t="s">
        <v>79</v>
      </c>
      <c r="G1048" s="2">
        <f t="shared" si="16"/>
        <v>0.30457993818488338</v>
      </c>
      <c r="H1048" s="5">
        <v>4.1216730038022815</v>
      </c>
      <c r="I1048" s="2">
        <v>263</v>
      </c>
      <c r="J1048" s="12">
        <f>I1048/Pondération!$G$69</f>
        <v>7.3897162124192187E-2</v>
      </c>
    </row>
    <row r="1049" spans="1:10" x14ac:dyDescent="0.25">
      <c r="A1049" s="2" t="s">
        <v>77</v>
      </c>
      <c r="B1049" s="2">
        <v>2016</v>
      </c>
      <c r="C1049" s="2" t="s">
        <v>28</v>
      </c>
      <c r="D1049" s="2" t="s">
        <v>39</v>
      </c>
      <c r="E1049" s="2" t="s">
        <v>78</v>
      </c>
      <c r="F1049" s="2" t="s">
        <v>79</v>
      </c>
      <c r="G1049" s="2">
        <f t="shared" si="16"/>
        <v>0.18994099466142175</v>
      </c>
      <c r="H1049" s="5">
        <v>4.0969696969696967</v>
      </c>
      <c r="I1049" s="2">
        <v>165</v>
      </c>
      <c r="J1049" s="12">
        <f>I1049/Pondération!$G$69</f>
        <v>4.6361337454341109E-2</v>
      </c>
    </row>
    <row r="1050" spans="1:10" x14ac:dyDescent="0.25">
      <c r="A1050" s="2" t="s">
        <v>77</v>
      </c>
      <c r="B1050" s="2">
        <v>2016</v>
      </c>
      <c r="C1050" s="2" t="s">
        <v>29</v>
      </c>
      <c r="D1050" s="2" t="s">
        <v>39</v>
      </c>
      <c r="E1050" s="2" t="s">
        <v>78</v>
      </c>
      <c r="F1050" s="2" t="s">
        <v>79</v>
      </c>
      <c r="G1050" s="2">
        <f t="shared" si="16"/>
        <v>8.7243607754987351E-2</v>
      </c>
      <c r="H1050" s="5">
        <v>4.1959459459459456</v>
      </c>
      <c r="I1050" s="2">
        <v>74</v>
      </c>
      <c r="J1050" s="12">
        <f>I1050/Pondération!$G$69</f>
        <v>2.0792357403765102E-2</v>
      </c>
    </row>
    <row r="1051" spans="1:10" x14ac:dyDescent="0.25">
      <c r="A1051" s="2" t="s">
        <v>77</v>
      </c>
      <c r="B1051" s="2">
        <v>2017</v>
      </c>
      <c r="C1051" s="2" t="s">
        <v>30</v>
      </c>
      <c r="D1051" s="2" t="s">
        <v>39</v>
      </c>
      <c r="E1051" s="2" t="s">
        <v>78</v>
      </c>
      <c r="F1051" s="2" t="s">
        <v>79</v>
      </c>
      <c r="G1051" s="2">
        <f t="shared" si="16"/>
        <v>0.53485370051635106</v>
      </c>
      <c r="H1051" s="5">
        <v>4.256849315068493</v>
      </c>
      <c r="I1051" s="2">
        <v>146</v>
      </c>
      <c r="J1051" s="12">
        <f>I1051/Pondération!$F$69</f>
        <v>0.12564543889845095</v>
      </c>
    </row>
    <row r="1052" spans="1:10" x14ac:dyDescent="0.25">
      <c r="A1052" s="2" t="s">
        <v>77</v>
      </c>
      <c r="B1052" s="2">
        <v>2017</v>
      </c>
      <c r="C1052" s="2" t="s">
        <v>31</v>
      </c>
      <c r="D1052" s="2" t="s">
        <v>39</v>
      </c>
      <c r="E1052" s="2" t="s">
        <v>78</v>
      </c>
      <c r="F1052" s="2" t="s">
        <v>79</v>
      </c>
      <c r="G1052" s="2">
        <f t="shared" si="16"/>
        <v>0.68201376936316704</v>
      </c>
      <c r="H1052" s="5">
        <v>4.3070652173913047</v>
      </c>
      <c r="I1052" s="2">
        <v>184</v>
      </c>
      <c r="J1052" s="12">
        <f>I1052/Pondération!$F$69</f>
        <v>0.15834767641996558</v>
      </c>
    </row>
    <row r="1053" spans="1:10" x14ac:dyDescent="0.25">
      <c r="A1053" s="2" t="s">
        <v>77</v>
      </c>
      <c r="B1053" s="2">
        <v>2017</v>
      </c>
      <c r="C1053" s="2" t="s">
        <v>32</v>
      </c>
      <c r="D1053" s="2" t="s">
        <v>39</v>
      </c>
      <c r="E1053" s="2" t="s">
        <v>78</v>
      </c>
      <c r="F1053" s="2" t="s">
        <v>79</v>
      </c>
      <c r="G1053" s="2">
        <f t="shared" si="16"/>
        <v>0.53141135972461273</v>
      </c>
      <c r="H1053" s="5">
        <v>4.2294520547945202</v>
      </c>
      <c r="I1053" s="2">
        <v>146</v>
      </c>
      <c r="J1053" s="12">
        <f>I1053/Pondération!$F$69</f>
        <v>0.12564543889845095</v>
      </c>
    </row>
    <row r="1054" spans="1:10" x14ac:dyDescent="0.25">
      <c r="A1054" s="2" t="s">
        <v>77</v>
      </c>
      <c r="B1054" s="2">
        <v>2017</v>
      </c>
      <c r="C1054" s="2" t="s">
        <v>33</v>
      </c>
      <c r="D1054" s="2" t="s">
        <v>39</v>
      </c>
      <c r="E1054" s="2" t="s">
        <v>78</v>
      </c>
      <c r="F1054" s="2" t="s">
        <v>79</v>
      </c>
      <c r="G1054" s="2">
        <f t="shared" si="16"/>
        <v>0.95998278829604133</v>
      </c>
      <c r="H1054" s="5">
        <v>4.0711678832116789</v>
      </c>
      <c r="I1054" s="2">
        <v>274</v>
      </c>
      <c r="J1054" s="12">
        <f>I1054/Pondération!$F$69</f>
        <v>0.23580034423407917</v>
      </c>
    </row>
    <row r="1055" spans="1:10" x14ac:dyDescent="0.25">
      <c r="A1055" s="2" t="s">
        <v>77</v>
      </c>
      <c r="B1055" s="2">
        <v>2017</v>
      </c>
      <c r="C1055" s="2" t="s">
        <v>34</v>
      </c>
      <c r="D1055" s="2" t="s">
        <v>39</v>
      </c>
      <c r="E1055" s="2" t="s">
        <v>78</v>
      </c>
      <c r="F1055" s="2" t="s">
        <v>79</v>
      </c>
      <c r="G1055" s="2">
        <f t="shared" si="16"/>
        <v>0.99827882960413084</v>
      </c>
      <c r="H1055" s="5">
        <v>4.1281138790035588</v>
      </c>
      <c r="I1055" s="2">
        <v>281</v>
      </c>
      <c r="J1055" s="12">
        <f>I1055/Pondération!$F$69</f>
        <v>0.24182444061962136</v>
      </c>
    </row>
    <row r="1056" spans="1:10" x14ac:dyDescent="0.25">
      <c r="A1056" s="2" t="s">
        <v>77</v>
      </c>
      <c r="B1056" s="2">
        <v>2017</v>
      </c>
      <c r="C1056" s="2" t="s">
        <v>80</v>
      </c>
      <c r="D1056" s="2" t="s">
        <v>39</v>
      </c>
      <c r="E1056" s="2" t="s">
        <v>78</v>
      </c>
      <c r="F1056" s="2" t="s">
        <v>79</v>
      </c>
      <c r="G1056" s="2">
        <f t="shared" si="16"/>
        <v>0.46901893287435459</v>
      </c>
      <c r="H1056" s="5">
        <v>4.1603053435114505</v>
      </c>
      <c r="I1056" s="2">
        <v>131</v>
      </c>
      <c r="J1056" s="12">
        <f>I1056/Pondération!$F$69</f>
        <v>0.11273666092943202</v>
      </c>
    </row>
    <row r="1057" spans="1:10" x14ac:dyDescent="0.25">
      <c r="A1057" s="2" t="s">
        <v>77</v>
      </c>
      <c r="B1057" s="2">
        <v>2013</v>
      </c>
      <c r="C1057" s="2" t="s">
        <v>49</v>
      </c>
      <c r="D1057" s="2" t="s">
        <v>39</v>
      </c>
      <c r="E1057" s="2" t="s">
        <v>78</v>
      </c>
      <c r="F1057" s="2" t="s">
        <v>81</v>
      </c>
      <c r="G1057" s="2">
        <f t="shared" si="16"/>
        <v>0.16733067729083667</v>
      </c>
      <c r="H1057" s="5">
        <v>4.2</v>
      </c>
      <c r="I1057" s="2">
        <v>10</v>
      </c>
      <c r="J1057" s="12">
        <f>I1057/Pondération!$J$70</f>
        <v>3.9840637450199202E-2</v>
      </c>
    </row>
    <row r="1058" spans="1:10" x14ac:dyDescent="0.25">
      <c r="A1058" s="2" t="s">
        <v>77</v>
      </c>
      <c r="B1058" s="2">
        <v>2013</v>
      </c>
      <c r="C1058" s="2" t="s">
        <v>50</v>
      </c>
      <c r="D1058" s="2" t="s">
        <v>39</v>
      </c>
      <c r="E1058" s="2" t="s">
        <v>78</v>
      </c>
      <c r="F1058" s="2" t="s">
        <v>81</v>
      </c>
      <c r="G1058" s="2">
        <f t="shared" si="16"/>
        <v>0.25896414342629481</v>
      </c>
      <c r="H1058" s="5">
        <v>4.0625</v>
      </c>
      <c r="I1058" s="2">
        <v>16</v>
      </c>
      <c r="J1058" s="12">
        <f>I1058/Pondération!$J$70</f>
        <v>6.3745019920318724E-2</v>
      </c>
    </row>
    <row r="1059" spans="1:10" x14ac:dyDescent="0.25">
      <c r="A1059" s="2" t="s">
        <v>77</v>
      </c>
      <c r="B1059" s="2">
        <v>2013</v>
      </c>
      <c r="C1059" s="2" t="s">
        <v>51</v>
      </c>
      <c r="D1059" s="2" t="s">
        <v>39</v>
      </c>
      <c r="E1059" s="2" t="s">
        <v>78</v>
      </c>
      <c r="F1059" s="2" t="s">
        <v>81</v>
      </c>
      <c r="G1059" s="2">
        <f t="shared" si="16"/>
        <v>0.24701195219123509</v>
      </c>
      <c r="H1059" s="5">
        <v>4.1333333333333337</v>
      </c>
      <c r="I1059" s="2">
        <v>15</v>
      </c>
      <c r="J1059" s="12">
        <f>I1059/Pondération!$J$70</f>
        <v>5.9760956175298807E-2</v>
      </c>
    </row>
    <row r="1060" spans="1:10" x14ac:dyDescent="0.25">
      <c r="A1060" s="2" t="s">
        <v>77</v>
      </c>
      <c r="B1060" s="2">
        <v>2013</v>
      </c>
      <c r="C1060" s="2" t="s">
        <v>52</v>
      </c>
      <c r="D1060" s="2" t="s">
        <v>39</v>
      </c>
      <c r="E1060" s="2" t="s">
        <v>78</v>
      </c>
      <c r="F1060" s="2" t="s">
        <v>81</v>
      </c>
      <c r="G1060" s="2">
        <f t="shared" si="16"/>
        <v>0.22709163346613545</v>
      </c>
      <c r="H1060" s="5">
        <v>4.0714285714285712</v>
      </c>
      <c r="I1060" s="2">
        <v>14</v>
      </c>
      <c r="J1060" s="12">
        <f>I1060/Pondération!$J$70</f>
        <v>5.5776892430278883E-2</v>
      </c>
    </row>
    <row r="1061" spans="1:10" x14ac:dyDescent="0.25">
      <c r="A1061" s="2" t="s">
        <v>77</v>
      </c>
      <c r="B1061" s="2">
        <v>2013</v>
      </c>
      <c r="C1061" s="2" t="s">
        <v>53</v>
      </c>
      <c r="D1061" s="2" t="s">
        <v>39</v>
      </c>
      <c r="E1061" s="2" t="s">
        <v>78</v>
      </c>
      <c r="F1061" s="2" t="s">
        <v>81</v>
      </c>
      <c r="G1061" s="2">
        <f t="shared" si="16"/>
        <v>0.22310756972111553</v>
      </c>
      <c r="H1061" s="5">
        <v>4</v>
      </c>
      <c r="I1061" s="2">
        <v>14</v>
      </c>
      <c r="J1061" s="12">
        <f>I1061/Pondération!$J$70</f>
        <v>5.5776892430278883E-2</v>
      </c>
    </row>
    <row r="1062" spans="1:10" x14ac:dyDescent="0.25">
      <c r="A1062" s="2" t="s">
        <v>77</v>
      </c>
      <c r="B1062" s="2">
        <v>2013</v>
      </c>
      <c r="C1062" s="2" t="s">
        <v>54</v>
      </c>
      <c r="D1062" s="2" t="s">
        <v>39</v>
      </c>
      <c r="E1062" s="2" t="s">
        <v>78</v>
      </c>
      <c r="F1062" s="2" t="s">
        <v>81</v>
      </c>
      <c r="G1062" s="2">
        <f t="shared" si="16"/>
        <v>0.20119521912350596</v>
      </c>
      <c r="H1062" s="5">
        <v>4.208333333333333</v>
      </c>
      <c r="I1062" s="2">
        <v>12</v>
      </c>
      <c r="J1062" s="12">
        <f>I1062/Pondération!$J$70</f>
        <v>4.7808764940239043E-2</v>
      </c>
    </row>
    <row r="1063" spans="1:10" x14ac:dyDescent="0.25">
      <c r="A1063" s="2" t="s">
        <v>77</v>
      </c>
      <c r="B1063" s="2">
        <v>2013</v>
      </c>
      <c r="C1063" s="2" t="s">
        <v>55</v>
      </c>
      <c r="D1063" s="2" t="s">
        <v>39</v>
      </c>
      <c r="E1063" s="2" t="s">
        <v>78</v>
      </c>
      <c r="F1063" s="2" t="s">
        <v>81</v>
      </c>
      <c r="G1063" s="2">
        <f t="shared" si="16"/>
        <v>0.80478087649402397</v>
      </c>
      <c r="H1063" s="5">
        <v>4.2978723404255321</v>
      </c>
      <c r="I1063" s="2">
        <v>47</v>
      </c>
      <c r="J1063" s="12">
        <f>I1063/Pondération!$J$70</f>
        <v>0.18725099601593626</v>
      </c>
    </row>
    <row r="1064" spans="1:10" x14ac:dyDescent="0.25">
      <c r="A1064" s="2" t="s">
        <v>77</v>
      </c>
      <c r="B1064" s="2">
        <v>2013</v>
      </c>
      <c r="C1064" s="2" t="s">
        <v>56</v>
      </c>
      <c r="D1064" s="2" t="s">
        <v>39</v>
      </c>
      <c r="E1064" s="2" t="s">
        <v>78</v>
      </c>
      <c r="F1064" s="2" t="s">
        <v>81</v>
      </c>
      <c r="G1064" s="2">
        <f t="shared" si="16"/>
        <v>1.0239043824701195</v>
      </c>
      <c r="H1064" s="5">
        <v>4.3559322033898304</v>
      </c>
      <c r="I1064" s="2">
        <v>59</v>
      </c>
      <c r="J1064" s="12">
        <f>I1064/Pondération!$J$70</f>
        <v>0.23505976095617531</v>
      </c>
    </row>
    <row r="1065" spans="1:10" x14ac:dyDescent="0.25">
      <c r="A1065" s="2" t="s">
        <v>77</v>
      </c>
      <c r="B1065" s="2">
        <v>2013</v>
      </c>
      <c r="C1065" s="2" t="s">
        <v>57</v>
      </c>
      <c r="D1065" s="2" t="s">
        <v>39</v>
      </c>
      <c r="E1065" s="2" t="s">
        <v>78</v>
      </c>
      <c r="F1065" s="2" t="s">
        <v>81</v>
      </c>
      <c r="G1065" s="2">
        <f t="shared" si="16"/>
        <v>0.30079681274900399</v>
      </c>
      <c r="H1065" s="5">
        <v>3.9736842105263159</v>
      </c>
      <c r="I1065" s="2">
        <v>19</v>
      </c>
      <c r="J1065" s="12">
        <f>I1065/Pondération!$J$70</f>
        <v>7.5697211155378488E-2</v>
      </c>
    </row>
    <row r="1066" spans="1:10" x14ac:dyDescent="0.25">
      <c r="A1066" s="2" t="s">
        <v>77</v>
      </c>
      <c r="B1066" s="2">
        <v>2013</v>
      </c>
      <c r="C1066" s="2" t="s">
        <v>58</v>
      </c>
      <c r="D1066" s="2" t="s">
        <v>39</v>
      </c>
      <c r="E1066" s="2" t="s">
        <v>78</v>
      </c>
      <c r="F1066" s="2" t="s">
        <v>81</v>
      </c>
      <c r="G1066" s="2">
        <f t="shared" si="16"/>
        <v>0.39840637450199207</v>
      </c>
      <c r="H1066" s="5">
        <v>4.166666666666667</v>
      </c>
      <c r="I1066" s="2">
        <v>24</v>
      </c>
      <c r="J1066" s="12">
        <f>I1066/Pondération!$J$70</f>
        <v>9.5617529880478086E-2</v>
      </c>
    </row>
    <row r="1067" spans="1:10" x14ac:dyDescent="0.25">
      <c r="A1067" s="2" t="s">
        <v>77</v>
      </c>
      <c r="B1067" s="2">
        <v>2013</v>
      </c>
      <c r="C1067" s="2" t="s">
        <v>59</v>
      </c>
      <c r="D1067" s="2" t="s">
        <v>39</v>
      </c>
      <c r="E1067" s="2" t="s">
        <v>78</v>
      </c>
      <c r="F1067" s="2" t="s">
        <v>81</v>
      </c>
      <c r="G1067" s="2">
        <f t="shared" si="16"/>
        <v>0.20717131474103584</v>
      </c>
      <c r="H1067" s="5">
        <v>4.333333333333333</v>
      </c>
      <c r="I1067" s="2">
        <v>12</v>
      </c>
      <c r="J1067" s="12">
        <f>I1067/Pondération!$J$70</f>
        <v>4.7808764940239043E-2</v>
      </c>
    </row>
    <row r="1068" spans="1:10" x14ac:dyDescent="0.25">
      <c r="A1068" s="2" t="s">
        <v>77</v>
      </c>
      <c r="B1068" s="2">
        <v>2013</v>
      </c>
      <c r="C1068" s="2" t="s">
        <v>60</v>
      </c>
      <c r="D1068" s="2" t="s">
        <v>39</v>
      </c>
      <c r="E1068" s="2" t="s">
        <v>78</v>
      </c>
      <c r="F1068" s="2" t="s">
        <v>81</v>
      </c>
      <c r="G1068" s="2">
        <f t="shared" si="16"/>
        <v>0.1454183266932271</v>
      </c>
      <c r="H1068" s="5">
        <v>4.0555555555555554</v>
      </c>
      <c r="I1068" s="2">
        <v>9</v>
      </c>
      <c r="J1068" s="12">
        <f>I1068/Pondération!$J$70</f>
        <v>3.5856573705179286E-2</v>
      </c>
    </row>
    <row r="1069" spans="1:10" x14ac:dyDescent="0.25">
      <c r="A1069" s="2" t="s">
        <v>77</v>
      </c>
      <c r="B1069" s="2">
        <v>2014</v>
      </c>
      <c r="C1069" s="2" t="s">
        <v>61</v>
      </c>
      <c r="D1069" s="2" t="s">
        <v>39</v>
      </c>
      <c r="E1069" s="2" t="s">
        <v>78</v>
      </c>
      <c r="F1069" s="2" t="s">
        <v>81</v>
      </c>
      <c r="G1069" s="2">
        <f t="shared" si="16"/>
        <v>0.15517241379310348</v>
      </c>
      <c r="H1069" s="5">
        <v>4.2</v>
      </c>
      <c r="I1069" s="2">
        <v>15</v>
      </c>
      <c r="J1069" s="12">
        <f>I1069/Pondération!$I$70</f>
        <v>3.6945812807881777E-2</v>
      </c>
    </row>
    <row r="1070" spans="1:10" x14ac:dyDescent="0.25">
      <c r="A1070" s="2" t="s">
        <v>77</v>
      </c>
      <c r="B1070" s="2">
        <v>2014</v>
      </c>
      <c r="C1070" s="2" t="s">
        <v>62</v>
      </c>
      <c r="D1070" s="2" t="s">
        <v>39</v>
      </c>
      <c r="E1070" s="2" t="s">
        <v>78</v>
      </c>
      <c r="F1070" s="2" t="s">
        <v>81</v>
      </c>
      <c r="G1070" s="2">
        <f t="shared" si="16"/>
        <v>0.11453201970443351</v>
      </c>
      <c r="H1070" s="5">
        <v>4.2272727272727275</v>
      </c>
      <c r="I1070" s="2">
        <v>11</v>
      </c>
      <c r="J1070" s="12">
        <f>I1070/Pondération!$I$70</f>
        <v>2.7093596059113302E-2</v>
      </c>
    </row>
    <row r="1071" spans="1:10" x14ac:dyDescent="0.25">
      <c r="A1071" s="2" t="s">
        <v>77</v>
      </c>
      <c r="B1071" s="2">
        <v>2014</v>
      </c>
      <c r="C1071" s="2" t="s">
        <v>63</v>
      </c>
      <c r="D1071" s="2" t="s">
        <v>39</v>
      </c>
      <c r="E1071" s="2" t="s">
        <v>78</v>
      </c>
      <c r="F1071" s="2" t="s">
        <v>81</v>
      </c>
      <c r="G1071" s="2">
        <f t="shared" si="16"/>
        <v>0.14901477832512314</v>
      </c>
      <c r="H1071" s="5">
        <v>4.3214285714285712</v>
      </c>
      <c r="I1071" s="2">
        <v>14</v>
      </c>
      <c r="J1071" s="12">
        <f>I1071/Pondération!$I$70</f>
        <v>3.4482758620689655E-2</v>
      </c>
    </row>
    <row r="1072" spans="1:10" x14ac:dyDescent="0.25">
      <c r="A1072" s="2" t="s">
        <v>77</v>
      </c>
      <c r="B1072" s="2">
        <v>2014</v>
      </c>
      <c r="C1072" s="2" t="s">
        <v>64</v>
      </c>
      <c r="D1072" s="2" t="s">
        <v>39</v>
      </c>
      <c r="E1072" s="2" t="s">
        <v>78</v>
      </c>
      <c r="F1072" s="2" t="s">
        <v>81</v>
      </c>
      <c r="G1072" s="2">
        <f t="shared" si="16"/>
        <v>0.17857142857142855</v>
      </c>
      <c r="H1072" s="5">
        <v>4.2647058823529411</v>
      </c>
      <c r="I1072" s="2">
        <v>17</v>
      </c>
      <c r="J1072" s="12">
        <f>I1072/Pondération!$I$70</f>
        <v>4.1871921182266007E-2</v>
      </c>
    </row>
    <row r="1073" spans="1:10" x14ac:dyDescent="0.25">
      <c r="A1073" s="2" t="s">
        <v>77</v>
      </c>
      <c r="B1073" s="2">
        <v>2014</v>
      </c>
      <c r="C1073" s="2" t="s">
        <v>65</v>
      </c>
      <c r="D1073" s="2" t="s">
        <v>39</v>
      </c>
      <c r="E1073" s="2" t="s">
        <v>78</v>
      </c>
      <c r="F1073" s="2" t="s">
        <v>81</v>
      </c>
      <c r="G1073" s="2">
        <f t="shared" si="16"/>
        <v>0.51847290640394095</v>
      </c>
      <c r="H1073" s="5">
        <v>4.295918367346939</v>
      </c>
      <c r="I1073" s="2">
        <v>49</v>
      </c>
      <c r="J1073" s="12">
        <f>I1073/Pondération!$I$70</f>
        <v>0.1206896551724138</v>
      </c>
    </row>
    <row r="1074" spans="1:10" x14ac:dyDescent="0.25">
      <c r="A1074" s="2" t="s">
        <v>77</v>
      </c>
      <c r="B1074" s="2">
        <v>2014</v>
      </c>
      <c r="C1074" s="2" t="s">
        <v>66</v>
      </c>
      <c r="D1074" s="2" t="s">
        <v>39</v>
      </c>
      <c r="E1074" s="2" t="s">
        <v>78</v>
      </c>
      <c r="F1074" s="2" t="s">
        <v>81</v>
      </c>
      <c r="G1074" s="2">
        <f t="shared" si="16"/>
        <v>0.31034482758620691</v>
      </c>
      <c r="H1074" s="5">
        <v>4.3448275862068968</v>
      </c>
      <c r="I1074" s="2">
        <v>29</v>
      </c>
      <c r="J1074" s="12">
        <f>I1074/Pondération!$I$70</f>
        <v>7.1428571428571425E-2</v>
      </c>
    </row>
    <row r="1075" spans="1:10" x14ac:dyDescent="0.25">
      <c r="A1075" s="2" t="s">
        <v>77</v>
      </c>
      <c r="B1075" s="2">
        <v>2014</v>
      </c>
      <c r="C1075" s="2" t="s">
        <v>67</v>
      </c>
      <c r="D1075" s="2" t="s">
        <v>39</v>
      </c>
      <c r="E1075" s="2" t="s">
        <v>78</v>
      </c>
      <c r="F1075" s="2" t="s">
        <v>81</v>
      </c>
      <c r="G1075" s="2">
        <f t="shared" si="16"/>
        <v>0.45566502463054193</v>
      </c>
      <c r="H1075" s="5">
        <v>4.4047619047619051</v>
      </c>
      <c r="I1075" s="2">
        <v>42</v>
      </c>
      <c r="J1075" s="12">
        <f>I1075/Pondération!$I$70</f>
        <v>0.10344827586206896</v>
      </c>
    </row>
    <row r="1076" spans="1:10" x14ac:dyDescent="0.25">
      <c r="A1076" s="2" t="s">
        <v>77</v>
      </c>
      <c r="B1076" s="2">
        <v>2014</v>
      </c>
      <c r="C1076" s="2" t="s">
        <v>68</v>
      </c>
      <c r="D1076" s="2" t="s">
        <v>39</v>
      </c>
      <c r="E1076" s="2" t="s">
        <v>78</v>
      </c>
      <c r="F1076" s="2" t="s">
        <v>81</v>
      </c>
      <c r="G1076" s="2">
        <f t="shared" si="16"/>
        <v>0.92610837438423643</v>
      </c>
      <c r="H1076" s="5">
        <v>4.3218390804597702</v>
      </c>
      <c r="I1076" s="2">
        <v>87</v>
      </c>
      <c r="J1076" s="12">
        <f>I1076/Pondération!$I$70</f>
        <v>0.21428571428571427</v>
      </c>
    </row>
    <row r="1077" spans="1:10" x14ac:dyDescent="0.25">
      <c r="A1077" s="2" t="s">
        <v>77</v>
      </c>
      <c r="B1077" s="2">
        <v>2014</v>
      </c>
      <c r="C1077" s="2" t="s">
        <v>69</v>
      </c>
      <c r="D1077" s="2" t="s">
        <v>39</v>
      </c>
      <c r="E1077" s="2" t="s">
        <v>78</v>
      </c>
      <c r="F1077" s="2" t="s">
        <v>81</v>
      </c>
      <c r="G1077" s="2">
        <f t="shared" si="16"/>
        <v>0.40517241379310337</v>
      </c>
      <c r="H1077" s="5">
        <v>4.3289473684210522</v>
      </c>
      <c r="I1077" s="2">
        <v>38</v>
      </c>
      <c r="J1077" s="12">
        <f>I1077/Pondération!$I$70</f>
        <v>9.3596059113300489E-2</v>
      </c>
    </row>
    <row r="1078" spans="1:10" x14ac:dyDescent="0.25">
      <c r="A1078" s="2" t="s">
        <v>77</v>
      </c>
      <c r="B1078" s="2">
        <v>2014</v>
      </c>
      <c r="C1078" s="2" t="s">
        <v>70</v>
      </c>
      <c r="D1078" s="2" t="s">
        <v>39</v>
      </c>
      <c r="E1078" s="2" t="s">
        <v>78</v>
      </c>
      <c r="F1078" s="2" t="s">
        <v>81</v>
      </c>
      <c r="G1078" s="2">
        <f t="shared" si="16"/>
        <v>0.42364532019704437</v>
      </c>
      <c r="H1078" s="5">
        <v>4.1951219512195124</v>
      </c>
      <c r="I1078" s="2">
        <v>41</v>
      </c>
      <c r="J1078" s="12">
        <f>I1078/Pondération!$I$70</f>
        <v>0.10098522167487685</v>
      </c>
    </row>
    <row r="1079" spans="1:10" x14ac:dyDescent="0.25">
      <c r="A1079" s="2" t="s">
        <v>77</v>
      </c>
      <c r="B1079" s="2">
        <v>2014</v>
      </c>
      <c r="C1079" s="2" t="s">
        <v>71</v>
      </c>
      <c r="D1079" s="2" t="s">
        <v>39</v>
      </c>
      <c r="E1079" s="2" t="s">
        <v>78</v>
      </c>
      <c r="F1079" s="2" t="s">
        <v>81</v>
      </c>
      <c r="G1079" s="2">
        <f t="shared" si="16"/>
        <v>0.40517241379310343</v>
      </c>
      <c r="H1079" s="5">
        <v>4.4459459459459456</v>
      </c>
      <c r="I1079" s="2">
        <v>37</v>
      </c>
      <c r="J1079" s="12">
        <f>I1079/Pondération!$I$70</f>
        <v>9.1133004926108374E-2</v>
      </c>
    </row>
    <row r="1080" spans="1:10" x14ac:dyDescent="0.25">
      <c r="A1080" s="2" t="s">
        <v>77</v>
      </c>
      <c r="B1080" s="2">
        <v>2014</v>
      </c>
      <c r="C1080" s="2" t="s">
        <v>72</v>
      </c>
      <c r="D1080" s="2" t="s">
        <v>39</v>
      </c>
      <c r="E1080" s="2" t="s">
        <v>78</v>
      </c>
      <c r="F1080" s="2" t="s">
        <v>81</v>
      </c>
      <c r="G1080" s="2">
        <f t="shared" si="16"/>
        <v>0.25985221674876846</v>
      </c>
      <c r="H1080" s="5">
        <v>4.0576923076923075</v>
      </c>
      <c r="I1080" s="2">
        <v>26</v>
      </c>
      <c r="J1080" s="12">
        <f>I1080/Pondération!$I$70</f>
        <v>6.4039408866995079E-2</v>
      </c>
    </row>
    <row r="1081" spans="1:10" x14ac:dyDescent="0.25">
      <c r="A1081" s="2" t="s">
        <v>77</v>
      </c>
      <c r="B1081" s="2">
        <v>2015</v>
      </c>
      <c r="C1081" s="2" t="s">
        <v>73</v>
      </c>
      <c r="D1081" s="2" t="s">
        <v>39</v>
      </c>
      <c r="E1081" s="2" t="s">
        <v>78</v>
      </c>
      <c r="F1081" s="2" t="s">
        <v>81</v>
      </c>
      <c r="G1081" s="2">
        <f t="shared" si="16"/>
        <v>0.13536463536463536</v>
      </c>
      <c r="H1081" s="5">
        <v>4.234375</v>
      </c>
      <c r="I1081" s="2">
        <v>32</v>
      </c>
      <c r="J1081" s="12">
        <f>I1081/Pondération!$H$70</f>
        <v>3.1968031968031968E-2</v>
      </c>
    </row>
    <row r="1082" spans="1:10" x14ac:dyDescent="0.25">
      <c r="A1082" s="2" t="s">
        <v>77</v>
      </c>
      <c r="B1082" s="2">
        <v>2015</v>
      </c>
      <c r="C1082" s="2" t="s">
        <v>74</v>
      </c>
      <c r="D1082" s="2" t="s">
        <v>39</v>
      </c>
      <c r="E1082" s="2" t="s">
        <v>78</v>
      </c>
      <c r="F1082" s="2" t="s">
        <v>81</v>
      </c>
      <c r="G1082" s="2">
        <f t="shared" si="16"/>
        <v>0.16033966033966032</v>
      </c>
      <c r="H1082" s="5">
        <v>4.3378378378378377</v>
      </c>
      <c r="I1082" s="2">
        <v>37</v>
      </c>
      <c r="J1082" s="12">
        <f>I1082/Pondération!$H$70</f>
        <v>3.696303696303696E-2</v>
      </c>
    </row>
    <row r="1083" spans="1:10" x14ac:dyDescent="0.25">
      <c r="A1083" s="2" t="s">
        <v>77</v>
      </c>
      <c r="B1083" s="2">
        <v>2015</v>
      </c>
      <c r="C1083" s="2" t="s">
        <v>75</v>
      </c>
      <c r="D1083" s="2" t="s">
        <v>39</v>
      </c>
      <c r="E1083" s="2" t="s">
        <v>78</v>
      </c>
      <c r="F1083" s="2" t="s">
        <v>81</v>
      </c>
      <c r="G1083" s="2">
        <f t="shared" si="16"/>
        <v>0.20379620379620381</v>
      </c>
      <c r="H1083" s="5">
        <v>4.25</v>
      </c>
      <c r="I1083" s="2">
        <v>48</v>
      </c>
      <c r="J1083" s="12">
        <f>I1083/Pondération!$H$70</f>
        <v>4.7952047952047952E-2</v>
      </c>
    </row>
    <row r="1084" spans="1:10" x14ac:dyDescent="0.25">
      <c r="A1084" s="2" t="s">
        <v>77</v>
      </c>
      <c r="B1084" s="2">
        <v>2015</v>
      </c>
      <c r="C1084" s="2" t="s">
        <v>76</v>
      </c>
      <c r="D1084" s="2" t="s">
        <v>39</v>
      </c>
      <c r="E1084" s="2" t="s">
        <v>78</v>
      </c>
      <c r="F1084" s="2" t="s">
        <v>81</v>
      </c>
      <c r="G1084" s="2">
        <f t="shared" si="16"/>
        <v>0.17232767232767232</v>
      </c>
      <c r="H1084" s="5">
        <v>4.2073170731707314</v>
      </c>
      <c r="I1084" s="2">
        <v>41</v>
      </c>
      <c r="J1084" s="12">
        <f>I1084/Pondération!$H$70</f>
        <v>4.095904095904096E-2</v>
      </c>
    </row>
    <row r="1085" spans="1:10" x14ac:dyDescent="0.25">
      <c r="A1085" s="2" t="s">
        <v>77</v>
      </c>
      <c r="B1085" s="2">
        <v>2015</v>
      </c>
      <c r="C1085" s="2" t="s">
        <v>7</v>
      </c>
      <c r="D1085" s="2" t="s">
        <v>39</v>
      </c>
      <c r="E1085" s="2" t="s">
        <v>78</v>
      </c>
      <c r="F1085" s="2" t="s">
        <v>81</v>
      </c>
      <c r="G1085" s="2">
        <f t="shared" si="16"/>
        <v>0.28671328671328672</v>
      </c>
      <c r="H1085" s="5">
        <v>4.3484848484848486</v>
      </c>
      <c r="I1085" s="2">
        <v>66</v>
      </c>
      <c r="J1085" s="12">
        <f>I1085/Pondération!$H$70</f>
        <v>6.5934065934065936E-2</v>
      </c>
    </row>
    <row r="1086" spans="1:10" x14ac:dyDescent="0.25">
      <c r="A1086" s="2" t="s">
        <v>77</v>
      </c>
      <c r="B1086" s="2">
        <v>2015</v>
      </c>
      <c r="C1086" s="2" t="s">
        <v>11</v>
      </c>
      <c r="D1086" s="2" t="s">
        <v>39</v>
      </c>
      <c r="E1086" s="2" t="s">
        <v>78</v>
      </c>
      <c r="F1086" s="2" t="s">
        <v>81</v>
      </c>
      <c r="G1086" s="2">
        <f t="shared" si="16"/>
        <v>0.36663336663336665</v>
      </c>
      <c r="H1086" s="5">
        <v>4.5875000000000004</v>
      </c>
      <c r="I1086" s="2">
        <v>80</v>
      </c>
      <c r="J1086" s="12">
        <f>I1086/Pondération!$H$70</f>
        <v>7.992007992007992E-2</v>
      </c>
    </row>
    <row r="1087" spans="1:10" x14ac:dyDescent="0.25">
      <c r="A1087" s="2" t="s">
        <v>77</v>
      </c>
      <c r="B1087" s="2">
        <v>2015</v>
      </c>
      <c r="C1087" s="2" t="s">
        <v>12</v>
      </c>
      <c r="D1087" s="2" t="s">
        <v>39</v>
      </c>
      <c r="E1087" s="2" t="s">
        <v>78</v>
      </c>
      <c r="F1087" s="2" t="s">
        <v>81</v>
      </c>
      <c r="G1087" s="2">
        <f t="shared" si="16"/>
        <v>0.55444555444555454</v>
      </c>
      <c r="H1087" s="5">
        <v>4.4047619047619051</v>
      </c>
      <c r="I1087" s="2">
        <v>126</v>
      </c>
      <c r="J1087" s="12">
        <f>I1087/Pondération!$H$70</f>
        <v>0.12587412587412589</v>
      </c>
    </row>
    <row r="1088" spans="1:10" x14ac:dyDescent="0.25">
      <c r="A1088" s="2" t="s">
        <v>77</v>
      </c>
      <c r="B1088" s="2">
        <v>2015</v>
      </c>
      <c r="C1088" s="2" t="s">
        <v>13</v>
      </c>
      <c r="D1088" s="2" t="s">
        <v>39</v>
      </c>
      <c r="E1088" s="2" t="s">
        <v>78</v>
      </c>
      <c r="F1088" s="2" t="s">
        <v>81</v>
      </c>
      <c r="G1088" s="2">
        <f t="shared" si="16"/>
        <v>0.78371628371628377</v>
      </c>
      <c r="H1088" s="5">
        <v>4.4073033707865168</v>
      </c>
      <c r="I1088" s="2">
        <v>178</v>
      </c>
      <c r="J1088" s="12">
        <f>I1088/Pondération!$H$70</f>
        <v>0.17782217782217782</v>
      </c>
    </row>
    <row r="1089" spans="1:10" x14ac:dyDescent="0.25">
      <c r="A1089" s="2" t="s">
        <v>77</v>
      </c>
      <c r="B1089" s="2">
        <v>2015</v>
      </c>
      <c r="C1089" s="2" t="s">
        <v>14</v>
      </c>
      <c r="D1089" s="2" t="s">
        <v>39</v>
      </c>
      <c r="E1089" s="2" t="s">
        <v>78</v>
      </c>
      <c r="F1089" s="2" t="s">
        <v>81</v>
      </c>
      <c r="G1089" s="2">
        <f t="shared" si="16"/>
        <v>0.41358641358641357</v>
      </c>
      <c r="H1089" s="5">
        <v>4.3125</v>
      </c>
      <c r="I1089" s="2">
        <v>96</v>
      </c>
      <c r="J1089" s="12">
        <f>I1089/Pondération!$H$70</f>
        <v>9.5904095904095904E-2</v>
      </c>
    </row>
    <row r="1090" spans="1:10" x14ac:dyDescent="0.25">
      <c r="A1090" s="2" t="s">
        <v>77</v>
      </c>
      <c r="B1090" s="2">
        <v>2015</v>
      </c>
      <c r="C1090" s="2" t="s">
        <v>15</v>
      </c>
      <c r="D1090" s="2" t="s">
        <v>39</v>
      </c>
      <c r="E1090" s="2" t="s">
        <v>78</v>
      </c>
      <c r="F1090" s="2" t="s">
        <v>81</v>
      </c>
      <c r="G1090" s="2">
        <f t="shared" ref="G1090:G1153" si="17">H1090*J1090</f>
        <v>0.53146853146853146</v>
      </c>
      <c r="H1090" s="5">
        <v>4.3966942148760326</v>
      </c>
      <c r="I1090" s="2">
        <v>121</v>
      </c>
      <c r="J1090" s="12">
        <f>I1090/Pondération!$H$70</f>
        <v>0.12087912087912088</v>
      </c>
    </row>
    <row r="1091" spans="1:10" x14ac:dyDescent="0.25">
      <c r="A1091" s="2" t="s">
        <v>77</v>
      </c>
      <c r="B1091" s="2">
        <v>2015</v>
      </c>
      <c r="C1091" s="2" t="s">
        <v>16</v>
      </c>
      <c r="D1091" s="2" t="s">
        <v>39</v>
      </c>
      <c r="E1091" s="2" t="s">
        <v>78</v>
      </c>
      <c r="F1091" s="2" t="s">
        <v>81</v>
      </c>
      <c r="G1091" s="2">
        <f t="shared" si="17"/>
        <v>0.38211788211788217</v>
      </c>
      <c r="H1091" s="5">
        <v>4.3465909090909092</v>
      </c>
      <c r="I1091" s="2">
        <v>88</v>
      </c>
      <c r="J1091" s="12">
        <f>I1091/Pondération!$H$70</f>
        <v>8.7912087912087919E-2</v>
      </c>
    </row>
    <row r="1092" spans="1:10" x14ac:dyDescent="0.25">
      <c r="A1092" s="2" t="s">
        <v>77</v>
      </c>
      <c r="B1092" s="2">
        <v>2015</v>
      </c>
      <c r="C1092" s="2" t="s">
        <v>17</v>
      </c>
      <c r="D1092" s="2" t="s">
        <v>39</v>
      </c>
      <c r="E1092" s="2" t="s">
        <v>78</v>
      </c>
      <c r="F1092" s="2" t="s">
        <v>81</v>
      </c>
      <c r="G1092" s="2">
        <f t="shared" si="17"/>
        <v>0.38661338661338662</v>
      </c>
      <c r="H1092" s="5">
        <v>4.3977272727272725</v>
      </c>
      <c r="I1092" s="2">
        <v>88</v>
      </c>
      <c r="J1092" s="12">
        <f>I1092/Pondération!$H$70</f>
        <v>8.7912087912087919E-2</v>
      </c>
    </row>
    <row r="1093" spans="1:10" x14ac:dyDescent="0.25">
      <c r="A1093" s="2" t="s">
        <v>77</v>
      </c>
      <c r="B1093" s="2">
        <v>2016</v>
      </c>
      <c r="C1093" s="2" t="s">
        <v>18</v>
      </c>
      <c r="D1093" s="2" t="s">
        <v>39</v>
      </c>
      <c r="E1093" s="2" t="s">
        <v>78</v>
      </c>
      <c r="F1093" s="2" t="s">
        <v>81</v>
      </c>
      <c r="G1093" s="2">
        <f t="shared" si="17"/>
        <v>0.21436556735606485</v>
      </c>
      <c r="H1093" s="5">
        <v>4.2611111111111111</v>
      </c>
      <c r="I1093" s="2">
        <v>90</v>
      </c>
      <c r="J1093" s="12">
        <f>I1093/Pondération!$G$70</f>
        <v>5.0307434320849637E-2</v>
      </c>
    </row>
    <row r="1094" spans="1:10" x14ac:dyDescent="0.25">
      <c r="A1094" s="2" t="s">
        <v>77</v>
      </c>
      <c r="B1094" s="2">
        <v>2016</v>
      </c>
      <c r="C1094" s="2" t="s">
        <v>19</v>
      </c>
      <c r="D1094" s="2" t="s">
        <v>39</v>
      </c>
      <c r="E1094" s="2" t="s">
        <v>78</v>
      </c>
      <c r="F1094" s="2" t="s">
        <v>81</v>
      </c>
      <c r="G1094" s="2">
        <f t="shared" si="17"/>
        <v>0.29234209055338178</v>
      </c>
      <c r="H1094" s="5">
        <v>4.2520325203252032</v>
      </c>
      <c r="I1094" s="2">
        <v>123</v>
      </c>
      <c r="J1094" s="12">
        <f>I1094/Pondération!$G$70</f>
        <v>6.8753493571827834E-2</v>
      </c>
    </row>
    <row r="1095" spans="1:10" x14ac:dyDescent="0.25">
      <c r="A1095" s="2" t="s">
        <v>77</v>
      </c>
      <c r="B1095" s="2">
        <v>2016</v>
      </c>
      <c r="C1095" s="2" t="s">
        <v>20</v>
      </c>
      <c r="D1095" s="2" t="s">
        <v>39</v>
      </c>
      <c r="E1095" s="2" t="s">
        <v>78</v>
      </c>
      <c r="F1095" s="2" t="s">
        <v>81</v>
      </c>
      <c r="G1095" s="2">
        <f t="shared" si="17"/>
        <v>0.25824482951369476</v>
      </c>
      <c r="H1095" s="5">
        <v>4.3584905660377355</v>
      </c>
      <c r="I1095" s="2">
        <v>106</v>
      </c>
      <c r="J1095" s="12">
        <f>I1095/Pondération!$G$70</f>
        <v>5.9250978200111791E-2</v>
      </c>
    </row>
    <row r="1096" spans="1:10" x14ac:dyDescent="0.25">
      <c r="A1096" s="2" t="s">
        <v>77</v>
      </c>
      <c r="B1096" s="2">
        <v>2016</v>
      </c>
      <c r="C1096" s="2" t="s">
        <v>21</v>
      </c>
      <c r="D1096" s="2" t="s">
        <v>39</v>
      </c>
      <c r="E1096" s="2" t="s">
        <v>78</v>
      </c>
      <c r="F1096" s="2" t="s">
        <v>81</v>
      </c>
      <c r="G1096" s="2">
        <f t="shared" si="17"/>
        <v>0.38596981553940751</v>
      </c>
      <c r="H1096" s="5">
        <v>4.4548387096774196</v>
      </c>
      <c r="I1096" s="2">
        <v>155</v>
      </c>
      <c r="J1096" s="12">
        <f>I1096/Pondération!$G$70</f>
        <v>8.6640581330352157E-2</v>
      </c>
    </row>
    <row r="1097" spans="1:10" x14ac:dyDescent="0.25">
      <c r="A1097" s="2" t="s">
        <v>77</v>
      </c>
      <c r="B1097" s="2">
        <v>2016</v>
      </c>
      <c r="C1097" s="2" t="s">
        <v>22</v>
      </c>
      <c r="D1097" s="2" t="s">
        <v>39</v>
      </c>
      <c r="E1097" s="2" t="s">
        <v>78</v>
      </c>
      <c r="F1097" s="2" t="s">
        <v>81</v>
      </c>
      <c r="G1097" s="2">
        <f t="shared" si="17"/>
        <v>0.41559530463946337</v>
      </c>
      <c r="H1097" s="5">
        <v>4.3735294117647054</v>
      </c>
      <c r="I1097" s="2">
        <v>170</v>
      </c>
      <c r="J1097" s="12">
        <f>I1097/Pondération!$G$70</f>
        <v>9.5025153717160429E-2</v>
      </c>
    </row>
    <row r="1098" spans="1:10" x14ac:dyDescent="0.25">
      <c r="A1098" s="2" t="s">
        <v>77</v>
      </c>
      <c r="B1098" s="2">
        <v>2016</v>
      </c>
      <c r="C1098" s="2" t="s">
        <v>23</v>
      </c>
      <c r="D1098" s="2" t="s">
        <v>39</v>
      </c>
      <c r="E1098" s="2" t="s">
        <v>78</v>
      </c>
      <c r="F1098" s="2" t="s">
        <v>81</v>
      </c>
      <c r="G1098" s="2">
        <f t="shared" si="17"/>
        <v>0.32867523756288425</v>
      </c>
      <c r="H1098" s="5">
        <v>4.523076923076923</v>
      </c>
      <c r="I1098" s="2">
        <v>130</v>
      </c>
      <c r="J1098" s="12">
        <f>I1098/Pondération!$G$70</f>
        <v>7.2666294019005026E-2</v>
      </c>
    </row>
    <row r="1099" spans="1:10" x14ac:dyDescent="0.25">
      <c r="A1099" s="2" t="s">
        <v>77</v>
      </c>
      <c r="B1099" s="2">
        <v>2016</v>
      </c>
      <c r="C1099" s="2" t="s">
        <v>24</v>
      </c>
      <c r="D1099" s="2" t="s">
        <v>39</v>
      </c>
      <c r="E1099" s="2" t="s">
        <v>78</v>
      </c>
      <c r="F1099" s="2" t="s">
        <v>81</v>
      </c>
      <c r="G1099" s="2">
        <f t="shared" si="17"/>
        <v>0.40078256008943547</v>
      </c>
      <c r="H1099" s="5">
        <v>4.3454545454545457</v>
      </c>
      <c r="I1099" s="2">
        <v>165</v>
      </c>
      <c r="J1099" s="12">
        <f>I1099/Pondération!$G$70</f>
        <v>9.2230296254891E-2</v>
      </c>
    </row>
    <row r="1100" spans="1:10" x14ac:dyDescent="0.25">
      <c r="A1100" s="2" t="s">
        <v>77</v>
      </c>
      <c r="B1100" s="2">
        <v>2016</v>
      </c>
      <c r="C1100" s="2" t="s">
        <v>25</v>
      </c>
      <c r="D1100" s="2" t="s">
        <v>39</v>
      </c>
      <c r="E1100" s="2" t="s">
        <v>78</v>
      </c>
      <c r="F1100" s="2" t="s">
        <v>81</v>
      </c>
      <c r="G1100" s="2">
        <f t="shared" si="17"/>
        <v>0.68921185019564002</v>
      </c>
      <c r="H1100" s="5">
        <v>4.3111888111888108</v>
      </c>
      <c r="I1100" s="2">
        <v>286</v>
      </c>
      <c r="J1100" s="12">
        <f>I1100/Pondération!$G$70</f>
        <v>0.15986584684181107</v>
      </c>
    </row>
    <row r="1101" spans="1:10" x14ac:dyDescent="0.25">
      <c r="A1101" s="2" t="s">
        <v>77</v>
      </c>
      <c r="B1101" s="2">
        <v>2016</v>
      </c>
      <c r="C1101" s="2" t="s">
        <v>26</v>
      </c>
      <c r="D1101" s="2" t="s">
        <v>39</v>
      </c>
      <c r="E1101" s="2" t="s">
        <v>78</v>
      </c>
      <c r="F1101" s="2" t="s">
        <v>81</v>
      </c>
      <c r="G1101" s="2">
        <f t="shared" si="17"/>
        <v>0.31665735047512578</v>
      </c>
      <c r="H1101" s="5">
        <v>4.3244274809160306</v>
      </c>
      <c r="I1101" s="2">
        <v>131</v>
      </c>
      <c r="J1101" s="12">
        <f>I1101/Pondération!$G$70</f>
        <v>7.3225265511458915E-2</v>
      </c>
    </row>
    <row r="1102" spans="1:10" x14ac:dyDescent="0.25">
      <c r="A1102" s="2" t="s">
        <v>77</v>
      </c>
      <c r="B1102" s="2">
        <v>2016</v>
      </c>
      <c r="C1102" s="2" t="s">
        <v>27</v>
      </c>
      <c r="D1102" s="2" t="s">
        <v>39</v>
      </c>
      <c r="E1102" s="2" t="s">
        <v>78</v>
      </c>
      <c r="F1102" s="2" t="s">
        <v>81</v>
      </c>
      <c r="G1102" s="2">
        <f t="shared" si="17"/>
        <v>0.35019564002235887</v>
      </c>
      <c r="H1102" s="5">
        <v>4.3206896551724139</v>
      </c>
      <c r="I1102" s="2">
        <v>145</v>
      </c>
      <c r="J1102" s="12">
        <f>I1102/Pondération!$G$70</f>
        <v>8.1050866405813299E-2</v>
      </c>
    </row>
    <row r="1103" spans="1:10" x14ac:dyDescent="0.25">
      <c r="A1103" s="2" t="s">
        <v>77</v>
      </c>
      <c r="B1103" s="2">
        <v>2016</v>
      </c>
      <c r="C1103" s="2" t="s">
        <v>28</v>
      </c>
      <c r="D1103" s="2" t="s">
        <v>39</v>
      </c>
      <c r="E1103" s="2" t="s">
        <v>78</v>
      </c>
      <c r="F1103" s="2" t="s">
        <v>81</v>
      </c>
      <c r="G1103" s="2">
        <f t="shared" si="17"/>
        <v>0.38065958636109554</v>
      </c>
      <c r="H1103" s="5">
        <v>4.365384615384615</v>
      </c>
      <c r="I1103" s="2">
        <v>156</v>
      </c>
      <c r="J1103" s="12">
        <f>I1103/Pondération!$G$70</f>
        <v>8.7199552822806031E-2</v>
      </c>
    </row>
    <row r="1104" spans="1:10" x14ac:dyDescent="0.25">
      <c r="A1104" s="2" t="s">
        <v>77</v>
      </c>
      <c r="B1104" s="2">
        <v>2016</v>
      </c>
      <c r="C1104" s="2" t="s">
        <v>29</v>
      </c>
      <c r="D1104" s="2" t="s">
        <v>39</v>
      </c>
      <c r="E1104" s="2" t="s">
        <v>78</v>
      </c>
      <c r="F1104" s="2" t="s">
        <v>81</v>
      </c>
      <c r="G1104" s="2">
        <f t="shared" si="17"/>
        <v>0.31777529346003353</v>
      </c>
      <c r="H1104" s="5">
        <v>4.3068181818181817</v>
      </c>
      <c r="I1104" s="2">
        <v>132</v>
      </c>
      <c r="J1104" s="12">
        <f>I1104/Pondération!$G$70</f>
        <v>7.3784237003912803E-2</v>
      </c>
    </row>
    <row r="1105" spans="1:10" x14ac:dyDescent="0.25">
      <c r="A1105" s="2" t="s">
        <v>77</v>
      </c>
      <c r="B1105" s="2">
        <v>2017</v>
      </c>
      <c r="C1105" s="2" t="s">
        <v>30</v>
      </c>
      <c r="D1105" s="2" t="s">
        <v>39</v>
      </c>
      <c r="E1105" s="2" t="s">
        <v>78</v>
      </c>
      <c r="F1105" s="2" t="s">
        <v>81</v>
      </c>
      <c r="G1105" s="2">
        <f t="shared" si="17"/>
        <v>0.59140316205533594</v>
      </c>
      <c r="H1105" s="5">
        <v>4.4007352941176467</v>
      </c>
      <c r="I1105" s="2">
        <v>136</v>
      </c>
      <c r="J1105" s="12">
        <f>I1105/Pondération!$F$70</f>
        <v>0.13438735177865613</v>
      </c>
    </row>
    <row r="1106" spans="1:10" x14ac:dyDescent="0.25">
      <c r="A1106" s="2" t="s">
        <v>77</v>
      </c>
      <c r="B1106" s="2">
        <v>2017</v>
      </c>
      <c r="C1106" s="2" t="s">
        <v>31</v>
      </c>
      <c r="D1106" s="2" t="s">
        <v>39</v>
      </c>
      <c r="E1106" s="2" t="s">
        <v>78</v>
      </c>
      <c r="F1106" s="2" t="s">
        <v>81</v>
      </c>
      <c r="G1106" s="2">
        <f t="shared" si="17"/>
        <v>0.72480237154150207</v>
      </c>
      <c r="H1106" s="5">
        <v>4.3402366863905328</v>
      </c>
      <c r="I1106" s="2">
        <v>169</v>
      </c>
      <c r="J1106" s="12">
        <f>I1106/Pondération!$F$70</f>
        <v>0.16699604743083005</v>
      </c>
    </row>
    <row r="1107" spans="1:10" x14ac:dyDescent="0.25">
      <c r="A1107" s="2" t="s">
        <v>77</v>
      </c>
      <c r="B1107" s="2">
        <v>2017</v>
      </c>
      <c r="C1107" s="2" t="s">
        <v>32</v>
      </c>
      <c r="D1107" s="2" t="s">
        <v>39</v>
      </c>
      <c r="E1107" s="2" t="s">
        <v>78</v>
      </c>
      <c r="F1107" s="2" t="s">
        <v>81</v>
      </c>
      <c r="G1107" s="2">
        <f t="shared" si="17"/>
        <v>0.73567193675889342</v>
      </c>
      <c r="H1107" s="5">
        <v>4.4053254437869827</v>
      </c>
      <c r="I1107" s="2">
        <v>169</v>
      </c>
      <c r="J1107" s="12">
        <f>I1107/Pondération!$F$70</f>
        <v>0.16699604743083005</v>
      </c>
    </row>
    <row r="1108" spans="1:10" x14ac:dyDescent="0.25">
      <c r="A1108" s="2" t="s">
        <v>77</v>
      </c>
      <c r="B1108" s="2">
        <v>2017</v>
      </c>
      <c r="C1108" s="2" t="s">
        <v>33</v>
      </c>
      <c r="D1108" s="2" t="s">
        <v>39</v>
      </c>
      <c r="E1108" s="2" t="s">
        <v>78</v>
      </c>
      <c r="F1108" s="2" t="s">
        <v>81</v>
      </c>
      <c r="G1108" s="2">
        <f t="shared" si="17"/>
        <v>1.0088932806324111</v>
      </c>
      <c r="H1108" s="5">
        <v>4.4008620689655169</v>
      </c>
      <c r="I1108" s="2">
        <v>232</v>
      </c>
      <c r="J1108" s="12">
        <f>I1108/Pondération!$F$70</f>
        <v>0.22924901185770752</v>
      </c>
    </row>
    <row r="1109" spans="1:10" x14ac:dyDescent="0.25">
      <c r="A1109" s="2" t="s">
        <v>77</v>
      </c>
      <c r="B1109" s="2">
        <v>2017</v>
      </c>
      <c r="C1109" s="2" t="s">
        <v>34</v>
      </c>
      <c r="D1109" s="2" t="s">
        <v>39</v>
      </c>
      <c r="E1109" s="2" t="s">
        <v>78</v>
      </c>
      <c r="F1109" s="2" t="s">
        <v>81</v>
      </c>
      <c r="G1109" s="2">
        <f t="shared" si="17"/>
        <v>0.99752964426877466</v>
      </c>
      <c r="H1109" s="5">
        <v>4.4276315789473681</v>
      </c>
      <c r="I1109" s="2">
        <v>228</v>
      </c>
      <c r="J1109" s="12">
        <f>I1109/Pondération!$F$70</f>
        <v>0.22529644268774704</v>
      </c>
    </row>
    <row r="1110" spans="1:10" x14ac:dyDescent="0.25">
      <c r="A1110" s="2" t="s">
        <v>77</v>
      </c>
      <c r="B1110" s="2">
        <v>2017</v>
      </c>
      <c r="C1110" s="2" t="s">
        <v>80</v>
      </c>
      <c r="D1110" s="2" t="s">
        <v>39</v>
      </c>
      <c r="E1110" s="2" t="s">
        <v>78</v>
      </c>
      <c r="F1110" s="2" t="s">
        <v>81</v>
      </c>
      <c r="G1110" s="2">
        <f t="shared" si="17"/>
        <v>0.33893280632411071</v>
      </c>
      <c r="H1110" s="5">
        <v>4.3974358974358978</v>
      </c>
      <c r="I1110" s="2">
        <v>78</v>
      </c>
      <c r="J1110" s="12">
        <f>I1110/Pondération!$F$70</f>
        <v>7.7075098814229248E-2</v>
      </c>
    </row>
    <row r="1111" spans="1:10" x14ac:dyDescent="0.25">
      <c r="A1111" s="2" t="s">
        <v>77</v>
      </c>
      <c r="B1111" s="2">
        <v>2013</v>
      </c>
      <c r="C1111" s="2" t="s">
        <v>49</v>
      </c>
      <c r="D1111" s="2" t="s">
        <v>39</v>
      </c>
      <c r="E1111" s="2" t="s">
        <v>78</v>
      </c>
      <c r="F1111" s="2" t="s">
        <v>83</v>
      </c>
      <c r="G1111" s="2">
        <f t="shared" si="17"/>
        <v>0.12323943661971831</v>
      </c>
      <c r="H1111" s="5">
        <v>4.375</v>
      </c>
      <c r="I1111" s="2">
        <v>4</v>
      </c>
      <c r="J1111" s="12">
        <f>I1111/Pondération!$J$71</f>
        <v>2.8169014084507043E-2</v>
      </c>
    </row>
    <row r="1112" spans="1:10" x14ac:dyDescent="0.25">
      <c r="A1112" s="2" t="s">
        <v>77</v>
      </c>
      <c r="B1112" s="2">
        <v>2013</v>
      </c>
      <c r="C1112" s="2" t="s">
        <v>50</v>
      </c>
      <c r="D1112" s="2" t="s">
        <v>39</v>
      </c>
      <c r="E1112" s="2" t="s">
        <v>78</v>
      </c>
      <c r="F1112" s="2" t="s">
        <v>83</v>
      </c>
      <c r="G1112" s="2">
        <f t="shared" si="17"/>
        <v>0.147887323943662</v>
      </c>
      <c r="H1112" s="5">
        <v>4.2</v>
      </c>
      <c r="I1112" s="2">
        <v>5</v>
      </c>
      <c r="J1112" s="12">
        <f>I1112/Pondération!$J$71</f>
        <v>3.5211267605633804E-2</v>
      </c>
    </row>
    <row r="1113" spans="1:10" x14ac:dyDescent="0.25">
      <c r="A1113" s="2" t="s">
        <v>77</v>
      </c>
      <c r="B1113" s="2">
        <v>2013</v>
      </c>
      <c r="C1113" s="2" t="s">
        <v>51</v>
      </c>
      <c r="D1113" s="2" t="s">
        <v>39</v>
      </c>
      <c r="E1113" s="2" t="s">
        <v>78</v>
      </c>
      <c r="F1113" s="2" t="s">
        <v>83</v>
      </c>
      <c r="G1113" s="2">
        <f t="shared" si="17"/>
        <v>0.21126760563380279</v>
      </c>
      <c r="H1113" s="5">
        <v>4.2857142857142856</v>
      </c>
      <c r="I1113" s="2">
        <v>7</v>
      </c>
      <c r="J1113" s="12">
        <f>I1113/Pondération!$J$71</f>
        <v>4.9295774647887321E-2</v>
      </c>
    </row>
    <row r="1114" spans="1:10" x14ac:dyDescent="0.25">
      <c r="A1114" s="2" t="s">
        <v>77</v>
      </c>
      <c r="B1114" s="2">
        <v>2013</v>
      </c>
      <c r="C1114" s="2" t="s">
        <v>52</v>
      </c>
      <c r="D1114" s="2" t="s">
        <v>39</v>
      </c>
      <c r="E1114" s="2" t="s">
        <v>78</v>
      </c>
      <c r="F1114" s="2" t="s">
        <v>83</v>
      </c>
      <c r="G1114" s="2">
        <f t="shared" si="17"/>
        <v>0.38028169014084512</v>
      </c>
      <c r="H1114" s="5">
        <v>4.1538461538461542</v>
      </c>
      <c r="I1114" s="2">
        <v>13</v>
      </c>
      <c r="J1114" s="12">
        <f>I1114/Pondération!$J$71</f>
        <v>9.154929577464789E-2</v>
      </c>
    </row>
    <row r="1115" spans="1:10" x14ac:dyDescent="0.25">
      <c r="A1115" s="2" t="s">
        <v>77</v>
      </c>
      <c r="B1115" s="2">
        <v>2013</v>
      </c>
      <c r="C1115" s="2" t="s">
        <v>53</v>
      </c>
      <c r="D1115" s="2" t="s">
        <v>39</v>
      </c>
      <c r="E1115" s="2" t="s">
        <v>78</v>
      </c>
      <c r="F1115" s="2" t="s">
        <v>83</v>
      </c>
      <c r="G1115" s="2">
        <f t="shared" si="17"/>
        <v>0.31338028169014087</v>
      </c>
      <c r="H1115" s="5">
        <v>4.0454545454545459</v>
      </c>
      <c r="I1115" s="2">
        <v>11</v>
      </c>
      <c r="J1115" s="12">
        <f>I1115/Pondération!$J$71</f>
        <v>7.746478873239436E-2</v>
      </c>
    </row>
    <row r="1116" spans="1:10" x14ac:dyDescent="0.25">
      <c r="A1116" s="2" t="s">
        <v>77</v>
      </c>
      <c r="B1116" s="2">
        <v>2013</v>
      </c>
      <c r="C1116" s="2" t="s">
        <v>54</v>
      </c>
      <c r="D1116" s="2" t="s">
        <v>39</v>
      </c>
      <c r="E1116" s="2" t="s">
        <v>78</v>
      </c>
      <c r="F1116" s="2" t="s">
        <v>83</v>
      </c>
      <c r="G1116" s="2">
        <f t="shared" si="17"/>
        <v>0.24647887323943662</v>
      </c>
      <c r="H1116" s="5">
        <v>4.375</v>
      </c>
      <c r="I1116" s="2">
        <v>8</v>
      </c>
      <c r="J1116" s="12">
        <f>I1116/Pondération!$J$71</f>
        <v>5.6338028169014086E-2</v>
      </c>
    </row>
    <row r="1117" spans="1:10" x14ac:dyDescent="0.25">
      <c r="A1117" s="2" t="s">
        <v>77</v>
      </c>
      <c r="B1117" s="2">
        <v>2013</v>
      </c>
      <c r="C1117" s="2" t="s">
        <v>55</v>
      </c>
      <c r="D1117" s="2" t="s">
        <v>39</v>
      </c>
      <c r="E1117" s="2" t="s">
        <v>78</v>
      </c>
      <c r="F1117" s="2" t="s">
        <v>83</v>
      </c>
      <c r="G1117" s="2">
        <f t="shared" si="17"/>
        <v>0.42253521126760557</v>
      </c>
      <c r="H1117" s="5">
        <v>4.2857142857142856</v>
      </c>
      <c r="I1117" s="2">
        <v>14</v>
      </c>
      <c r="J1117" s="12">
        <f>I1117/Pondération!$J$71</f>
        <v>9.8591549295774641E-2</v>
      </c>
    </row>
    <row r="1118" spans="1:10" x14ac:dyDescent="0.25">
      <c r="A1118" s="2" t="s">
        <v>77</v>
      </c>
      <c r="B1118" s="2">
        <v>2013</v>
      </c>
      <c r="C1118" s="2" t="s">
        <v>56</v>
      </c>
      <c r="D1118" s="2" t="s">
        <v>39</v>
      </c>
      <c r="E1118" s="2" t="s">
        <v>78</v>
      </c>
      <c r="F1118" s="2" t="s">
        <v>83</v>
      </c>
      <c r="G1118" s="2">
        <f t="shared" si="17"/>
        <v>0.79225352112676051</v>
      </c>
      <c r="H1118" s="5">
        <v>4.3269230769230766</v>
      </c>
      <c r="I1118" s="2">
        <v>26</v>
      </c>
      <c r="J1118" s="12">
        <f>I1118/Pondération!$J$71</f>
        <v>0.18309859154929578</v>
      </c>
    </row>
    <row r="1119" spans="1:10" x14ac:dyDescent="0.25">
      <c r="A1119" s="2" t="s">
        <v>77</v>
      </c>
      <c r="B1119" s="2">
        <v>2013</v>
      </c>
      <c r="C1119" s="2" t="s">
        <v>57</v>
      </c>
      <c r="D1119" s="2" t="s">
        <v>39</v>
      </c>
      <c r="E1119" s="2" t="s">
        <v>78</v>
      </c>
      <c r="F1119" s="2" t="s">
        <v>83</v>
      </c>
      <c r="G1119" s="2">
        <f t="shared" si="17"/>
        <v>0.32394366197183094</v>
      </c>
      <c r="H1119" s="5">
        <v>4.1818181818181817</v>
      </c>
      <c r="I1119" s="2">
        <v>11</v>
      </c>
      <c r="J1119" s="12">
        <f>I1119/Pondération!$J$71</f>
        <v>7.746478873239436E-2</v>
      </c>
    </row>
    <row r="1120" spans="1:10" x14ac:dyDescent="0.25">
      <c r="A1120" s="2" t="s">
        <v>77</v>
      </c>
      <c r="B1120" s="2">
        <v>2013</v>
      </c>
      <c r="C1120" s="2" t="s">
        <v>58</v>
      </c>
      <c r="D1120" s="2" t="s">
        <v>39</v>
      </c>
      <c r="E1120" s="2" t="s">
        <v>78</v>
      </c>
      <c r="F1120" s="2" t="s">
        <v>83</v>
      </c>
      <c r="G1120" s="2">
        <f t="shared" si="17"/>
        <v>0.47887323943661975</v>
      </c>
      <c r="H1120" s="5">
        <v>4.25</v>
      </c>
      <c r="I1120" s="2">
        <v>16</v>
      </c>
      <c r="J1120" s="12">
        <f>I1120/Pondération!$J$71</f>
        <v>0.11267605633802817</v>
      </c>
    </row>
    <row r="1121" spans="1:10" x14ac:dyDescent="0.25">
      <c r="A1121" s="2" t="s">
        <v>77</v>
      </c>
      <c r="B1121" s="2">
        <v>2013</v>
      </c>
      <c r="C1121" s="2" t="s">
        <v>59</v>
      </c>
      <c r="D1121" s="2" t="s">
        <v>39</v>
      </c>
      <c r="E1121" s="2" t="s">
        <v>78</v>
      </c>
      <c r="F1121" s="2" t="s">
        <v>83</v>
      </c>
      <c r="G1121" s="2">
        <f t="shared" si="17"/>
        <v>0.27112676056338025</v>
      </c>
      <c r="H1121" s="5">
        <v>4.2777777777777777</v>
      </c>
      <c r="I1121" s="2">
        <v>9</v>
      </c>
      <c r="J1121" s="12">
        <f>I1121/Pondération!$J$71</f>
        <v>6.3380281690140844E-2</v>
      </c>
    </row>
    <row r="1122" spans="1:10" x14ac:dyDescent="0.25">
      <c r="A1122" s="2" t="s">
        <v>77</v>
      </c>
      <c r="B1122" s="2">
        <v>2013</v>
      </c>
      <c r="C1122" s="2" t="s">
        <v>60</v>
      </c>
      <c r="D1122" s="2" t="s">
        <v>39</v>
      </c>
      <c r="E1122" s="2" t="s">
        <v>78</v>
      </c>
      <c r="F1122" s="2" t="s">
        <v>83</v>
      </c>
      <c r="G1122" s="2">
        <f t="shared" si="17"/>
        <v>0.55633802816901412</v>
      </c>
      <c r="H1122" s="5">
        <v>4.3888888888888893</v>
      </c>
      <c r="I1122" s="2">
        <v>18</v>
      </c>
      <c r="J1122" s="12">
        <f>I1122/Pondération!$J$71</f>
        <v>0.12676056338028169</v>
      </c>
    </row>
    <row r="1123" spans="1:10" x14ac:dyDescent="0.25">
      <c r="A1123" s="2" t="s">
        <v>77</v>
      </c>
      <c r="B1123" s="2">
        <v>2014</v>
      </c>
      <c r="C1123" s="2" t="s">
        <v>61</v>
      </c>
      <c r="D1123" s="2" t="s">
        <v>39</v>
      </c>
      <c r="E1123" s="2" t="s">
        <v>78</v>
      </c>
      <c r="F1123" s="2" t="s">
        <v>83</v>
      </c>
      <c r="G1123" s="2">
        <f t="shared" si="17"/>
        <v>0.26840490797546013</v>
      </c>
      <c r="H1123" s="5">
        <v>4.375</v>
      </c>
      <c r="I1123" s="2">
        <v>20</v>
      </c>
      <c r="J1123" s="12">
        <f>I1123/Pondération!$I$71</f>
        <v>6.1349693251533742E-2</v>
      </c>
    </row>
    <row r="1124" spans="1:10" x14ac:dyDescent="0.25">
      <c r="A1124" s="2" t="s">
        <v>77</v>
      </c>
      <c r="B1124" s="2">
        <v>2014</v>
      </c>
      <c r="C1124" s="2" t="s">
        <v>62</v>
      </c>
      <c r="D1124" s="2" t="s">
        <v>39</v>
      </c>
      <c r="E1124" s="2" t="s">
        <v>78</v>
      </c>
      <c r="F1124" s="2" t="s">
        <v>83</v>
      </c>
      <c r="G1124" s="2">
        <f t="shared" si="17"/>
        <v>0.13650306748466259</v>
      </c>
      <c r="H1124" s="5">
        <v>4.0454545454545459</v>
      </c>
      <c r="I1124" s="2">
        <v>11</v>
      </c>
      <c r="J1124" s="12">
        <f>I1124/Pondération!$I$71</f>
        <v>3.3742331288343558E-2</v>
      </c>
    </row>
    <row r="1125" spans="1:10" x14ac:dyDescent="0.25">
      <c r="A1125" s="2" t="s">
        <v>77</v>
      </c>
      <c r="B1125" s="2">
        <v>2014</v>
      </c>
      <c r="C1125" s="2" t="s">
        <v>63</v>
      </c>
      <c r="D1125" s="2" t="s">
        <v>39</v>
      </c>
      <c r="E1125" s="2" t="s">
        <v>78</v>
      </c>
      <c r="F1125" s="2" t="s">
        <v>83</v>
      </c>
      <c r="G1125" s="2">
        <f t="shared" si="17"/>
        <v>0.27607361963190186</v>
      </c>
      <c r="H1125" s="5">
        <v>4.2857142857142856</v>
      </c>
      <c r="I1125" s="2">
        <v>21</v>
      </c>
      <c r="J1125" s="12">
        <f>I1125/Pondération!$I$71</f>
        <v>6.4417177914110432E-2</v>
      </c>
    </row>
    <row r="1126" spans="1:10" x14ac:dyDescent="0.25">
      <c r="A1126" s="2" t="s">
        <v>77</v>
      </c>
      <c r="B1126" s="2">
        <v>2014</v>
      </c>
      <c r="C1126" s="2" t="s">
        <v>64</v>
      </c>
      <c r="D1126" s="2" t="s">
        <v>39</v>
      </c>
      <c r="E1126" s="2" t="s">
        <v>78</v>
      </c>
      <c r="F1126" s="2" t="s">
        <v>83</v>
      </c>
      <c r="G1126" s="2">
        <f t="shared" si="17"/>
        <v>0.21012269938650308</v>
      </c>
      <c r="H1126" s="5">
        <v>4.28125</v>
      </c>
      <c r="I1126" s="2">
        <v>16</v>
      </c>
      <c r="J1126" s="12">
        <f>I1126/Pondération!$I$71</f>
        <v>4.9079754601226995E-2</v>
      </c>
    </row>
    <row r="1127" spans="1:10" x14ac:dyDescent="0.25">
      <c r="A1127" s="2" t="s">
        <v>77</v>
      </c>
      <c r="B1127" s="2">
        <v>2014</v>
      </c>
      <c r="C1127" s="2" t="s">
        <v>65</v>
      </c>
      <c r="D1127" s="2" t="s">
        <v>39</v>
      </c>
      <c r="E1127" s="2" t="s">
        <v>78</v>
      </c>
      <c r="F1127" s="2" t="s">
        <v>83</v>
      </c>
      <c r="G1127" s="2">
        <f t="shared" si="17"/>
        <v>0.32208588957055218</v>
      </c>
      <c r="H1127" s="5">
        <v>4.2</v>
      </c>
      <c r="I1127" s="2">
        <v>25</v>
      </c>
      <c r="J1127" s="12">
        <f>I1127/Pondération!$I$71</f>
        <v>7.6687116564417179E-2</v>
      </c>
    </row>
    <row r="1128" spans="1:10" x14ac:dyDescent="0.25">
      <c r="A1128" s="2" t="s">
        <v>77</v>
      </c>
      <c r="B1128" s="2">
        <v>2014</v>
      </c>
      <c r="C1128" s="2" t="s">
        <v>66</v>
      </c>
      <c r="D1128" s="2" t="s">
        <v>39</v>
      </c>
      <c r="E1128" s="2" t="s">
        <v>78</v>
      </c>
      <c r="F1128" s="2" t="s">
        <v>83</v>
      </c>
      <c r="G1128" s="2">
        <f t="shared" si="17"/>
        <v>0.22085889570552147</v>
      </c>
      <c r="H1128" s="5">
        <v>4.2352941176470589</v>
      </c>
      <c r="I1128" s="2">
        <v>17</v>
      </c>
      <c r="J1128" s="12">
        <f>I1128/Pondération!$I$71</f>
        <v>5.2147239263803678E-2</v>
      </c>
    </row>
    <row r="1129" spans="1:10" x14ac:dyDescent="0.25">
      <c r="A1129" s="2" t="s">
        <v>77</v>
      </c>
      <c r="B1129" s="2">
        <v>2014</v>
      </c>
      <c r="C1129" s="2" t="s">
        <v>67</v>
      </c>
      <c r="D1129" s="2" t="s">
        <v>39</v>
      </c>
      <c r="E1129" s="2" t="s">
        <v>78</v>
      </c>
      <c r="F1129" s="2" t="s">
        <v>83</v>
      </c>
      <c r="G1129" s="2">
        <f t="shared" si="17"/>
        <v>0.3726993865030675</v>
      </c>
      <c r="H1129" s="5">
        <v>4.3392857142857144</v>
      </c>
      <c r="I1129" s="2">
        <v>28</v>
      </c>
      <c r="J1129" s="12">
        <f>I1129/Pondération!$I$71</f>
        <v>8.5889570552147243E-2</v>
      </c>
    </row>
    <row r="1130" spans="1:10" x14ac:dyDescent="0.25">
      <c r="A1130" s="2" t="s">
        <v>77</v>
      </c>
      <c r="B1130" s="2">
        <v>2014</v>
      </c>
      <c r="C1130" s="2" t="s">
        <v>68</v>
      </c>
      <c r="D1130" s="2" t="s">
        <v>39</v>
      </c>
      <c r="E1130" s="2" t="s">
        <v>78</v>
      </c>
      <c r="F1130" s="2" t="s">
        <v>83</v>
      </c>
      <c r="G1130" s="2">
        <f t="shared" si="17"/>
        <v>0.72239263803680986</v>
      </c>
      <c r="H1130" s="5">
        <v>4.4433962264150946</v>
      </c>
      <c r="I1130" s="2">
        <v>53</v>
      </c>
      <c r="J1130" s="12">
        <f>I1130/Pondération!$I$71</f>
        <v>0.16257668711656442</v>
      </c>
    </row>
    <row r="1131" spans="1:10" x14ac:dyDescent="0.25">
      <c r="A1131" s="2" t="s">
        <v>77</v>
      </c>
      <c r="B1131" s="2">
        <v>2014</v>
      </c>
      <c r="C1131" s="2" t="s">
        <v>69</v>
      </c>
      <c r="D1131" s="2" t="s">
        <v>39</v>
      </c>
      <c r="E1131" s="2" t="s">
        <v>78</v>
      </c>
      <c r="F1131" s="2" t="s">
        <v>83</v>
      </c>
      <c r="G1131" s="2">
        <f t="shared" si="17"/>
        <v>0.3987730061349693</v>
      </c>
      <c r="H1131" s="5">
        <v>4.4827586206896548</v>
      </c>
      <c r="I1131" s="2">
        <v>29</v>
      </c>
      <c r="J1131" s="12">
        <f>I1131/Pondération!$I$71</f>
        <v>8.8957055214723926E-2</v>
      </c>
    </row>
    <row r="1132" spans="1:10" x14ac:dyDescent="0.25">
      <c r="A1132" s="2" t="s">
        <v>77</v>
      </c>
      <c r="B1132" s="2">
        <v>2014</v>
      </c>
      <c r="C1132" s="2" t="s">
        <v>70</v>
      </c>
      <c r="D1132" s="2" t="s">
        <v>39</v>
      </c>
      <c r="E1132" s="2" t="s">
        <v>78</v>
      </c>
      <c r="F1132" s="2" t="s">
        <v>83</v>
      </c>
      <c r="G1132" s="2">
        <f t="shared" si="17"/>
        <v>0.53834355828220859</v>
      </c>
      <c r="H1132" s="5">
        <v>4.2804878048780486</v>
      </c>
      <c r="I1132" s="2">
        <v>41</v>
      </c>
      <c r="J1132" s="12">
        <f>I1132/Pondération!$I$71</f>
        <v>0.12576687116564417</v>
      </c>
    </row>
    <row r="1133" spans="1:10" x14ac:dyDescent="0.25">
      <c r="A1133" s="2" t="s">
        <v>77</v>
      </c>
      <c r="B1133" s="2">
        <v>2014</v>
      </c>
      <c r="C1133" s="2" t="s">
        <v>71</v>
      </c>
      <c r="D1133" s="2" t="s">
        <v>39</v>
      </c>
      <c r="E1133" s="2" t="s">
        <v>78</v>
      </c>
      <c r="F1133" s="2" t="s">
        <v>83</v>
      </c>
      <c r="G1133" s="2">
        <f t="shared" si="17"/>
        <v>0.35889570552147232</v>
      </c>
      <c r="H1133" s="5">
        <v>4.333333333333333</v>
      </c>
      <c r="I1133" s="2">
        <v>27</v>
      </c>
      <c r="J1133" s="12">
        <f>I1133/Pondération!$I$71</f>
        <v>8.2822085889570546E-2</v>
      </c>
    </row>
    <row r="1134" spans="1:10" x14ac:dyDescent="0.25">
      <c r="A1134" s="2" t="s">
        <v>77</v>
      </c>
      <c r="B1134" s="2">
        <v>2014</v>
      </c>
      <c r="C1134" s="2" t="s">
        <v>72</v>
      </c>
      <c r="D1134" s="2" t="s">
        <v>39</v>
      </c>
      <c r="E1134" s="2" t="s">
        <v>78</v>
      </c>
      <c r="F1134" s="2" t="s">
        <v>83</v>
      </c>
      <c r="G1134" s="2">
        <f t="shared" si="17"/>
        <v>0.5214723926380368</v>
      </c>
      <c r="H1134" s="5">
        <v>4.4736842105263159</v>
      </c>
      <c r="I1134" s="2">
        <v>38</v>
      </c>
      <c r="J1134" s="12">
        <f>I1134/Pondération!$I$71</f>
        <v>0.1165644171779141</v>
      </c>
    </row>
    <row r="1135" spans="1:10" x14ac:dyDescent="0.25">
      <c r="A1135" s="2" t="s">
        <v>77</v>
      </c>
      <c r="B1135" s="2">
        <v>2015</v>
      </c>
      <c r="C1135" s="2" t="s">
        <v>73</v>
      </c>
      <c r="D1135" s="2" t="s">
        <v>39</v>
      </c>
      <c r="E1135" s="2" t="s">
        <v>78</v>
      </c>
      <c r="F1135" s="2" t="s">
        <v>83</v>
      </c>
      <c r="G1135" s="2">
        <f t="shared" si="17"/>
        <v>0.17555266579973991</v>
      </c>
      <c r="H1135" s="5">
        <v>4.354838709677419</v>
      </c>
      <c r="I1135" s="2">
        <v>31</v>
      </c>
      <c r="J1135" s="12">
        <f>I1135/Pondération!$H$71</f>
        <v>4.0312093628088429E-2</v>
      </c>
    </row>
    <row r="1136" spans="1:10" x14ac:dyDescent="0.25">
      <c r="A1136" s="2" t="s">
        <v>77</v>
      </c>
      <c r="B1136" s="2">
        <v>2015</v>
      </c>
      <c r="C1136" s="2" t="s">
        <v>74</v>
      </c>
      <c r="D1136" s="2" t="s">
        <v>39</v>
      </c>
      <c r="E1136" s="2" t="s">
        <v>78</v>
      </c>
      <c r="F1136" s="2" t="s">
        <v>83</v>
      </c>
      <c r="G1136" s="2">
        <f t="shared" si="17"/>
        <v>0.22821846553966191</v>
      </c>
      <c r="H1136" s="5">
        <v>4.3875000000000002</v>
      </c>
      <c r="I1136" s="2">
        <v>40</v>
      </c>
      <c r="J1136" s="12">
        <f>I1136/Pondération!$H$71</f>
        <v>5.2015604681404419E-2</v>
      </c>
    </row>
    <row r="1137" spans="1:10" x14ac:dyDescent="0.25">
      <c r="A1137" s="2" t="s">
        <v>77</v>
      </c>
      <c r="B1137" s="2">
        <v>2015</v>
      </c>
      <c r="C1137" s="2" t="s">
        <v>75</v>
      </c>
      <c r="D1137" s="2" t="s">
        <v>39</v>
      </c>
      <c r="E1137" s="2" t="s">
        <v>78</v>
      </c>
      <c r="F1137" s="2" t="s">
        <v>83</v>
      </c>
      <c r="G1137" s="2">
        <f t="shared" si="17"/>
        <v>0.21196358907672302</v>
      </c>
      <c r="H1137" s="5">
        <v>4.2894736842105265</v>
      </c>
      <c r="I1137" s="2">
        <v>38</v>
      </c>
      <c r="J1137" s="12">
        <f>I1137/Pondération!$H$71</f>
        <v>4.94148244473342E-2</v>
      </c>
    </row>
    <row r="1138" spans="1:10" x14ac:dyDescent="0.25">
      <c r="A1138" s="2" t="s">
        <v>77</v>
      </c>
      <c r="B1138" s="2">
        <v>2015</v>
      </c>
      <c r="C1138" s="2" t="s">
        <v>76</v>
      </c>
      <c r="D1138" s="2" t="s">
        <v>39</v>
      </c>
      <c r="E1138" s="2" t="s">
        <v>78</v>
      </c>
      <c r="F1138" s="2" t="s">
        <v>83</v>
      </c>
      <c r="G1138" s="2">
        <f t="shared" si="17"/>
        <v>0.21651495448634592</v>
      </c>
      <c r="H1138" s="5">
        <v>4.3815789473684212</v>
      </c>
      <c r="I1138" s="2">
        <v>38</v>
      </c>
      <c r="J1138" s="12">
        <f>I1138/Pondération!$H$71</f>
        <v>4.94148244473342E-2</v>
      </c>
    </row>
    <row r="1139" spans="1:10" x14ac:dyDescent="0.25">
      <c r="A1139" s="2" t="s">
        <v>77</v>
      </c>
      <c r="B1139" s="2">
        <v>2015</v>
      </c>
      <c r="C1139" s="2" t="s">
        <v>7</v>
      </c>
      <c r="D1139" s="2" t="s">
        <v>39</v>
      </c>
      <c r="E1139" s="2" t="s">
        <v>78</v>
      </c>
      <c r="F1139" s="2" t="s">
        <v>83</v>
      </c>
      <c r="G1139" s="2">
        <f t="shared" si="17"/>
        <v>0.26267880364109231</v>
      </c>
      <c r="H1139" s="5">
        <v>4.3913043478260869</v>
      </c>
      <c r="I1139" s="2">
        <v>46</v>
      </c>
      <c r="J1139" s="12">
        <f>I1139/Pondération!$H$71</f>
        <v>5.9817945383615082E-2</v>
      </c>
    </row>
    <row r="1140" spans="1:10" x14ac:dyDescent="0.25">
      <c r="A1140" s="2" t="s">
        <v>77</v>
      </c>
      <c r="B1140" s="2">
        <v>2015</v>
      </c>
      <c r="C1140" s="2" t="s">
        <v>11</v>
      </c>
      <c r="D1140" s="2" t="s">
        <v>39</v>
      </c>
      <c r="E1140" s="2" t="s">
        <v>78</v>
      </c>
      <c r="F1140" s="2" t="s">
        <v>83</v>
      </c>
      <c r="G1140" s="2">
        <f t="shared" si="17"/>
        <v>0.28868660598179452</v>
      </c>
      <c r="H1140" s="5">
        <v>4.1886792452830193</v>
      </c>
      <c r="I1140" s="2">
        <v>53</v>
      </c>
      <c r="J1140" s="12">
        <f>I1140/Pondération!$H$71</f>
        <v>6.8920676202860853E-2</v>
      </c>
    </row>
    <row r="1141" spans="1:10" x14ac:dyDescent="0.25">
      <c r="A1141" s="2" t="s">
        <v>77</v>
      </c>
      <c r="B1141" s="2">
        <v>2015</v>
      </c>
      <c r="C1141" s="2" t="s">
        <v>12</v>
      </c>
      <c r="D1141" s="2" t="s">
        <v>39</v>
      </c>
      <c r="E1141" s="2" t="s">
        <v>78</v>
      </c>
      <c r="F1141" s="2" t="s">
        <v>83</v>
      </c>
      <c r="G1141" s="2">
        <f t="shared" si="17"/>
        <v>0.5695708712613784</v>
      </c>
      <c r="H1141" s="5">
        <v>4.2941176470588234</v>
      </c>
      <c r="I1141" s="2">
        <v>102</v>
      </c>
      <c r="J1141" s="12">
        <f>I1141/Pondération!$H$71</f>
        <v>0.13263979193758127</v>
      </c>
    </row>
    <row r="1142" spans="1:10" x14ac:dyDescent="0.25">
      <c r="A1142" s="2" t="s">
        <v>77</v>
      </c>
      <c r="B1142" s="2">
        <v>2015</v>
      </c>
      <c r="C1142" s="2" t="s">
        <v>13</v>
      </c>
      <c r="D1142" s="2" t="s">
        <v>39</v>
      </c>
      <c r="E1142" s="2" t="s">
        <v>78</v>
      </c>
      <c r="F1142" s="2" t="s">
        <v>83</v>
      </c>
      <c r="G1142" s="2">
        <f t="shared" si="17"/>
        <v>0.71456436931079315</v>
      </c>
      <c r="H1142" s="5">
        <v>4.3959999999999999</v>
      </c>
      <c r="I1142" s="2">
        <v>125</v>
      </c>
      <c r="J1142" s="12">
        <f>I1142/Pondération!$H$71</f>
        <v>0.1625487646293888</v>
      </c>
    </row>
    <row r="1143" spans="1:10" x14ac:dyDescent="0.25">
      <c r="A1143" s="2" t="s">
        <v>77</v>
      </c>
      <c r="B1143" s="2">
        <v>2015</v>
      </c>
      <c r="C1143" s="2" t="s">
        <v>14</v>
      </c>
      <c r="D1143" s="2" t="s">
        <v>39</v>
      </c>
      <c r="E1143" s="2" t="s">
        <v>78</v>
      </c>
      <c r="F1143" s="2" t="s">
        <v>83</v>
      </c>
      <c r="G1143" s="2">
        <f t="shared" si="17"/>
        <v>0.50325097529258778</v>
      </c>
      <c r="H1143" s="5">
        <v>4.3483146067415728</v>
      </c>
      <c r="I1143" s="2">
        <v>89</v>
      </c>
      <c r="J1143" s="12">
        <f>I1143/Pondération!$H$71</f>
        <v>0.11573472041612484</v>
      </c>
    </row>
    <row r="1144" spans="1:10" x14ac:dyDescent="0.25">
      <c r="A1144" s="2" t="s">
        <v>77</v>
      </c>
      <c r="B1144" s="2">
        <v>2015</v>
      </c>
      <c r="C1144" s="2" t="s">
        <v>15</v>
      </c>
      <c r="D1144" s="2" t="s">
        <v>39</v>
      </c>
      <c r="E1144" s="2" t="s">
        <v>78</v>
      </c>
      <c r="F1144" s="2" t="s">
        <v>83</v>
      </c>
      <c r="G1144" s="2">
        <f t="shared" si="17"/>
        <v>0.45123537061118341</v>
      </c>
      <c r="H1144" s="5">
        <v>4.283950617283951</v>
      </c>
      <c r="I1144" s="2">
        <v>81</v>
      </c>
      <c r="J1144" s="12">
        <f>I1144/Pondération!$H$71</f>
        <v>0.10533159947984395</v>
      </c>
    </row>
    <row r="1145" spans="1:10" x14ac:dyDescent="0.25">
      <c r="A1145" s="2" t="s">
        <v>77</v>
      </c>
      <c r="B1145" s="2">
        <v>2015</v>
      </c>
      <c r="C1145" s="2" t="s">
        <v>16</v>
      </c>
      <c r="D1145" s="2" t="s">
        <v>39</v>
      </c>
      <c r="E1145" s="2" t="s">
        <v>78</v>
      </c>
      <c r="F1145" s="2" t="s">
        <v>83</v>
      </c>
      <c r="G1145" s="2">
        <f t="shared" si="17"/>
        <v>0.31664499349804937</v>
      </c>
      <c r="H1145" s="5">
        <v>4.1982758620689653</v>
      </c>
      <c r="I1145" s="2">
        <v>58</v>
      </c>
      <c r="J1145" s="12">
        <f>I1145/Pondération!$H$71</f>
        <v>7.5422626788036407E-2</v>
      </c>
    </row>
    <row r="1146" spans="1:10" x14ac:dyDescent="0.25">
      <c r="A1146" s="2" t="s">
        <v>77</v>
      </c>
      <c r="B1146" s="2">
        <v>2015</v>
      </c>
      <c r="C1146" s="2" t="s">
        <v>17</v>
      </c>
      <c r="D1146" s="2" t="s">
        <v>39</v>
      </c>
      <c r="E1146" s="2" t="s">
        <v>78</v>
      </c>
      <c r="F1146" s="2" t="s">
        <v>83</v>
      </c>
      <c r="G1146" s="2">
        <f t="shared" si="17"/>
        <v>0.38426527958387513</v>
      </c>
      <c r="H1146" s="5">
        <v>4.3455882352941178</v>
      </c>
      <c r="I1146" s="2">
        <v>68</v>
      </c>
      <c r="J1146" s="12">
        <f>I1146/Pondération!$H$71</f>
        <v>8.8426527958387513E-2</v>
      </c>
    </row>
    <row r="1147" spans="1:10" x14ac:dyDescent="0.25">
      <c r="A1147" s="2" t="s">
        <v>77</v>
      </c>
      <c r="B1147" s="2">
        <v>2016</v>
      </c>
      <c r="C1147" s="2" t="s">
        <v>18</v>
      </c>
      <c r="D1147" s="2" t="s">
        <v>39</v>
      </c>
      <c r="E1147" s="2" t="s">
        <v>78</v>
      </c>
      <c r="F1147" s="2" t="s">
        <v>83</v>
      </c>
      <c r="G1147" s="2">
        <f t="shared" si="17"/>
        <v>0.28793532338308458</v>
      </c>
      <c r="H1147" s="5">
        <v>4.1711711711711708</v>
      </c>
      <c r="I1147" s="2">
        <v>111</v>
      </c>
      <c r="J1147" s="12">
        <f>I1147/Pondération!$G$71</f>
        <v>6.9029850746268662E-2</v>
      </c>
    </row>
    <row r="1148" spans="1:10" x14ac:dyDescent="0.25">
      <c r="A1148" s="2" t="s">
        <v>77</v>
      </c>
      <c r="B1148" s="2">
        <v>2016</v>
      </c>
      <c r="C1148" s="2" t="s">
        <v>19</v>
      </c>
      <c r="D1148" s="2" t="s">
        <v>39</v>
      </c>
      <c r="E1148" s="2" t="s">
        <v>78</v>
      </c>
      <c r="F1148" s="2" t="s">
        <v>83</v>
      </c>
      <c r="G1148" s="2">
        <f t="shared" si="17"/>
        <v>0.29322139303482586</v>
      </c>
      <c r="H1148" s="5">
        <v>4.3256880733944953</v>
      </c>
      <c r="I1148" s="2">
        <v>109</v>
      </c>
      <c r="J1148" s="12">
        <f>I1148/Pondération!$G$71</f>
        <v>6.778606965174129E-2</v>
      </c>
    </row>
    <row r="1149" spans="1:10" x14ac:dyDescent="0.25">
      <c r="A1149" s="2" t="s">
        <v>77</v>
      </c>
      <c r="B1149" s="2">
        <v>2016</v>
      </c>
      <c r="C1149" s="2" t="s">
        <v>20</v>
      </c>
      <c r="D1149" s="2" t="s">
        <v>39</v>
      </c>
      <c r="E1149" s="2" t="s">
        <v>78</v>
      </c>
      <c r="F1149" s="2" t="s">
        <v>83</v>
      </c>
      <c r="G1149" s="2">
        <f t="shared" si="17"/>
        <v>0.22014925373134328</v>
      </c>
      <c r="H1149" s="5">
        <v>4.3703703703703702</v>
      </c>
      <c r="I1149" s="2">
        <v>81</v>
      </c>
      <c r="J1149" s="12">
        <f>I1149/Pondération!$G$71</f>
        <v>5.0373134328358209E-2</v>
      </c>
    </row>
    <row r="1150" spans="1:10" x14ac:dyDescent="0.25">
      <c r="A1150" s="2" t="s">
        <v>77</v>
      </c>
      <c r="B1150" s="2">
        <v>2016</v>
      </c>
      <c r="C1150" s="2" t="s">
        <v>21</v>
      </c>
      <c r="D1150" s="2" t="s">
        <v>39</v>
      </c>
      <c r="E1150" s="2" t="s">
        <v>78</v>
      </c>
      <c r="F1150" s="2" t="s">
        <v>83</v>
      </c>
      <c r="G1150" s="2">
        <f t="shared" si="17"/>
        <v>0.26896766169154229</v>
      </c>
      <c r="H1150" s="5">
        <v>4.3250000000000002</v>
      </c>
      <c r="I1150" s="2">
        <v>100</v>
      </c>
      <c r="J1150" s="12">
        <f>I1150/Pondération!$G$71</f>
        <v>6.2189054726368161E-2</v>
      </c>
    </row>
    <row r="1151" spans="1:10" x14ac:dyDescent="0.25">
      <c r="A1151" s="2" t="s">
        <v>77</v>
      </c>
      <c r="B1151" s="2">
        <v>2016</v>
      </c>
      <c r="C1151" s="2" t="s">
        <v>22</v>
      </c>
      <c r="D1151" s="2" t="s">
        <v>39</v>
      </c>
      <c r="E1151" s="2" t="s">
        <v>78</v>
      </c>
      <c r="F1151" s="2" t="s">
        <v>83</v>
      </c>
      <c r="G1151" s="2">
        <f t="shared" si="17"/>
        <v>0.31498756218905472</v>
      </c>
      <c r="H1151" s="5">
        <v>4.2563025210084033</v>
      </c>
      <c r="I1151" s="2">
        <v>119</v>
      </c>
      <c r="J1151" s="12">
        <f>I1151/Pondération!$G$71</f>
        <v>7.4004975124378106E-2</v>
      </c>
    </row>
    <row r="1152" spans="1:10" x14ac:dyDescent="0.25">
      <c r="A1152" s="2" t="s">
        <v>77</v>
      </c>
      <c r="B1152" s="2">
        <v>2016</v>
      </c>
      <c r="C1152" s="2" t="s">
        <v>23</v>
      </c>
      <c r="D1152" s="2" t="s">
        <v>39</v>
      </c>
      <c r="E1152" s="2" t="s">
        <v>78</v>
      </c>
      <c r="F1152" s="2" t="s">
        <v>83</v>
      </c>
      <c r="G1152" s="2">
        <f t="shared" si="17"/>
        <v>0.28420398009950243</v>
      </c>
      <c r="H1152" s="5">
        <v>4.352380952380952</v>
      </c>
      <c r="I1152" s="2">
        <v>105</v>
      </c>
      <c r="J1152" s="12">
        <f>I1152/Pondération!$G$71</f>
        <v>6.5298507462686561E-2</v>
      </c>
    </row>
    <row r="1153" spans="1:10" x14ac:dyDescent="0.25">
      <c r="A1153" s="2" t="s">
        <v>77</v>
      </c>
      <c r="B1153" s="2">
        <v>2016</v>
      </c>
      <c r="C1153" s="2" t="s">
        <v>24</v>
      </c>
      <c r="D1153" s="2" t="s">
        <v>39</v>
      </c>
      <c r="E1153" s="2" t="s">
        <v>78</v>
      </c>
      <c r="F1153" s="2" t="s">
        <v>83</v>
      </c>
      <c r="G1153" s="2">
        <f t="shared" si="17"/>
        <v>0.49004975124378108</v>
      </c>
      <c r="H1153" s="5">
        <v>4.213903743315508</v>
      </c>
      <c r="I1153" s="2">
        <v>187</v>
      </c>
      <c r="J1153" s="12">
        <f>I1153/Pondération!$G$71</f>
        <v>0.11629353233830846</v>
      </c>
    </row>
    <row r="1154" spans="1:10" x14ac:dyDescent="0.25">
      <c r="A1154" s="2" t="s">
        <v>77</v>
      </c>
      <c r="B1154" s="2">
        <v>2016</v>
      </c>
      <c r="C1154" s="2" t="s">
        <v>25</v>
      </c>
      <c r="D1154" s="2" t="s">
        <v>39</v>
      </c>
      <c r="E1154" s="2" t="s">
        <v>78</v>
      </c>
      <c r="F1154" s="2" t="s">
        <v>83</v>
      </c>
      <c r="G1154" s="2">
        <f t="shared" ref="G1154:G1217" si="18">H1154*J1154</f>
        <v>0.66106965174129351</v>
      </c>
      <c r="H1154" s="5">
        <v>4.321138211382114</v>
      </c>
      <c r="I1154" s="2">
        <v>246</v>
      </c>
      <c r="J1154" s="12">
        <f>I1154/Pondération!$G$71</f>
        <v>0.15298507462686567</v>
      </c>
    </row>
    <row r="1155" spans="1:10" x14ac:dyDescent="0.25">
      <c r="A1155" s="2" t="s">
        <v>77</v>
      </c>
      <c r="B1155" s="2">
        <v>2016</v>
      </c>
      <c r="C1155" s="2" t="s">
        <v>26</v>
      </c>
      <c r="D1155" s="2" t="s">
        <v>39</v>
      </c>
      <c r="E1155" s="2" t="s">
        <v>78</v>
      </c>
      <c r="F1155" s="2" t="s">
        <v>83</v>
      </c>
      <c r="G1155" s="2">
        <f t="shared" si="18"/>
        <v>0.3420398009950249</v>
      </c>
      <c r="H1155" s="5">
        <v>4.3307086614173231</v>
      </c>
      <c r="I1155" s="2">
        <v>127</v>
      </c>
      <c r="J1155" s="12">
        <f>I1155/Pondération!$G$71</f>
        <v>7.8980099502487564E-2</v>
      </c>
    </row>
    <row r="1156" spans="1:10" x14ac:dyDescent="0.25">
      <c r="A1156" s="2" t="s">
        <v>77</v>
      </c>
      <c r="B1156" s="2">
        <v>2016</v>
      </c>
      <c r="C1156" s="2" t="s">
        <v>27</v>
      </c>
      <c r="D1156" s="2" t="s">
        <v>39</v>
      </c>
      <c r="E1156" s="2" t="s">
        <v>78</v>
      </c>
      <c r="F1156" s="2" t="s">
        <v>83</v>
      </c>
      <c r="G1156" s="2">
        <f t="shared" si="18"/>
        <v>0.34670398009950248</v>
      </c>
      <c r="H1156" s="5">
        <v>4.2557251908396942</v>
      </c>
      <c r="I1156" s="2">
        <v>131</v>
      </c>
      <c r="J1156" s="12">
        <f>I1156/Pondération!$G$71</f>
        <v>8.1467661691542292E-2</v>
      </c>
    </row>
    <row r="1157" spans="1:10" x14ac:dyDescent="0.25">
      <c r="A1157" s="2" t="s">
        <v>77</v>
      </c>
      <c r="B1157" s="2">
        <v>2016</v>
      </c>
      <c r="C1157" s="2" t="s">
        <v>28</v>
      </c>
      <c r="D1157" s="2" t="s">
        <v>39</v>
      </c>
      <c r="E1157" s="2" t="s">
        <v>78</v>
      </c>
      <c r="F1157" s="2" t="s">
        <v>83</v>
      </c>
      <c r="G1157" s="2">
        <f t="shared" si="18"/>
        <v>0.36287313432835822</v>
      </c>
      <c r="H1157" s="5">
        <v>4.2591240875912408</v>
      </c>
      <c r="I1157" s="2">
        <v>137</v>
      </c>
      <c r="J1157" s="12">
        <f>I1157/Pondération!$G$71</f>
        <v>8.5199004975124379E-2</v>
      </c>
    </row>
    <row r="1158" spans="1:10" x14ac:dyDescent="0.25">
      <c r="A1158" s="2" t="s">
        <v>77</v>
      </c>
      <c r="B1158" s="2">
        <v>2016</v>
      </c>
      <c r="C1158" s="2" t="s">
        <v>29</v>
      </c>
      <c r="D1158" s="2" t="s">
        <v>39</v>
      </c>
      <c r="E1158" s="2" t="s">
        <v>78</v>
      </c>
      <c r="F1158" s="2" t="s">
        <v>83</v>
      </c>
      <c r="G1158" s="2">
        <f t="shared" si="18"/>
        <v>0.42039800995024879</v>
      </c>
      <c r="H1158" s="5">
        <v>4.3612903225806452</v>
      </c>
      <c r="I1158" s="2">
        <v>155</v>
      </c>
      <c r="J1158" s="12">
        <f>I1158/Pondération!$G$71</f>
        <v>9.6393034825870652E-2</v>
      </c>
    </row>
    <row r="1159" spans="1:10" x14ac:dyDescent="0.25">
      <c r="A1159" s="2" t="s">
        <v>77</v>
      </c>
      <c r="B1159" s="2">
        <v>2017</v>
      </c>
      <c r="C1159" s="2" t="s">
        <v>30</v>
      </c>
      <c r="D1159" s="2" t="s">
        <v>39</v>
      </c>
      <c r="E1159" s="2" t="s">
        <v>78</v>
      </c>
      <c r="F1159" s="2" t="s">
        <v>83</v>
      </c>
      <c r="G1159" s="2">
        <f t="shared" si="18"/>
        <v>0.74922839506172845</v>
      </c>
      <c r="H1159" s="5">
        <v>4.1853448275862073</v>
      </c>
      <c r="I1159" s="2">
        <v>116</v>
      </c>
      <c r="J1159" s="12">
        <f>I1159/Pondération!$F$71</f>
        <v>0.17901234567901234</v>
      </c>
    </row>
    <row r="1160" spans="1:10" x14ac:dyDescent="0.25">
      <c r="A1160" s="2" t="s">
        <v>77</v>
      </c>
      <c r="B1160" s="2">
        <v>2017</v>
      </c>
      <c r="C1160" s="2" t="s">
        <v>31</v>
      </c>
      <c r="D1160" s="2" t="s">
        <v>39</v>
      </c>
      <c r="E1160" s="2" t="s">
        <v>78</v>
      </c>
      <c r="F1160" s="2" t="s">
        <v>83</v>
      </c>
      <c r="G1160" s="2">
        <f t="shared" si="18"/>
        <v>0.89120370370370372</v>
      </c>
      <c r="H1160" s="5">
        <v>4.3097014925373136</v>
      </c>
      <c r="I1160" s="2">
        <v>134</v>
      </c>
      <c r="J1160" s="12">
        <f>I1160/Pondération!$F$71</f>
        <v>0.20679012345679013</v>
      </c>
    </row>
    <row r="1161" spans="1:10" x14ac:dyDescent="0.25">
      <c r="A1161" s="2" t="s">
        <v>77</v>
      </c>
      <c r="B1161" s="2">
        <v>2017</v>
      </c>
      <c r="C1161" s="2" t="s">
        <v>32</v>
      </c>
      <c r="D1161" s="2" t="s">
        <v>39</v>
      </c>
      <c r="E1161" s="2" t="s">
        <v>78</v>
      </c>
      <c r="F1161" s="2" t="s">
        <v>83</v>
      </c>
      <c r="G1161" s="2">
        <f t="shared" si="18"/>
        <v>0.68518518518518523</v>
      </c>
      <c r="H1161" s="5">
        <v>4.3106796116504853</v>
      </c>
      <c r="I1161" s="2">
        <v>103</v>
      </c>
      <c r="J1161" s="12">
        <f>I1161/Pondération!$F$71</f>
        <v>0.15895061728395063</v>
      </c>
    </row>
    <row r="1162" spans="1:10" x14ac:dyDescent="0.25">
      <c r="A1162" s="2" t="s">
        <v>77</v>
      </c>
      <c r="B1162" s="2">
        <v>2017</v>
      </c>
      <c r="C1162" s="2" t="s">
        <v>33</v>
      </c>
      <c r="D1162" s="2" t="s">
        <v>39</v>
      </c>
      <c r="E1162" s="2" t="s">
        <v>78</v>
      </c>
      <c r="F1162" s="2" t="s">
        <v>83</v>
      </c>
      <c r="G1162" s="2">
        <f t="shared" si="18"/>
        <v>0.91975308641975306</v>
      </c>
      <c r="H1162" s="5">
        <v>4.3188405797101446</v>
      </c>
      <c r="I1162" s="2">
        <v>138</v>
      </c>
      <c r="J1162" s="12">
        <f>I1162/Pondération!$F$71</f>
        <v>0.21296296296296297</v>
      </c>
    </row>
    <row r="1163" spans="1:10" x14ac:dyDescent="0.25">
      <c r="A1163" s="2" t="s">
        <v>77</v>
      </c>
      <c r="B1163" s="2">
        <v>2017</v>
      </c>
      <c r="C1163" s="2" t="s">
        <v>34</v>
      </c>
      <c r="D1163" s="2" t="s">
        <v>39</v>
      </c>
      <c r="E1163" s="2" t="s">
        <v>78</v>
      </c>
      <c r="F1163" s="2" t="s">
        <v>83</v>
      </c>
      <c r="G1163" s="2">
        <f t="shared" si="18"/>
        <v>0.67746913580246915</v>
      </c>
      <c r="H1163" s="5">
        <v>4.3465346534653468</v>
      </c>
      <c r="I1163" s="2">
        <v>101</v>
      </c>
      <c r="J1163" s="12">
        <f>I1163/Pondération!$F$71</f>
        <v>0.1558641975308642</v>
      </c>
    </row>
    <row r="1164" spans="1:10" x14ac:dyDescent="0.25">
      <c r="A1164" s="2" t="s">
        <v>77</v>
      </c>
      <c r="B1164" s="2">
        <v>2017</v>
      </c>
      <c r="C1164" s="2" t="s">
        <v>80</v>
      </c>
      <c r="D1164" s="2" t="s">
        <v>39</v>
      </c>
      <c r="E1164" s="2" t="s">
        <v>78</v>
      </c>
      <c r="F1164" s="2" t="s">
        <v>83</v>
      </c>
      <c r="G1164" s="2">
        <f t="shared" si="18"/>
        <v>0.37577160493827155</v>
      </c>
      <c r="H1164" s="5">
        <v>4.3482142857142856</v>
      </c>
      <c r="I1164" s="2">
        <v>56</v>
      </c>
      <c r="J1164" s="12">
        <f>I1164/Pondération!$F$71</f>
        <v>8.6419753086419748E-2</v>
      </c>
    </row>
    <row r="1165" spans="1:10" x14ac:dyDescent="0.25">
      <c r="A1165" s="2" t="s">
        <v>77</v>
      </c>
      <c r="B1165" s="2">
        <v>2013</v>
      </c>
      <c r="C1165" s="2" t="s">
        <v>50</v>
      </c>
      <c r="D1165" s="2" t="s">
        <v>39</v>
      </c>
      <c r="E1165" s="2" t="s">
        <v>78</v>
      </c>
      <c r="F1165" s="2" t="s">
        <v>84</v>
      </c>
      <c r="G1165" s="2">
        <f t="shared" si="18"/>
        <v>0.1764705882352941</v>
      </c>
      <c r="H1165" s="5">
        <v>4.5</v>
      </c>
      <c r="I1165" s="2">
        <v>2</v>
      </c>
      <c r="J1165" s="12">
        <f>I1165/Pondération!$J$72</f>
        <v>3.9215686274509803E-2</v>
      </c>
    </row>
    <row r="1166" spans="1:10" x14ac:dyDescent="0.25">
      <c r="A1166" s="2" t="s">
        <v>77</v>
      </c>
      <c r="B1166" s="2">
        <v>2013</v>
      </c>
      <c r="C1166" s="2" t="s">
        <v>52</v>
      </c>
      <c r="D1166" s="2" t="s">
        <v>39</v>
      </c>
      <c r="E1166" s="2" t="s">
        <v>78</v>
      </c>
      <c r="F1166" s="2" t="s">
        <v>84</v>
      </c>
      <c r="G1166" s="2">
        <f t="shared" si="18"/>
        <v>0.26470588235294118</v>
      </c>
      <c r="H1166" s="5">
        <v>4.5</v>
      </c>
      <c r="I1166" s="2">
        <v>3</v>
      </c>
      <c r="J1166" s="12">
        <f>I1166/Pondération!$J$72</f>
        <v>5.8823529411764705E-2</v>
      </c>
    </row>
    <row r="1167" spans="1:10" x14ac:dyDescent="0.25">
      <c r="A1167" s="2" t="s">
        <v>77</v>
      </c>
      <c r="B1167" s="2">
        <v>2013</v>
      </c>
      <c r="C1167" s="2" t="s">
        <v>53</v>
      </c>
      <c r="D1167" s="2" t="s">
        <v>39</v>
      </c>
      <c r="E1167" s="2" t="s">
        <v>78</v>
      </c>
      <c r="F1167" s="2" t="s">
        <v>84</v>
      </c>
      <c r="G1167" s="2">
        <f t="shared" si="18"/>
        <v>8.8235294117647051E-2</v>
      </c>
      <c r="H1167" s="5">
        <v>4.5</v>
      </c>
      <c r="I1167" s="2">
        <v>1</v>
      </c>
      <c r="J1167" s="12">
        <f>I1167/Pondération!$J$72</f>
        <v>1.9607843137254902E-2</v>
      </c>
    </row>
    <row r="1168" spans="1:10" x14ac:dyDescent="0.25">
      <c r="A1168" s="2" t="s">
        <v>77</v>
      </c>
      <c r="B1168" s="2">
        <v>2013</v>
      </c>
      <c r="C1168" s="2" t="s">
        <v>54</v>
      </c>
      <c r="D1168" s="2" t="s">
        <v>39</v>
      </c>
      <c r="E1168" s="2" t="s">
        <v>78</v>
      </c>
      <c r="F1168" s="2" t="s">
        <v>84</v>
      </c>
      <c r="G1168" s="2">
        <f t="shared" si="18"/>
        <v>6.8627450980392163E-2</v>
      </c>
      <c r="H1168" s="5">
        <v>3.5</v>
      </c>
      <c r="I1168" s="2">
        <v>1</v>
      </c>
      <c r="J1168" s="12">
        <f>I1168/Pondération!$J$72</f>
        <v>1.9607843137254902E-2</v>
      </c>
    </row>
    <row r="1169" spans="1:10" x14ac:dyDescent="0.25">
      <c r="A1169" s="2" t="s">
        <v>77</v>
      </c>
      <c r="B1169" s="2">
        <v>2013</v>
      </c>
      <c r="C1169" s="2" t="s">
        <v>55</v>
      </c>
      <c r="D1169" s="2" t="s">
        <v>39</v>
      </c>
      <c r="E1169" s="2" t="s">
        <v>78</v>
      </c>
      <c r="F1169" s="2" t="s">
        <v>84</v>
      </c>
      <c r="G1169" s="2">
        <f t="shared" si="18"/>
        <v>0.1764705882352941</v>
      </c>
      <c r="H1169" s="5">
        <v>4.5</v>
      </c>
      <c r="I1169" s="2">
        <v>2</v>
      </c>
      <c r="J1169" s="12">
        <f>I1169/Pondération!$J$72</f>
        <v>3.9215686274509803E-2</v>
      </c>
    </row>
    <row r="1170" spans="1:10" x14ac:dyDescent="0.25">
      <c r="A1170" s="2" t="s">
        <v>77</v>
      </c>
      <c r="B1170" s="2">
        <v>2013</v>
      </c>
      <c r="C1170" s="2" t="s">
        <v>56</v>
      </c>
      <c r="D1170" s="2" t="s">
        <v>39</v>
      </c>
      <c r="E1170" s="2" t="s">
        <v>78</v>
      </c>
      <c r="F1170" s="2" t="s">
        <v>84</v>
      </c>
      <c r="G1170" s="2">
        <f t="shared" si="18"/>
        <v>0.77450980392156876</v>
      </c>
      <c r="H1170" s="5">
        <v>4.3888888888888893</v>
      </c>
      <c r="I1170" s="2">
        <v>9</v>
      </c>
      <c r="J1170" s="12">
        <f>I1170/Pondération!$J$72</f>
        <v>0.17647058823529413</v>
      </c>
    </row>
    <row r="1171" spans="1:10" x14ac:dyDescent="0.25">
      <c r="A1171" s="2" t="s">
        <v>77</v>
      </c>
      <c r="B1171" s="2">
        <v>2013</v>
      </c>
      <c r="C1171" s="2" t="s">
        <v>57</v>
      </c>
      <c r="D1171" s="2" t="s">
        <v>39</v>
      </c>
      <c r="E1171" s="2" t="s">
        <v>78</v>
      </c>
      <c r="F1171" s="2" t="s">
        <v>84</v>
      </c>
      <c r="G1171" s="2">
        <f t="shared" si="18"/>
        <v>0.78431372549019618</v>
      </c>
      <c r="H1171" s="5">
        <v>4.4444444444444446</v>
      </c>
      <c r="I1171" s="2">
        <v>9</v>
      </c>
      <c r="J1171" s="12">
        <f>I1171/Pondération!$J$72</f>
        <v>0.17647058823529413</v>
      </c>
    </row>
    <row r="1172" spans="1:10" x14ac:dyDescent="0.25">
      <c r="A1172" s="2" t="s">
        <v>77</v>
      </c>
      <c r="B1172" s="2">
        <v>2013</v>
      </c>
      <c r="C1172" s="2" t="s">
        <v>58</v>
      </c>
      <c r="D1172" s="2" t="s">
        <v>39</v>
      </c>
      <c r="E1172" s="2" t="s">
        <v>78</v>
      </c>
      <c r="F1172" s="2" t="s">
        <v>84</v>
      </c>
      <c r="G1172" s="2">
        <f t="shared" si="18"/>
        <v>0.96078431372549011</v>
      </c>
      <c r="H1172" s="5">
        <v>4.083333333333333</v>
      </c>
      <c r="I1172" s="2">
        <v>12</v>
      </c>
      <c r="J1172" s="12">
        <f>I1172/Pondération!$J$72</f>
        <v>0.23529411764705882</v>
      </c>
    </row>
    <row r="1173" spans="1:10" x14ac:dyDescent="0.25">
      <c r="A1173" s="2" t="s">
        <v>77</v>
      </c>
      <c r="B1173" s="2">
        <v>2013</v>
      </c>
      <c r="C1173" s="2" t="s">
        <v>59</v>
      </c>
      <c r="D1173" s="2" t="s">
        <v>39</v>
      </c>
      <c r="E1173" s="2" t="s">
        <v>78</v>
      </c>
      <c r="F1173" s="2" t="s">
        <v>84</v>
      </c>
      <c r="G1173" s="2">
        <f t="shared" si="18"/>
        <v>0.58823529411764708</v>
      </c>
      <c r="H1173" s="5">
        <v>4.2857142857142856</v>
      </c>
      <c r="I1173" s="2">
        <v>7</v>
      </c>
      <c r="J1173" s="12">
        <f>I1173/Pondération!$J$72</f>
        <v>0.13725490196078433</v>
      </c>
    </row>
    <row r="1174" spans="1:10" x14ac:dyDescent="0.25">
      <c r="A1174" s="2" t="s">
        <v>77</v>
      </c>
      <c r="B1174" s="2">
        <v>2013</v>
      </c>
      <c r="C1174" s="2" t="s">
        <v>60</v>
      </c>
      <c r="D1174" s="2" t="s">
        <v>39</v>
      </c>
      <c r="E1174" s="2" t="s">
        <v>78</v>
      </c>
      <c r="F1174" s="2" t="s">
        <v>84</v>
      </c>
      <c r="G1174" s="2">
        <f t="shared" si="18"/>
        <v>0.41176470588235298</v>
      </c>
      <c r="H1174" s="5">
        <v>4.2</v>
      </c>
      <c r="I1174" s="2">
        <v>5</v>
      </c>
      <c r="J1174" s="12">
        <f>I1174/Pondération!$J$72</f>
        <v>9.8039215686274508E-2</v>
      </c>
    </row>
    <row r="1175" spans="1:10" x14ac:dyDescent="0.25">
      <c r="A1175" s="2" t="s">
        <v>77</v>
      </c>
      <c r="B1175" s="2">
        <v>2014</v>
      </c>
      <c r="C1175" s="2" t="s">
        <v>61</v>
      </c>
      <c r="D1175" s="2" t="s">
        <v>39</v>
      </c>
      <c r="E1175" s="2" t="s">
        <v>78</v>
      </c>
      <c r="F1175" s="2" t="s">
        <v>84</v>
      </c>
      <c r="G1175" s="2">
        <f t="shared" si="18"/>
        <v>6.5217391304347824E-2</v>
      </c>
      <c r="H1175" s="5">
        <v>4</v>
      </c>
      <c r="I1175" s="2">
        <v>3</v>
      </c>
      <c r="J1175" s="12">
        <f>I1175/Pondération!$I$72</f>
        <v>1.6304347826086956E-2</v>
      </c>
    </row>
    <row r="1176" spans="1:10" x14ac:dyDescent="0.25">
      <c r="A1176" s="2" t="s">
        <v>77</v>
      </c>
      <c r="B1176" s="2">
        <v>2014</v>
      </c>
      <c r="C1176" s="2" t="s">
        <v>62</v>
      </c>
      <c r="D1176" s="2" t="s">
        <v>39</v>
      </c>
      <c r="E1176" s="2" t="s">
        <v>78</v>
      </c>
      <c r="F1176" s="2" t="s">
        <v>84</v>
      </c>
      <c r="G1176" s="2">
        <f t="shared" si="18"/>
        <v>0.14673913043478259</v>
      </c>
      <c r="H1176" s="5">
        <v>4.5</v>
      </c>
      <c r="I1176" s="2">
        <v>6</v>
      </c>
      <c r="J1176" s="12">
        <f>I1176/Pondération!$I$72</f>
        <v>3.2608695652173912E-2</v>
      </c>
    </row>
    <row r="1177" spans="1:10" x14ac:dyDescent="0.25">
      <c r="A1177" s="2" t="s">
        <v>77</v>
      </c>
      <c r="B1177" s="2">
        <v>2014</v>
      </c>
      <c r="C1177" s="2" t="s">
        <v>63</v>
      </c>
      <c r="D1177" s="2" t="s">
        <v>39</v>
      </c>
      <c r="E1177" s="2" t="s">
        <v>78</v>
      </c>
      <c r="F1177" s="2" t="s">
        <v>84</v>
      </c>
      <c r="G1177" s="2">
        <f t="shared" si="18"/>
        <v>0.13315217391304346</v>
      </c>
      <c r="H1177" s="5">
        <v>4.083333333333333</v>
      </c>
      <c r="I1177" s="2">
        <v>6</v>
      </c>
      <c r="J1177" s="12">
        <f>I1177/Pondération!$I$72</f>
        <v>3.2608695652173912E-2</v>
      </c>
    </row>
    <row r="1178" spans="1:10" x14ac:dyDescent="0.25">
      <c r="A1178" s="2" t="s">
        <v>77</v>
      </c>
      <c r="B1178" s="2">
        <v>2014</v>
      </c>
      <c r="C1178" s="2" t="s">
        <v>64</v>
      </c>
      <c r="D1178" s="2" t="s">
        <v>39</v>
      </c>
      <c r="E1178" s="2" t="s">
        <v>78</v>
      </c>
      <c r="F1178" s="2" t="s">
        <v>84</v>
      </c>
      <c r="G1178" s="2">
        <f t="shared" si="18"/>
        <v>0.15760869565217395</v>
      </c>
      <c r="H1178" s="5">
        <v>4.1428571428571432</v>
      </c>
      <c r="I1178" s="2">
        <v>7</v>
      </c>
      <c r="J1178" s="12">
        <f>I1178/Pondération!$I$72</f>
        <v>3.8043478260869568E-2</v>
      </c>
    </row>
    <row r="1179" spans="1:10" x14ac:dyDescent="0.25">
      <c r="A1179" s="2" t="s">
        <v>77</v>
      </c>
      <c r="B1179" s="2">
        <v>2014</v>
      </c>
      <c r="C1179" s="2" t="s">
        <v>65</v>
      </c>
      <c r="D1179" s="2" t="s">
        <v>39</v>
      </c>
      <c r="E1179" s="2" t="s">
        <v>78</v>
      </c>
      <c r="F1179" s="2" t="s">
        <v>84</v>
      </c>
      <c r="G1179" s="2">
        <f t="shared" si="18"/>
        <v>0.35597826086956524</v>
      </c>
      <c r="H1179" s="5">
        <v>4.6785714285714288</v>
      </c>
      <c r="I1179" s="2">
        <v>14</v>
      </c>
      <c r="J1179" s="12">
        <f>I1179/Pondération!$I$72</f>
        <v>7.6086956521739135E-2</v>
      </c>
    </row>
    <row r="1180" spans="1:10" x14ac:dyDescent="0.25">
      <c r="A1180" s="2" t="s">
        <v>77</v>
      </c>
      <c r="B1180" s="2">
        <v>2014</v>
      </c>
      <c r="C1180" s="2" t="s">
        <v>66</v>
      </c>
      <c r="D1180" s="2" t="s">
        <v>39</v>
      </c>
      <c r="E1180" s="2" t="s">
        <v>78</v>
      </c>
      <c r="F1180" s="2" t="s">
        <v>84</v>
      </c>
      <c r="G1180" s="2">
        <f t="shared" si="18"/>
        <v>0.33152173913043476</v>
      </c>
      <c r="H1180" s="5">
        <v>4.3571428571428568</v>
      </c>
      <c r="I1180" s="2">
        <v>14</v>
      </c>
      <c r="J1180" s="12">
        <f>I1180/Pondération!$I$72</f>
        <v>7.6086956521739135E-2</v>
      </c>
    </row>
    <row r="1181" spans="1:10" x14ac:dyDescent="0.25">
      <c r="A1181" s="2" t="s">
        <v>77</v>
      </c>
      <c r="B1181" s="2">
        <v>2014</v>
      </c>
      <c r="C1181" s="2" t="s">
        <v>67</v>
      </c>
      <c r="D1181" s="2" t="s">
        <v>39</v>
      </c>
      <c r="E1181" s="2" t="s">
        <v>78</v>
      </c>
      <c r="F1181" s="2" t="s">
        <v>84</v>
      </c>
      <c r="G1181" s="2">
        <f t="shared" si="18"/>
        <v>0.37771739130434784</v>
      </c>
      <c r="H1181" s="5">
        <v>4.34375</v>
      </c>
      <c r="I1181" s="2">
        <v>16</v>
      </c>
      <c r="J1181" s="12">
        <f>I1181/Pondération!$I$72</f>
        <v>8.6956521739130432E-2</v>
      </c>
    </row>
    <row r="1182" spans="1:10" x14ac:dyDescent="0.25">
      <c r="A1182" s="2" t="s">
        <v>77</v>
      </c>
      <c r="B1182" s="2">
        <v>2014</v>
      </c>
      <c r="C1182" s="2" t="s">
        <v>68</v>
      </c>
      <c r="D1182" s="2" t="s">
        <v>39</v>
      </c>
      <c r="E1182" s="2" t="s">
        <v>78</v>
      </c>
      <c r="F1182" s="2" t="s">
        <v>84</v>
      </c>
      <c r="G1182" s="2">
        <f t="shared" si="18"/>
        <v>0.59239130434782605</v>
      </c>
      <c r="H1182" s="5">
        <v>4.3600000000000003</v>
      </c>
      <c r="I1182" s="2">
        <v>25</v>
      </c>
      <c r="J1182" s="12">
        <f>I1182/Pondération!$I$72</f>
        <v>0.1358695652173913</v>
      </c>
    </row>
    <row r="1183" spans="1:10" x14ac:dyDescent="0.25">
      <c r="A1183" s="2" t="s">
        <v>77</v>
      </c>
      <c r="B1183" s="2">
        <v>2014</v>
      </c>
      <c r="C1183" s="2" t="s">
        <v>69</v>
      </c>
      <c r="D1183" s="2" t="s">
        <v>39</v>
      </c>
      <c r="E1183" s="2" t="s">
        <v>78</v>
      </c>
      <c r="F1183" s="2" t="s">
        <v>84</v>
      </c>
      <c r="G1183" s="2">
        <f t="shared" si="18"/>
        <v>0.53532608695652173</v>
      </c>
      <c r="H1183" s="5">
        <v>4.4772727272727275</v>
      </c>
      <c r="I1183" s="2">
        <v>22</v>
      </c>
      <c r="J1183" s="12">
        <f>I1183/Pondération!$I$72</f>
        <v>0.11956521739130435</v>
      </c>
    </row>
    <row r="1184" spans="1:10" x14ac:dyDescent="0.25">
      <c r="A1184" s="2" t="s">
        <v>77</v>
      </c>
      <c r="B1184" s="2">
        <v>2014</v>
      </c>
      <c r="C1184" s="2" t="s">
        <v>70</v>
      </c>
      <c r="D1184" s="2" t="s">
        <v>39</v>
      </c>
      <c r="E1184" s="2" t="s">
        <v>78</v>
      </c>
      <c r="F1184" s="2" t="s">
        <v>84</v>
      </c>
      <c r="G1184" s="2">
        <f t="shared" si="18"/>
        <v>0.57336956521739124</v>
      </c>
      <c r="H1184" s="5">
        <v>4.22</v>
      </c>
      <c r="I1184" s="2">
        <v>25</v>
      </c>
      <c r="J1184" s="12">
        <f>I1184/Pondération!$I$72</f>
        <v>0.1358695652173913</v>
      </c>
    </row>
    <row r="1185" spans="1:10" x14ac:dyDescent="0.25">
      <c r="A1185" s="2" t="s">
        <v>77</v>
      </c>
      <c r="B1185" s="2">
        <v>2014</v>
      </c>
      <c r="C1185" s="2" t="s">
        <v>71</v>
      </c>
      <c r="D1185" s="2" t="s">
        <v>39</v>
      </c>
      <c r="E1185" s="2" t="s">
        <v>78</v>
      </c>
      <c r="F1185" s="2" t="s">
        <v>84</v>
      </c>
      <c r="G1185" s="2">
        <f t="shared" si="18"/>
        <v>0.37228260869565216</v>
      </c>
      <c r="H1185" s="5">
        <v>4.28125</v>
      </c>
      <c r="I1185" s="2">
        <v>16</v>
      </c>
      <c r="J1185" s="12">
        <f>I1185/Pondération!$I$72</f>
        <v>8.6956521739130432E-2</v>
      </c>
    </row>
    <row r="1186" spans="1:10" x14ac:dyDescent="0.25">
      <c r="A1186" s="2" t="s">
        <v>77</v>
      </c>
      <c r="B1186" s="2">
        <v>2014</v>
      </c>
      <c r="C1186" s="2" t="s">
        <v>72</v>
      </c>
      <c r="D1186" s="2" t="s">
        <v>39</v>
      </c>
      <c r="E1186" s="2" t="s">
        <v>78</v>
      </c>
      <c r="F1186" s="2" t="s">
        <v>84</v>
      </c>
      <c r="G1186" s="2">
        <f t="shared" si="18"/>
        <v>0.69836956521739124</v>
      </c>
      <c r="H1186" s="5">
        <v>4.2833333333333332</v>
      </c>
      <c r="I1186" s="2">
        <v>30</v>
      </c>
      <c r="J1186" s="12">
        <f>I1186/Pondération!$I$72</f>
        <v>0.16304347826086957</v>
      </c>
    </row>
    <row r="1187" spans="1:10" x14ac:dyDescent="0.25">
      <c r="A1187" s="2" t="s">
        <v>77</v>
      </c>
      <c r="B1187" s="2">
        <v>2015</v>
      </c>
      <c r="C1187" s="2" t="s">
        <v>73</v>
      </c>
      <c r="D1187" s="2" t="s">
        <v>39</v>
      </c>
      <c r="E1187" s="2" t="s">
        <v>78</v>
      </c>
      <c r="F1187" s="2" t="s">
        <v>84</v>
      </c>
      <c r="G1187" s="2">
        <f t="shared" si="18"/>
        <v>0.24603174603174599</v>
      </c>
      <c r="H1187" s="5">
        <v>4.2758620689655169</v>
      </c>
      <c r="I1187" s="2">
        <v>29</v>
      </c>
      <c r="J1187" s="12">
        <f>I1187/Pondération!$H$72</f>
        <v>5.7539682539682536E-2</v>
      </c>
    </row>
    <row r="1188" spans="1:10" x14ac:dyDescent="0.25">
      <c r="A1188" s="2" t="s">
        <v>77</v>
      </c>
      <c r="B1188" s="2">
        <v>2015</v>
      </c>
      <c r="C1188" s="2" t="s">
        <v>74</v>
      </c>
      <c r="D1188" s="2" t="s">
        <v>39</v>
      </c>
      <c r="E1188" s="2" t="s">
        <v>78</v>
      </c>
      <c r="F1188" s="2" t="s">
        <v>84</v>
      </c>
      <c r="G1188" s="2">
        <f t="shared" si="18"/>
        <v>0.15178571428571427</v>
      </c>
      <c r="H1188" s="5">
        <v>4.25</v>
      </c>
      <c r="I1188" s="2">
        <v>18</v>
      </c>
      <c r="J1188" s="12">
        <f>I1188/Pondération!$H$72</f>
        <v>3.5714285714285712E-2</v>
      </c>
    </row>
    <row r="1189" spans="1:10" x14ac:dyDescent="0.25">
      <c r="A1189" s="2" t="s">
        <v>77</v>
      </c>
      <c r="B1189" s="2">
        <v>2015</v>
      </c>
      <c r="C1189" s="2" t="s">
        <v>75</v>
      </c>
      <c r="D1189" s="2" t="s">
        <v>39</v>
      </c>
      <c r="E1189" s="2" t="s">
        <v>78</v>
      </c>
      <c r="F1189" s="2" t="s">
        <v>84</v>
      </c>
      <c r="G1189" s="2">
        <f t="shared" si="18"/>
        <v>0.26190476190476192</v>
      </c>
      <c r="H1189" s="5">
        <v>4.4000000000000004</v>
      </c>
      <c r="I1189" s="2">
        <v>30</v>
      </c>
      <c r="J1189" s="12">
        <f>I1189/Pondération!$H$72</f>
        <v>5.9523809523809521E-2</v>
      </c>
    </row>
    <row r="1190" spans="1:10" x14ac:dyDescent="0.25">
      <c r="A1190" s="2" t="s">
        <v>77</v>
      </c>
      <c r="B1190" s="2">
        <v>2015</v>
      </c>
      <c r="C1190" s="2" t="s">
        <v>76</v>
      </c>
      <c r="D1190" s="2" t="s">
        <v>39</v>
      </c>
      <c r="E1190" s="2" t="s">
        <v>78</v>
      </c>
      <c r="F1190" s="2" t="s">
        <v>84</v>
      </c>
      <c r="G1190" s="2">
        <f t="shared" si="18"/>
        <v>0.2341269841269841</v>
      </c>
      <c r="H1190" s="5">
        <v>4.3703703703703702</v>
      </c>
      <c r="I1190" s="2">
        <v>27</v>
      </c>
      <c r="J1190" s="12">
        <f>I1190/Pondération!$H$72</f>
        <v>5.3571428571428568E-2</v>
      </c>
    </row>
    <row r="1191" spans="1:10" x14ac:dyDescent="0.25">
      <c r="A1191" s="2" t="s">
        <v>77</v>
      </c>
      <c r="B1191" s="2">
        <v>2015</v>
      </c>
      <c r="C1191" s="2" t="s">
        <v>7</v>
      </c>
      <c r="D1191" s="2" t="s">
        <v>39</v>
      </c>
      <c r="E1191" s="2" t="s">
        <v>78</v>
      </c>
      <c r="F1191" s="2" t="s">
        <v>84</v>
      </c>
      <c r="G1191" s="2">
        <f t="shared" si="18"/>
        <v>0.41269841269841262</v>
      </c>
      <c r="H1191" s="5">
        <v>4.333333333333333</v>
      </c>
      <c r="I1191" s="2">
        <v>48</v>
      </c>
      <c r="J1191" s="12">
        <f>I1191/Pondération!$H$72</f>
        <v>9.5238095238095233E-2</v>
      </c>
    </row>
    <row r="1192" spans="1:10" x14ac:dyDescent="0.25">
      <c r="A1192" s="2" t="s">
        <v>77</v>
      </c>
      <c r="B1192" s="2">
        <v>2015</v>
      </c>
      <c r="C1192" s="2" t="s">
        <v>11</v>
      </c>
      <c r="D1192" s="2" t="s">
        <v>39</v>
      </c>
      <c r="E1192" s="2" t="s">
        <v>78</v>
      </c>
      <c r="F1192" s="2" t="s">
        <v>84</v>
      </c>
      <c r="G1192" s="2">
        <f t="shared" si="18"/>
        <v>0.35813492063492058</v>
      </c>
      <c r="H1192" s="5">
        <v>4.2976190476190474</v>
      </c>
      <c r="I1192" s="2">
        <v>42</v>
      </c>
      <c r="J1192" s="12">
        <f>I1192/Pondération!$H$72</f>
        <v>8.3333333333333329E-2</v>
      </c>
    </row>
    <row r="1193" spans="1:10" x14ac:dyDescent="0.25">
      <c r="A1193" s="2" t="s">
        <v>77</v>
      </c>
      <c r="B1193" s="2">
        <v>2015</v>
      </c>
      <c r="C1193" s="2" t="s">
        <v>12</v>
      </c>
      <c r="D1193" s="2" t="s">
        <v>39</v>
      </c>
      <c r="E1193" s="2" t="s">
        <v>78</v>
      </c>
      <c r="F1193" s="2" t="s">
        <v>84</v>
      </c>
      <c r="G1193" s="2">
        <f t="shared" si="18"/>
        <v>0.45436507936507936</v>
      </c>
      <c r="H1193" s="5">
        <v>4.4038461538461542</v>
      </c>
      <c r="I1193" s="2">
        <v>52</v>
      </c>
      <c r="J1193" s="12">
        <f>I1193/Pondération!$H$72</f>
        <v>0.10317460317460317</v>
      </c>
    </row>
    <row r="1194" spans="1:10" x14ac:dyDescent="0.25">
      <c r="A1194" s="2" t="s">
        <v>77</v>
      </c>
      <c r="B1194" s="2">
        <v>2015</v>
      </c>
      <c r="C1194" s="2" t="s">
        <v>13</v>
      </c>
      <c r="D1194" s="2" t="s">
        <v>39</v>
      </c>
      <c r="E1194" s="2" t="s">
        <v>78</v>
      </c>
      <c r="F1194" s="2" t="s">
        <v>84</v>
      </c>
      <c r="G1194" s="2">
        <f t="shared" si="18"/>
        <v>0.4732142857142857</v>
      </c>
      <c r="H1194" s="5">
        <v>4.416666666666667</v>
      </c>
      <c r="I1194" s="2">
        <v>54</v>
      </c>
      <c r="J1194" s="12">
        <f>I1194/Pondération!$H$72</f>
        <v>0.10714285714285714</v>
      </c>
    </row>
    <row r="1195" spans="1:10" x14ac:dyDescent="0.25">
      <c r="A1195" s="2" t="s">
        <v>77</v>
      </c>
      <c r="B1195" s="2">
        <v>2015</v>
      </c>
      <c r="C1195" s="2" t="s">
        <v>14</v>
      </c>
      <c r="D1195" s="2" t="s">
        <v>39</v>
      </c>
      <c r="E1195" s="2" t="s">
        <v>78</v>
      </c>
      <c r="F1195" s="2" t="s">
        <v>84</v>
      </c>
      <c r="G1195" s="2">
        <f t="shared" si="18"/>
        <v>0.3263888888888889</v>
      </c>
      <c r="H1195" s="5">
        <v>4.2179487179487181</v>
      </c>
      <c r="I1195" s="2">
        <v>39</v>
      </c>
      <c r="J1195" s="12">
        <f>I1195/Pondération!$H$72</f>
        <v>7.7380952380952384E-2</v>
      </c>
    </row>
    <row r="1196" spans="1:10" x14ac:dyDescent="0.25">
      <c r="A1196" s="2" t="s">
        <v>77</v>
      </c>
      <c r="B1196" s="2">
        <v>2015</v>
      </c>
      <c r="C1196" s="2" t="s">
        <v>15</v>
      </c>
      <c r="D1196" s="2" t="s">
        <v>39</v>
      </c>
      <c r="E1196" s="2" t="s">
        <v>78</v>
      </c>
      <c r="F1196" s="2" t="s">
        <v>84</v>
      </c>
      <c r="G1196" s="2">
        <f t="shared" si="18"/>
        <v>0.57738095238095233</v>
      </c>
      <c r="H1196" s="5">
        <v>4.3432835820895521</v>
      </c>
      <c r="I1196" s="2">
        <v>67</v>
      </c>
      <c r="J1196" s="12">
        <f>I1196/Pondération!$H$72</f>
        <v>0.13293650793650794</v>
      </c>
    </row>
    <row r="1197" spans="1:10" x14ac:dyDescent="0.25">
      <c r="A1197" s="2" t="s">
        <v>77</v>
      </c>
      <c r="B1197" s="2">
        <v>2015</v>
      </c>
      <c r="C1197" s="2" t="s">
        <v>16</v>
      </c>
      <c r="D1197" s="2" t="s">
        <v>39</v>
      </c>
      <c r="E1197" s="2" t="s">
        <v>78</v>
      </c>
      <c r="F1197" s="2" t="s">
        <v>84</v>
      </c>
      <c r="G1197" s="2">
        <f t="shared" si="18"/>
        <v>0.30059523809523808</v>
      </c>
      <c r="H1197" s="5">
        <v>4.3285714285714283</v>
      </c>
      <c r="I1197" s="2">
        <v>35</v>
      </c>
      <c r="J1197" s="12">
        <f>I1197/Pondération!$H$72</f>
        <v>6.9444444444444448E-2</v>
      </c>
    </row>
    <row r="1198" spans="1:10" x14ac:dyDescent="0.25">
      <c r="A1198" s="2" t="s">
        <v>77</v>
      </c>
      <c r="B1198" s="2">
        <v>2015</v>
      </c>
      <c r="C1198" s="2" t="s">
        <v>17</v>
      </c>
      <c r="D1198" s="2" t="s">
        <v>39</v>
      </c>
      <c r="E1198" s="2" t="s">
        <v>78</v>
      </c>
      <c r="F1198" s="2" t="s">
        <v>84</v>
      </c>
      <c r="G1198" s="2">
        <f t="shared" si="18"/>
        <v>0.54563492063492058</v>
      </c>
      <c r="H1198" s="5">
        <v>4.3650793650793647</v>
      </c>
      <c r="I1198" s="2">
        <v>63</v>
      </c>
      <c r="J1198" s="12">
        <f>I1198/Pondération!$H$72</f>
        <v>0.125</v>
      </c>
    </row>
    <row r="1199" spans="1:10" x14ac:dyDescent="0.25">
      <c r="A1199" s="2" t="s">
        <v>77</v>
      </c>
      <c r="B1199" s="2">
        <v>2016</v>
      </c>
      <c r="C1199" s="2" t="s">
        <v>18</v>
      </c>
      <c r="D1199" s="2" t="s">
        <v>39</v>
      </c>
      <c r="E1199" s="2" t="s">
        <v>78</v>
      </c>
      <c r="F1199" s="2" t="s">
        <v>84</v>
      </c>
      <c r="G1199" s="2">
        <f t="shared" si="18"/>
        <v>0.2600243013365735</v>
      </c>
      <c r="H1199" s="5">
        <v>4.28</v>
      </c>
      <c r="I1199" s="2">
        <v>50</v>
      </c>
      <c r="J1199" s="12">
        <f>I1199/Pondération!$G$72</f>
        <v>6.0753341433778855E-2</v>
      </c>
    </row>
    <row r="1200" spans="1:10" x14ac:dyDescent="0.25">
      <c r="A1200" s="2" t="s">
        <v>77</v>
      </c>
      <c r="B1200" s="2">
        <v>2016</v>
      </c>
      <c r="C1200" s="2" t="s">
        <v>19</v>
      </c>
      <c r="D1200" s="2" t="s">
        <v>39</v>
      </c>
      <c r="E1200" s="2" t="s">
        <v>78</v>
      </c>
      <c r="F1200" s="2" t="s">
        <v>84</v>
      </c>
      <c r="G1200" s="2">
        <f t="shared" si="18"/>
        <v>0.36208991494532206</v>
      </c>
      <c r="H1200" s="5">
        <v>4.382352941176471</v>
      </c>
      <c r="I1200" s="2">
        <v>68</v>
      </c>
      <c r="J1200" s="12">
        <f>I1200/Pondération!$G$72</f>
        <v>8.2624544349939252E-2</v>
      </c>
    </row>
    <row r="1201" spans="1:10" x14ac:dyDescent="0.25">
      <c r="A1201" s="2" t="s">
        <v>77</v>
      </c>
      <c r="B1201" s="2">
        <v>2016</v>
      </c>
      <c r="C1201" s="2" t="s">
        <v>20</v>
      </c>
      <c r="D1201" s="2" t="s">
        <v>39</v>
      </c>
      <c r="E1201" s="2" t="s">
        <v>78</v>
      </c>
      <c r="F1201" s="2" t="s">
        <v>84</v>
      </c>
      <c r="G1201" s="2">
        <f t="shared" si="18"/>
        <v>0.27035236938031593</v>
      </c>
      <c r="H1201" s="5">
        <v>4.2788461538461542</v>
      </c>
      <c r="I1201" s="2">
        <v>52</v>
      </c>
      <c r="J1201" s="12">
        <f>I1201/Pondération!$G$72</f>
        <v>6.3183475091130009E-2</v>
      </c>
    </row>
    <row r="1202" spans="1:10" x14ac:dyDescent="0.25">
      <c r="A1202" s="2" t="s">
        <v>77</v>
      </c>
      <c r="B1202" s="2">
        <v>2016</v>
      </c>
      <c r="C1202" s="2" t="s">
        <v>21</v>
      </c>
      <c r="D1202" s="2" t="s">
        <v>39</v>
      </c>
      <c r="E1202" s="2" t="s">
        <v>78</v>
      </c>
      <c r="F1202" s="2" t="s">
        <v>84</v>
      </c>
      <c r="G1202" s="2">
        <f t="shared" si="18"/>
        <v>0.32320777642770354</v>
      </c>
      <c r="H1202" s="5">
        <v>4.360655737704918</v>
      </c>
      <c r="I1202" s="2">
        <v>61</v>
      </c>
      <c r="J1202" s="12">
        <f>I1202/Pondération!$G$72</f>
        <v>7.4119076549210211E-2</v>
      </c>
    </row>
    <row r="1203" spans="1:10" x14ac:dyDescent="0.25">
      <c r="A1203" s="2" t="s">
        <v>77</v>
      </c>
      <c r="B1203" s="2">
        <v>2016</v>
      </c>
      <c r="C1203" s="2" t="s">
        <v>22</v>
      </c>
      <c r="D1203" s="2" t="s">
        <v>39</v>
      </c>
      <c r="E1203" s="2" t="s">
        <v>78</v>
      </c>
      <c r="F1203" s="2" t="s">
        <v>84</v>
      </c>
      <c r="G1203" s="2">
        <f t="shared" si="18"/>
        <v>0.33171324422843251</v>
      </c>
      <c r="H1203" s="5">
        <v>4.265625</v>
      </c>
      <c r="I1203" s="2">
        <v>64</v>
      </c>
      <c r="J1203" s="12">
        <f>I1203/Pondération!$G$72</f>
        <v>7.7764277035236931E-2</v>
      </c>
    </row>
    <row r="1204" spans="1:10" x14ac:dyDescent="0.25">
      <c r="A1204" s="2" t="s">
        <v>77</v>
      </c>
      <c r="B1204" s="2">
        <v>2016</v>
      </c>
      <c r="C1204" s="2" t="s">
        <v>23</v>
      </c>
      <c r="D1204" s="2" t="s">
        <v>39</v>
      </c>
      <c r="E1204" s="2" t="s">
        <v>78</v>
      </c>
      <c r="F1204" s="2" t="s">
        <v>84</v>
      </c>
      <c r="G1204" s="2">
        <f t="shared" si="18"/>
        <v>0.36391251518833534</v>
      </c>
      <c r="H1204" s="5">
        <v>4.2785714285714285</v>
      </c>
      <c r="I1204" s="2">
        <v>70</v>
      </c>
      <c r="J1204" s="12">
        <f>I1204/Pondération!$G$72</f>
        <v>8.5054678007290399E-2</v>
      </c>
    </row>
    <row r="1205" spans="1:10" x14ac:dyDescent="0.25">
      <c r="A1205" s="2" t="s">
        <v>77</v>
      </c>
      <c r="B1205" s="2">
        <v>2016</v>
      </c>
      <c r="C1205" s="2" t="s">
        <v>24</v>
      </c>
      <c r="D1205" s="2" t="s">
        <v>39</v>
      </c>
      <c r="E1205" s="2" t="s">
        <v>78</v>
      </c>
      <c r="F1205" s="2" t="s">
        <v>84</v>
      </c>
      <c r="G1205" s="2">
        <f t="shared" si="18"/>
        <v>0.37970838396111789</v>
      </c>
      <c r="H1205" s="5">
        <v>4.2808219178082192</v>
      </c>
      <c r="I1205" s="2">
        <v>73</v>
      </c>
      <c r="J1205" s="12">
        <f>I1205/Pondération!$G$72</f>
        <v>8.8699878493317133E-2</v>
      </c>
    </row>
    <row r="1206" spans="1:10" x14ac:dyDescent="0.25">
      <c r="A1206" s="2" t="s">
        <v>77</v>
      </c>
      <c r="B1206" s="2">
        <v>2016</v>
      </c>
      <c r="C1206" s="2" t="s">
        <v>25</v>
      </c>
      <c r="D1206" s="2" t="s">
        <v>39</v>
      </c>
      <c r="E1206" s="2" t="s">
        <v>78</v>
      </c>
      <c r="F1206" s="2" t="s">
        <v>84</v>
      </c>
      <c r="G1206" s="2">
        <f t="shared" si="18"/>
        <v>0.55042527339003644</v>
      </c>
      <c r="H1206" s="5">
        <v>4.2336448598130838</v>
      </c>
      <c r="I1206" s="2">
        <v>107</v>
      </c>
      <c r="J1206" s="12">
        <f>I1206/Pondération!$G$72</f>
        <v>0.13001215066828675</v>
      </c>
    </row>
    <row r="1207" spans="1:10" x14ac:dyDescent="0.25">
      <c r="A1207" s="2" t="s">
        <v>77</v>
      </c>
      <c r="B1207" s="2">
        <v>2016</v>
      </c>
      <c r="C1207" s="2" t="s">
        <v>26</v>
      </c>
      <c r="D1207" s="2" t="s">
        <v>39</v>
      </c>
      <c r="E1207" s="2" t="s">
        <v>78</v>
      </c>
      <c r="F1207" s="2" t="s">
        <v>84</v>
      </c>
      <c r="G1207" s="2">
        <f t="shared" si="18"/>
        <v>0.34993924665856624</v>
      </c>
      <c r="H1207" s="5">
        <v>4.2352941176470589</v>
      </c>
      <c r="I1207" s="2">
        <v>68</v>
      </c>
      <c r="J1207" s="12">
        <f>I1207/Pondération!$G$72</f>
        <v>8.2624544349939252E-2</v>
      </c>
    </row>
    <row r="1208" spans="1:10" x14ac:dyDescent="0.25">
      <c r="A1208" s="2" t="s">
        <v>77</v>
      </c>
      <c r="B1208" s="2">
        <v>2016</v>
      </c>
      <c r="C1208" s="2" t="s">
        <v>27</v>
      </c>
      <c r="D1208" s="2" t="s">
        <v>39</v>
      </c>
      <c r="E1208" s="2" t="s">
        <v>78</v>
      </c>
      <c r="F1208" s="2" t="s">
        <v>84</v>
      </c>
      <c r="G1208" s="2">
        <f t="shared" si="18"/>
        <v>0.37059538274605103</v>
      </c>
      <c r="H1208" s="5">
        <v>4.295774647887324</v>
      </c>
      <c r="I1208" s="2">
        <v>71</v>
      </c>
      <c r="J1208" s="12">
        <f>I1208/Pondération!$G$72</f>
        <v>8.6269744835965972E-2</v>
      </c>
    </row>
    <row r="1209" spans="1:10" x14ac:dyDescent="0.25">
      <c r="A1209" s="2" t="s">
        <v>77</v>
      </c>
      <c r="B1209" s="2">
        <v>2016</v>
      </c>
      <c r="C1209" s="2" t="s">
        <v>28</v>
      </c>
      <c r="D1209" s="2" t="s">
        <v>39</v>
      </c>
      <c r="E1209" s="2" t="s">
        <v>78</v>
      </c>
      <c r="F1209" s="2" t="s">
        <v>84</v>
      </c>
      <c r="G1209" s="2">
        <f t="shared" si="18"/>
        <v>0.33778857837181042</v>
      </c>
      <c r="H1209" s="5">
        <v>4.2121212121212119</v>
      </c>
      <c r="I1209" s="2">
        <v>66</v>
      </c>
      <c r="J1209" s="12">
        <f>I1209/Pondération!$G$72</f>
        <v>8.0194410692588092E-2</v>
      </c>
    </row>
    <row r="1210" spans="1:10" x14ac:dyDescent="0.25">
      <c r="A1210" s="2" t="s">
        <v>77</v>
      </c>
      <c r="B1210" s="2">
        <v>2016</v>
      </c>
      <c r="C1210" s="2" t="s">
        <v>29</v>
      </c>
      <c r="D1210" s="2" t="s">
        <v>39</v>
      </c>
      <c r="E1210" s="2" t="s">
        <v>78</v>
      </c>
      <c r="F1210" s="2" t="s">
        <v>84</v>
      </c>
      <c r="G1210" s="2">
        <f t="shared" si="18"/>
        <v>0.38517618469015796</v>
      </c>
      <c r="H1210" s="5">
        <v>4.3424657534246576</v>
      </c>
      <c r="I1210" s="2">
        <v>73</v>
      </c>
      <c r="J1210" s="12">
        <f>I1210/Pondération!$G$72</f>
        <v>8.8699878493317133E-2</v>
      </c>
    </row>
    <row r="1211" spans="1:10" x14ac:dyDescent="0.25">
      <c r="A1211" s="2" t="s">
        <v>77</v>
      </c>
      <c r="B1211" s="2">
        <v>2017</v>
      </c>
      <c r="C1211" s="2" t="s">
        <v>30</v>
      </c>
      <c r="D1211" s="2" t="s">
        <v>39</v>
      </c>
      <c r="E1211" s="2" t="s">
        <v>78</v>
      </c>
      <c r="F1211" s="2" t="s">
        <v>84</v>
      </c>
      <c r="G1211" s="2">
        <f t="shared" si="18"/>
        <v>0.85416666666666663</v>
      </c>
      <c r="H1211" s="5">
        <v>4.2835820895522385</v>
      </c>
      <c r="I1211" s="2">
        <v>67</v>
      </c>
      <c r="J1211" s="12">
        <f>I1211/Pondération!$F$72</f>
        <v>0.19940476190476192</v>
      </c>
    </row>
    <row r="1212" spans="1:10" x14ac:dyDescent="0.25">
      <c r="A1212" s="2" t="s">
        <v>77</v>
      </c>
      <c r="B1212" s="2">
        <v>2017</v>
      </c>
      <c r="C1212" s="2" t="s">
        <v>31</v>
      </c>
      <c r="D1212" s="2" t="s">
        <v>39</v>
      </c>
      <c r="E1212" s="2" t="s">
        <v>78</v>
      </c>
      <c r="F1212" s="2" t="s">
        <v>84</v>
      </c>
      <c r="G1212" s="2">
        <f t="shared" si="18"/>
        <v>0.75595238095238093</v>
      </c>
      <c r="H1212" s="5">
        <v>4.3793103448275863</v>
      </c>
      <c r="I1212" s="2">
        <v>58</v>
      </c>
      <c r="J1212" s="12">
        <f>I1212/Pondération!$F$72</f>
        <v>0.17261904761904762</v>
      </c>
    </row>
    <row r="1213" spans="1:10" x14ac:dyDescent="0.25">
      <c r="A1213" s="2" t="s">
        <v>77</v>
      </c>
      <c r="B1213" s="2">
        <v>2017</v>
      </c>
      <c r="C1213" s="2" t="s">
        <v>32</v>
      </c>
      <c r="D1213" s="2" t="s">
        <v>39</v>
      </c>
      <c r="E1213" s="2" t="s">
        <v>78</v>
      </c>
      <c r="F1213" s="2" t="s">
        <v>84</v>
      </c>
      <c r="G1213" s="2">
        <f t="shared" si="18"/>
        <v>0.72470238095238093</v>
      </c>
      <c r="H1213" s="5">
        <v>4.2719298245614032</v>
      </c>
      <c r="I1213" s="2">
        <v>57</v>
      </c>
      <c r="J1213" s="12">
        <f>I1213/Pondération!$F$72</f>
        <v>0.16964285714285715</v>
      </c>
    </row>
    <row r="1214" spans="1:10" x14ac:dyDescent="0.25">
      <c r="A1214" s="2" t="s">
        <v>77</v>
      </c>
      <c r="B1214" s="2">
        <v>2017</v>
      </c>
      <c r="C1214" s="2" t="s">
        <v>33</v>
      </c>
      <c r="D1214" s="2" t="s">
        <v>39</v>
      </c>
      <c r="E1214" s="2" t="s">
        <v>78</v>
      </c>
      <c r="F1214" s="2" t="s">
        <v>84</v>
      </c>
      <c r="G1214" s="2">
        <f t="shared" si="18"/>
        <v>0.88244047619047616</v>
      </c>
      <c r="H1214" s="5">
        <v>4.2971014492753623</v>
      </c>
      <c r="I1214" s="2">
        <v>69</v>
      </c>
      <c r="J1214" s="12">
        <f>I1214/Pondération!$F$72</f>
        <v>0.20535714285714285</v>
      </c>
    </row>
    <row r="1215" spans="1:10" x14ac:dyDescent="0.25">
      <c r="A1215" s="2" t="s">
        <v>77</v>
      </c>
      <c r="B1215" s="2">
        <v>2017</v>
      </c>
      <c r="C1215" s="2" t="s">
        <v>34</v>
      </c>
      <c r="D1215" s="2" t="s">
        <v>39</v>
      </c>
      <c r="E1215" s="2" t="s">
        <v>78</v>
      </c>
      <c r="F1215" s="2" t="s">
        <v>84</v>
      </c>
      <c r="G1215" s="2">
        <f t="shared" si="18"/>
        <v>0.6964285714285714</v>
      </c>
      <c r="H1215" s="5">
        <v>4.333333333333333</v>
      </c>
      <c r="I1215" s="2">
        <v>54</v>
      </c>
      <c r="J1215" s="12">
        <f>I1215/Pondération!$F$72</f>
        <v>0.16071428571428573</v>
      </c>
    </row>
    <row r="1216" spans="1:10" x14ac:dyDescent="0.25">
      <c r="A1216" s="2" t="s">
        <v>77</v>
      </c>
      <c r="B1216" s="2">
        <v>2017</v>
      </c>
      <c r="C1216" s="2" t="s">
        <v>80</v>
      </c>
      <c r="D1216" s="2" t="s">
        <v>39</v>
      </c>
      <c r="E1216" s="2" t="s">
        <v>78</v>
      </c>
      <c r="F1216" s="2" t="s">
        <v>84</v>
      </c>
      <c r="G1216" s="2">
        <f t="shared" si="18"/>
        <v>0.39880952380952378</v>
      </c>
      <c r="H1216" s="5">
        <v>4.32258064516129</v>
      </c>
      <c r="I1216" s="2">
        <v>31</v>
      </c>
      <c r="J1216" s="12">
        <f>I1216/Pondération!$F$72</f>
        <v>9.2261904761904767E-2</v>
      </c>
    </row>
    <row r="1217" spans="1:10" x14ac:dyDescent="0.25">
      <c r="A1217" s="2" t="s">
        <v>77</v>
      </c>
      <c r="B1217" s="2">
        <v>2013</v>
      </c>
      <c r="C1217" s="2" t="s">
        <v>49</v>
      </c>
      <c r="D1217" s="2" t="s">
        <v>40</v>
      </c>
      <c r="E1217" s="2" t="s">
        <v>78</v>
      </c>
      <c r="F1217" s="2" t="s">
        <v>79</v>
      </c>
      <c r="G1217" s="2">
        <f t="shared" si="18"/>
        <v>0.20873786407766989</v>
      </c>
      <c r="H1217" s="5">
        <v>4.3</v>
      </c>
      <c r="I1217" s="2">
        <v>20</v>
      </c>
      <c r="J1217" s="12">
        <f>I1217/Pondération!$J$82</f>
        <v>4.8543689320388349E-2</v>
      </c>
    </row>
    <row r="1218" spans="1:10" x14ac:dyDescent="0.25">
      <c r="A1218" s="2" t="s">
        <v>77</v>
      </c>
      <c r="B1218" s="2">
        <v>2013</v>
      </c>
      <c r="C1218" s="2" t="s">
        <v>50</v>
      </c>
      <c r="D1218" s="2" t="s">
        <v>40</v>
      </c>
      <c r="E1218" s="2" t="s">
        <v>78</v>
      </c>
      <c r="F1218" s="2" t="s">
        <v>79</v>
      </c>
      <c r="G1218" s="2">
        <f t="shared" ref="G1218:G1281" si="19">H1218*J1218</f>
        <v>0.14441747572815533</v>
      </c>
      <c r="H1218" s="5">
        <v>4.25</v>
      </c>
      <c r="I1218" s="2">
        <v>14</v>
      </c>
      <c r="J1218" s="12">
        <f>I1218/Pondération!$J$82</f>
        <v>3.3980582524271843E-2</v>
      </c>
    </row>
    <row r="1219" spans="1:10" x14ac:dyDescent="0.25">
      <c r="A1219" s="2" t="s">
        <v>77</v>
      </c>
      <c r="B1219" s="2">
        <v>2013</v>
      </c>
      <c r="C1219" s="2" t="s">
        <v>51</v>
      </c>
      <c r="D1219" s="2" t="s">
        <v>40</v>
      </c>
      <c r="E1219" s="2" t="s">
        <v>78</v>
      </c>
      <c r="F1219" s="2" t="s">
        <v>79</v>
      </c>
      <c r="G1219" s="2">
        <f t="shared" si="19"/>
        <v>0.17597087378640777</v>
      </c>
      <c r="H1219" s="5">
        <v>4.2647058823529411</v>
      </c>
      <c r="I1219" s="2">
        <v>17</v>
      </c>
      <c r="J1219" s="12">
        <f>I1219/Pondération!$J$82</f>
        <v>4.12621359223301E-2</v>
      </c>
    </row>
    <row r="1220" spans="1:10" x14ac:dyDescent="0.25">
      <c r="A1220" s="2" t="s">
        <v>77</v>
      </c>
      <c r="B1220" s="2">
        <v>2013</v>
      </c>
      <c r="C1220" s="2" t="s">
        <v>52</v>
      </c>
      <c r="D1220" s="2" t="s">
        <v>40</v>
      </c>
      <c r="E1220" s="2" t="s">
        <v>78</v>
      </c>
      <c r="F1220" s="2" t="s">
        <v>79</v>
      </c>
      <c r="G1220" s="2">
        <f t="shared" si="19"/>
        <v>0.37864077669902918</v>
      </c>
      <c r="H1220" s="5">
        <v>4.1052631578947372</v>
      </c>
      <c r="I1220" s="2">
        <v>38</v>
      </c>
      <c r="J1220" s="12">
        <f>I1220/Pondération!$J$82</f>
        <v>9.2233009708737865E-2</v>
      </c>
    </row>
    <row r="1221" spans="1:10" x14ac:dyDescent="0.25">
      <c r="A1221" s="2" t="s">
        <v>77</v>
      </c>
      <c r="B1221" s="2">
        <v>2013</v>
      </c>
      <c r="C1221" s="2" t="s">
        <v>53</v>
      </c>
      <c r="D1221" s="2" t="s">
        <v>40</v>
      </c>
      <c r="E1221" s="2" t="s">
        <v>78</v>
      </c>
      <c r="F1221" s="2" t="s">
        <v>79</v>
      </c>
      <c r="G1221" s="2">
        <f t="shared" si="19"/>
        <v>0.37742718446601942</v>
      </c>
      <c r="H1221" s="5">
        <v>4.2027027027027026</v>
      </c>
      <c r="I1221" s="2">
        <v>37</v>
      </c>
      <c r="J1221" s="12">
        <f>I1221/Pondération!$J$82</f>
        <v>8.9805825242718448E-2</v>
      </c>
    </row>
    <row r="1222" spans="1:10" x14ac:dyDescent="0.25">
      <c r="A1222" s="2" t="s">
        <v>77</v>
      </c>
      <c r="B1222" s="2">
        <v>2013</v>
      </c>
      <c r="C1222" s="2" t="s">
        <v>54</v>
      </c>
      <c r="D1222" s="2" t="s">
        <v>40</v>
      </c>
      <c r="E1222" s="2" t="s">
        <v>78</v>
      </c>
      <c r="F1222" s="2" t="s">
        <v>79</v>
      </c>
      <c r="G1222" s="2">
        <f t="shared" si="19"/>
        <v>0.2645631067961165</v>
      </c>
      <c r="H1222" s="5">
        <v>4.1923076923076925</v>
      </c>
      <c r="I1222" s="2">
        <v>26</v>
      </c>
      <c r="J1222" s="12">
        <f>I1222/Pondération!$J$82</f>
        <v>6.3106796116504854E-2</v>
      </c>
    </row>
    <row r="1223" spans="1:10" x14ac:dyDescent="0.25">
      <c r="A1223" s="2" t="s">
        <v>77</v>
      </c>
      <c r="B1223" s="2">
        <v>2013</v>
      </c>
      <c r="C1223" s="2" t="s">
        <v>55</v>
      </c>
      <c r="D1223" s="2" t="s">
        <v>40</v>
      </c>
      <c r="E1223" s="2" t="s">
        <v>78</v>
      </c>
      <c r="F1223" s="2" t="s">
        <v>79</v>
      </c>
      <c r="G1223" s="2">
        <f t="shared" si="19"/>
        <v>0.51820388349514557</v>
      </c>
      <c r="H1223" s="5">
        <v>4.2699999999999996</v>
      </c>
      <c r="I1223" s="2">
        <v>50</v>
      </c>
      <c r="J1223" s="12">
        <f>I1223/Pondération!$J$82</f>
        <v>0.12135922330097088</v>
      </c>
    </row>
    <row r="1224" spans="1:10" x14ac:dyDescent="0.25">
      <c r="A1224" s="2" t="s">
        <v>77</v>
      </c>
      <c r="B1224" s="2">
        <v>2013</v>
      </c>
      <c r="C1224" s="2" t="s">
        <v>56</v>
      </c>
      <c r="D1224" s="2" t="s">
        <v>40</v>
      </c>
      <c r="E1224" s="2" t="s">
        <v>78</v>
      </c>
      <c r="F1224" s="2" t="s">
        <v>79</v>
      </c>
      <c r="G1224" s="2">
        <f t="shared" si="19"/>
        <v>0.94417475728155342</v>
      </c>
      <c r="H1224" s="5">
        <v>4.182795698924731</v>
      </c>
      <c r="I1224" s="2">
        <v>93</v>
      </c>
      <c r="J1224" s="12">
        <f>I1224/Pondération!$J$82</f>
        <v>0.22572815533980584</v>
      </c>
    </row>
    <row r="1225" spans="1:10" x14ac:dyDescent="0.25">
      <c r="A1225" s="2" t="s">
        <v>77</v>
      </c>
      <c r="B1225" s="2">
        <v>2013</v>
      </c>
      <c r="C1225" s="2" t="s">
        <v>57</v>
      </c>
      <c r="D1225" s="2" t="s">
        <v>40</v>
      </c>
      <c r="E1225" s="2" t="s">
        <v>78</v>
      </c>
      <c r="F1225" s="2" t="s">
        <v>79</v>
      </c>
      <c r="G1225" s="2">
        <f t="shared" si="19"/>
        <v>0.38592233009708737</v>
      </c>
      <c r="H1225" s="5">
        <v>4.2972972972972974</v>
      </c>
      <c r="I1225" s="2">
        <v>37</v>
      </c>
      <c r="J1225" s="12">
        <f>I1225/Pondération!$J$82</f>
        <v>8.9805825242718448E-2</v>
      </c>
    </row>
    <row r="1226" spans="1:10" x14ac:dyDescent="0.25">
      <c r="A1226" s="2" t="s">
        <v>77</v>
      </c>
      <c r="B1226" s="2">
        <v>2013</v>
      </c>
      <c r="C1226" s="2" t="s">
        <v>58</v>
      </c>
      <c r="D1226" s="2" t="s">
        <v>40</v>
      </c>
      <c r="E1226" s="2" t="s">
        <v>78</v>
      </c>
      <c r="F1226" s="2" t="s">
        <v>79</v>
      </c>
      <c r="G1226" s="2">
        <f t="shared" si="19"/>
        <v>0.33616504854368939</v>
      </c>
      <c r="H1226" s="5">
        <v>4.1969696969696972</v>
      </c>
      <c r="I1226" s="2">
        <v>33</v>
      </c>
      <c r="J1226" s="12">
        <f>I1226/Pondération!$J$82</f>
        <v>8.0097087378640783E-2</v>
      </c>
    </row>
    <row r="1227" spans="1:10" x14ac:dyDescent="0.25">
      <c r="A1227" s="2" t="s">
        <v>77</v>
      </c>
      <c r="B1227" s="2">
        <v>2013</v>
      </c>
      <c r="C1227" s="2" t="s">
        <v>59</v>
      </c>
      <c r="D1227" s="2" t="s">
        <v>40</v>
      </c>
      <c r="E1227" s="2" t="s">
        <v>78</v>
      </c>
      <c r="F1227" s="2" t="s">
        <v>79</v>
      </c>
      <c r="G1227" s="2">
        <f t="shared" si="19"/>
        <v>0.14441747572815533</v>
      </c>
      <c r="H1227" s="5">
        <v>4.25</v>
      </c>
      <c r="I1227" s="2">
        <v>14</v>
      </c>
      <c r="J1227" s="12">
        <f>I1227/Pondération!$J$82</f>
        <v>3.3980582524271843E-2</v>
      </c>
    </row>
    <row r="1228" spans="1:10" x14ac:dyDescent="0.25">
      <c r="A1228" s="2" t="s">
        <v>77</v>
      </c>
      <c r="B1228" s="2">
        <v>2013</v>
      </c>
      <c r="C1228" s="2" t="s">
        <v>60</v>
      </c>
      <c r="D1228" s="2" t="s">
        <v>40</v>
      </c>
      <c r="E1228" s="2" t="s">
        <v>78</v>
      </c>
      <c r="F1228" s="2" t="s">
        <v>79</v>
      </c>
      <c r="G1228" s="2">
        <f t="shared" si="19"/>
        <v>0.34223300970873788</v>
      </c>
      <c r="H1228" s="5">
        <v>4.2727272727272725</v>
      </c>
      <c r="I1228" s="2">
        <v>33</v>
      </c>
      <c r="J1228" s="12">
        <f>I1228/Pondération!$J$82</f>
        <v>8.0097087378640783E-2</v>
      </c>
    </row>
    <row r="1229" spans="1:10" x14ac:dyDescent="0.25">
      <c r="A1229" s="2" t="s">
        <v>77</v>
      </c>
      <c r="B1229" s="2">
        <v>2014</v>
      </c>
      <c r="C1229" s="2" t="s">
        <v>61</v>
      </c>
      <c r="D1229" s="2" t="s">
        <v>40</v>
      </c>
      <c r="E1229" s="2" t="s">
        <v>78</v>
      </c>
      <c r="F1229" s="2" t="s">
        <v>79</v>
      </c>
      <c r="G1229" s="2">
        <f t="shared" si="19"/>
        <v>5.9418457648546141E-2</v>
      </c>
      <c r="H1229" s="5">
        <v>3.9166666666666665</v>
      </c>
      <c r="I1229" s="2">
        <v>12</v>
      </c>
      <c r="J1229" s="12">
        <f>I1229/Pondération!$I$82</f>
        <v>1.5170670037926675E-2</v>
      </c>
    </row>
    <row r="1230" spans="1:10" x14ac:dyDescent="0.25">
      <c r="A1230" s="2" t="s">
        <v>77</v>
      </c>
      <c r="B1230" s="2">
        <v>2014</v>
      </c>
      <c r="C1230" s="2" t="s">
        <v>62</v>
      </c>
      <c r="D1230" s="2" t="s">
        <v>40</v>
      </c>
      <c r="E1230" s="2" t="s">
        <v>78</v>
      </c>
      <c r="F1230" s="2" t="s">
        <v>79</v>
      </c>
      <c r="G1230" s="2">
        <f t="shared" si="19"/>
        <v>0.1219974715549937</v>
      </c>
      <c r="H1230" s="5">
        <v>4.1956521739130439</v>
      </c>
      <c r="I1230" s="2">
        <v>23</v>
      </c>
      <c r="J1230" s="12">
        <f>I1230/Pondération!$I$82</f>
        <v>2.9077117572692796E-2</v>
      </c>
    </row>
    <row r="1231" spans="1:10" x14ac:dyDescent="0.25">
      <c r="A1231" s="2" t="s">
        <v>77</v>
      </c>
      <c r="B1231" s="2">
        <v>2014</v>
      </c>
      <c r="C1231" s="2" t="s">
        <v>63</v>
      </c>
      <c r="D1231" s="2" t="s">
        <v>40</v>
      </c>
      <c r="E1231" s="2" t="s">
        <v>78</v>
      </c>
      <c r="F1231" s="2" t="s">
        <v>79</v>
      </c>
      <c r="G1231" s="2">
        <f t="shared" si="19"/>
        <v>0.19848293299620734</v>
      </c>
      <c r="H1231" s="5">
        <v>4.1315789473684212</v>
      </c>
      <c r="I1231" s="2">
        <v>38</v>
      </c>
      <c r="J1231" s="12">
        <f>I1231/Pondération!$I$82</f>
        <v>4.804045512010114E-2</v>
      </c>
    </row>
    <row r="1232" spans="1:10" x14ac:dyDescent="0.25">
      <c r="A1232" s="2" t="s">
        <v>77</v>
      </c>
      <c r="B1232" s="2">
        <v>2014</v>
      </c>
      <c r="C1232" s="2" t="s">
        <v>64</v>
      </c>
      <c r="D1232" s="2" t="s">
        <v>40</v>
      </c>
      <c r="E1232" s="2" t="s">
        <v>78</v>
      </c>
      <c r="F1232" s="2" t="s">
        <v>79</v>
      </c>
      <c r="G1232" s="2">
        <f t="shared" si="19"/>
        <v>0.27243994943109984</v>
      </c>
      <c r="H1232" s="5">
        <v>4.3099999999999996</v>
      </c>
      <c r="I1232" s="2">
        <v>50</v>
      </c>
      <c r="J1232" s="12">
        <f>I1232/Pondération!$I$82</f>
        <v>6.3211125158027806E-2</v>
      </c>
    </row>
    <row r="1233" spans="1:10" x14ac:dyDescent="0.25">
      <c r="A1233" s="2" t="s">
        <v>77</v>
      </c>
      <c r="B1233" s="2">
        <v>2014</v>
      </c>
      <c r="C1233" s="2" t="s">
        <v>65</v>
      </c>
      <c r="D1233" s="2" t="s">
        <v>40</v>
      </c>
      <c r="E1233" s="2" t="s">
        <v>78</v>
      </c>
      <c r="F1233" s="2" t="s">
        <v>79</v>
      </c>
      <c r="G1233" s="2">
        <f t="shared" si="19"/>
        <v>0.3615676359039191</v>
      </c>
      <c r="H1233" s="5">
        <v>4.2058823529411766</v>
      </c>
      <c r="I1233" s="2">
        <v>68</v>
      </c>
      <c r="J1233" s="12">
        <f>I1233/Pondération!$I$82</f>
        <v>8.5967130214917822E-2</v>
      </c>
    </row>
    <row r="1234" spans="1:10" x14ac:dyDescent="0.25">
      <c r="A1234" s="2" t="s">
        <v>77</v>
      </c>
      <c r="B1234" s="2">
        <v>2014</v>
      </c>
      <c r="C1234" s="2" t="s">
        <v>66</v>
      </c>
      <c r="D1234" s="2" t="s">
        <v>40</v>
      </c>
      <c r="E1234" s="2" t="s">
        <v>78</v>
      </c>
      <c r="F1234" s="2" t="s">
        <v>79</v>
      </c>
      <c r="G1234" s="2">
        <f t="shared" si="19"/>
        <v>0.40265486725663718</v>
      </c>
      <c r="H1234" s="5">
        <v>4.3040540540540544</v>
      </c>
      <c r="I1234" s="2">
        <v>74</v>
      </c>
      <c r="J1234" s="12">
        <f>I1234/Pondération!$I$82</f>
        <v>9.3552465233881166E-2</v>
      </c>
    </row>
    <row r="1235" spans="1:10" x14ac:dyDescent="0.25">
      <c r="A1235" s="2" t="s">
        <v>77</v>
      </c>
      <c r="B1235" s="2">
        <v>2014</v>
      </c>
      <c r="C1235" s="2" t="s">
        <v>67</v>
      </c>
      <c r="D1235" s="2" t="s">
        <v>40</v>
      </c>
      <c r="E1235" s="2" t="s">
        <v>78</v>
      </c>
      <c r="F1235" s="2" t="s">
        <v>79</v>
      </c>
      <c r="G1235" s="2">
        <f t="shared" si="19"/>
        <v>0.50442477876106195</v>
      </c>
      <c r="H1235" s="5">
        <v>4.290322580645161</v>
      </c>
      <c r="I1235" s="2">
        <v>93</v>
      </c>
      <c r="J1235" s="12">
        <f>I1235/Pondération!$I$82</f>
        <v>0.11757269279393173</v>
      </c>
    </row>
    <row r="1236" spans="1:10" x14ac:dyDescent="0.25">
      <c r="A1236" s="2" t="s">
        <v>77</v>
      </c>
      <c r="B1236" s="2">
        <v>2014</v>
      </c>
      <c r="C1236" s="2" t="s">
        <v>68</v>
      </c>
      <c r="D1236" s="2" t="s">
        <v>40</v>
      </c>
      <c r="E1236" s="2" t="s">
        <v>78</v>
      </c>
      <c r="F1236" s="2" t="s">
        <v>79</v>
      </c>
      <c r="G1236" s="2">
        <f t="shared" si="19"/>
        <v>0.82364096080910243</v>
      </c>
      <c r="H1236" s="5">
        <v>4.3433333333333337</v>
      </c>
      <c r="I1236" s="2">
        <v>150</v>
      </c>
      <c r="J1236" s="12">
        <f>I1236/Pondération!$I$82</f>
        <v>0.18963337547408343</v>
      </c>
    </row>
    <row r="1237" spans="1:10" x14ac:dyDescent="0.25">
      <c r="A1237" s="2" t="s">
        <v>77</v>
      </c>
      <c r="B1237" s="2">
        <v>2014</v>
      </c>
      <c r="C1237" s="2" t="s">
        <v>69</v>
      </c>
      <c r="D1237" s="2" t="s">
        <v>40</v>
      </c>
      <c r="E1237" s="2" t="s">
        <v>78</v>
      </c>
      <c r="F1237" s="2" t="s">
        <v>79</v>
      </c>
      <c r="G1237" s="2">
        <f t="shared" si="19"/>
        <v>0.5499367888748421</v>
      </c>
      <c r="H1237" s="5">
        <v>4.3069306930693072</v>
      </c>
      <c r="I1237" s="2">
        <v>101</v>
      </c>
      <c r="J1237" s="12">
        <f>I1237/Pondération!$I$82</f>
        <v>0.12768647281921619</v>
      </c>
    </row>
    <row r="1238" spans="1:10" x14ac:dyDescent="0.25">
      <c r="A1238" s="2" t="s">
        <v>77</v>
      </c>
      <c r="B1238" s="2">
        <v>2014</v>
      </c>
      <c r="C1238" s="2" t="s">
        <v>70</v>
      </c>
      <c r="D1238" s="2" t="s">
        <v>40</v>
      </c>
      <c r="E1238" s="2" t="s">
        <v>78</v>
      </c>
      <c r="F1238" s="2" t="s">
        <v>79</v>
      </c>
      <c r="G1238" s="2">
        <f t="shared" si="19"/>
        <v>0.41403286978508214</v>
      </c>
      <c r="H1238" s="5">
        <v>4.3666666666666663</v>
      </c>
      <c r="I1238" s="2">
        <v>75</v>
      </c>
      <c r="J1238" s="12">
        <f>I1238/Pondération!$I$82</f>
        <v>9.4816687737041716E-2</v>
      </c>
    </row>
    <row r="1239" spans="1:10" x14ac:dyDescent="0.25">
      <c r="A1239" s="2" t="s">
        <v>77</v>
      </c>
      <c r="B1239" s="2">
        <v>2014</v>
      </c>
      <c r="C1239" s="2" t="s">
        <v>71</v>
      </c>
      <c r="D1239" s="2" t="s">
        <v>40</v>
      </c>
      <c r="E1239" s="2" t="s">
        <v>78</v>
      </c>
      <c r="F1239" s="2" t="s">
        <v>79</v>
      </c>
      <c r="G1239" s="2">
        <f t="shared" si="19"/>
        <v>0.3577749683944374</v>
      </c>
      <c r="H1239" s="5">
        <v>4.3538461538461535</v>
      </c>
      <c r="I1239" s="2">
        <v>65</v>
      </c>
      <c r="J1239" s="12">
        <f>I1239/Pondération!$I$82</f>
        <v>8.2174462705436158E-2</v>
      </c>
    </row>
    <row r="1240" spans="1:10" x14ac:dyDescent="0.25">
      <c r="A1240" s="2" t="s">
        <v>77</v>
      </c>
      <c r="B1240" s="2">
        <v>2014</v>
      </c>
      <c r="C1240" s="2" t="s">
        <v>72</v>
      </c>
      <c r="D1240" s="2" t="s">
        <v>40</v>
      </c>
      <c r="E1240" s="2" t="s">
        <v>78</v>
      </c>
      <c r="F1240" s="2" t="s">
        <v>79</v>
      </c>
      <c r="G1240" s="2">
        <f t="shared" si="19"/>
        <v>0.23198482932996206</v>
      </c>
      <c r="H1240" s="5">
        <v>4.3690476190476186</v>
      </c>
      <c r="I1240" s="2">
        <v>42</v>
      </c>
      <c r="J1240" s="12">
        <f>I1240/Pondération!$I$82</f>
        <v>5.3097345132743362E-2</v>
      </c>
    </row>
    <row r="1241" spans="1:10" x14ac:dyDescent="0.25">
      <c r="A1241" s="2" t="s">
        <v>77</v>
      </c>
      <c r="B1241" s="2">
        <v>2015</v>
      </c>
      <c r="C1241" s="2" t="s">
        <v>73</v>
      </c>
      <c r="D1241" s="2" t="s">
        <v>40</v>
      </c>
      <c r="E1241" s="2" t="s">
        <v>78</v>
      </c>
      <c r="F1241" s="2" t="s">
        <v>79</v>
      </c>
      <c r="G1241" s="2">
        <f t="shared" si="19"/>
        <v>7.3511166253101737E-2</v>
      </c>
      <c r="H1241" s="5">
        <v>4.2321428571428568</v>
      </c>
      <c r="I1241" s="2">
        <v>28</v>
      </c>
      <c r="J1241" s="12">
        <f>I1241/Pondération!$H$82</f>
        <v>1.7369727047146403E-2</v>
      </c>
    </row>
    <row r="1242" spans="1:10" x14ac:dyDescent="0.25">
      <c r="A1242" s="2" t="s">
        <v>77</v>
      </c>
      <c r="B1242" s="2">
        <v>2015</v>
      </c>
      <c r="C1242" s="2" t="s">
        <v>74</v>
      </c>
      <c r="D1242" s="2" t="s">
        <v>40</v>
      </c>
      <c r="E1242" s="2" t="s">
        <v>78</v>
      </c>
      <c r="F1242" s="2" t="s">
        <v>79</v>
      </c>
      <c r="G1242" s="2">
        <f t="shared" si="19"/>
        <v>0.14857320099255583</v>
      </c>
      <c r="H1242" s="5">
        <v>4.3545454545454545</v>
      </c>
      <c r="I1242" s="2">
        <v>55</v>
      </c>
      <c r="J1242" s="12">
        <f>I1242/Pondération!$H$82</f>
        <v>3.4119106699751864E-2</v>
      </c>
    </row>
    <row r="1243" spans="1:10" x14ac:dyDescent="0.25">
      <c r="A1243" s="2" t="s">
        <v>77</v>
      </c>
      <c r="B1243" s="2">
        <v>2015</v>
      </c>
      <c r="C1243" s="2" t="s">
        <v>75</v>
      </c>
      <c r="D1243" s="2" t="s">
        <v>40</v>
      </c>
      <c r="E1243" s="2" t="s">
        <v>78</v>
      </c>
      <c r="F1243" s="2" t="s">
        <v>79</v>
      </c>
      <c r="G1243" s="2">
        <f t="shared" si="19"/>
        <v>0.18548387096774194</v>
      </c>
      <c r="H1243" s="5">
        <v>4.2714285714285714</v>
      </c>
      <c r="I1243" s="2">
        <v>70</v>
      </c>
      <c r="J1243" s="12">
        <f>I1243/Pondération!$H$82</f>
        <v>4.3424317617866005E-2</v>
      </c>
    </row>
    <row r="1244" spans="1:10" x14ac:dyDescent="0.25">
      <c r="A1244" s="2" t="s">
        <v>77</v>
      </c>
      <c r="B1244" s="2">
        <v>2015</v>
      </c>
      <c r="C1244" s="2" t="s">
        <v>76</v>
      </c>
      <c r="D1244" s="2" t="s">
        <v>40</v>
      </c>
      <c r="E1244" s="2" t="s">
        <v>78</v>
      </c>
      <c r="F1244" s="2" t="s">
        <v>79</v>
      </c>
      <c r="G1244" s="2">
        <f t="shared" si="19"/>
        <v>0.22332506203473945</v>
      </c>
      <c r="H1244" s="5">
        <v>4.3373493975903612</v>
      </c>
      <c r="I1244" s="2">
        <v>83</v>
      </c>
      <c r="J1244" s="12">
        <f>I1244/Pondération!$H$82</f>
        <v>5.1488833746898263E-2</v>
      </c>
    </row>
    <row r="1245" spans="1:10" x14ac:dyDescent="0.25">
      <c r="A1245" s="2" t="s">
        <v>77</v>
      </c>
      <c r="B1245" s="2">
        <v>2015</v>
      </c>
      <c r="C1245" s="2" t="s">
        <v>7</v>
      </c>
      <c r="D1245" s="2" t="s">
        <v>40</v>
      </c>
      <c r="E1245" s="2" t="s">
        <v>78</v>
      </c>
      <c r="F1245" s="2" t="s">
        <v>79</v>
      </c>
      <c r="G1245" s="2">
        <f t="shared" si="19"/>
        <v>0.3982630272952854</v>
      </c>
      <c r="H1245" s="5">
        <v>4.3378378378378377</v>
      </c>
      <c r="I1245" s="2">
        <v>148</v>
      </c>
      <c r="J1245" s="12">
        <f>I1245/Pondération!$H$82</f>
        <v>9.1811414392059559E-2</v>
      </c>
    </row>
    <row r="1246" spans="1:10" x14ac:dyDescent="0.25">
      <c r="A1246" s="2" t="s">
        <v>77</v>
      </c>
      <c r="B1246" s="2">
        <v>2015</v>
      </c>
      <c r="C1246" s="2" t="s">
        <v>11</v>
      </c>
      <c r="D1246" s="2" t="s">
        <v>40</v>
      </c>
      <c r="E1246" s="2" t="s">
        <v>78</v>
      </c>
      <c r="F1246" s="2" t="s">
        <v>79</v>
      </c>
      <c r="G1246" s="2">
        <f t="shared" si="19"/>
        <v>0.26054590570719599</v>
      </c>
      <c r="H1246" s="5">
        <v>4.2857142857142856</v>
      </c>
      <c r="I1246" s="2">
        <v>98</v>
      </c>
      <c r="J1246" s="12">
        <f>I1246/Pondération!$H$82</f>
        <v>6.0794044665012405E-2</v>
      </c>
    </row>
    <row r="1247" spans="1:10" x14ac:dyDescent="0.25">
      <c r="A1247" s="2" t="s">
        <v>77</v>
      </c>
      <c r="B1247" s="2">
        <v>2015</v>
      </c>
      <c r="C1247" s="2" t="s">
        <v>12</v>
      </c>
      <c r="D1247" s="2" t="s">
        <v>40</v>
      </c>
      <c r="E1247" s="2" t="s">
        <v>78</v>
      </c>
      <c r="F1247" s="2" t="s">
        <v>79</v>
      </c>
      <c r="G1247" s="2">
        <f t="shared" si="19"/>
        <v>0.59677419354838723</v>
      </c>
      <c r="H1247" s="5">
        <v>4.275555555555556</v>
      </c>
      <c r="I1247" s="2">
        <v>225</v>
      </c>
      <c r="J1247" s="12">
        <f>I1247/Pondération!$H$82</f>
        <v>0.13957816377171217</v>
      </c>
    </row>
    <row r="1248" spans="1:10" x14ac:dyDescent="0.25">
      <c r="A1248" s="2" t="s">
        <v>77</v>
      </c>
      <c r="B1248" s="2">
        <v>2015</v>
      </c>
      <c r="C1248" s="2" t="s">
        <v>13</v>
      </c>
      <c r="D1248" s="2" t="s">
        <v>40</v>
      </c>
      <c r="E1248" s="2" t="s">
        <v>78</v>
      </c>
      <c r="F1248" s="2" t="s">
        <v>79</v>
      </c>
      <c r="G1248" s="2">
        <f t="shared" si="19"/>
        <v>0.87220843672456594</v>
      </c>
      <c r="H1248" s="5">
        <v>4.2735562310030399</v>
      </c>
      <c r="I1248" s="2">
        <v>329</v>
      </c>
      <c r="J1248" s="12">
        <f>I1248/Pondération!$H$82</f>
        <v>0.20409429280397023</v>
      </c>
    </row>
    <row r="1249" spans="1:10" x14ac:dyDescent="0.25">
      <c r="A1249" s="2" t="s">
        <v>77</v>
      </c>
      <c r="B1249" s="2">
        <v>2015</v>
      </c>
      <c r="C1249" s="2" t="s">
        <v>14</v>
      </c>
      <c r="D1249" s="2" t="s">
        <v>40</v>
      </c>
      <c r="E1249" s="2" t="s">
        <v>78</v>
      </c>
      <c r="F1249" s="2" t="s">
        <v>79</v>
      </c>
      <c r="G1249" s="2">
        <f t="shared" si="19"/>
        <v>0.4987593052109181</v>
      </c>
      <c r="H1249" s="5">
        <v>4.2765957446808507</v>
      </c>
      <c r="I1249" s="2">
        <v>188</v>
      </c>
      <c r="J1249" s="12">
        <f>I1249/Pondération!$H$82</f>
        <v>0.11662531017369727</v>
      </c>
    </row>
    <row r="1250" spans="1:10" x14ac:dyDescent="0.25">
      <c r="A1250" s="2" t="s">
        <v>77</v>
      </c>
      <c r="B1250" s="2">
        <v>2015</v>
      </c>
      <c r="C1250" s="2" t="s">
        <v>15</v>
      </c>
      <c r="D1250" s="2" t="s">
        <v>40</v>
      </c>
      <c r="E1250" s="2" t="s">
        <v>78</v>
      </c>
      <c r="F1250" s="2" t="s">
        <v>79</v>
      </c>
      <c r="G1250" s="2">
        <f t="shared" si="19"/>
        <v>0.4525434243176179</v>
      </c>
      <c r="H1250" s="5">
        <v>4.3165680473372783</v>
      </c>
      <c r="I1250" s="2">
        <v>169</v>
      </c>
      <c r="J1250" s="12">
        <f>I1250/Pondération!$H$82</f>
        <v>0.10483870967741936</v>
      </c>
    </row>
    <row r="1251" spans="1:10" x14ac:dyDescent="0.25">
      <c r="A1251" s="2" t="s">
        <v>77</v>
      </c>
      <c r="B1251" s="2">
        <v>2015</v>
      </c>
      <c r="C1251" s="2" t="s">
        <v>16</v>
      </c>
      <c r="D1251" s="2" t="s">
        <v>40</v>
      </c>
      <c r="E1251" s="2" t="s">
        <v>78</v>
      </c>
      <c r="F1251" s="2" t="s">
        <v>79</v>
      </c>
      <c r="G1251" s="2">
        <f t="shared" si="19"/>
        <v>0.31575682382133996</v>
      </c>
      <c r="H1251" s="5">
        <v>4.3879310344827589</v>
      </c>
      <c r="I1251" s="2">
        <v>116</v>
      </c>
      <c r="J1251" s="12">
        <f>I1251/Pondération!$H$82</f>
        <v>7.1960297766749379E-2</v>
      </c>
    </row>
    <row r="1252" spans="1:10" x14ac:dyDescent="0.25">
      <c r="A1252" s="2" t="s">
        <v>77</v>
      </c>
      <c r="B1252" s="2">
        <v>2015</v>
      </c>
      <c r="C1252" s="2" t="s">
        <v>17</v>
      </c>
      <c r="D1252" s="2" t="s">
        <v>40</v>
      </c>
      <c r="E1252" s="2" t="s">
        <v>78</v>
      </c>
      <c r="F1252" s="2" t="s">
        <v>79</v>
      </c>
      <c r="G1252" s="2">
        <f t="shared" si="19"/>
        <v>0.27264267990074442</v>
      </c>
      <c r="H1252" s="5">
        <v>4.266990291262136</v>
      </c>
      <c r="I1252" s="2">
        <v>103</v>
      </c>
      <c r="J1252" s="12">
        <f>I1252/Pondération!$H$82</f>
        <v>6.3895781637717128E-2</v>
      </c>
    </row>
    <row r="1253" spans="1:10" x14ac:dyDescent="0.25">
      <c r="A1253" s="2" t="s">
        <v>77</v>
      </c>
      <c r="B1253" s="2">
        <v>2016</v>
      </c>
      <c r="C1253" s="2" t="s">
        <v>18</v>
      </c>
      <c r="D1253" s="2" t="s">
        <v>40</v>
      </c>
      <c r="E1253" s="2" t="s">
        <v>78</v>
      </c>
      <c r="F1253" s="2" t="s">
        <v>79</v>
      </c>
      <c r="G1253" s="2">
        <f t="shared" si="19"/>
        <v>0.11927065908330546</v>
      </c>
      <c r="H1253" s="5">
        <v>4.2951807228915664</v>
      </c>
      <c r="I1253" s="2">
        <v>83</v>
      </c>
      <c r="J1253" s="12">
        <f>I1253/Pondération!$G$82</f>
        <v>2.776848444295751E-2</v>
      </c>
    </row>
    <row r="1254" spans="1:10" x14ac:dyDescent="0.25">
      <c r="A1254" s="2" t="s">
        <v>77</v>
      </c>
      <c r="B1254" s="2">
        <v>2016</v>
      </c>
      <c r="C1254" s="2" t="s">
        <v>19</v>
      </c>
      <c r="D1254" s="2" t="s">
        <v>40</v>
      </c>
      <c r="E1254" s="2" t="s">
        <v>78</v>
      </c>
      <c r="F1254" s="2" t="s">
        <v>79</v>
      </c>
      <c r="G1254" s="2">
        <f t="shared" si="19"/>
        <v>0.24121779859484779</v>
      </c>
      <c r="H1254" s="5">
        <v>4.291666666666667</v>
      </c>
      <c r="I1254" s="2">
        <v>168</v>
      </c>
      <c r="J1254" s="12">
        <f>I1254/Pondération!$G$82</f>
        <v>5.6206088992974239E-2</v>
      </c>
    </row>
    <row r="1255" spans="1:10" x14ac:dyDescent="0.25">
      <c r="A1255" s="2" t="s">
        <v>77</v>
      </c>
      <c r="B1255" s="2">
        <v>2016</v>
      </c>
      <c r="C1255" s="2" t="s">
        <v>20</v>
      </c>
      <c r="D1255" s="2" t="s">
        <v>40</v>
      </c>
      <c r="E1255" s="2" t="s">
        <v>78</v>
      </c>
      <c r="F1255" s="2" t="s">
        <v>79</v>
      </c>
      <c r="G1255" s="2">
        <f t="shared" si="19"/>
        <v>0.27116092338574777</v>
      </c>
      <c r="H1255" s="5">
        <v>4.3111702127659575</v>
      </c>
      <c r="I1255" s="2">
        <v>188</v>
      </c>
      <c r="J1255" s="12">
        <f>I1255/Pondération!$G$82</f>
        <v>6.2897290063566411E-2</v>
      </c>
    </row>
    <row r="1256" spans="1:10" x14ac:dyDescent="0.25">
      <c r="A1256" s="2" t="s">
        <v>77</v>
      </c>
      <c r="B1256" s="2">
        <v>2016</v>
      </c>
      <c r="C1256" s="2" t="s">
        <v>21</v>
      </c>
      <c r="D1256" s="2" t="s">
        <v>40</v>
      </c>
      <c r="E1256" s="2" t="s">
        <v>78</v>
      </c>
      <c r="F1256" s="2" t="s">
        <v>79</v>
      </c>
      <c r="G1256" s="2">
        <f t="shared" si="19"/>
        <v>0.37537638006022078</v>
      </c>
      <c r="H1256" s="5">
        <v>4.2988505747126435</v>
      </c>
      <c r="I1256" s="2">
        <v>261</v>
      </c>
      <c r="J1256" s="12">
        <f>I1256/Pondération!$G$82</f>
        <v>8.7320173971227835E-2</v>
      </c>
    </row>
    <row r="1257" spans="1:10" x14ac:dyDescent="0.25">
      <c r="A1257" s="2" t="s">
        <v>77</v>
      </c>
      <c r="B1257" s="2">
        <v>2016</v>
      </c>
      <c r="C1257" s="2" t="s">
        <v>22</v>
      </c>
      <c r="D1257" s="2" t="s">
        <v>40</v>
      </c>
      <c r="E1257" s="2" t="s">
        <v>78</v>
      </c>
      <c r="F1257" s="2" t="s">
        <v>79</v>
      </c>
      <c r="G1257" s="2">
        <f t="shared" si="19"/>
        <v>0.42271662763466045</v>
      </c>
      <c r="H1257" s="5">
        <v>4.3122866894197953</v>
      </c>
      <c r="I1257" s="2">
        <v>293</v>
      </c>
      <c r="J1257" s="12">
        <f>I1257/Pondération!$G$82</f>
        <v>9.8026095684175307E-2</v>
      </c>
    </row>
    <row r="1258" spans="1:10" x14ac:dyDescent="0.25">
      <c r="A1258" s="2" t="s">
        <v>77</v>
      </c>
      <c r="B1258" s="2">
        <v>2016</v>
      </c>
      <c r="C1258" s="2" t="s">
        <v>23</v>
      </c>
      <c r="D1258" s="2" t="s">
        <v>40</v>
      </c>
      <c r="E1258" s="2" t="s">
        <v>78</v>
      </c>
      <c r="F1258" s="2" t="s">
        <v>79</v>
      </c>
      <c r="G1258" s="2">
        <f t="shared" si="19"/>
        <v>0.29742388758782201</v>
      </c>
      <c r="H1258" s="5">
        <v>4.2740384615384617</v>
      </c>
      <c r="I1258" s="2">
        <v>208</v>
      </c>
      <c r="J1258" s="12">
        <f>I1258/Pondération!$G$82</f>
        <v>6.9588491134158575E-2</v>
      </c>
    </row>
    <row r="1259" spans="1:10" x14ac:dyDescent="0.25">
      <c r="A1259" s="2" t="s">
        <v>77</v>
      </c>
      <c r="B1259" s="2">
        <v>2016</v>
      </c>
      <c r="C1259" s="2" t="s">
        <v>24</v>
      </c>
      <c r="D1259" s="2" t="s">
        <v>40</v>
      </c>
      <c r="E1259" s="2" t="s">
        <v>78</v>
      </c>
      <c r="F1259" s="2" t="s">
        <v>79</v>
      </c>
      <c r="G1259" s="2">
        <f t="shared" si="19"/>
        <v>0.46520575443292067</v>
      </c>
      <c r="H1259" s="5">
        <v>4.2653374233128831</v>
      </c>
      <c r="I1259" s="2">
        <v>326</v>
      </c>
      <c r="J1259" s="12">
        <f>I1259/Pondération!$G$82</f>
        <v>0.10906657745065239</v>
      </c>
    </row>
    <row r="1260" spans="1:10" x14ac:dyDescent="0.25">
      <c r="A1260" s="2" t="s">
        <v>77</v>
      </c>
      <c r="B1260" s="2">
        <v>2016</v>
      </c>
      <c r="C1260" s="2" t="s">
        <v>25</v>
      </c>
      <c r="D1260" s="2" t="s">
        <v>40</v>
      </c>
      <c r="E1260" s="2" t="s">
        <v>78</v>
      </c>
      <c r="F1260" s="2" t="s">
        <v>79</v>
      </c>
      <c r="G1260" s="2">
        <f t="shared" si="19"/>
        <v>0.85848109735697564</v>
      </c>
      <c r="H1260" s="5">
        <v>4.2981574539363487</v>
      </c>
      <c r="I1260" s="2">
        <v>597</v>
      </c>
      <c r="J1260" s="12">
        <f>I1260/Pondération!$G$82</f>
        <v>0.19973235195717631</v>
      </c>
    </row>
    <row r="1261" spans="1:10" x14ac:dyDescent="0.25">
      <c r="A1261" s="2" t="s">
        <v>77</v>
      </c>
      <c r="B1261" s="2">
        <v>2016</v>
      </c>
      <c r="C1261" s="2" t="s">
        <v>26</v>
      </c>
      <c r="D1261" s="2" t="s">
        <v>40</v>
      </c>
      <c r="E1261" s="2" t="s">
        <v>78</v>
      </c>
      <c r="F1261" s="2" t="s">
        <v>79</v>
      </c>
      <c r="G1261" s="2">
        <f t="shared" si="19"/>
        <v>0.45098695215791235</v>
      </c>
      <c r="H1261" s="5">
        <v>4.3205128205128203</v>
      </c>
      <c r="I1261" s="2">
        <v>312</v>
      </c>
      <c r="J1261" s="12">
        <f>I1261/Pondération!$G$82</f>
        <v>0.10438273670123788</v>
      </c>
    </row>
    <row r="1262" spans="1:10" x14ac:dyDescent="0.25">
      <c r="A1262" s="2" t="s">
        <v>77</v>
      </c>
      <c r="B1262" s="2">
        <v>2016</v>
      </c>
      <c r="C1262" s="2" t="s">
        <v>27</v>
      </c>
      <c r="D1262" s="2" t="s">
        <v>40</v>
      </c>
      <c r="E1262" s="2" t="s">
        <v>78</v>
      </c>
      <c r="F1262" s="2" t="s">
        <v>79</v>
      </c>
      <c r="G1262" s="2">
        <f t="shared" si="19"/>
        <v>0.35731013716962196</v>
      </c>
      <c r="H1262" s="5">
        <v>4.306451612903226</v>
      </c>
      <c r="I1262" s="2">
        <v>248</v>
      </c>
      <c r="J1262" s="12">
        <f>I1262/Pondération!$G$82</f>
        <v>8.2970893275342919E-2</v>
      </c>
    </row>
    <row r="1263" spans="1:10" x14ac:dyDescent="0.25">
      <c r="A1263" s="2" t="s">
        <v>77</v>
      </c>
      <c r="B1263" s="2">
        <v>2016</v>
      </c>
      <c r="C1263" s="2" t="s">
        <v>28</v>
      </c>
      <c r="D1263" s="2" t="s">
        <v>40</v>
      </c>
      <c r="E1263" s="2" t="s">
        <v>78</v>
      </c>
      <c r="F1263" s="2" t="s">
        <v>79</v>
      </c>
      <c r="G1263" s="2">
        <f t="shared" si="19"/>
        <v>0.29842756774841078</v>
      </c>
      <c r="H1263" s="5">
        <v>4.2884615384615383</v>
      </c>
      <c r="I1263" s="2">
        <v>208</v>
      </c>
      <c r="J1263" s="12">
        <f>I1263/Pondération!$G$82</f>
        <v>6.9588491134158575E-2</v>
      </c>
    </row>
    <row r="1264" spans="1:10" x14ac:dyDescent="0.25">
      <c r="A1264" s="2" t="s">
        <v>77</v>
      </c>
      <c r="B1264" s="2">
        <v>2016</v>
      </c>
      <c r="C1264" s="2" t="s">
        <v>29</v>
      </c>
      <c r="D1264" s="2" t="s">
        <v>40</v>
      </c>
      <c r="E1264" s="2" t="s">
        <v>78</v>
      </c>
      <c r="F1264" s="2" t="s">
        <v>79</v>
      </c>
      <c r="G1264" s="2">
        <f t="shared" si="19"/>
        <v>0.13884242221478757</v>
      </c>
      <c r="H1264" s="5">
        <v>4.2783505154639174</v>
      </c>
      <c r="I1264" s="2">
        <v>97</v>
      </c>
      <c r="J1264" s="12">
        <f>I1264/Pondération!$G$82</f>
        <v>3.2452325192372032E-2</v>
      </c>
    </row>
    <row r="1265" spans="1:10" x14ac:dyDescent="0.25">
      <c r="A1265" s="2" t="s">
        <v>77</v>
      </c>
      <c r="B1265" s="2">
        <v>2017</v>
      </c>
      <c r="C1265" s="2" t="s">
        <v>30</v>
      </c>
      <c r="D1265" s="2" t="s">
        <v>40</v>
      </c>
      <c r="E1265" s="2" t="s">
        <v>78</v>
      </c>
      <c r="F1265" s="2" t="s">
        <v>79</v>
      </c>
      <c r="G1265" s="2">
        <f t="shared" si="19"/>
        <v>0.38592657342657344</v>
      </c>
      <c r="H1265" s="5">
        <v>4.3284313725490193</v>
      </c>
      <c r="I1265" s="2">
        <v>102</v>
      </c>
      <c r="J1265" s="12">
        <f>I1265/Pondération!$F$82</f>
        <v>8.9160839160839167E-2</v>
      </c>
    </row>
    <row r="1266" spans="1:10" x14ac:dyDescent="0.25">
      <c r="A1266" s="2" t="s">
        <v>77</v>
      </c>
      <c r="B1266" s="2">
        <v>2017</v>
      </c>
      <c r="C1266" s="2" t="s">
        <v>31</v>
      </c>
      <c r="D1266" s="2" t="s">
        <v>40</v>
      </c>
      <c r="E1266" s="2" t="s">
        <v>78</v>
      </c>
      <c r="F1266" s="2" t="s">
        <v>79</v>
      </c>
      <c r="G1266" s="2">
        <f t="shared" si="19"/>
        <v>0.41346153846153844</v>
      </c>
      <c r="H1266" s="5">
        <v>4.1858407079646014</v>
      </c>
      <c r="I1266" s="2">
        <v>113</v>
      </c>
      <c r="J1266" s="12">
        <f>I1266/Pondération!$F$82</f>
        <v>9.8776223776223776E-2</v>
      </c>
    </row>
    <row r="1267" spans="1:10" x14ac:dyDescent="0.25">
      <c r="A1267" s="2" t="s">
        <v>77</v>
      </c>
      <c r="B1267" s="2">
        <v>2017</v>
      </c>
      <c r="C1267" s="2" t="s">
        <v>32</v>
      </c>
      <c r="D1267" s="2" t="s">
        <v>40</v>
      </c>
      <c r="E1267" s="2" t="s">
        <v>78</v>
      </c>
      <c r="F1267" s="2" t="s">
        <v>79</v>
      </c>
      <c r="G1267" s="2">
        <f t="shared" si="19"/>
        <v>0.52797202797202802</v>
      </c>
      <c r="H1267" s="5">
        <v>4.2836879432624118</v>
      </c>
      <c r="I1267" s="2">
        <v>141</v>
      </c>
      <c r="J1267" s="12">
        <f>I1267/Pondération!$F$82</f>
        <v>0.12325174825174826</v>
      </c>
    </row>
    <row r="1268" spans="1:10" x14ac:dyDescent="0.25">
      <c r="A1268" s="2" t="s">
        <v>77</v>
      </c>
      <c r="B1268" s="2">
        <v>2017</v>
      </c>
      <c r="C1268" s="2" t="s">
        <v>33</v>
      </c>
      <c r="D1268" s="2" t="s">
        <v>40</v>
      </c>
      <c r="E1268" s="2" t="s">
        <v>78</v>
      </c>
      <c r="F1268" s="2" t="s">
        <v>79</v>
      </c>
      <c r="G1268" s="2">
        <f t="shared" si="19"/>
        <v>1.1577797202797204</v>
      </c>
      <c r="H1268" s="5">
        <v>4.3569078947368425</v>
      </c>
      <c r="I1268" s="2">
        <v>304</v>
      </c>
      <c r="J1268" s="12">
        <f>I1268/Pondération!$F$82</f>
        <v>0.26573426573426573</v>
      </c>
    </row>
    <row r="1269" spans="1:10" x14ac:dyDescent="0.25">
      <c r="A1269" s="2" t="s">
        <v>77</v>
      </c>
      <c r="B1269" s="2">
        <v>2017</v>
      </c>
      <c r="C1269" s="2" t="s">
        <v>34</v>
      </c>
      <c r="D1269" s="2" t="s">
        <v>40</v>
      </c>
      <c r="E1269" s="2" t="s">
        <v>78</v>
      </c>
      <c r="F1269" s="2" t="s">
        <v>79</v>
      </c>
      <c r="G1269" s="2">
        <f t="shared" si="19"/>
        <v>1.2006118881118881</v>
      </c>
      <c r="H1269" s="5">
        <v>4.3465189873417724</v>
      </c>
      <c r="I1269" s="2">
        <v>316</v>
      </c>
      <c r="J1269" s="12">
        <f>I1269/Pondération!$F$82</f>
        <v>0.2762237762237762</v>
      </c>
    </row>
    <row r="1270" spans="1:10" x14ac:dyDescent="0.25">
      <c r="A1270" s="2" t="s">
        <v>77</v>
      </c>
      <c r="B1270" s="2">
        <v>2017</v>
      </c>
      <c r="C1270" s="2" t="s">
        <v>80</v>
      </c>
      <c r="D1270" s="2" t="s">
        <v>40</v>
      </c>
      <c r="E1270" s="2" t="s">
        <v>78</v>
      </c>
      <c r="F1270" s="2" t="s">
        <v>79</v>
      </c>
      <c r="G1270" s="2">
        <f t="shared" si="19"/>
        <v>0.64117132867132864</v>
      </c>
      <c r="H1270" s="5">
        <v>4.3660714285714288</v>
      </c>
      <c r="I1270" s="2">
        <v>168</v>
      </c>
      <c r="J1270" s="12">
        <f>I1270/Pondération!$F$82</f>
        <v>0.14685314685314685</v>
      </c>
    </row>
    <row r="1271" spans="1:10" x14ac:dyDescent="0.25">
      <c r="A1271" s="2" t="s">
        <v>77</v>
      </c>
      <c r="B1271" s="2">
        <v>2013</v>
      </c>
      <c r="C1271" s="2" t="s">
        <v>49</v>
      </c>
      <c r="D1271" s="2" t="s">
        <v>40</v>
      </c>
      <c r="E1271" s="2" t="s">
        <v>78</v>
      </c>
      <c r="F1271" s="2" t="s">
        <v>81</v>
      </c>
      <c r="G1271" s="2">
        <f t="shared" si="19"/>
        <v>0.18248175182481755</v>
      </c>
      <c r="H1271" s="5">
        <v>4.166666666666667</v>
      </c>
      <c r="I1271" s="2">
        <v>6</v>
      </c>
      <c r="J1271" s="12">
        <f>I1271/Pondération!$J$83</f>
        <v>4.3795620437956206E-2</v>
      </c>
    </row>
    <row r="1272" spans="1:10" x14ac:dyDescent="0.25">
      <c r="A1272" s="2" t="s">
        <v>77</v>
      </c>
      <c r="B1272" s="2">
        <v>2013</v>
      </c>
      <c r="C1272" s="2" t="s">
        <v>50</v>
      </c>
      <c r="D1272" s="2" t="s">
        <v>40</v>
      </c>
      <c r="E1272" s="2" t="s">
        <v>78</v>
      </c>
      <c r="F1272" s="2" t="s">
        <v>81</v>
      </c>
      <c r="G1272" s="2">
        <f t="shared" si="19"/>
        <v>0.17883211678832117</v>
      </c>
      <c r="H1272" s="5">
        <v>4.9000000000000004</v>
      </c>
      <c r="I1272" s="2">
        <v>5</v>
      </c>
      <c r="J1272" s="12">
        <f>I1272/Pondération!$J$83</f>
        <v>3.6496350364963501E-2</v>
      </c>
    </row>
    <row r="1273" spans="1:10" x14ac:dyDescent="0.25">
      <c r="A1273" s="2" t="s">
        <v>77</v>
      </c>
      <c r="B1273" s="2">
        <v>2013</v>
      </c>
      <c r="C1273" s="2" t="s">
        <v>51</v>
      </c>
      <c r="D1273" s="2" t="s">
        <v>40</v>
      </c>
      <c r="E1273" s="2" t="s">
        <v>78</v>
      </c>
      <c r="F1273" s="2" t="s">
        <v>81</v>
      </c>
      <c r="G1273" s="2">
        <f t="shared" si="19"/>
        <v>0.17883211678832117</v>
      </c>
      <c r="H1273" s="5">
        <v>4.9000000000000004</v>
      </c>
      <c r="I1273" s="2">
        <v>5</v>
      </c>
      <c r="J1273" s="12">
        <f>I1273/Pondération!$J$83</f>
        <v>3.6496350364963501E-2</v>
      </c>
    </row>
    <row r="1274" spans="1:10" x14ac:dyDescent="0.25">
      <c r="A1274" s="2" t="s">
        <v>77</v>
      </c>
      <c r="B1274" s="2">
        <v>2013</v>
      </c>
      <c r="C1274" s="2" t="s">
        <v>52</v>
      </c>
      <c r="D1274" s="2" t="s">
        <v>40</v>
      </c>
      <c r="E1274" s="2" t="s">
        <v>78</v>
      </c>
      <c r="F1274" s="2" t="s">
        <v>81</v>
      </c>
      <c r="G1274" s="2">
        <f t="shared" si="19"/>
        <v>0.28467153284671531</v>
      </c>
      <c r="H1274" s="5">
        <v>4.875</v>
      </c>
      <c r="I1274" s="2">
        <v>8</v>
      </c>
      <c r="J1274" s="12">
        <f>I1274/Pondération!$J$83</f>
        <v>5.8394160583941604E-2</v>
      </c>
    </row>
    <row r="1275" spans="1:10" x14ac:dyDescent="0.25">
      <c r="A1275" s="2" t="s">
        <v>77</v>
      </c>
      <c r="B1275" s="2">
        <v>2013</v>
      </c>
      <c r="C1275" s="2" t="s">
        <v>53</v>
      </c>
      <c r="D1275" s="2" t="s">
        <v>40</v>
      </c>
      <c r="E1275" s="2" t="s">
        <v>78</v>
      </c>
      <c r="F1275" s="2" t="s">
        <v>81</v>
      </c>
      <c r="G1275" s="2">
        <f t="shared" si="19"/>
        <v>0.97810218978102192</v>
      </c>
      <c r="H1275" s="5">
        <v>4.9629629629629628</v>
      </c>
      <c r="I1275" s="2">
        <v>27</v>
      </c>
      <c r="J1275" s="12">
        <f>I1275/Pondération!$J$83</f>
        <v>0.19708029197080293</v>
      </c>
    </row>
    <row r="1276" spans="1:10" x14ac:dyDescent="0.25">
      <c r="A1276" s="2" t="s">
        <v>77</v>
      </c>
      <c r="B1276" s="2">
        <v>2013</v>
      </c>
      <c r="C1276" s="2" t="s">
        <v>54</v>
      </c>
      <c r="D1276" s="2" t="s">
        <v>40</v>
      </c>
      <c r="E1276" s="2" t="s">
        <v>78</v>
      </c>
      <c r="F1276" s="2" t="s">
        <v>81</v>
      </c>
      <c r="G1276" s="2">
        <f t="shared" si="19"/>
        <v>0.32116788321167888</v>
      </c>
      <c r="H1276" s="5">
        <v>4.8888888888888893</v>
      </c>
      <c r="I1276" s="2">
        <v>9</v>
      </c>
      <c r="J1276" s="12">
        <f>I1276/Pondération!$J$83</f>
        <v>6.569343065693431E-2</v>
      </c>
    </row>
    <row r="1277" spans="1:10" x14ac:dyDescent="0.25">
      <c r="A1277" s="2" t="s">
        <v>77</v>
      </c>
      <c r="B1277" s="2">
        <v>2013</v>
      </c>
      <c r="C1277" s="2" t="s">
        <v>55</v>
      </c>
      <c r="D1277" s="2" t="s">
        <v>40</v>
      </c>
      <c r="E1277" s="2" t="s">
        <v>78</v>
      </c>
      <c r="F1277" s="2" t="s">
        <v>81</v>
      </c>
      <c r="G1277" s="2">
        <f t="shared" si="19"/>
        <v>0.22262773722627735</v>
      </c>
      <c r="H1277" s="5">
        <v>4.3571428571428568</v>
      </c>
      <c r="I1277" s="2">
        <v>7</v>
      </c>
      <c r="J1277" s="12">
        <f>I1277/Pondération!$J$83</f>
        <v>5.1094890510948905E-2</v>
      </c>
    </row>
    <row r="1278" spans="1:10" x14ac:dyDescent="0.25">
      <c r="A1278" s="2" t="s">
        <v>77</v>
      </c>
      <c r="B1278" s="2">
        <v>2013</v>
      </c>
      <c r="C1278" s="2" t="s">
        <v>56</v>
      </c>
      <c r="D1278" s="2" t="s">
        <v>40</v>
      </c>
      <c r="E1278" s="2" t="s">
        <v>78</v>
      </c>
      <c r="F1278" s="2" t="s">
        <v>81</v>
      </c>
      <c r="G1278" s="2">
        <f t="shared" si="19"/>
        <v>0.80291970802919721</v>
      </c>
      <c r="H1278" s="5">
        <v>4.0740740740740744</v>
      </c>
      <c r="I1278" s="2">
        <v>27</v>
      </c>
      <c r="J1278" s="12">
        <f>I1278/Pondération!$J$83</f>
        <v>0.19708029197080293</v>
      </c>
    </row>
    <row r="1279" spans="1:10" x14ac:dyDescent="0.25">
      <c r="A1279" s="2" t="s">
        <v>77</v>
      </c>
      <c r="B1279" s="2">
        <v>2013</v>
      </c>
      <c r="C1279" s="2" t="s">
        <v>57</v>
      </c>
      <c r="D1279" s="2" t="s">
        <v>40</v>
      </c>
      <c r="E1279" s="2" t="s">
        <v>78</v>
      </c>
      <c r="F1279" s="2" t="s">
        <v>81</v>
      </c>
      <c r="G1279" s="2">
        <f t="shared" si="19"/>
        <v>0.22627737226277372</v>
      </c>
      <c r="H1279" s="5">
        <v>4.4285714285714288</v>
      </c>
      <c r="I1279" s="2">
        <v>7</v>
      </c>
      <c r="J1279" s="12">
        <f>I1279/Pondération!$J$83</f>
        <v>5.1094890510948905E-2</v>
      </c>
    </row>
    <row r="1280" spans="1:10" x14ac:dyDescent="0.25">
      <c r="A1280" s="2" t="s">
        <v>77</v>
      </c>
      <c r="B1280" s="2">
        <v>2013</v>
      </c>
      <c r="C1280" s="2" t="s">
        <v>58</v>
      </c>
      <c r="D1280" s="2" t="s">
        <v>40</v>
      </c>
      <c r="E1280" s="2" t="s">
        <v>78</v>
      </c>
      <c r="F1280" s="2" t="s">
        <v>81</v>
      </c>
      <c r="G1280" s="2">
        <f t="shared" si="19"/>
        <v>0.3029197080291971</v>
      </c>
      <c r="H1280" s="5">
        <v>3.7727272727272729</v>
      </c>
      <c r="I1280" s="2">
        <v>11</v>
      </c>
      <c r="J1280" s="12">
        <f>I1280/Pondération!$J$83</f>
        <v>8.0291970802919707E-2</v>
      </c>
    </row>
    <row r="1281" spans="1:10" x14ac:dyDescent="0.25">
      <c r="A1281" s="2" t="s">
        <v>77</v>
      </c>
      <c r="B1281" s="2">
        <v>2013</v>
      </c>
      <c r="C1281" s="2" t="s">
        <v>59</v>
      </c>
      <c r="D1281" s="2" t="s">
        <v>40</v>
      </c>
      <c r="E1281" s="2" t="s">
        <v>78</v>
      </c>
      <c r="F1281" s="2" t="s">
        <v>81</v>
      </c>
      <c r="G1281" s="2">
        <f t="shared" si="19"/>
        <v>0.48175182481751827</v>
      </c>
      <c r="H1281" s="5">
        <v>3.8823529411764706</v>
      </c>
      <c r="I1281" s="2">
        <v>17</v>
      </c>
      <c r="J1281" s="12">
        <f>I1281/Pondération!$J$83</f>
        <v>0.12408759124087591</v>
      </c>
    </row>
    <row r="1282" spans="1:10" x14ac:dyDescent="0.25">
      <c r="A1282" s="2" t="s">
        <v>77</v>
      </c>
      <c r="B1282" s="2">
        <v>2013</v>
      </c>
      <c r="C1282" s="2" t="s">
        <v>60</v>
      </c>
      <c r="D1282" s="2" t="s">
        <v>40</v>
      </c>
      <c r="E1282" s="2" t="s">
        <v>78</v>
      </c>
      <c r="F1282" s="2" t="s">
        <v>81</v>
      </c>
      <c r="G1282" s="2">
        <f t="shared" ref="G1282:G1345" si="20">H1282*J1282</f>
        <v>0.25182481751824815</v>
      </c>
      <c r="H1282" s="5">
        <v>4.3125</v>
      </c>
      <c r="I1282" s="2">
        <v>8</v>
      </c>
      <c r="J1282" s="12">
        <f>I1282/Pondération!$J$83</f>
        <v>5.8394160583941604E-2</v>
      </c>
    </row>
    <row r="1283" spans="1:10" x14ac:dyDescent="0.25">
      <c r="A1283" s="2" t="s">
        <v>77</v>
      </c>
      <c r="B1283" s="2">
        <v>2014</v>
      </c>
      <c r="C1283" s="2" t="s">
        <v>61</v>
      </c>
      <c r="D1283" s="2" t="s">
        <v>40</v>
      </c>
      <c r="E1283" s="2" t="s">
        <v>78</v>
      </c>
      <c r="F1283" s="2" t="s">
        <v>81</v>
      </c>
      <c r="G1283" s="2">
        <f t="shared" si="20"/>
        <v>0.16332378223495705</v>
      </c>
      <c r="H1283" s="5">
        <v>4.384615384615385</v>
      </c>
      <c r="I1283" s="2">
        <v>13</v>
      </c>
      <c r="J1283" s="12">
        <f>I1283/Pondération!$I$83</f>
        <v>3.7249283667621778E-2</v>
      </c>
    </row>
    <row r="1284" spans="1:10" x14ac:dyDescent="0.25">
      <c r="A1284" s="2" t="s">
        <v>77</v>
      </c>
      <c r="B1284" s="2">
        <v>2014</v>
      </c>
      <c r="C1284" s="2" t="s">
        <v>62</v>
      </c>
      <c r="D1284" s="2" t="s">
        <v>40</v>
      </c>
      <c r="E1284" s="2" t="s">
        <v>78</v>
      </c>
      <c r="F1284" s="2" t="s">
        <v>81</v>
      </c>
      <c r="G1284" s="2">
        <f t="shared" si="20"/>
        <v>0.15616045845272208</v>
      </c>
      <c r="H1284" s="5">
        <v>3.8928571428571428</v>
      </c>
      <c r="I1284" s="2">
        <v>14</v>
      </c>
      <c r="J1284" s="12">
        <f>I1284/Pondération!$I$83</f>
        <v>4.0114613180515762E-2</v>
      </c>
    </row>
    <row r="1285" spans="1:10" x14ac:dyDescent="0.25">
      <c r="A1285" s="2" t="s">
        <v>77</v>
      </c>
      <c r="B1285" s="2">
        <v>2014</v>
      </c>
      <c r="C1285" s="2" t="s">
        <v>63</v>
      </c>
      <c r="D1285" s="2" t="s">
        <v>40</v>
      </c>
      <c r="E1285" s="2" t="s">
        <v>78</v>
      </c>
      <c r="F1285" s="2" t="s">
        <v>81</v>
      </c>
      <c r="G1285" s="2">
        <f t="shared" si="20"/>
        <v>0.30945558739255014</v>
      </c>
      <c r="H1285" s="5">
        <v>4.5</v>
      </c>
      <c r="I1285" s="2">
        <v>24</v>
      </c>
      <c r="J1285" s="12">
        <f>I1285/Pondération!$I$83</f>
        <v>6.8767908309455589E-2</v>
      </c>
    </row>
    <row r="1286" spans="1:10" x14ac:dyDescent="0.25">
      <c r="A1286" s="2" t="s">
        <v>77</v>
      </c>
      <c r="B1286" s="2">
        <v>2014</v>
      </c>
      <c r="C1286" s="2" t="s">
        <v>64</v>
      </c>
      <c r="D1286" s="2" t="s">
        <v>40</v>
      </c>
      <c r="E1286" s="2" t="s">
        <v>78</v>
      </c>
      <c r="F1286" s="2" t="s">
        <v>81</v>
      </c>
      <c r="G1286" s="2">
        <f t="shared" si="20"/>
        <v>0.23495702005730659</v>
      </c>
      <c r="H1286" s="5">
        <v>4.5555555555555554</v>
      </c>
      <c r="I1286" s="2">
        <v>18</v>
      </c>
      <c r="J1286" s="12">
        <f>I1286/Pondération!$I$83</f>
        <v>5.1575931232091692E-2</v>
      </c>
    </row>
    <row r="1287" spans="1:10" x14ac:dyDescent="0.25">
      <c r="A1287" s="2" t="s">
        <v>77</v>
      </c>
      <c r="B1287" s="2">
        <v>2014</v>
      </c>
      <c r="C1287" s="2" t="s">
        <v>65</v>
      </c>
      <c r="D1287" s="2" t="s">
        <v>40</v>
      </c>
      <c r="E1287" s="2" t="s">
        <v>78</v>
      </c>
      <c r="F1287" s="2" t="s">
        <v>81</v>
      </c>
      <c r="G1287" s="2">
        <f t="shared" si="20"/>
        <v>0.24498567335243551</v>
      </c>
      <c r="H1287" s="5">
        <v>4.0714285714285712</v>
      </c>
      <c r="I1287" s="2">
        <v>21</v>
      </c>
      <c r="J1287" s="12">
        <f>I1287/Pondération!$I$83</f>
        <v>6.0171919770773637E-2</v>
      </c>
    </row>
    <row r="1288" spans="1:10" x14ac:dyDescent="0.25">
      <c r="A1288" s="2" t="s">
        <v>77</v>
      </c>
      <c r="B1288" s="2">
        <v>2014</v>
      </c>
      <c r="C1288" s="2" t="s">
        <v>66</v>
      </c>
      <c r="D1288" s="2" t="s">
        <v>40</v>
      </c>
      <c r="E1288" s="2" t="s">
        <v>78</v>
      </c>
      <c r="F1288" s="2" t="s">
        <v>81</v>
      </c>
      <c r="G1288" s="2">
        <f t="shared" si="20"/>
        <v>0.21919770773638969</v>
      </c>
      <c r="H1288" s="5">
        <v>4.25</v>
      </c>
      <c r="I1288" s="2">
        <v>18</v>
      </c>
      <c r="J1288" s="12">
        <f>I1288/Pondération!$I$83</f>
        <v>5.1575931232091692E-2</v>
      </c>
    </row>
    <row r="1289" spans="1:10" x14ac:dyDescent="0.25">
      <c r="A1289" s="2" t="s">
        <v>77</v>
      </c>
      <c r="B1289" s="2">
        <v>2014</v>
      </c>
      <c r="C1289" s="2" t="s">
        <v>67</v>
      </c>
      <c r="D1289" s="2" t="s">
        <v>40</v>
      </c>
      <c r="E1289" s="2" t="s">
        <v>78</v>
      </c>
      <c r="F1289" s="2" t="s">
        <v>81</v>
      </c>
      <c r="G1289" s="2">
        <f t="shared" si="20"/>
        <v>0.27077363896848139</v>
      </c>
      <c r="H1289" s="5">
        <v>4.2954545454545459</v>
      </c>
      <c r="I1289" s="2">
        <v>22</v>
      </c>
      <c r="J1289" s="12">
        <f>I1289/Pondération!$I$83</f>
        <v>6.3037249283667621E-2</v>
      </c>
    </row>
    <row r="1290" spans="1:10" x14ac:dyDescent="0.25">
      <c r="A1290" s="2" t="s">
        <v>77</v>
      </c>
      <c r="B1290" s="2">
        <v>2014</v>
      </c>
      <c r="C1290" s="2" t="s">
        <v>68</v>
      </c>
      <c r="D1290" s="2" t="s">
        <v>40</v>
      </c>
      <c r="E1290" s="2" t="s">
        <v>78</v>
      </c>
      <c r="F1290" s="2" t="s">
        <v>81</v>
      </c>
      <c r="G1290" s="2">
        <f t="shared" si="20"/>
        <v>0.75214899713467043</v>
      </c>
      <c r="H1290" s="5">
        <v>4.375</v>
      </c>
      <c r="I1290" s="2">
        <v>60</v>
      </c>
      <c r="J1290" s="12">
        <f>I1290/Pondération!$I$83</f>
        <v>0.17191977077363896</v>
      </c>
    </row>
    <row r="1291" spans="1:10" x14ac:dyDescent="0.25">
      <c r="A1291" s="2" t="s">
        <v>77</v>
      </c>
      <c r="B1291" s="2">
        <v>2014</v>
      </c>
      <c r="C1291" s="2" t="s">
        <v>69</v>
      </c>
      <c r="D1291" s="2" t="s">
        <v>40</v>
      </c>
      <c r="E1291" s="2" t="s">
        <v>78</v>
      </c>
      <c r="F1291" s="2" t="s">
        <v>81</v>
      </c>
      <c r="G1291" s="2">
        <f t="shared" si="20"/>
        <v>0.38825214899713467</v>
      </c>
      <c r="H1291" s="5">
        <v>4.234375</v>
      </c>
      <c r="I1291" s="2">
        <v>32</v>
      </c>
      <c r="J1291" s="12">
        <f>I1291/Pondération!$I$83</f>
        <v>9.1690544412607447E-2</v>
      </c>
    </row>
    <row r="1292" spans="1:10" x14ac:dyDescent="0.25">
      <c r="A1292" s="2" t="s">
        <v>77</v>
      </c>
      <c r="B1292" s="2">
        <v>2014</v>
      </c>
      <c r="C1292" s="2" t="s">
        <v>70</v>
      </c>
      <c r="D1292" s="2" t="s">
        <v>40</v>
      </c>
      <c r="E1292" s="2" t="s">
        <v>78</v>
      </c>
      <c r="F1292" s="2" t="s">
        <v>81</v>
      </c>
      <c r="G1292" s="2">
        <f t="shared" si="20"/>
        <v>0.39111747851002865</v>
      </c>
      <c r="H1292" s="5">
        <v>4.265625</v>
      </c>
      <c r="I1292" s="2">
        <v>32</v>
      </c>
      <c r="J1292" s="12">
        <f>I1292/Pondération!$I$83</f>
        <v>9.1690544412607447E-2</v>
      </c>
    </row>
    <row r="1293" spans="1:10" x14ac:dyDescent="0.25">
      <c r="A1293" s="2" t="s">
        <v>77</v>
      </c>
      <c r="B1293" s="2">
        <v>2014</v>
      </c>
      <c r="C1293" s="2" t="s">
        <v>71</v>
      </c>
      <c r="D1293" s="2" t="s">
        <v>40</v>
      </c>
      <c r="E1293" s="2" t="s">
        <v>78</v>
      </c>
      <c r="F1293" s="2" t="s">
        <v>81</v>
      </c>
      <c r="G1293" s="2">
        <f t="shared" si="20"/>
        <v>0.6547277936962751</v>
      </c>
      <c r="H1293" s="5">
        <v>4.3942307692307692</v>
      </c>
      <c r="I1293" s="2">
        <v>52</v>
      </c>
      <c r="J1293" s="12">
        <f>I1293/Pondération!$I$83</f>
        <v>0.14899713467048711</v>
      </c>
    </row>
    <row r="1294" spans="1:10" x14ac:dyDescent="0.25">
      <c r="A1294" s="2" t="s">
        <v>77</v>
      </c>
      <c r="B1294" s="2">
        <v>2014</v>
      </c>
      <c r="C1294" s="2" t="s">
        <v>72</v>
      </c>
      <c r="D1294" s="2" t="s">
        <v>40</v>
      </c>
      <c r="E1294" s="2" t="s">
        <v>78</v>
      </c>
      <c r="F1294" s="2" t="s">
        <v>81</v>
      </c>
      <c r="G1294" s="2">
        <f t="shared" si="20"/>
        <v>0.55873925501432664</v>
      </c>
      <c r="H1294" s="5">
        <v>4.5348837209302326</v>
      </c>
      <c r="I1294" s="2">
        <v>43</v>
      </c>
      <c r="J1294" s="12">
        <f>I1294/Pondération!$I$83</f>
        <v>0.12320916905444126</v>
      </c>
    </row>
    <row r="1295" spans="1:10" x14ac:dyDescent="0.25">
      <c r="A1295" s="2" t="s">
        <v>77</v>
      </c>
      <c r="B1295" s="2">
        <v>2015</v>
      </c>
      <c r="C1295" s="2" t="s">
        <v>73</v>
      </c>
      <c r="D1295" s="2" t="s">
        <v>40</v>
      </c>
      <c r="E1295" s="2" t="s">
        <v>78</v>
      </c>
      <c r="F1295" s="2" t="s">
        <v>81</v>
      </c>
      <c r="G1295" s="2">
        <f t="shared" si="20"/>
        <v>0.16350710900473936</v>
      </c>
      <c r="H1295" s="5">
        <v>4.4230769230769234</v>
      </c>
      <c r="I1295" s="2">
        <v>39</v>
      </c>
      <c r="J1295" s="12">
        <f>I1295/Pondération!$H$83</f>
        <v>3.6966824644549763E-2</v>
      </c>
    </row>
    <row r="1296" spans="1:10" x14ac:dyDescent="0.25">
      <c r="A1296" s="2" t="s">
        <v>77</v>
      </c>
      <c r="B1296" s="2">
        <v>2015</v>
      </c>
      <c r="C1296" s="2" t="s">
        <v>74</v>
      </c>
      <c r="D1296" s="2" t="s">
        <v>40</v>
      </c>
      <c r="E1296" s="2" t="s">
        <v>78</v>
      </c>
      <c r="F1296" s="2" t="s">
        <v>81</v>
      </c>
      <c r="G1296" s="2">
        <f t="shared" si="20"/>
        <v>0.1834123222748815</v>
      </c>
      <c r="H1296" s="5">
        <v>4.2065217391304346</v>
      </c>
      <c r="I1296" s="2">
        <v>46</v>
      </c>
      <c r="J1296" s="12">
        <f>I1296/Pondération!$H$83</f>
        <v>4.3601895734597156E-2</v>
      </c>
    </row>
    <row r="1297" spans="1:10" x14ac:dyDescent="0.25">
      <c r="A1297" s="2" t="s">
        <v>77</v>
      </c>
      <c r="B1297" s="2">
        <v>2015</v>
      </c>
      <c r="C1297" s="2" t="s">
        <v>75</v>
      </c>
      <c r="D1297" s="2" t="s">
        <v>40</v>
      </c>
      <c r="E1297" s="2" t="s">
        <v>78</v>
      </c>
      <c r="F1297" s="2" t="s">
        <v>81</v>
      </c>
      <c r="G1297" s="2">
        <f t="shared" si="20"/>
        <v>0.20426540284360187</v>
      </c>
      <c r="H1297" s="5">
        <v>4.3099999999999996</v>
      </c>
      <c r="I1297" s="2">
        <v>50</v>
      </c>
      <c r="J1297" s="12">
        <f>I1297/Pondération!$H$83</f>
        <v>4.7393364928909949E-2</v>
      </c>
    </row>
    <row r="1298" spans="1:10" x14ac:dyDescent="0.25">
      <c r="A1298" s="2" t="s">
        <v>77</v>
      </c>
      <c r="B1298" s="2">
        <v>2015</v>
      </c>
      <c r="C1298" s="2" t="s">
        <v>76</v>
      </c>
      <c r="D1298" s="2" t="s">
        <v>40</v>
      </c>
      <c r="E1298" s="2" t="s">
        <v>78</v>
      </c>
      <c r="F1298" s="2" t="s">
        <v>81</v>
      </c>
      <c r="G1298" s="2">
        <f t="shared" si="20"/>
        <v>0.19810426540284359</v>
      </c>
      <c r="H1298" s="5">
        <v>4.4468085106382977</v>
      </c>
      <c r="I1298" s="2">
        <v>47</v>
      </c>
      <c r="J1298" s="12">
        <f>I1298/Pondération!$H$83</f>
        <v>4.4549763033175357E-2</v>
      </c>
    </row>
    <row r="1299" spans="1:10" x14ac:dyDescent="0.25">
      <c r="A1299" s="2" t="s">
        <v>77</v>
      </c>
      <c r="B1299" s="2">
        <v>2015</v>
      </c>
      <c r="C1299" s="2" t="s">
        <v>7</v>
      </c>
      <c r="D1299" s="2" t="s">
        <v>40</v>
      </c>
      <c r="E1299" s="2" t="s">
        <v>78</v>
      </c>
      <c r="F1299" s="2" t="s">
        <v>81</v>
      </c>
      <c r="G1299" s="2">
        <f t="shared" si="20"/>
        <v>0.31469194312796206</v>
      </c>
      <c r="H1299" s="5">
        <v>4.2564102564102564</v>
      </c>
      <c r="I1299" s="2">
        <v>78</v>
      </c>
      <c r="J1299" s="12">
        <f>I1299/Pondération!$H$83</f>
        <v>7.3933649289099526E-2</v>
      </c>
    </row>
    <row r="1300" spans="1:10" x14ac:dyDescent="0.25">
      <c r="A1300" s="2" t="s">
        <v>77</v>
      </c>
      <c r="B1300" s="2">
        <v>2015</v>
      </c>
      <c r="C1300" s="2" t="s">
        <v>11</v>
      </c>
      <c r="D1300" s="2" t="s">
        <v>40</v>
      </c>
      <c r="E1300" s="2" t="s">
        <v>78</v>
      </c>
      <c r="F1300" s="2" t="s">
        <v>81</v>
      </c>
      <c r="G1300" s="2">
        <f t="shared" si="20"/>
        <v>0.21090047393364927</v>
      </c>
      <c r="H1300" s="5">
        <v>4.3627450980392153</v>
      </c>
      <c r="I1300" s="2">
        <v>51</v>
      </c>
      <c r="J1300" s="12">
        <f>I1300/Pondération!$H$83</f>
        <v>4.8341232227488151E-2</v>
      </c>
    </row>
    <row r="1301" spans="1:10" x14ac:dyDescent="0.25">
      <c r="A1301" s="2" t="s">
        <v>77</v>
      </c>
      <c r="B1301" s="2">
        <v>2015</v>
      </c>
      <c r="C1301" s="2" t="s">
        <v>12</v>
      </c>
      <c r="D1301" s="2" t="s">
        <v>40</v>
      </c>
      <c r="E1301" s="2" t="s">
        <v>78</v>
      </c>
      <c r="F1301" s="2" t="s">
        <v>81</v>
      </c>
      <c r="G1301" s="2">
        <f t="shared" si="20"/>
        <v>0.4701421800947867</v>
      </c>
      <c r="H1301" s="5">
        <v>4.389380530973451</v>
      </c>
      <c r="I1301" s="2">
        <v>113</v>
      </c>
      <c r="J1301" s="12">
        <f>I1301/Pondération!$H$83</f>
        <v>0.10710900473933649</v>
      </c>
    </row>
    <row r="1302" spans="1:10" x14ac:dyDescent="0.25">
      <c r="A1302" s="2" t="s">
        <v>77</v>
      </c>
      <c r="B1302" s="2">
        <v>2015</v>
      </c>
      <c r="C1302" s="2" t="s">
        <v>13</v>
      </c>
      <c r="D1302" s="2" t="s">
        <v>40</v>
      </c>
      <c r="E1302" s="2" t="s">
        <v>78</v>
      </c>
      <c r="F1302" s="2" t="s">
        <v>81</v>
      </c>
      <c r="G1302" s="2">
        <f t="shared" si="20"/>
        <v>0.45165876777251185</v>
      </c>
      <c r="H1302" s="5">
        <v>4.2927927927927927</v>
      </c>
      <c r="I1302" s="2">
        <v>111</v>
      </c>
      <c r="J1302" s="12">
        <f>I1302/Pondération!$H$83</f>
        <v>0.1052132701421801</v>
      </c>
    </row>
    <row r="1303" spans="1:10" x14ac:dyDescent="0.25">
      <c r="A1303" s="2" t="s">
        <v>77</v>
      </c>
      <c r="B1303" s="2">
        <v>2015</v>
      </c>
      <c r="C1303" s="2" t="s">
        <v>14</v>
      </c>
      <c r="D1303" s="2" t="s">
        <v>40</v>
      </c>
      <c r="E1303" s="2" t="s">
        <v>78</v>
      </c>
      <c r="F1303" s="2" t="s">
        <v>81</v>
      </c>
      <c r="G1303" s="2">
        <f t="shared" si="20"/>
        <v>0.63933649289099537</v>
      </c>
      <c r="H1303" s="5">
        <v>4.6198630136986303</v>
      </c>
      <c r="I1303" s="2">
        <v>146</v>
      </c>
      <c r="J1303" s="12">
        <f>I1303/Pondération!$H$83</f>
        <v>0.13838862559241707</v>
      </c>
    </row>
    <row r="1304" spans="1:10" x14ac:dyDescent="0.25">
      <c r="A1304" s="2" t="s">
        <v>77</v>
      </c>
      <c r="B1304" s="2">
        <v>2015</v>
      </c>
      <c r="C1304" s="2" t="s">
        <v>15</v>
      </c>
      <c r="D1304" s="2" t="s">
        <v>40</v>
      </c>
      <c r="E1304" s="2" t="s">
        <v>78</v>
      </c>
      <c r="F1304" s="2" t="s">
        <v>81</v>
      </c>
      <c r="G1304" s="2">
        <f t="shared" si="20"/>
        <v>0.4270142180094787</v>
      </c>
      <c r="H1304" s="5">
        <v>4.5969387755102042</v>
      </c>
      <c r="I1304" s="2">
        <v>98</v>
      </c>
      <c r="J1304" s="12">
        <f>I1304/Pondération!$H$83</f>
        <v>9.2890995260663509E-2</v>
      </c>
    </row>
    <row r="1305" spans="1:10" x14ac:dyDescent="0.25">
      <c r="A1305" s="2" t="s">
        <v>77</v>
      </c>
      <c r="B1305" s="2">
        <v>2015</v>
      </c>
      <c r="C1305" s="2" t="s">
        <v>16</v>
      </c>
      <c r="D1305" s="2" t="s">
        <v>40</v>
      </c>
      <c r="E1305" s="2" t="s">
        <v>78</v>
      </c>
      <c r="F1305" s="2" t="s">
        <v>81</v>
      </c>
      <c r="G1305" s="2">
        <f t="shared" si="20"/>
        <v>0.57677725118483414</v>
      </c>
      <c r="H1305" s="5">
        <v>4.680769230769231</v>
      </c>
      <c r="I1305" s="2">
        <v>130</v>
      </c>
      <c r="J1305" s="12">
        <f>I1305/Pondération!$H$83</f>
        <v>0.12322274881516587</v>
      </c>
    </row>
    <row r="1306" spans="1:10" x14ac:dyDescent="0.25">
      <c r="A1306" s="2" t="s">
        <v>77</v>
      </c>
      <c r="B1306" s="2">
        <v>2015</v>
      </c>
      <c r="C1306" s="2" t="s">
        <v>17</v>
      </c>
      <c r="D1306" s="2" t="s">
        <v>40</v>
      </c>
      <c r="E1306" s="2" t="s">
        <v>78</v>
      </c>
      <c r="F1306" s="2" t="s">
        <v>81</v>
      </c>
      <c r="G1306" s="2">
        <f t="shared" si="20"/>
        <v>0.66682464454976309</v>
      </c>
      <c r="H1306" s="5">
        <v>4.8184931506849313</v>
      </c>
      <c r="I1306" s="2">
        <v>146</v>
      </c>
      <c r="J1306" s="12">
        <f>I1306/Pondération!$H$83</f>
        <v>0.13838862559241707</v>
      </c>
    </row>
    <row r="1307" spans="1:10" x14ac:dyDescent="0.25">
      <c r="A1307" s="2" t="s">
        <v>77</v>
      </c>
      <c r="B1307" s="2">
        <v>2016</v>
      </c>
      <c r="C1307" s="2" t="s">
        <v>18</v>
      </c>
      <c r="D1307" s="2" t="s">
        <v>40</v>
      </c>
      <c r="E1307" s="2" t="s">
        <v>78</v>
      </c>
      <c r="F1307" s="2" t="s">
        <v>81</v>
      </c>
      <c r="G1307" s="2">
        <f t="shared" si="20"/>
        <v>0.30387570998997665</v>
      </c>
      <c r="H1307" s="5">
        <v>4.7868421052631582</v>
      </c>
      <c r="I1307" s="2">
        <v>190</v>
      </c>
      <c r="J1307" s="12">
        <f>I1307/Pondération!$G$83</f>
        <v>6.3481456732375541E-2</v>
      </c>
    </row>
    <row r="1308" spans="1:10" x14ac:dyDescent="0.25">
      <c r="A1308" s="2" t="s">
        <v>77</v>
      </c>
      <c r="B1308" s="2">
        <v>2016</v>
      </c>
      <c r="C1308" s="2" t="s">
        <v>19</v>
      </c>
      <c r="D1308" s="2" t="s">
        <v>40</v>
      </c>
      <c r="E1308" s="2" t="s">
        <v>78</v>
      </c>
      <c r="F1308" s="2" t="s">
        <v>81</v>
      </c>
      <c r="G1308" s="2">
        <f t="shared" si="20"/>
        <v>0.34129635816906118</v>
      </c>
      <c r="H1308" s="5">
        <v>4.7073732718894012</v>
      </c>
      <c r="I1308" s="2">
        <v>217</v>
      </c>
      <c r="J1308" s="12">
        <f>I1308/Pondération!$G$83</f>
        <v>7.2502505846976276E-2</v>
      </c>
    </row>
    <row r="1309" spans="1:10" x14ac:dyDescent="0.25">
      <c r="A1309" s="2" t="s">
        <v>77</v>
      </c>
      <c r="B1309" s="2">
        <v>2016</v>
      </c>
      <c r="C1309" s="2" t="s">
        <v>20</v>
      </c>
      <c r="D1309" s="2" t="s">
        <v>40</v>
      </c>
      <c r="E1309" s="2" t="s">
        <v>78</v>
      </c>
      <c r="F1309" s="2" t="s">
        <v>81</v>
      </c>
      <c r="G1309" s="2">
        <f t="shared" si="20"/>
        <v>0.31907784831272967</v>
      </c>
      <c r="H1309" s="5">
        <v>4.7044334975369457</v>
      </c>
      <c r="I1309" s="2">
        <v>203</v>
      </c>
      <c r="J1309" s="12">
        <f>I1309/Pondération!$G$83</f>
        <v>6.782492482459071E-2</v>
      </c>
    </row>
    <row r="1310" spans="1:10" x14ac:dyDescent="0.25">
      <c r="A1310" s="2" t="s">
        <v>77</v>
      </c>
      <c r="B1310" s="2">
        <v>2016</v>
      </c>
      <c r="C1310" s="2" t="s">
        <v>21</v>
      </c>
      <c r="D1310" s="2" t="s">
        <v>40</v>
      </c>
      <c r="E1310" s="2" t="s">
        <v>78</v>
      </c>
      <c r="F1310" s="2" t="s">
        <v>81</v>
      </c>
      <c r="G1310" s="2">
        <f t="shared" si="20"/>
        <v>0.35883728700300704</v>
      </c>
      <c r="H1310" s="5">
        <v>4.6493506493506498</v>
      </c>
      <c r="I1310" s="2">
        <v>231</v>
      </c>
      <c r="J1310" s="12">
        <f>I1310/Pondération!$G$83</f>
        <v>7.7180086869361841E-2</v>
      </c>
    </row>
    <row r="1311" spans="1:10" x14ac:dyDescent="0.25">
      <c r="A1311" s="2" t="s">
        <v>77</v>
      </c>
      <c r="B1311" s="2">
        <v>2016</v>
      </c>
      <c r="C1311" s="2" t="s">
        <v>22</v>
      </c>
      <c r="D1311" s="2" t="s">
        <v>40</v>
      </c>
      <c r="E1311" s="2" t="s">
        <v>78</v>
      </c>
      <c r="F1311" s="2" t="s">
        <v>81</v>
      </c>
      <c r="G1311" s="2">
        <f t="shared" si="20"/>
        <v>0.39291680588038758</v>
      </c>
      <c r="H1311" s="5">
        <v>4.7039999999999997</v>
      </c>
      <c r="I1311" s="2">
        <v>250</v>
      </c>
      <c r="J1311" s="12">
        <f>I1311/Pondération!$G$83</f>
        <v>8.3528232542599404E-2</v>
      </c>
    </row>
    <row r="1312" spans="1:10" x14ac:dyDescent="0.25">
      <c r="A1312" s="2" t="s">
        <v>77</v>
      </c>
      <c r="B1312" s="2">
        <v>2016</v>
      </c>
      <c r="C1312" s="2" t="s">
        <v>23</v>
      </c>
      <c r="D1312" s="2" t="s">
        <v>40</v>
      </c>
      <c r="E1312" s="2" t="s">
        <v>78</v>
      </c>
      <c r="F1312" s="2" t="s">
        <v>81</v>
      </c>
      <c r="G1312" s="2">
        <f t="shared" si="20"/>
        <v>0.42298696959572335</v>
      </c>
      <c r="H1312" s="5">
        <v>4.7593984962406015</v>
      </c>
      <c r="I1312" s="2">
        <v>266</v>
      </c>
      <c r="J1312" s="12">
        <f>I1312/Pondération!$G$83</f>
        <v>8.8874039425325763E-2</v>
      </c>
    </row>
    <row r="1313" spans="1:10" x14ac:dyDescent="0.25">
      <c r="A1313" s="2" t="s">
        <v>77</v>
      </c>
      <c r="B1313" s="2">
        <v>2016</v>
      </c>
      <c r="C1313" s="2" t="s">
        <v>24</v>
      </c>
      <c r="D1313" s="2" t="s">
        <v>40</v>
      </c>
      <c r="E1313" s="2" t="s">
        <v>78</v>
      </c>
      <c r="F1313" s="2" t="s">
        <v>81</v>
      </c>
      <c r="G1313" s="2">
        <f t="shared" si="20"/>
        <v>0.41095890410958902</v>
      </c>
      <c r="H1313" s="5">
        <v>4.7126436781609193</v>
      </c>
      <c r="I1313" s="2">
        <v>261</v>
      </c>
      <c r="J1313" s="12">
        <f>I1313/Pondération!$G$83</f>
        <v>8.7203474774473766E-2</v>
      </c>
    </row>
    <row r="1314" spans="1:10" x14ac:dyDescent="0.25">
      <c r="A1314" s="2" t="s">
        <v>77</v>
      </c>
      <c r="B1314" s="2">
        <v>2016</v>
      </c>
      <c r="C1314" s="2" t="s">
        <v>25</v>
      </c>
      <c r="D1314" s="2" t="s">
        <v>40</v>
      </c>
      <c r="E1314" s="2" t="s">
        <v>78</v>
      </c>
      <c r="F1314" s="2" t="s">
        <v>81</v>
      </c>
      <c r="G1314" s="2">
        <f t="shared" si="20"/>
        <v>0.56298028733712002</v>
      </c>
      <c r="H1314" s="5">
        <v>4.5540540540540544</v>
      </c>
      <c r="I1314" s="2">
        <v>370</v>
      </c>
      <c r="J1314" s="12">
        <f>I1314/Pondération!$G$83</f>
        <v>0.12362178416304712</v>
      </c>
    </row>
    <row r="1315" spans="1:10" x14ac:dyDescent="0.25">
      <c r="A1315" s="2" t="s">
        <v>77</v>
      </c>
      <c r="B1315" s="2">
        <v>2016</v>
      </c>
      <c r="C1315" s="2" t="s">
        <v>26</v>
      </c>
      <c r="D1315" s="2" t="s">
        <v>40</v>
      </c>
      <c r="E1315" s="2" t="s">
        <v>78</v>
      </c>
      <c r="F1315" s="2" t="s">
        <v>81</v>
      </c>
      <c r="G1315" s="2">
        <f t="shared" si="20"/>
        <v>0.32442365519545602</v>
      </c>
      <c r="H1315" s="5">
        <v>4.6682692307692308</v>
      </c>
      <c r="I1315" s="2">
        <v>208</v>
      </c>
      <c r="J1315" s="12">
        <f>I1315/Pondération!$G$83</f>
        <v>6.9495489475442693E-2</v>
      </c>
    </row>
    <row r="1316" spans="1:10" x14ac:dyDescent="0.25">
      <c r="A1316" s="2" t="s">
        <v>77</v>
      </c>
      <c r="B1316" s="2">
        <v>2016</v>
      </c>
      <c r="C1316" s="2" t="s">
        <v>27</v>
      </c>
      <c r="D1316" s="2" t="s">
        <v>40</v>
      </c>
      <c r="E1316" s="2" t="s">
        <v>78</v>
      </c>
      <c r="F1316" s="2" t="s">
        <v>81</v>
      </c>
      <c r="G1316" s="2">
        <f t="shared" si="20"/>
        <v>0.38189107918476445</v>
      </c>
      <c r="H1316" s="5">
        <v>4.6463414634146343</v>
      </c>
      <c r="I1316" s="2">
        <v>246</v>
      </c>
      <c r="J1316" s="12">
        <f>I1316/Pondération!$G$83</f>
        <v>8.2191780821917804E-2</v>
      </c>
    </row>
    <row r="1317" spans="1:10" x14ac:dyDescent="0.25">
      <c r="A1317" s="2" t="s">
        <v>77</v>
      </c>
      <c r="B1317" s="2">
        <v>2016</v>
      </c>
      <c r="C1317" s="2" t="s">
        <v>28</v>
      </c>
      <c r="D1317" s="2" t="s">
        <v>40</v>
      </c>
      <c r="E1317" s="2" t="s">
        <v>78</v>
      </c>
      <c r="F1317" s="2" t="s">
        <v>81</v>
      </c>
      <c r="G1317" s="2">
        <f t="shared" si="20"/>
        <v>0.39425325760106922</v>
      </c>
      <c r="H1317" s="5">
        <v>4.6825396825396828</v>
      </c>
      <c r="I1317" s="2">
        <v>252</v>
      </c>
      <c r="J1317" s="12">
        <f>I1317/Pondération!$G$83</f>
        <v>8.4196458402940197E-2</v>
      </c>
    </row>
    <row r="1318" spans="1:10" x14ac:dyDescent="0.25">
      <c r="A1318" s="2" t="s">
        <v>77</v>
      </c>
      <c r="B1318" s="2">
        <v>2016</v>
      </c>
      <c r="C1318" s="2" t="s">
        <v>29</v>
      </c>
      <c r="D1318" s="2" t="s">
        <v>40</v>
      </c>
      <c r="E1318" s="2" t="s">
        <v>78</v>
      </c>
      <c r="F1318" s="2" t="s">
        <v>81</v>
      </c>
      <c r="G1318" s="2">
        <f t="shared" si="20"/>
        <v>0.47410624791179418</v>
      </c>
      <c r="H1318" s="5">
        <v>4.7458193979933112</v>
      </c>
      <c r="I1318" s="2">
        <v>299</v>
      </c>
      <c r="J1318" s="12">
        <f>I1318/Pondération!$G$83</f>
        <v>9.9899766120948877E-2</v>
      </c>
    </row>
    <row r="1319" spans="1:10" x14ac:dyDescent="0.25">
      <c r="A1319" s="2" t="s">
        <v>77</v>
      </c>
      <c r="B1319" s="2">
        <v>2017</v>
      </c>
      <c r="C1319" s="2" t="s">
        <v>30</v>
      </c>
      <c r="D1319" s="2" t="s">
        <v>40</v>
      </c>
      <c r="E1319" s="2" t="s">
        <v>78</v>
      </c>
      <c r="F1319" s="2" t="s">
        <v>81</v>
      </c>
      <c r="G1319" s="2">
        <f t="shared" si="20"/>
        <v>0.87432835820895527</v>
      </c>
      <c r="H1319" s="5">
        <v>4.7548701298701301</v>
      </c>
      <c r="I1319" s="2">
        <v>308</v>
      </c>
      <c r="J1319" s="12">
        <f>I1319/Pondération!$F$83</f>
        <v>0.18388059701492537</v>
      </c>
    </row>
    <row r="1320" spans="1:10" x14ac:dyDescent="0.25">
      <c r="A1320" s="2" t="s">
        <v>77</v>
      </c>
      <c r="B1320" s="2">
        <v>2017</v>
      </c>
      <c r="C1320" s="2" t="s">
        <v>31</v>
      </c>
      <c r="D1320" s="2" t="s">
        <v>40</v>
      </c>
      <c r="E1320" s="2" t="s">
        <v>78</v>
      </c>
      <c r="F1320" s="2" t="s">
        <v>81</v>
      </c>
      <c r="G1320" s="2">
        <f t="shared" si="20"/>
        <v>0.89850746268656712</v>
      </c>
      <c r="H1320" s="5">
        <v>4.6739130434782608</v>
      </c>
      <c r="I1320" s="2">
        <v>322</v>
      </c>
      <c r="J1320" s="12">
        <f>I1320/Pondération!$F$83</f>
        <v>0.19223880597014925</v>
      </c>
    </row>
    <row r="1321" spans="1:10" x14ac:dyDescent="0.25">
      <c r="A1321" s="2" t="s">
        <v>77</v>
      </c>
      <c r="B1321" s="2">
        <v>2017</v>
      </c>
      <c r="C1321" s="2" t="s">
        <v>32</v>
      </c>
      <c r="D1321" s="2" t="s">
        <v>40</v>
      </c>
      <c r="E1321" s="2" t="s">
        <v>78</v>
      </c>
      <c r="F1321" s="2" t="s">
        <v>81</v>
      </c>
      <c r="G1321" s="2">
        <f t="shared" si="20"/>
        <v>0.65731343283582089</v>
      </c>
      <c r="H1321" s="5">
        <v>4.7456896551724137</v>
      </c>
      <c r="I1321" s="2">
        <v>232</v>
      </c>
      <c r="J1321" s="12">
        <f>I1321/Pondération!$F$83</f>
        <v>0.13850746268656716</v>
      </c>
    </row>
    <row r="1322" spans="1:10" x14ac:dyDescent="0.25">
      <c r="A1322" s="2" t="s">
        <v>77</v>
      </c>
      <c r="B1322" s="2">
        <v>2017</v>
      </c>
      <c r="C1322" s="2" t="s">
        <v>33</v>
      </c>
      <c r="D1322" s="2" t="s">
        <v>40</v>
      </c>
      <c r="E1322" s="2" t="s">
        <v>78</v>
      </c>
      <c r="F1322" s="2" t="s">
        <v>81</v>
      </c>
      <c r="G1322" s="2">
        <f t="shared" si="20"/>
        <v>1.0322388059701493</v>
      </c>
      <c r="H1322" s="5">
        <v>4.7762430939226519</v>
      </c>
      <c r="I1322" s="2">
        <v>362</v>
      </c>
      <c r="J1322" s="12">
        <f>I1322/Pondération!$F$83</f>
        <v>0.21611940298507462</v>
      </c>
    </row>
    <row r="1323" spans="1:10" x14ac:dyDescent="0.25">
      <c r="A1323" s="2" t="s">
        <v>77</v>
      </c>
      <c r="B1323" s="2">
        <v>2017</v>
      </c>
      <c r="C1323" s="2" t="s">
        <v>34</v>
      </c>
      <c r="D1323" s="2" t="s">
        <v>40</v>
      </c>
      <c r="E1323" s="2" t="s">
        <v>78</v>
      </c>
      <c r="F1323" s="2" t="s">
        <v>81</v>
      </c>
      <c r="G1323" s="2">
        <f t="shared" si="20"/>
        <v>0.90089552238805981</v>
      </c>
      <c r="H1323" s="5">
        <v>4.7452830188679247</v>
      </c>
      <c r="I1323" s="2">
        <v>318</v>
      </c>
      <c r="J1323" s="12">
        <f>I1323/Pondération!$F$83</f>
        <v>0.18985074626865672</v>
      </c>
    </row>
    <row r="1324" spans="1:10" x14ac:dyDescent="0.25">
      <c r="A1324" s="2" t="s">
        <v>77</v>
      </c>
      <c r="B1324" s="2">
        <v>2017</v>
      </c>
      <c r="C1324" s="2" t="s">
        <v>80</v>
      </c>
      <c r="D1324" s="2" t="s">
        <v>40</v>
      </c>
      <c r="E1324" s="2" t="s">
        <v>78</v>
      </c>
      <c r="F1324" s="2" t="s">
        <v>81</v>
      </c>
      <c r="G1324" s="2">
        <f t="shared" si="20"/>
        <v>0.37104477611940295</v>
      </c>
      <c r="H1324" s="5">
        <v>4.6729323308270674</v>
      </c>
      <c r="I1324" s="2">
        <v>133</v>
      </c>
      <c r="J1324" s="12">
        <f>I1324/Pondération!$F$83</f>
        <v>7.9402985074626869E-2</v>
      </c>
    </row>
    <row r="1325" spans="1:10" x14ac:dyDescent="0.25">
      <c r="A1325" s="2" t="s">
        <v>77</v>
      </c>
      <c r="B1325" s="2">
        <v>2013</v>
      </c>
      <c r="C1325" s="2" t="s">
        <v>49</v>
      </c>
      <c r="D1325" s="2" t="s">
        <v>40</v>
      </c>
      <c r="E1325" s="2" t="s">
        <v>78</v>
      </c>
      <c r="F1325" s="2" t="s">
        <v>83</v>
      </c>
      <c r="G1325" s="2">
        <f t="shared" si="20"/>
        <v>0.34905660377358488</v>
      </c>
      <c r="H1325" s="5">
        <v>4.625</v>
      </c>
      <c r="I1325" s="2">
        <v>8</v>
      </c>
      <c r="J1325" s="12">
        <f>I1325/Pondération!$J$84</f>
        <v>7.5471698113207544E-2</v>
      </c>
    </row>
    <row r="1326" spans="1:10" x14ac:dyDescent="0.25">
      <c r="A1326" s="2" t="s">
        <v>77</v>
      </c>
      <c r="B1326" s="2">
        <v>2013</v>
      </c>
      <c r="C1326" s="2" t="s">
        <v>50</v>
      </c>
      <c r="D1326" s="2" t="s">
        <v>40</v>
      </c>
      <c r="E1326" s="2" t="s">
        <v>78</v>
      </c>
      <c r="F1326" s="2" t="s">
        <v>83</v>
      </c>
      <c r="G1326" s="2">
        <f t="shared" si="20"/>
        <v>0.16037735849056603</v>
      </c>
      <c r="H1326" s="5">
        <v>4.25</v>
      </c>
      <c r="I1326" s="2">
        <v>4</v>
      </c>
      <c r="J1326" s="12">
        <f>I1326/Pondération!$J$84</f>
        <v>3.7735849056603772E-2</v>
      </c>
    </row>
    <row r="1327" spans="1:10" x14ac:dyDescent="0.25">
      <c r="A1327" s="2" t="s">
        <v>77</v>
      </c>
      <c r="B1327" s="2">
        <v>2013</v>
      </c>
      <c r="C1327" s="2" t="s">
        <v>51</v>
      </c>
      <c r="D1327" s="2" t="s">
        <v>40</v>
      </c>
      <c r="E1327" s="2" t="s">
        <v>78</v>
      </c>
      <c r="F1327" s="2" t="s">
        <v>83</v>
      </c>
      <c r="G1327" s="2">
        <f t="shared" si="20"/>
        <v>0.16037735849056603</v>
      </c>
      <c r="H1327" s="5">
        <v>4.25</v>
      </c>
      <c r="I1327" s="2">
        <v>4</v>
      </c>
      <c r="J1327" s="12">
        <f>I1327/Pondération!$J$84</f>
        <v>3.7735849056603772E-2</v>
      </c>
    </row>
    <row r="1328" spans="1:10" x14ac:dyDescent="0.25">
      <c r="A1328" s="2" t="s">
        <v>77</v>
      </c>
      <c r="B1328" s="2">
        <v>2013</v>
      </c>
      <c r="C1328" s="2" t="s">
        <v>52</v>
      </c>
      <c r="D1328" s="2" t="s">
        <v>40</v>
      </c>
      <c r="E1328" s="2" t="s">
        <v>78</v>
      </c>
      <c r="F1328" s="2" t="s">
        <v>83</v>
      </c>
      <c r="G1328" s="2">
        <f t="shared" si="20"/>
        <v>0.29716981132075471</v>
      </c>
      <c r="H1328" s="5">
        <v>4.5</v>
      </c>
      <c r="I1328" s="2">
        <v>7</v>
      </c>
      <c r="J1328" s="12">
        <f>I1328/Pondération!$J$84</f>
        <v>6.6037735849056603E-2</v>
      </c>
    </row>
    <row r="1329" spans="1:10" x14ac:dyDescent="0.25">
      <c r="A1329" s="2" t="s">
        <v>77</v>
      </c>
      <c r="B1329" s="2">
        <v>2013</v>
      </c>
      <c r="C1329" s="2" t="s">
        <v>53</v>
      </c>
      <c r="D1329" s="2" t="s">
        <v>40</v>
      </c>
      <c r="E1329" s="2" t="s">
        <v>78</v>
      </c>
      <c r="F1329" s="2" t="s">
        <v>83</v>
      </c>
      <c r="G1329" s="2">
        <f t="shared" si="20"/>
        <v>0.48113207547169812</v>
      </c>
      <c r="H1329" s="5">
        <v>4.25</v>
      </c>
      <c r="I1329" s="2">
        <v>12</v>
      </c>
      <c r="J1329" s="12">
        <f>I1329/Pondération!$J$84</f>
        <v>0.11320754716981132</v>
      </c>
    </row>
    <row r="1330" spans="1:10" x14ac:dyDescent="0.25">
      <c r="A1330" s="2" t="s">
        <v>77</v>
      </c>
      <c r="B1330" s="2">
        <v>2013</v>
      </c>
      <c r="C1330" s="2" t="s">
        <v>54</v>
      </c>
      <c r="D1330" s="2" t="s">
        <v>40</v>
      </c>
      <c r="E1330" s="2" t="s">
        <v>78</v>
      </c>
      <c r="F1330" s="2" t="s">
        <v>83</v>
      </c>
      <c r="G1330" s="2">
        <f t="shared" si="20"/>
        <v>0.25471698113207547</v>
      </c>
      <c r="H1330" s="5">
        <v>4.5</v>
      </c>
      <c r="I1330" s="2">
        <v>6</v>
      </c>
      <c r="J1330" s="12">
        <f>I1330/Pondération!$J$84</f>
        <v>5.6603773584905662E-2</v>
      </c>
    </row>
    <row r="1331" spans="1:10" x14ac:dyDescent="0.25">
      <c r="A1331" s="2" t="s">
        <v>77</v>
      </c>
      <c r="B1331" s="2">
        <v>2013</v>
      </c>
      <c r="C1331" s="2" t="s">
        <v>55</v>
      </c>
      <c r="D1331" s="2" t="s">
        <v>40</v>
      </c>
      <c r="E1331" s="2" t="s">
        <v>78</v>
      </c>
      <c r="F1331" s="2" t="s">
        <v>83</v>
      </c>
      <c r="G1331" s="2">
        <f t="shared" si="20"/>
        <v>0.35849056603773582</v>
      </c>
      <c r="H1331" s="5">
        <v>4.2222222222222223</v>
      </c>
      <c r="I1331" s="2">
        <v>9</v>
      </c>
      <c r="J1331" s="12">
        <f>I1331/Pondération!$J$84</f>
        <v>8.4905660377358486E-2</v>
      </c>
    </row>
    <row r="1332" spans="1:10" x14ac:dyDescent="0.25">
      <c r="A1332" s="2" t="s">
        <v>77</v>
      </c>
      <c r="B1332" s="2">
        <v>2013</v>
      </c>
      <c r="C1332" s="2" t="s">
        <v>56</v>
      </c>
      <c r="D1332" s="2" t="s">
        <v>40</v>
      </c>
      <c r="E1332" s="2" t="s">
        <v>78</v>
      </c>
      <c r="F1332" s="2" t="s">
        <v>83</v>
      </c>
      <c r="G1332" s="2">
        <f t="shared" si="20"/>
        <v>0.65566037735849059</v>
      </c>
      <c r="H1332" s="5">
        <v>4.34375</v>
      </c>
      <c r="I1332" s="2">
        <v>16</v>
      </c>
      <c r="J1332" s="12">
        <f>I1332/Pondération!$J$84</f>
        <v>0.15094339622641509</v>
      </c>
    </row>
    <row r="1333" spans="1:10" x14ac:dyDescent="0.25">
      <c r="A1333" s="2" t="s">
        <v>77</v>
      </c>
      <c r="B1333" s="2">
        <v>2013</v>
      </c>
      <c r="C1333" s="2" t="s">
        <v>57</v>
      </c>
      <c r="D1333" s="2" t="s">
        <v>40</v>
      </c>
      <c r="E1333" s="2" t="s">
        <v>78</v>
      </c>
      <c r="F1333" s="2" t="s">
        <v>83</v>
      </c>
      <c r="G1333" s="2">
        <f t="shared" si="20"/>
        <v>0.39150943396226423</v>
      </c>
      <c r="H1333" s="5">
        <v>4.1500000000000004</v>
      </c>
      <c r="I1333" s="2">
        <v>10</v>
      </c>
      <c r="J1333" s="12">
        <f>I1333/Pondération!$J$84</f>
        <v>9.4339622641509441E-2</v>
      </c>
    </row>
    <row r="1334" spans="1:10" x14ac:dyDescent="0.25">
      <c r="A1334" s="2" t="s">
        <v>77</v>
      </c>
      <c r="B1334" s="2">
        <v>2013</v>
      </c>
      <c r="C1334" s="2" t="s">
        <v>58</v>
      </c>
      <c r="D1334" s="2" t="s">
        <v>40</v>
      </c>
      <c r="E1334" s="2" t="s">
        <v>78</v>
      </c>
      <c r="F1334" s="2" t="s">
        <v>83</v>
      </c>
      <c r="G1334" s="2">
        <f t="shared" si="20"/>
        <v>0.56603773584905659</v>
      </c>
      <c r="H1334" s="5">
        <v>4.2857142857142856</v>
      </c>
      <c r="I1334" s="2">
        <v>14</v>
      </c>
      <c r="J1334" s="12">
        <f>I1334/Pondération!$J$84</f>
        <v>0.13207547169811321</v>
      </c>
    </row>
    <row r="1335" spans="1:10" x14ac:dyDescent="0.25">
      <c r="A1335" s="2" t="s">
        <v>77</v>
      </c>
      <c r="B1335" s="2">
        <v>2013</v>
      </c>
      <c r="C1335" s="2" t="s">
        <v>59</v>
      </c>
      <c r="D1335" s="2" t="s">
        <v>40</v>
      </c>
      <c r="E1335" s="2" t="s">
        <v>78</v>
      </c>
      <c r="F1335" s="2" t="s">
        <v>83</v>
      </c>
      <c r="G1335" s="2">
        <f t="shared" si="20"/>
        <v>0.17924528301886791</v>
      </c>
      <c r="H1335" s="5">
        <v>4.75</v>
      </c>
      <c r="I1335" s="2">
        <v>4</v>
      </c>
      <c r="J1335" s="12">
        <f>I1335/Pondération!$J$84</f>
        <v>3.7735849056603772E-2</v>
      </c>
    </row>
    <row r="1336" spans="1:10" x14ac:dyDescent="0.25">
      <c r="A1336" s="2" t="s">
        <v>77</v>
      </c>
      <c r="B1336" s="2">
        <v>2013</v>
      </c>
      <c r="C1336" s="2" t="s">
        <v>60</v>
      </c>
      <c r="D1336" s="2" t="s">
        <v>40</v>
      </c>
      <c r="E1336" s="2" t="s">
        <v>78</v>
      </c>
      <c r="F1336" s="2" t="s">
        <v>83</v>
      </c>
      <c r="G1336" s="2">
        <f t="shared" si="20"/>
        <v>0.48113207547169812</v>
      </c>
      <c r="H1336" s="5">
        <v>4.25</v>
      </c>
      <c r="I1336" s="2">
        <v>12</v>
      </c>
      <c r="J1336" s="12">
        <f>I1336/Pondération!$J$84</f>
        <v>0.11320754716981132</v>
      </c>
    </row>
    <row r="1337" spans="1:10" x14ac:dyDescent="0.25">
      <c r="A1337" s="2" t="s">
        <v>77</v>
      </c>
      <c r="B1337" s="2">
        <v>2014</v>
      </c>
      <c r="C1337" s="2" t="s">
        <v>61</v>
      </c>
      <c r="D1337" s="2" t="s">
        <v>40</v>
      </c>
      <c r="E1337" s="2" t="s">
        <v>78</v>
      </c>
      <c r="F1337" s="2" t="s">
        <v>83</v>
      </c>
      <c r="G1337" s="2">
        <f t="shared" si="20"/>
        <v>0.36434108527131781</v>
      </c>
      <c r="H1337" s="5">
        <v>4.2727272727272725</v>
      </c>
      <c r="I1337" s="2">
        <v>11</v>
      </c>
      <c r="J1337" s="12">
        <f>I1337/Pondération!$I$84</f>
        <v>8.5271317829457363E-2</v>
      </c>
    </row>
    <row r="1338" spans="1:10" x14ac:dyDescent="0.25">
      <c r="A1338" s="2" t="s">
        <v>77</v>
      </c>
      <c r="B1338" s="2">
        <v>2014</v>
      </c>
      <c r="C1338" s="2" t="s">
        <v>62</v>
      </c>
      <c r="D1338" s="2" t="s">
        <v>40</v>
      </c>
      <c r="E1338" s="2" t="s">
        <v>78</v>
      </c>
      <c r="F1338" s="2" t="s">
        <v>83</v>
      </c>
      <c r="G1338" s="2">
        <f t="shared" si="20"/>
        <v>0.42248062015503879</v>
      </c>
      <c r="H1338" s="5">
        <v>4.541666666666667</v>
      </c>
      <c r="I1338" s="2">
        <v>12</v>
      </c>
      <c r="J1338" s="12">
        <f>I1338/Pondération!$I$84</f>
        <v>9.3023255813953487E-2</v>
      </c>
    </row>
    <row r="1339" spans="1:10" x14ac:dyDescent="0.25">
      <c r="A1339" s="2" t="s">
        <v>77</v>
      </c>
      <c r="B1339" s="2">
        <v>2014</v>
      </c>
      <c r="C1339" s="2" t="s">
        <v>63</v>
      </c>
      <c r="D1339" s="2" t="s">
        <v>40</v>
      </c>
      <c r="E1339" s="2" t="s">
        <v>78</v>
      </c>
      <c r="F1339" s="2" t="s">
        <v>83</v>
      </c>
      <c r="G1339" s="2">
        <f t="shared" si="20"/>
        <v>0.54263565891472876</v>
      </c>
      <c r="H1339" s="5">
        <v>4.666666666666667</v>
      </c>
      <c r="I1339" s="2">
        <v>15</v>
      </c>
      <c r="J1339" s="12">
        <f>I1339/Pondération!$I$84</f>
        <v>0.11627906976744186</v>
      </c>
    </row>
    <row r="1340" spans="1:10" x14ac:dyDescent="0.25">
      <c r="A1340" s="2" t="s">
        <v>77</v>
      </c>
      <c r="B1340" s="2">
        <v>2014</v>
      </c>
      <c r="C1340" s="2" t="s">
        <v>64</v>
      </c>
      <c r="D1340" s="2" t="s">
        <v>40</v>
      </c>
      <c r="E1340" s="2" t="s">
        <v>78</v>
      </c>
      <c r="F1340" s="2" t="s">
        <v>83</v>
      </c>
      <c r="G1340" s="2">
        <f t="shared" si="20"/>
        <v>0.20155038759689922</v>
      </c>
      <c r="H1340" s="5">
        <v>4.333333333333333</v>
      </c>
      <c r="I1340" s="2">
        <v>6</v>
      </c>
      <c r="J1340" s="12">
        <f>I1340/Pondération!$I$84</f>
        <v>4.6511627906976744E-2</v>
      </c>
    </row>
    <row r="1341" spans="1:10" x14ac:dyDescent="0.25">
      <c r="A1341" s="2" t="s">
        <v>77</v>
      </c>
      <c r="B1341" s="2">
        <v>2014</v>
      </c>
      <c r="C1341" s="2" t="s">
        <v>65</v>
      </c>
      <c r="D1341" s="2" t="s">
        <v>40</v>
      </c>
      <c r="E1341" s="2" t="s">
        <v>78</v>
      </c>
      <c r="F1341" s="2" t="s">
        <v>83</v>
      </c>
      <c r="G1341" s="2">
        <f t="shared" si="20"/>
        <v>0.28294573643410853</v>
      </c>
      <c r="H1341" s="5">
        <v>4.0555555555555554</v>
      </c>
      <c r="I1341" s="2">
        <v>9</v>
      </c>
      <c r="J1341" s="12">
        <f>I1341/Pondération!$I$84</f>
        <v>6.9767441860465115E-2</v>
      </c>
    </row>
    <row r="1342" spans="1:10" x14ac:dyDescent="0.25">
      <c r="A1342" s="2" t="s">
        <v>77</v>
      </c>
      <c r="B1342" s="2">
        <v>2014</v>
      </c>
      <c r="C1342" s="2" t="s">
        <v>66</v>
      </c>
      <c r="D1342" s="2" t="s">
        <v>40</v>
      </c>
      <c r="E1342" s="2" t="s">
        <v>78</v>
      </c>
      <c r="F1342" s="2" t="s">
        <v>83</v>
      </c>
      <c r="G1342" s="2">
        <f t="shared" si="20"/>
        <v>0.44573643410852709</v>
      </c>
      <c r="H1342" s="5">
        <v>4.1071428571428568</v>
      </c>
      <c r="I1342" s="2">
        <v>14</v>
      </c>
      <c r="J1342" s="12">
        <f>I1342/Pondération!$I$84</f>
        <v>0.10852713178294573</v>
      </c>
    </row>
    <row r="1343" spans="1:10" x14ac:dyDescent="0.25">
      <c r="A1343" s="2" t="s">
        <v>77</v>
      </c>
      <c r="B1343" s="2">
        <v>2014</v>
      </c>
      <c r="C1343" s="2" t="s">
        <v>67</v>
      </c>
      <c r="D1343" s="2" t="s">
        <v>40</v>
      </c>
      <c r="E1343" s="2" t="s">
        <v>78</v>
      </c>
      <c r="F1343" s="2" t="s">
        <v>83</v>
      </c>
      <c r="G1343" s="2">
        <f t="shared" si="20"/>
        <v>0.40697674418604651</v>
      </c>
      <c r="H1343" s="5">
        <v>4.0384615384615383</v>
      </c>
      <c r="I1343" s="2">
        <v>13</v>
      </c>
      <c r="J1343" s="12">
        <f>I1343/Pondération!$I$84</f>
        <v>0.10077519379844961</v>
      </c>
    </row>
    <row r="1344" spans="1:10" x14ac:dyDescent="0.25">
      <c r="A1344" s="2" t="s">
        <v>77</v>
      </c>
      <c r="B1344" s="2">
        <v>2014</v>
      </c>
      <c r="C1344" s="2" t="s">
        <v>68</v>
      </c>
      <c r="D1344" s="2" t="s">
        <v>40</v>
      </c>
      <c r="E1344" s="2" t="s">
        <v>78</v>
      </c>
      <c r="F1344" s="2" t="s">
        <v>83</v>
      </c>
      <c r="G1344" s="2">
        <f t="shared" si="20"/>
        <v>0.29844961240310075</v>
      </c>
      <c r="H1344" s="5">
        <v>4.2777777777777777</v>
      </c>
      <c r="I1344" s="2">
        <v>9</v>
      </c>
      <c r="J1344" s="12">
        <f>I1344/Pondération!$I$84</f>
        <v>6.9767441860465115E-2</v>
      </c>
    </row>
    <row r="1345" spans="1:10" x14ac:dyDescent="0.25">
      <c r="A1345" s="2" t="s">
        <v>77</v>
      </c>
      <c r="B1345" s="2">
        <v>2014</v>
      </c>
      <c r="C1345" s="2" t="s">
        <v>69</v>
      </c>
      <c r="D1345" s="2" t="s">
        <v>40</v>
      </c>
      <c r="E1345" s="2" t="s">
        <v>78</v>
      </c>
      <c r="F1345" s="2" t="s">
        <v>83</v>
      </c>
      <c r="G1345" s="2">
        <f t="shared" si="20"/>
        <v>0.29069767441860467</v>
      </c>
      <c r="H1345" s="5">
        <v>4.6875</v>
      </c>
      <c r="I1345" s="2">
        <v>8</v>
      </c>
      <c r="J1345" s="12">
        <f>I1345/Pondération!$I$84</f>
        <v>6.2015503875968991E-2</v>
      </c>
    </row>
    <row r="1346" spans="1:10" x14ac:dyDescent="0.25">
      <c r="A1346" s="2" t="s">
        <v>77</v>
      </c>
      <c r="B1346" s="2">
        <v>2014</v>
      </c>
      <c r="C1346" s="2" t="s">
        <v>70</v>
      </c>
      <c r="D1346" s="2" t="s">
        <v>40</v>
      </c>
      <c r="E1346" s="2" t="s">
        <v>78</v>
      </c>
      <c r="F1346" s="2" t="s">
        <v>83</v>
      </c>
      <c r="G1346" s="2">
        <f t="shared" ref="G1346:G1409" si="21">H1346*J1346</f>
        <v>0.63953488372093015</v>
      </c>
      <c r="H1346" s="5">
        <v>4.583333333333333</v>
      </c>
      <c r="I1346" s="2">
        <v>18</v>
      </c>
      <c r="J1346" s="12">
        <f>I1346/Pondération!$I$84</f>
        <v>0.13953488372093023</v>
      </c>
    </row>
    <row r="1347" spans="1:10" x14ac:dyDescent="0.25">
      <c r="A1347" s="2" t="s">
        <v>77</v>
      </c>
      <c r="B1347" s="2">
        <v>2014</v>
      </c>
      <c r="C1347" s="2" t="s">
        <v>71</v>
      </c>
      <c r="D1347" s="2" t="s">
        <v>40</v>
      </c>
      <c r="E1347" s="2" t="s">
        <v>78</v>
      </c>
      <c r="F1347" s="2" t="s">
        <v>83</v>
      </c>
      <c r="G1347" s="2">
        <f t="shared" si="21"/>
        <v>0.31007751937984496</v>
      </c>
      <c r="H1347" s="5">
        <v>4.4444444444444446</v>
      </c>
      <c r="I1347" s="2">
        <v>9</v>
      </c>
      <c r="J1347" s="12">
        <f>I1347/Pondération!$I$84</f>
        <v>6.9767441860465115E-2</v>
      </c>
    </row>
    <row r="1348" spans="1:10" x14ac:dyDescent="0.25">
      <c r="A1348" s="2" t="s">
        <v>77</v>
      </c>
      <c r="B1348" s="2">
        <v>2014</v>
      </c>
      <c r="C1348" s="2" t="s">
        <v>72</v>
      </c>
      <c r="D1348" s="2" t="s">
        <v>40</v>
      </c>
      <c r="E1348" s="2" t="s">
        <v>78</v>
      </c>
      <c r="F1348" s="2" t="s">
        <v>83</v>
      </c>
      <c r="G1348" s="2">
        <f t="shared" si="21"/>
        <v>0.17829457364341084</v>
      </c>
      <c r="H1348" s="5">
        <v>4.5999999999999996</v>
      </c>
      <c r="I1348" s="2">
        <v>5</v>
      </c>
      <c r="J1348" s="12">
        <f>I1348/Pondération!$I$84</f>
        <v>3.875968992248062E-2</v>
      </c>
    </row>
    <row r="1349" spans="1:10" x14ac:dyDescent="0.25">
      <c r="A1349" s="2" t="s">
        <v>77</v>
      </c>
      <c r="B1349" s="2">
        <v>2015</v>
      </c>
      <c r="C1349" s="2" t="s">
        <v>73</v>
      </c>
      <c r="D1349" s="2" t="s">
        <v>40</v>
      </c>
      <c r="E1349" s="2" t="s">
        <v>78</v>
      </c>
      <c r="F1349" s="2" t="s">
        <v>83</v>
      </c>
      <c r="G1349" s="2">
        <f t="shared" si="21"/>
        <v>0.19836065573770489</v>
      </c>
      <c r="H1349" s="5">
        <v>4.3214285714285712</v>
      </c>
      <c r="I1349" s="2">
        <v>14</v>
      </c>
      <c r="J1349" s="12">
        <f>I1349/Pondération!$H$84</f>
        <v>4.5901639344262293E-2</v>
      </c>
    </row>
    <row r="1350" spans="1:10" x14ac:dyDescent="0.25">
      <c r="A1350" s="2" t="s">
        <v>77</v>
      </c>
      <c r="B1350" s="2">
        <v>2015</v>
      </c>
      <c r="C1350" s="2" t="s">
        <v>74</v>
      </c>
      <c r="D1350" s="2" t="s">
        <v>40</v>
      </c>
      <c r="E1350" s="2" t="s">
        <v>78</v>
      </c>
      <c r="F1350" s="2" t="s">
        <v>83</v>
      </c>
      <c r="G1350" s="2">
        <f t="shared" si="21"/>
        <v>0.2262295081967213</v>
      </c>
      <c r="H1350" s="5">
        <v>4.5999999999999996</v>
      </c>
      <c r="I1350" s="2">
        <v>15</v>
      </c>
      <c r="J1350" s="12">
        <f>I1350/Pondération!$H$84</f>
        <v>4.9180327868852458E-2</v>
      </c>
    </row>
    <row r="1351" spans="1:10" x14ac:dyDescent="0.25">
      <c r="A1351" s="2" t="s">
        <v>77</v>
      </c>
      <c r="B1351" s="2">
        <v>2015</v>
      </c>
      <c r="C1351" s="2" t="s">
        <v>75</v>
      </c>
      <c r="D1351" s="2" t="s">
        <v>40</v>
      </c>
      <c r="E1351" s="2" t="s">
        <v>78</v>
      </c>
      <c r="F1351" s="2" t="s">
        <v>83</v>
      </c>
      <c r="G1351" s="2">
        <f t="shared" si="21"/>
        <v>0.26557377049180331</v>
      </c>
      <c r="H1351" s="5">
        <v>4.5</v>
      </c>
      <c r="I1351" s="2">
        <v>18</v>
      </c>
      <c r="J1351" s="12">
        <f>I1351/Pondération!$H$84</f>
        <v>5.9016393442622953E-2</v>
      </c>
    </row>
    <row r="1352" spans="1:10" x14ac:dyDescent="0.25">
      <c r="A1352" s="2" t="s">
        <v>77</v>
      </c>
      <c r="B1352" s="2">
        <v>2015</v>
      </c>
      <c r="C1352" s="2" t="s">
        <v>76</v>
      </c>
      <c r="D1352" s="2" t="s">
        <v>40</v>
      </c>
      <c r="E1352" s="2" t="s">
        <v>78</v>
      </c>
      <c r="F1352" s="2" t="s">
        <v>83</v>
      </c>
      <c r="G1352" s="2">
        <f t="shared" si="21"/>
        <v>0.34098360655737703</v>
      </c>
      <c r="H1352" s="5">
        <v>4.5217391304347823</v>
      </c>
      <c r="I1352" s="2">
        <v>23</v>
      </c>
      <c r="J1352" s="12">
        <f>I1352/Pondération!$H$84</f>
        <v>7.5409836065573776E-2</v>
      </c>
    </row>
    <row r="1353" spans="1:10" x14ac:dyDescent="0.25">
      <c r="A1353" s="2" t="s">
        <v>77</v>
      </c>
      <c r="B1353" s="2">
        <v>2015</v>
      </c>
      <c r="C1353" s="2" t="s">
        <v>7</v>
      </c>
      <c r="D1353" s="2" t="s">
        <v>40</v>
      </c>
      <c r="E1353" s="2" t="s">
        <v>78</v>
      </c>
      <c r="F1353" s="2" t="s">
        <v>83</v>
      </c>
      <c r="G1353" s="2">
        <f t="shared" si="21"/>
        <v>0.28524590163934427</v>
      </c>
      <c r="H1353" s="5">
        <v>4.5789473684210522</v>
      </c>
      <c r="I1353" s="2">
        <v>19</v>
      </c>
      <c r="J1353" s="12">
        <f>I1353/Pondération!$H$84</f>
        <v>6.2295081967213117E-2</v>
      </c>
    </row>
    <row r="1354" spans="1:10" x14ac:dyDescent="0.25">
      <c r="A1354" s="2" t="s">
        <v>77</v>
      </c>
      <c r="B1354" s="2">
        <v>2015</v>
      </c>
      <c r="C1354" s="2" t="s">
        <v>11</v>
      </c>
      <c r="D1354" s="2" t="s">
        <v>40</v>
      </c>
      <c r="E1354" s="2" t="s">
        <v>78</v>
      </c>
      <c r="F1354" s="2" t="s">
        <v>83</v>
      </c>
      <c r="G1354" s="2">
        <f t="shared" si="21"/>
        <v>0.25245901639344265</v>
      </c>
      <c r="H1354" s="5">
        <v>4.5294117647058822</v>
      </c>
      <c r="I1354" s="2">
        <v>17</v>
      </c>
      <c r="J1354" s="12">
        <f>I1354/Pondération!$H$84</f>
        <v>5.5737704918032788E-2</v>
      </c>
    </row>
    <row r="1355" spans="1:10" x14ac:dyDescent="0.25">
      <c r="A1355" s="2" t="s">
        <v>77</v>
      </c>
      <c r="B1355" s="2">
        <v>2015</v>
      </c>
      <c r="C1355" s="2" t="s">
        <v>12</v>
      </c>
      <c r="D1355" s="2" t="s">
        <v>40</v>
      </c>
      <c r="E1355" s="2" t="s">
        <v>78</v>
      </c>
      <c r="F1355" s="2" t="s">
        <v>83</v>
      </c>
      <c r="G1355" s="2">
        <f t="shared" si="21"/>
        <v>0.6885245901639343</v>
      </c>
      <c r="H1355" s="5">
        <v>4.4680851063829783</v>
      </c>
      <c r="I1355" s="2">
        <v>47</v>
      </c>
      <c r="J1355" s="12">
        <f>I1355/Pondération!$H$84</f>
        <v>0.1540983606557377</v>
      </c>
    </row>
    <row r="1356" spans="1:10" x14ac:dyDescent="0.25">
      <c r="A1356" s="2" t="s">
        <v>77</v>
      </c>
      <c r="B1356" s="2">
        <v>2015</v>
      </c>
      <c r="C1356" s="2" t="s">
        <v>13</v>
      </c>
      <c r="D1356" s="2" t="s">
        <v>40</v>
      </c>
      <c r="E1356" s="2" t="s">
        <v>78</v>
      </c>
      <c r="F1356" s="2" t="s">
        <v>83</v>
      </c>
      <c r="G1356" s="2">
        <f t="shared" si="21"/>
        <v>0.47049180327868856</v>
      </c>
      <c r="H1356" s="5">
        <v>4.3484848484848486</v>
      </c>
      <c r="I1356" s="2">
        <v>33</v>
      </c>
      <c r="J1356" s="12">
        <f>I1356/Pondération!$H$84</f>
        <v>0.10819672131147541</v>
      </c>
    </row>
    <row r="1357" spans="1:10" x14ac:dyDescent="0.25">
      <c r="A1357" s="2" t="s">
        <v>77</v>
      </c>
      <c r="B1357" s="2">
        <v>2015</v>
      </c>
      <c r="C1357" s="2" t="s">
        <v>14</v>
      </c>
      <c r="D1357" s="2" t="s">
        <v>40</v>
      </c>
      <c r="E1357" s="2" t="s">
        <v>78</v>
      </c>
      <c r="F1357" s="2" t="s">
        <v>83</v>
      </c>
      <c r="G1357" s="2">
        <f t="shared" si="21"/>
        <v>0.47704918032786886</v>
      </c>
      <c r="H1357" s="5">
        <v>4.4090909090909092</v>
      </c>
      <c r="I1357" s="2">
        <v>33</v>
      </c>
      <c r="J1357" s="12">
        <f>I1357/Pondération!$H$84</f>
        <v>0.10819672131147541</v>
      </c>
    </row>
    <row r="1358" spans="1:10" x14ac:dyDescent="0.25">
      <c r="A1358" s="2" t="s">
        <v>77</v>
      </c>
      <c r="B1358" s="2">
        <v>2015</v>
      </c>
      <c r="C1358" s="2" t="s">
        <v>15</v>
      </c>
      <c r="D1358" s="2" t="s">
        <v>40</v>
      </c>
      <c r="E1358" s="2" t="s">
        <v>78</v>
      </c>
      <c r="F1358" s="2" t="s">
        <v>83</v>
      </c>
      <c r="G1358" s="2">
        <f t="shared" si="21"/>
        <v>0.42459016393442622</v>
      </c>
      <c r="H1358" s="5">
        <v>4.4655172413793105</v>
      </c>
      <c r="I1358" s="2">
        <v>29</v>
      </c>
      <c r="J1358" s="12">
        <f>I1358/Pondération!$H$84</f>
        <v>9.5081967213114751E-2</v>
      </c>
    </row>
    <row r="1359" spans="1:10" x14ac:dyDescent="0.25">
      <c r="A1359" s="2" t="s">
        <v>77</v>
      </c>
      <c r="B1359" s="2">
        <v>2015</v>
      </c>
      <c r="C1359" s="2" t="s">
        <v>16</v>
      </c>
      <c r="D1359" s="2" t="s">
        <v>40</v>
      </c>
      <c r="E1359" s="2" t="s">
        <v>78</v>
      </c>
      <c r="F1359" s="2" t="s">
        <v>83</v>
      </c>
      <c r="G1359" s="2">
        <f t="shared" si="21"/>
        <v>0.21311475409836064</v>
      </c>
      <c r="H1359" s="5">
        <v>4.333333333333333</v>
      </c>
      <c r="I1359" s="2">
        <v>15</v>
      </c>
      <c r="J1359" s="12">
        <f>I1359/Pondération!$H$84</f>
        <v>4.9180327868852458E-2</v>
      </c>
    </row>
    <row r="1360" spans="1:10" x14ac:dyDescent="0.25">
      <c r="A1360" s="2" t="s">
        <v>77</v>
      </c>
      <c r="B1360" s="2">
        <v>2015</v>
      </c>
      <c r="C1360" s="2" t="s">
        <v>17</v>
      </c>
      <c r="D1360" s="2" t="s">
        <v>40</v>
      </c>
      <c r="E1360" s="2" t="s">
        <v>78</v>
      </c>
      <c r="F1360" s="2" t="s">
        <v>83</v>
      </c>
      <c r="G1360" s="2">
        <f t="shared" si="21"/>
        <v>0.62786885245901636</v>
      </c>
      <c r="H1360" s="5">
        <v>4.5595238095238093</v>
      </c>
      <c r="I1360" s="2">
        <v>42</v>
      </c>
      <c r="J1360" s="12">
        <f>I1360/Pondération!$H$84</f>
        <v>0.13770491803278689</v>
      </c>
    </row>
    <row r="1361" spans="1:10" x14ac:dyDescent="0.25">
      <c r="A1361" s="2" t="s">
        <v>77</v>
      </c>
      <c r="B1361" s="2">
        <v>2016</v>
      </c>
      <c r="C1361" s="2" t="s">
        <v>18</v>
      </c>
      <c r="D1361" s="2" t="s">
        <v>40</v>
      </c>
      <c r="E1361" s="2" t="s">
        <v>78</v>
      </c>
      <c r="F1361" s="2" t="s">
        <v>83</v>
      </c>
      <c r="G1361" s="2">
        <f t="shared" si="21"/>
        <v>0.23990683229813667</v>
      </c>
      <c r="H1361" s="5">
        <v>4.4142857142857146</v>
      </c>
      <c r="I1361" s="2">
        <v>35</v>
      </c>
      <c r="J1361" s="12">
        <f>I1361/Pondération!$G$84</f>
        <v>5.434782608695652E-2</v>
      </c>
    </row>
    <row r="1362" spans="1:10" x14ac:dyDescent="0.25">
      <c r="A1362" s="2" t="s">
        <v>77</v>
      </c>
      <c r="B1362" s="2">
        <v>2016</v>
      </c>
      <c r="C1362" s="2" t="s">
        <v>19</v>
      </c>
      <c r="D1362" s="2" t="s">
        <v>40</v>
      </c>
      <c r="E1362" s="2" t="s">
        <v>78</v>
      </c>
      <c r="F1362" s="2" t="s">
        <v>83</v>
      </c>
      <c r="G1362" s="2">
        <f t="shared" si="21"/>
        <v>0.27872670807453415</v>
      </c>
      <c r="H1362" s="5">
        <v>4.4874999999999998</v>
      </c>
      <c r="I1362" s="2">
        <v>40</v>
      </c>
      <c r="J1362" s="12">
        <f>I1362/Pondération!$G$84</f>
        <v>6.2111801242236024E-2</v>
      </c>
    </row>
    <row r="1363" spans="1:10" x14ac:dyDescent="0.25">
      <c r="A1363" s="2" t="s">
        <v>77</v>
      </c>
      <c r="B1363" s="2">
        <v>2016</v>
      </c>
      <c r="C1363" s="2" t="s">
        <v>20</v>
      </c>
      <c r="D1363" s="2" t="s">
        <v>40</v>
      </c>
      <c r="E1363" s="2" t="s">
        <v>78</v>
      </c>
      <c r="F1363" s="2" t="s">
        <v>83</v>
      </c>
      <c r="G1363" s="2">
        <f t="shared" si="21"/>
        <v>0.28260869565217389</v>
      </c>
      <c r="H1363" s="5">
        <v>4.55</v>
      </c>
      <c r="I1363" s="2">
        <v>40</v>
      </c>
      <c r="J1363" s="12">
        <f>I1363/Pondération!$G$84</f>
        <v>6.2111801242236024E-2</v>
      </c>
    </row>
    <row r="1364" spans="1:10" x14ac:dyDescent="0.25">
      <c r="A1364" s="2" t="s">
        <v>77</v>
      </c>
      <c r="B1364" s="2">
        <v>2016</v>
      </c>
      <c r="C1364" s="2" t="s">
        <v>21</v>
      </c>
      <c r="D1364" s="2" t="s">
        <v>40</v>
      </c>
      <c r="E1364" s="2" t="s">
        <v>78</v>
      </c>
      <c r="F1364" s="2" t="s">
        <v>83</v>
      </c>
      <c r="G1364" s="2">
        <f t="shared" si="21"/>
        <v>0.32065217391304346</v>
      </c>
      <c r="H1364" s="5">
        <v>4.3936170212765955</v>
      </c>
      <c r="I1364" s="2">
        <v>47</v>
      </c>
      <c r="J1364" s="12">
        <f>I1364/Pondération!$G$84</f>
        <v>7.2981366459627328E-2</v>
      </c>
    </row>
    <row r="1365" spans="1:10" x14ac:dyDescent="0.25">
      <c r="A1365" s="2" t="s">
        <v>77</v>
      </c>
      <c r="B1365" s="2">
        <v>2016</v>
      </c>
      <c r="C1365" s="2" t="s">
        <v>22</v>
      </c>
      <c r="D1365" s="2" t="s">
        <v>40</v>
      </c>
      <c r="E1365" s="2" t="s">
        <v>78</v>
      </c>
      <c r="F1365" s="2" t="s">
        <v>83</v>
      </c>
      <c r="G1365" s="2">
        <f t="shared" si="21"/>
        <v>0.37810559006211181</v>
      </c>
      <c r="H1365" s="5">
        <v>4.3482142857142856</v>
      </c>
      <c r="I1365" s="2">
        <v>56</v>
      </c>
      <c r="J1365" s="12">
        <f>I1365/Pondération!$G$84</f>
        <v>8.6956521739130432E-2</v>
      </c>
    </row>
    <row r="1366" spans="1:10" x14ac:dyDescent="0.25">
      <c r="A1366" s="2" t="s">
        <v>77</v>
      </c>
      <c r="B1366" s="2">
        <v>2016</v>
      </c>
      <c r="C1366" s="2" t="s">
        <v>23</v>
      </c>
      <c r="D1366" s="2" t="s">
        <v>40</v>
      </c>
      <c r="E1366" s="2" t="s">
        <v>78</v>
      </c>
      <c r="F1366" s="2" t="s">
        <v>83</v>
      </c>
      <c r="G1366" s="2">
        <f t="shared" si="21"/>
        <v>0.3214285714285714</v>
      </c>
      <c r="H1366" s="5">
        <v>4.4042553191489358</v>
      </c>
      <c r="I1366" s="2">
        <v>47</v>
      </c>
      <c r="J1366" s="12">
        <f>I1366/Pondération!$G$84</f>
        <v>7.2981366459627328E-2</v>
      </c>
    </row>
    <row r="1367" spans="1:10" x14ac:dyDescent="0.25">
      <c r="A1367" s="2" t="s">
        <v>77</v>
      </c>
      <c r="B1367" s="2">
        <v>2016</v>
      </c>
      <c r="C1367" s="2" t="s">
        <v>24</v>
      </c>
      <c r="D1367" s="2" t="s">
        <v>40</v>
      </c>
      <c r="E1367" s="2" t="s">
        <v>78</v>
      </c>
      <c r="F1367" s="2" t="s">
        <v>83</v>
      </c>
      <c r="G1367" s="2">
        <f t="shared" si="21"/>
        <v>0.41614906832298137</v>
      </c>
      <c r="H1367" s="5">
        <v>4.3934426229508201</v>
      </c>
      <c r="I1367" s="2">
        <v>61</v>
      </c>
      <c r="J1367" s="12">
        <f>I1367/Pondération!$G$84</f>
        <v>9.4720496894409936E-2</v>
      </c>
    </row>
    <row r="1368" spans="1:10" x14ac:dyDescent="0.25">
      <c r="A1368" s="2" t="s">
        <v>77</v>
      </c>
      <c r="B1368" s="2">
        <v>2016</v>
      </c>
      <c r="C1368" s="2" t="s">
        <v>25</v>
      </c>
      <c r="D1368" s="2" t="s">
        <v>40</v>
      </c>
      <c r="E1368" s="2" t="s">
        <v>78</v>
      </c>
      <c r="F1368" s="2" t="s">
        <v>83</v>
      </c>
      <c r="G1368" s="2">
        <f t="shared" si="21"/>
        <v>0.57608695652173902</v>
      </c>
      <c r="H1368" s="5">
        <v>4.3647058823529408</v>
      </c>
      <c r="I1368" s="2">
        <v>85</v>
      </c>
      <c r="J1368" s="12">
        <f>I1368/Pondération!$G$84</f>
        <v>0.13198757763975155</v>
      </c>
    </row>
    <row r="1369" spans="1:10" x14ac:dyDescent="0.25">
      <c r="A1369" s="2" t="s">
        <v>77</v>
      </c>
      <c r="B1369" s="2">
        <v>2016</v>
      </c>
      <c r="C1369" s="2" t="s">
        <v>26</v>
      </c>
      <c r="D1369" s="2" t="s">
        <v>40</v>
      </c>
      <c r="E1369" s="2" t="s">
        <v>78</v>
      </c>
      <c r="F1369" s="2" t="s">
        <v>83</v>
      </c>
      <c r="G1369" s="2">
        <f t="shared" si="21"/>
        <v>0.45807453416149069</v>
      </c>
      <c r="H1369" s="5">
        <v>4.4029850746268657</v>
      </c>
      <c r="I1369" s="2">
        <v>67</v>
      </c>
      <c r="J1369" s="12">
        <f>I1369/Pondération!$G$84</f>
        <v>0.10403726708074534</v>
      </c>
    </row>
    <row r="1370" spans="1:10" x14ac:dyDescent="0.25">
      <c r="A1370" s="2" t="s">
        <v>77</v>
      </c>
      <c r="B1370" s="2">
        <v>2016</v>
      </c>
      <c r="C1370" s="2" t="s">
        <v>27</v>
      </c>
      <c r="D1370" s="2" t="s">
        <v>40</v>
      </c>
      <c r="E1370" s="2" t="s">
        <v>78</v>
      </c>
      <c r="F1370" s="2" t="s">
        <v>83</v>
      </c>
      <c r="G1370" s="2">
        <f t="shared" si="21"/>
        <v>0.37499999999999994</v>
      </c>
      <c r="H1370" s="5">
        <v>4.3909090909090907</v>
      </c>
      <c r="I1370" s="2">
        <v>55</v>
      </c>
      <c r="J1370" s="12">
        <f>I1370/Pondération!$G$84</f>
        <v>8.5403726708074529E-2</v>
      </c>
    </row>
    <row r="1371" spans="1:10" x14ac:dyDescent="0.25">
      <c r="A1371" s="2" t="s">
        <v>77</v>
      </c>
      <c r="B1371" s="2">
        <v>2016</v>
      </c>
      <c r="C1371" s="2" t="s">
        <v>28</v>
      </c>
      <c r="D1371" s="2" t="s">
        <v>40</v>
      </c>
      <c r="E1371" s="2" t="s">
        <v>78</v>
      </c>
      <c r="F1371" s="2" t="s">
        <v>83</v>
      </c>
      <c r="G1371" s="2">
        <f t="shared" si="21"/>
        <v>0.42779503105590061</v>
      </c>
      <c r="H1371" s="5">
        <v>4.2384615384615385</v>
      </c>
      <c r="I1371" s="2">
        <v>65</v>
      </c>
      <c r="J1371" s="12">
        <f>I1371/Pondération!$G$84</f>
        <v>0.10093167701863354</v>
      </c>
    </row>
    <row r="1372" spans="1:10" x14ac:dyDescent="0.25">
      <c r="A1372" s="2" t="s">
        <v>77</v>
      </c>
      <c r="B1372" s="2">
        <v>2016</v>
      </c>
      <c r="C1372" s="2" t="s">
        <v>29</v>
      </c>
      <c r="D1372" s="2" t="s">
        <v>40</v>
      </c>
      <c r="E1372" s="2" t="s">
        <v>78</v>
      </c>
      <c r="F1372" s="2" t="s">
        <v>83</v>
      </c>
      <c r="G1372" s="2">
        <f t="shared" si="21"/>
        <v>0.31133540372670804</v>
      </c>
      <c r="H1372" s="5">
        <v>4.3586956521739131</v>
      </c>
      <c r="I1372" s="2">
        <v>46</v>
      </c>
      <c r="J1372" s="12">
        <f>I1372/Pondération!$G$84</f>
        <v>7.1428571428571425E-2</v>
      </c>
    </row>
    <row r="1373" spans="1:10" x14ac:dyDescent="0.25">
      <c r="A1373" s="2" t="s">
        <v>77</v>
      </c>
      <c r="B1373" s="2">
        <v>2017</v>
      </c>
      <c r="C1373" s="2" t="s">
        <v>30</v>
      </c>
      <c r="D1373" s="2" t="s">
        <v>40</v>
      </c>
      <c r="E1373" s="2" t="s">
        <v>78</v>
      </c>
      <c r="F1373" s="2" t="s">
        <v>83</v>
      </c>
      <c r="G1373" s="2">
        <f t="shared" si="21"/>
        <v>0.80493273542600896</v>
      </c>
      <c r="H1373" s="5">
        <v>4.3780487804878048</v>
      </c>
      <c r="I1373" s="2">
        <v>41</v>
      </c>
      <c r="J1373" s="12">
        <f>I1373/Pondération!$F$84</f>
        <v>0.18385650224215247</v>
      </c>
    </row>
    <row r="1374" spans="1:10" x14ac:dyDescent="0.25">
      <c r="A1374" s="2" t="s">
        <v>77</v>
      </c>
      <c r="B1374" s="2">
        <v>2017</v>
      </c>
      <c r="C1374" s="2" t="s">
        <v>31</v>
      </c>
      <c r="D1374" s="2" t="s">
        <v>40</v>
      </c>
      <c r="E1374" s="2" t="s">
        <v>78</v>
      </c>
      <c r="F1374" s="2" t="s">
        <v>83</v>
      </c>
      <c r="G1374" s="2">
        <f t="shared" si="21"/>
        <v>0.57399103139013452</v>
      </c>
      <c r="H1374" s="5">
        <v>4.2666666666666666</v>
      </c>
      <c r="I1374" s="2">
        <v>30</v>
      </c>
      <c r="J1374" s="12">
        <f>I1374/Pondération!$F$84</f>
        <v>0.13452914798206278</v>
      </c>
    </row>
    <row r="1375" spans="1:10" x14ac:dyDescent="0.25">
      <c r="A1375" s="2" t="s">
        <v>77</v>
      </c>
      <c r="B1375" s="2">
        <v>2017</v>
      </c>
      <c r="C1375" s="2" t="s">
        <v>32</v>
      </c>
      <c r="D1375" s="2" t="s">
        <v>40</v>
      </c>
      <c r="E1375" s="2" t="s">
        <v>78</v>
      </c>
      <c r="F1375" s="2" t="s">
        <v>83</v>
      </c>
      <c r="G1375" s="2">
        <f t="shared" si="21"/>
        <v>0.6547085201793722</v>
      </c>
      <c r="H1375" s="5">
        <v>4.2941176470588234</v>
      </c>
      <c r="I1375" s="2">
        <v>34</v>
      </c>
      <c r="J1375" s="12">
        <f>I1375/Pondération!$F$84</f>
        <v>0.15246636771300448</v>
      </c>
    </row>
    <row r="1376" spans="1:10" x14ac:dyDescent="0.25">
      <c r="A1376" s="2" t="s">
        <v>77</v>
      </c>
      <c r="B1376" s="2">
        <v>2017</v>
      </c>
      <c r="C1376" s="2" t="s">
        <v>33</v>
      </c>
      <c r="D1376" s="2" t="s">
        <v>40</v>
      </c>
      <c r="E1376" s="2" t="s">
        <v>78</v>
      </c>
      <c r="F1376" s="2" t="s">
        <v>83</v>
      </c>
      <c r="G1376" s="2">
        <f t="shared" si="21"/>
        <v>1.2040358744394621</v>
      </c>
      <c r="H1376" s="5">
        <v>4.4016393442622954</v>
      </c>
      <c r="I1376" s="2">
        <v>61</v>
      </c>
      <c r="J1376" s="12">
        <f>I1376/Pondération!$F$84</f>
        <v>0.273542600896861</v>
      </c>
    </row>
    <row r="1377" spans="1:10" x14ac:dyDescent="0.25">
      <c r="A1377" s="2" t="s">
        <v>77</v>
      </c>
      <c r="B1377" s="2">
        <v>2017</v>
      </c>
      <c r="C1377" s="2" t="s">
        <v>34</v>
      </c>
      <c r="D1377" s="2" t="s">
        <v>40</v>
      </c>
      <c r="E1377" s="2" t="s">
        <v>78</v>
      </c>
      <c r="F1377" s="2" t="s">
        <v>83</v>
      </c>
      <c r="G1377" s="2">
        <f t="shared" si="21"/>
        <v>0.80493273542600896</v>
      </c>
      <c r="H1377" s="5">
        <v>4.3780487804878048</v>
      </c>
      <c r="I1377" s="2">
        <v>41</v>
      </c>
      <c r="J1377" s="12">
        <f>I1377/Pondération!$F$84</f>
        <v>0.18385650224215247</v>
      </c>
    </row>
    <row r="1378" spans="1:10" x14ac:dyDescent="0.25">
      <c r="A1378" s="2" t="s">
        <v>77</v>
      </c>
      <c r="B1378" s="2">
        <v>2017</v>
      </c>
      <c r="C1378" s="2" t="s">
        <v>80</v>
      </c>
      <c r="D1378" s="2" t="s">
        <v>40</v>
      </c>
      <c r="E1378" s="2" t="s">
        <v>78</v>
      </c>
      <c r="F1378" s="2" t="s">
        <v>83</v>
      </c>
      <c r="G1378" s="2">
        <f t="shared" si="21"/>
        <v>0.31165919282511212</v>
      </c>
      <c r="H1378" s="5">
        <v>4.34375</v>
      </c>
      <c r="I1378" s="2">
        <v>16</v>
      </c>
      <c r="J1378" s="12">
        <f>I1378/Pondération!$F$84</f>
        <v>7.1748878923766815E-2</v>
      </c>
    </row>
    <row r="1379" spans="1:10" x14ac:dyDescent="0.25">
      <c r="A1379" s="2" t="s">
        <v>77</v>
      </c>
      <c r="B1379" s="2">
        <v>2013</v>
      </c>
      <c r="C1379" s="2" t="s">
        <v>52</v>
      </c>
      <c r="D1379" s="2" t="s">
        <v>40</v>
      </c>
      <c r="E1379" s="2" t="s">
        <v>78</v>
      </c>
      <c r="F1379" s="2" t="s">
        <v>84</v>
      </c>
      <c r="G1379" s="2">
        <f t="shared" si="21"/>
        <v>0.54838709677419351</v>
      </c>
      <c r="H1379" s="5">
        <v>4.25</v>
      </c>
      <c r="I1379" s="2">
        <v>4</v>
      </c>
      <c r="J1379" s="12">
        <f>I1379/Pondération!$J$85</f>
        <v>0.12903225806451613</v>
      </c>
    </row>
    <row r="1380" spans="1:10" x14ac:dyDescent="0.25">
      <c r="A1380" s="2" t="s">
        <v>77</v>
      </c>
      <c r="B1380" s="2">
        <v>2013</v>
      </c>
      <c r="C1380" s="2" t="s">
        <v>53</v>
      </c>
      <c r="D1380" s="2" t="s">
        <v>40</v>
      </c>
      <c r="E1380" s="2" t="s">
        <v>78</v>
      </c>
      <c r="F1380" s="2" t="s">
        <v>84</v>
      </c>
      <c r="G1380" s="2">
        <f t="shared" si="21"/>
        <v>0.14516129032258063</v>
      </c>
      <c r="H1380" s="5">
        <v>4.5</v>
      </c>
      <c r="I1380" s="2">
        <v>1</v>
      </c>
      <c r="J1380" s="12">
        <f>I1380/Pondération!$J$85</f>
        <v>3.2258064516129031E-2</v>
      </c>
    </row>
    <row r="1381" spans="1:10" x14ac:dyDescent="0.25">
      <c r="A1381" s="2" t="s">
        <v>77</v>
      </c>
      <c r="B1381" s="2">
        <v>2013</v>
      </c>
      <c r="C1381" s="2" t="s">
        <v>54</v>
      </c>
      <c r="D1381" s="2" t="s">
        <v>40</v>
      </c>
      <c r="E1381" s="2" t="s">
        <v>78</v>
      </c>
      <c r="F1381" s="2" t="s">
        <v>84</v>
      </c>
      <c r="G1381" s="2">
        <f t="shared" si="21"/>
        <v>0.61290322580645162</v>
      </c>
      <c r="H1381" s="5">
        <v>4.75</v>
      </c>
      <c r="I1381" s="2">
        <v>4</v>
      </c>
      <c r="J1381" s="12">
        <f>I1381/Pondération!$J$85</f>
        <v>0.12903225806451613</v>
      </c>
    </row>
    <row r="1382" spans="1:10" x14ac:dyDescent="0.25">
      <c r="A1382" s="2" t="s">
        <v>77</v>
      </c>
      <c r="B1382" s="2">
        <v>2013</v>
      </c>
      <c r="C1382" s="2" t="s">
        <v>55</v>
      </c>
      <c r="D1382" s="2" t="s">
        <v>40</v>
      </c>
      <c r="E1382" s="2" t="s">
        <v>78</v>
      </c>
      <c r="F1382" s="2" t="s">
        <v>84</v>
      </c>
      <c r="G1382" s="2">
        <f t="shared" si="21"/>
        <v>0.72580645161290325</v>
      </c>
      <c r="H1382" s="5">
        <v>4.5</v>
      </c>
      <c r="I1382" s="2">
        <v>5</v>
      </c>
      <c r="J1382" s="12">
        <f>I1382/Pondération!$J$85</f>
        <v>0.16129032258064516</v>
      </c>
    </row>
    <row r="1383" spans="1:10" x14ac:dyDescent="0.25">
      <c r="A1383" s="2" t="s">
        <v>77</v>
      </c>
      <c r="B1383" s="2">
        <v>2013</v>
      </c>
      <c r="C1383" s="2" t="s">
        <v>56</v>
      </c>
      <c r="D1383" s="2" t="s">
        <v>40</v>
      </c>
      <c r="E1383" s="2" t="s">
        <v>78</v>
      </c>
      <c r="F1383" s="2" t="s">
        <v>84</v>
      </c>
      <c r="G1383" s="2">
        <f t="shared" si="21"/>
        <v>0.41935483870967738</v>
      </c>
      <c r="H1383" s="5">
        <v>4.333333333333333</v>
      </c>
      <c r="I1383" s="2">
        <v>3</v>
      </c>
      <c r="J1383" s="12">
        <f>I1383/Pondération!$J$85</f>
        <v>9.6774193548387094E-2</v>
      </c>
    </row>
    <row r="1384" spans="1:10" x14ac:dyDescent="0.25">
      <c r="A1384" s="2" t="s">
        <v>77</v>
      </c>
      <c r="B1384" s="2">
        <v>2013</v>
      </c>
      <c r="C1384" s="2" t="s">
        <v>57</v>
      </c>
      <c r="D1384" s="2" t="s">
        <v>40</v>
      </c>
      <c r="E1384" s="2" t="s">
        <v>78</v>
      </c>
      <c r="F1384" s="2" t="s">
        <v>84</v>
      </c>
      <c r="G1384" s="2">
        <f t="shared" si="21"/>
        <v>0.62903225806451613</v>
      </c>
      <c r="H1384" s="5">
        <v>3.9</v>
      </c>
      <c r="I1384" s="2">
        <v>5</v>
      </c>
      <c r="J1384" s="12">
        <f>I1384/Pondération!$J$85</f>
        <v>0.16129032258064516</v>
      </c>
    </row>
    <row r="1385" spans="1:10" x14ac:dyDescent="0.25">
      <c r="A1385" s="2" t="s">
        <v>77</v>
      </c>
      <c r="B1385" s="2">
        <v>2013</v>
      </c>
      <c r="C1385" s="2" t="s">
        <v>58</v>
      </c>
      <c r="D1385" s="2" t="s">
        <v>40</v>
      </c>
      <c r="E1385" s="2" t="s">
        <v>78</v>
      </c>
      <c r="F1385" s="2" t="s">
        <v>84</v>
      </c>
      <c r="G1385" s="2">
        <f t="shared" si="21"/>
        <v>0.72580645161290325</v>
      </c>
      <c r="H1385" s="5">
        <v>4.5</v>
      </c>
      <c r="I1385" s="2">
        <v>5</v>
      </c>
      <c r="J1385" s="12">
        <f>I1385/Pondération!$J$85</f>
        <v>0.16129032258064516</v>
      </c>
    </row>
    <row r="1386" spans="1:10" x14ac:dyDescent="0.25">
      <c r="A1386" s="2" t="s">
        <v>77</v>
      </c>
      <c r="B1386" s="2">
        <v>2013</v>
      </c>
      <c r="C1386" s="2" t="s">
        <v>59</v>
      </c>
      <c r="D1386" s="2" t="s">
        <v>40</v>
      </c>
      <c r="E1386" s="2" t="s">
        <v>78</v>
      </c>
      <c r="F1386" s="2" t="s">
        <v>84</v>
      </c>
      <c r="G1386" s="2">
        <f t="shared" si="21"/>
        <v>0.58064516129032251</v>
      </c>
      <c r="H1386" s="5">
        <v>4.5</v>
      </c>
      <c r="I1386" s="2">
        <v>4</v>
      </c>
      <c r="J1386" s="12">
        <f>I1386/Pondération!$J$85</f>
        <v>0.12903225806451613</v>
      </c>
    </row>
    <row r="1387" spans="1:10" x14ac:dyDescent="0.25">
      <c r="A1387" s="2" t="s">
        <v>77</v>
      </c>
      <c r="B1387" s="2">
        <v>2014</v>
      </c>
      <c r="C1387" s="2" t="s">
        <v>61</v>
      </c>
      <c r="D1387" s="2" t="s">
        <v>40</v>
      </c>
      <c r="E1387" s="2" t="s">
        <v>78</v>
      </c>
      <c r="F1387" s="2" t="s">
        <v>84</v>
      </c>
      <c r="G1387" s="2">
        <f t="shared" si="21"/>
        <v>0.1206896551724138</v>
      </c>
      <c r="H1387" s="5">
        <v>4.666666666666667</v>
      </c>
      <c r="I1387" s="2">
        <v>3</v>
      </c>
      <c r="J1387" s="12">
        <f>I1387/Pondération!$I$85</f>
        <v>2.5862068965517241E-2</v>
      </c>
    </row>
    <row r="1388" spans="1:10" x14ac:dyDescent="0.25">
      <c r="A1388" s="2" t="s">
        <v>77</v>
      </c>
      <c r="B1388" s="2">
        <v>2014</v>
      </c>
      <c r="C1388" s="2" t="s">
        <v>62</v>
      </c>
      <c r="D1388" s="2" t="s">
        <v>40</v>
      </c>
      <c r="E1388" s="2" t="s">
        <v>78</v>
      </c>
      <c r="F1388" s="2" t="s">
        <v>84</v>
      </c>
      <c r="G1388" s="2">
        <f t="shared" si="21"/>
        <v>0.21551724137931036</v>
      </c>
      <c r="H1388" s="5">
        <v>4.166666666666667</v>
      </c>
      <c r="I1388" s="2">
        <v>6</v>
      </c>
      <c r="J1388" s="12">
        <f>I1388/Pondération!$I$85</f>
        <v>5.1724137931034482E-2</v>
      </c>
    </row>
    <row r="1389" spans="1:10" x14ac:dyDescent="0.25">
      <c r="A1389" s="2" t="s">
        <v>77</v>
      </c>
      <c r="B1389" s="2">
        <v>2014</v>
      </c>
      <c r="C1389" s="2" t="s">
        <v>63</v>
      </c>
      <c r="D1389" s="2" t="s">
        <v>40</v>
      </c>
      <c r="E1389" s="2" t="s">
        <v>78</v>
      </c>
      <c r="F1389" s="2" t="s">
        <v>84</v>
      </c>
      <c r="G1389" s="2">
        <f t="shared" si="21"/>
        <v>7.7586206896551727E-2</v>
      </c>
      <c r="H1389" s="5">
        <v>4.5</v>
      </c>
      <c r="I1389" s="2">
        <v>2</v>
      </c>
      <c r="J1389" s="12">
        <f>I1389/Pondération!$I$85</f>
        <v>1.7241379310344827E-2</v>
      </c>
    </row>
    <row r="1390" spans="1:10" x14ac:dyDescent="0.25">
      <c r="A1390" s="2" t="s">
        <v>77</v>
      </c>
      <c r="B1390" s="2">
        <v>2014</v>
      </c>
      <c r="C1390" s="2" t="s">
        <v>64</v>
      </c>
      <c r="D1390" s="2" t="s">
        <v>40</v>
      </c>
      <c r="E1390" s="2" t="s">
        <v>78</v>
      </c>
      <c r="F1390" s="2" t="s">
        <v>84</v>
      </c>
      <c r="G1390" s="2">
        <f t="shared" si="21"/>
        <v>0.18534482758620691</v>
      </c>
      <c r="H1390" s="5">
        <v>4.3</v>
      </c>
      <c r="I1390" s="2">
        <v>5</v>
      </c>
      <c r="J1390" s="12">
        <f>I1390/Pondération!$I$85</f>
        <v>4.3103448275862072E-2</v>
      </c>
    </row>
    <row r="1391" spans="1:10" x14ac:dyDescent="0.25">
      <c r="A1391" s="2" t="s">
        <v>77</v>
      </c>
      <c r="B1391" s="2">
        <v>2014</v>
      </c>
      <c r="C1391" s="2" t="s">
        <v>65</v>
      </c>
      <c r="D1391" s="2" t="s">
        <v>40</v>
      </c>
      <c r="E1391" s="2" t="s">
        <v>78</v>
      </c>
      <c r="F1391" s="2" t="s">
        <v>84</v>
      </c>
      <c r="G1391" s="2">
        <f t="shared" si="21"/>
        <v>0.21120689655172412</v>
      </c>
      <c r="H1391" s="5">
        <v>4.083333333333333</v>
      </c>
      <c r="I1391" s="2">
        <v>6</v>
      </c>
      <c r="J1391" s="12">
        <f>I1391/Pondération!$I$85</f>
        <v>5.1724137931034482E-2</v>
      </c>
    </row>
    <row r="1392" spans="1:10" x14ac:dyDescent="0.25">
      <c r="A1392" s="2" t="s">
        <v>77</v>
      </c>
      <c r="B1392" s="2">
        <v>2014</v>
      </c>
      <c r="C1392" s="2" t="s">
        <v>66</v>
      </c>
      <c r="D1392" s="2" t="s">
        <v>40</v>
      </c>
      <c r="E1392" s="2" t="s">
        <v>78</v>
      </c>
      <c r="F1392" s="2" t="s">
        <v>84</v>
      </c>
      <c r="G1392" s="2">
        <f t="shared" si="21"/>
        <v>0.14224137931034483</v>
      </c>
      <c r="H1392" s="5">
        <v>4.125</v>
      </c>
      <c r="I1392" s="2">
        <v>4</v>
      </c>
      <c r="J1392" s="12">
        <f>I1392/Pondération!$I$85</f>
        <v>3.4482758620689655E-2</v>
      </c>
    </row>
    <row r="1393" spans="1:10" x14ac:dyDescent="0.25">
      <c r="A1393" s="2" t="s">
        <v>77</v>
      </c>
      <c r="B1393" s="2">
        <v>2014</v>
      </c>
      <c r="C1393" s="2" t="s">
        <v>67</v>
      </c>
      <c r="D1393" s="2" t="s">
        <v>40</v>
      </c>
      <c r="E1393" s="2" t="s">
        <v>78</v>
      </c>
      <c r="F1393" s="2" t="s">
        <v>84</v>
      </c>
      <c r="G1393" s="2">
        <f t="shared" si="21"/>
        <v>0.37931034482758624</v>
      </c>
      <c r="H1393" s="5">
        <v>4.4000000000000004</v>
      </c>
      <c r="I1393" s="2">
        <v>10</v>
      </c>
      <c r="J1393" s="12">
        <f>I1393/Pondération!$I$85</f>
        <v>8.6206896551724144E-2</v>
      </c>
    </row>
    <row r="1394" spans="1:10" x14ac:dyDescent="0.25">
      <c r="A1394" s="2" t="s">
        <v>77</v>
      </c>
      <c r="B1394" s="2">
        <v>2014</v>
      </c>
      <c r="C1394" s="2" t="s">
        <v>68</v>
      </c>
      <c r="D1394" s="2" t="s">
        <v>40</v>
      </c>
      <c r="E1394" s="2" t="s">
        <v>78</v>
      </c>
      <c r="F1394" s="2" t="s">
        <v>84</v>
      </c>
      <c r="G1394" s="2">
        <f t="shared" si="21"/>
        <v>0.83620689655172409</v>
      </c>
      <c r="H1394" s="5">
        <v>4.4090909090909092</v>
      </c>
      <c r="I1394" s="2">
        <v>22</v>
      </c>
      <c r="J1394" s="12">
        <f>I1394/Pondération!$I$85</f>
        <v>0.18965517241379309</v>
      </c>
    </row>
    <row r="1395" spans="1:10" x14ac:dyDescent="0.25">
      <c r="A1395" s="2" t="s">
        <v>77</v>
      </c>
      <c r="B1395" s="2">
        <v>2014</v>
      </c>
      <c r="C1395" s="2" t="s">
        <v>69</v>
      </c>
      <c r="D1395" s="2" t="s">
        <v>40</v>
      </c>
      <c r="E1395" s="2" t="s">
        <v>78</v>
      </c>
      <c r="F1395" s="2" t="s">
        <v>84</v>
      </c>
      <c r="G1395" s="2">
        <f t="shared" si="21"/>
        <v>0.65086206896551724</v>
      </c>
      <c r="H1395" s="5">
        <v>4.4411764705882355</v>
      </c>
      <c r="I1395" s="2">
        <v>17</v>
      </c>
      <c r="J1395" s="12">
        <f>I1395/Pondération!$I$85</f>
        <v>0.14655172413793102</v>
      </c>
    </row>
    <row r="1396" spans="1:10" x14ac:dyDescent="0.25">
      <c r="A1396" s="2" t="s">
        <v>77</v>
      </c>
      <c r="B1396" s="2">
        <v>2014</v>
      </c>
      <c r="C1396" s="2" t="s">
        <v>70</v>
      </c>
      <c r="D1396" s="2" t="s">
        <v>40</v>
      </c>
      <c r="E1396" s="2" t="s">
        <v>78</v>
      </c>
      <c r="F1396" s="2" t="s">
        <v>84</v>
      </c>
      <c r="G1396" s="2">
        <f t="shared" si="21"/>
        <v>0.52155172413793105</v>
      </c>
      <c r="H1396" s="5">
        <v>4.3214285714285712</v>
      </c>
      <c r="I1396" s="2">
        <v>14</v>
      </c>
      <c r="J1396" s="12">
        <f>I1396/Pondération!$I$85</f>
        <v>0.1206896551724138</v>
      </c>
    </row>
    <row r="1397" spans="1:10" x14ac:dyDescent="0.25">
      <c r="A1397" s="2" t="s">
        <v>77</v>
      </c>
      <c r="B1397" s="2">
        <v>2014</v>
      </c>
      <c r="C1397" s="2" t="s">
        <v>71</v>
      </c>
      <c r="D1397" s="2" t="s">
        <v>40</v>
      </c>
      <c r="E1397" s="2" t="s">
        <v>78</v>
      </c>
      <c r="F1397" s="2" t="s">
        <v>84</v>
      </c>
      <c r="G1397" s="2">
        <f t="shared" si="21"/>
        <v>0.56034482758620685</v>
      </c>
      <c r="H1397" s="5">
        <v>4.333333333333333</v>
      </c>
      <c r="I1397" s="2">
        <v>15</v>
      </c>
      <c r="J1397" s="12">
        <f>I1397/Pondération!$I$85</f>
        <v>0.12931034482758622</v>
      </c>
    </row>
    <row r="1398" spans="1:10" x14ac:dyDescent="0.25">
      <c r="A1398" s="2" t="s">
        <v>77</v>
      </c>
      <c r="B1398" s="2">
        <v>2014</v>
      </c>
      <c r="C1398" s="2" t="s">
        <v>72</v>
      </c>
      <c r="D1398" s="2" t="s">
        <v>40</v>
      </c>
      <c r="E1398" s="2" t="s">
        <v>78</v>
      </c>
      <c r="F1398" s="2" t="s">
        <v>84</v>
      </c>
      <c r="G1398" s="2">
        <f t="shared" si="21"/>
        <v>0.46982758620689657</v>
      </c>
      <c r="H1398" s="5">
        <v>4.541666666666667</v>
      </c>
      <c r="I1398" s="2">
        <v>12</v>
      </c>
      <c r="J1398" s="12">
        <f>I1398/Pondération!$I$85</f>
        <v>0.10344827586206896</v>
      </c>
    </row>
    <row r="1399" spans="1:10" x14ac:dyDescent="0.25">
      <c r="A1399" s="2" t="s">
        <v>77</v>
      </c>
      <c r="B1399" s="2">
        <v>2015</v>
      </c>
      <c r="C1399" s="2" t="s">
        <v>73</v>
      </c>
      <c r="D1399" s="2" t="s">
        <v>40</v>
      </c>
      <c r="E1399" s="2" t="s">
        <v>78</v>
      </c>
      <c r="F1399" s="2" t="s">
        <v>84</v>
      </c>
      <c r="G1399" s="2">
        <f t="shared" si="21"/>
        <v>0.19426751592356684</v>
      </c>
      <c r="H1399" s="5">
        <v>4.3571428571428568</v>
      </c>
      <c r="I1399" s="2">
        <v>14</v>
      </c>
      <c r="J1399" s="12">
        <f>I1399/Pondération!$H$85</f>
        <v>4.4585987261146494E-2</v>
      </c>
    </row>
    <row r="1400" spans="1:10" x14ac:dyDescent="0.25">
      <c r="A1400" s="2" t="s">
        <v>77</v>
      </c>
      <c r="B1400" s="2">
        <v>2015</v>
      </c>
      <c r="C1400" s="2" t="s">
        <v>74</v>
      </c>
      <c r="D1400" s="2" t="s">
        <v>40</v>
      </c>
      <c r="E1400" s="2" t="s">
        <v>78</v>
      </c>
      <c r="F1400" s="2" t="s">
        <v>84</v>
      </c>
      <c r="G1400" s="2">
        <f t="shared" si="21"/>
        <v>0.22452229299363058</v>
      </c>
      <c r="H1400" s="5">
        <v>4.40625</v>
      </c>
      <c r="I1400" s="2">
        <v>16</v>
      </c>
      <c r="J1400" s="12">
        <f>I1400/Pondération!$H$85</f>
        <v>5.0955414012738856E-2</v>
      </c>
    </row>
    <row r="1401" spans="1:10" x14ac:dyDescent="0.25">
      <c r="A1401" s="2" t="s">
        <v>77</v>
      </c>
      <c r="B1401" s="2">
        <v>2015</v>
      </c>
      <c r="C1401" s="2" t="s">
        <v>75</v>
      </c>
      <c r="D1401" s="2" t="s">
        <v>40</v>
      </c>
      <c r="E1401" s="2" t="s">
        <v>78</v>
      </c>
      <c r="F1401" s="2" t="s">
        <v>84</v>
      </c>
      <c r="G1401" s="2">
        <f t="shared" si="21"/>
        <v>0.28503184713375795</v>
      </c>
      <c r="H1401" s="5">
        <v>4.4749999999999996</v>
      </c>
      <c r="I1401" s="2">
        <v>20</v>
      </c>
      <c r="J1401" s="12">
        <f>I1401/Pondération!$H$85</f>
        <v>6.3694267515923567E-2</v>
      </c>
    </row>
    <row r="1402" spans="1:10" x14ac:dyDescent="0.25">
      <c r="A1402" s="2" t="s">
        <v>77</v>
      </c>
      <c r="B1402" s="2">
        <v>2015</v>
      </c>
      <c r="C1402" s="2" t="s">
        <v>76</v>
      </c>
      <c r="D1402" s="2" t="s">
        <v>40</v>
      </c>
      <c r="E1402" s="2" t="s">
        <v>78</v>
      </c>
      <c r="F1402" s="2" t="s">
        <v>84</v>
      </c>
      <c r="G1402" s="2">
        <f t="shared" si="21"/>
        <v>0.28821656050955413</v>
      </c>
      <c r="H1402" s="5">
        <v>4.3095238095238093</v>
      </c>
      <c r="I1402" s="2">
        <v>21</v>
      </c>
      <c r="J1402" s="12">
        <f>I1402/Pondération!$H$85</f>
        <v>6.6878980891719744E-2</v>
      </c>
    </row>
    <row r="1403" spans="1:10" x14ac:dyDescent="0.25">
      <c r="A1403" s="2" t="s">
        <v>77</v>
      </c>
      <c r="B1403" s="2">
        <v>2015</v>
      </c>
      <c r="C1403" s="2" t="s">
        <v>7</v>
      </c>
      <c r="D1403" s="2" t="s">
        <v>40</v>
      </c>
      <c r="E1403" s="2" t="s">
        <v>78</v>
      </c>
      <c r="F1403" s="2" t="s">
        <v>84</v>
      </c>
      <c r="G1403" s="2">
        <f t="shared" si="21"/>
        <v>0.21815286624203822</v>
      </c>
      <c r="H1403" s="5">
        <v>4.28125</v>
      </c>
      <c r="I1403" s="2">
        <v>16</v>
      </c>
      <c r="J1403" s="12">
        <f>I1403/Pondération!$H$85</f>
        <v>5.0955414012738856E-2</v>
      </c>
    </row>
    <row r="1404" spans="1:10" x14ac:dyDescent="0.25">
      <c r="A1404" s="2" t="s">
        <v>77</v>
      </c>
      <c r="B1404" s="2">
        <v>2015</v>
      </c>
      <c r="C1404" s="2" t="s">
        <v>11</v>
      </c>
      <c r="D1404" s="2" t="s">
        <v>40</v>
      </c>
      <c r="E1404" s="2" t="s">
        <v>78</v>
      </c>
      <c r="F1404" s="2" t="s">
        <v>84</v>
      </c>
      <c r="G1404" s="2">
        <f t="shared" si="21"/>
        <v>0.40605095541401265</v>
      </c>
      <c r="H1404" s="5">
        <v>4.3965517241379306</v>
      </c>
      <c r="I1404" s="2">
        <v>29</v>
      </c>
      <c r="J1404" s="12">
        <f>I1404/Pondération!$H$85</f>
        <v>9.2356687898089165E-2</v>
      </c>
    </row>
    <row r="1405" spans="1:10" x14ac:dyDescent="0.25">
      <c r="A1405" s="2" t="s">
        <v>77</v>
      </c>
      <c r="B1405" s="2">
        <v>2015</v>
      </c>
      <c r="C1405" s="2" t="s">
        <v>12</v>
      </c>
      <c r="D1405" s="2" t="s">
        <v>40</v>
      </c>
      <c r="E1405" s="2" t="s">
        <v>78</v>
      </c>
      <c r="F1405" s="2" t="s">
        <v>84</v>
      </c>
      <c r="G1405" s="2">
        <f t="shared" si="21"/>
        <v>0.56050955414012738</v>
      </c>
      <c r="H1405" s="5">
        <v>4.2926829268292686</v>
      </c>
      <c r="I1405" s="2">
        <v>41</v>
      </c>
      <c r="J1405" s="12">
        <f>I1405/Pondération!$H$85</f>
        <v>0.13057324840764331</v>
      </c>
    </row>
    <row r="1406" spans="1:10" x14ac:dyDescent="0.25">
      <c r="A1406" s="2" t="s">
        <v>77</v>
      </c>
      <c r="B1406" s="2">
        <v>2015</v>
      </c>
      <c r="C1406" s="2" t="s">
        <v>13</v>
      </c>
      <c r="D1406" s="2" t="s">
        <v>40</v>
      </c>
      <c r="E1406" s="2" t="s">
        <v>78</v>
      </c>
      <c r="F1406" s="2" t="s">
        <v>84</v>
      </c>
      <c r="G1406" s="2">
        <f t="shared" si="21"/>
        <v>0.59713375796178347</v>
      </c>
      <c r="H1406" s="5">
        <v>4.4642857142857144</v>
      </c>
      <c r="I1406" s="2">
        <v>42</v>
      </c>
      <c r="J1406" s="12">
        <f>I1406/Pondération!$H$85</f>
        <v>0.13375796178343949</v>
      </c>
    </row>
    <row r="1407" spans="1:10" x14ac:dyDescent="0.25">
      <c r="A1407" s="2" t="s">
        <v>77</v>
      </c>
      <c r="B1407" s="2">
        <v>2015</v>
      </c>
      <c r="C1407" s="2" t="s">
        <v>14</v>
      </c>
      <c r="D1407" s="2" t="s">
        <v>40</v>
      </c>
      <c r="E1407" s="2" t="s">
        <v>78</v>
      </c>
      <c r="F1407" s="2" t="s">
        <v>84</v>
      </c>
      <c r="G1407" s="2">
        <f t="shared" si="21"/>
        <v>0.30414012738853502</v>
      </c>
      <c r="H1407" s="5">
        <v>4.3409090909090908</v>
      </c>
      <c r="I1407" s="2">
        <v>22</v>
      </c>
      <c r="J1407" s="12">
        <f>I1407/Pondération!$H$85</f>
        <v>7.0063694267515922E-2</v>
      </c>
    </row>
    <row r="1408" spans="1:10" x14ac:dyDescent="0.25">
      <c r="A1408" s="2" t="s">
        <v>77</v>
      </c>
      <c r="B1408" s="2">
        <v>2015</v>
      </c>
      <c r="C1408" s="2" t="s">
        <v>15</v>
      </c>
      <c r="D1408" s="2" t="s">
        <v>40</v>
      </c>
      <c r="E1408" s="2" t="s">
        <v>78</v>
      </c>
      <c r="F1408" s="2" t="s">
        <v>84</v>
      </c>
      <c r="G1408" s="2">
        <f t="shared" si="21"/>
        <v>0.49203821656050961</v>
      </c>
      <c r="H1408" s="5">
        <v>4.4142857142857146</v>
      </c>
      <c r="I1408" s="2">
        <v>35</v>
      </c>
      <c r="J1408" s="12">
        <f>I1408/Pondération!$H$85</f>
        <v>0.11146496815286625</v>
      </c>
    </row>
    <row r="1409" spans="1:10" x14ac:dyDescent="0.25">
      <c r="A1409" s="2" t="s">
        <v>77</v>
      </c>
      <c r="B1409" s="2">
        <v>2015</v>
      </c>
      <c r="C1409" s="2" t="s">
        <v>16</v>
      </c>
      <c r="D1409" s="2" t="s">
        <v>40</v>
      </c>
      <c r="E1409" s="2" t="s">
        <v>78</v>
      </c>
      <c r="F1409" s="2" t="s">
        <v>84</v>
      </c>
      <c r="G1409" s="2">
        <f t="shared" si="21"/>
        <v>0.42356687898089179</v>
      </c>
      <c r="H1409" s="5">
        <v>4.4333333333333336</v>
      </c>
      <c r="I1409" s="2">
        <v>30</v>
      </c>
      <c r="J1409" s="12">
        <f>I1409/Pondération!$H$85</f>
        <v>9.5541401273885357E-2</v>
      </c>
    </row>
    <row r="1410" spans="1:10" x14ac:dyDescent="0.25">
      <c r="A1410" s="2" t="s">
        <v>77</v>
      </c>
      <c r="B1410" s="2">
        <v>2015</v>
      </c>
      <c r="C1410" s="2" t="s">
        <v>17</v>
      </c>
      <c r="D1410" s="2" t="s">
        <v>40</v>
      </c>
      <c r="E1410" s="2" t="s">
        <v>78</v>
      </c>
      <c r="F1410" s="2" t="s">
        <v>84</v>
      </c>
      <c r="G1410" s="2">
        <f t="shared" ref="G1410:G1473" si="22">H1410*J1410</f>
        <v>0.39808917197452226</v>
      </c>
      <c r="H1410" s="5">
        <v>4.4642857142857144</v>
      </c>
      <c r="I1410" s="2">
        <v>28</v>
      </c>
      <c r="J1410" s="12">
        <f>I1410/Pondération!$H$85</f>
        <v>8.9171974522292988E-2</v>
      </c>
    </row>
    <row r="1411" spans="1:10" x14ac:dyDescent="0.25">
      <c r="A1411" s="2" t="s">
        <v>77</v>
      </c>
      <c r="B1411" s="2">
        <v>2016</v>
      </c>
      <c r="C1411" s="2" t="s">
        <v>18</v>
      </c>
      <c r="D1411" s="2" t="s">
        <v>40</v>
      </c>
      <c r="E1411" s="2" t="s">
        <v>78</v>
      </c>
      <c r="F1411" s="2" t="s">
        <v>84</v>
      </c>
      <c r="G1411" s="2">
        <f t="shared" si="22"/>
        <v>0.20013947001394702</v>
      </c>
      <c r="H1411" s="5">
        <v>4.3484848484848486</v>
      </c>
      <c r="I1411" s="2">
        <v>33</v>
      </c>
      <c r="J1411" s="12">
        <f>I1411/Pondération!$G$85</f>
        <v>4.6025104602510462E-2</v>
      </c>
    </row>
    <row r="1412" spans="1:10" x14ac:dyDescent="0.25">
      <c r="A1412" s="2" t="s">
        <v>77</v>
      </c>
      <c r="B1412" s="2">
        <v>2016</v>
      </c>
      <c r="C1412" s="2" t="s">
        <v>19</v>
      </c>
      <c r="D1412" s="2" t="s">
        <v>40</v>
      </c>
      <c r="E1412" s="2" t="s">
        <v>78</v>
      </c>
      <c r="F1412" s="2" t="s">
        <v>84</v>
      </c>
      <c r="G1412" s="2">
        <f t="shared" si="22"/>
        <v>0.19177126917712692</v>
      </c>
      <c r="H1412" s="5">
        <v>4.435483870967742</v>
      </c>
      <c r="I1412" s="2">
        <v>31</v>
      </c>
      <c r="J1412" s="12">
        <f>I1412/Pondération!$G$85</f>
        <v>4.3235704323570434E-2</v>
      </c>
    </row>
    <row r="1413" spans="1:10" x14ac:dyDescent="0.25">
      <c r="A1413" s="2" t="s">
        <v>77</v>
      </c>
      <c r="B1413" s="2">
        <v>2016</v>
      </c>
      <c r="C1413" s="2" t="s">
        <v>20</v>
      </c>
      <c r="D1413" s="2" t="s">
        <v>40</v>
      </c>
      <c r="E1413" s="2" t="s">
        <v>78</v>
      </c>
      <c r="F1413" s="2" t="s">
        <v>84</v>
      </c>
      <c r="G1413" s="2">
        <f t="shared" si="22"/>
        <v>0.38842398884239887</v>
      </c>
      <c r="H1413" s="5">
        <v>4.3515625</v>
      </c>
      <c r="I1413" s="2">
        <v>64</v>
      </c>
      <c r="J1413" s="12">
        <f>I1413/Pondération!$G$85</f>
        <v>8.926080892608089E-2</v>
      </c>
    </row>
    <row r="1414" spans="1:10" x14ac:dyDescent="0.25">
      <c r="A1414" s="2" t="s">
        <v>77</v>
      </c>
      <c r="B1414" s="2">
        <v>2016</v>
      </c>
      <c r="C1414" s="2" t="s">
        <v>21</v>
      </c>
      <c r="D1414" s="2" t="s">
        <v>40</v>
      </c>
      <c r="E1414" s="2" t="s">
        <v>78</v>
      </c>
      <c r="F1414" s="2" t="s">
        <v>84</v>
      </c>
      <c r="G1414" s="2">
        <f t="shared" si="22"/>
        <v>0.26569037656903766</v>
      </c>
      <c r="H1414" s="5">
        <v>4.4302325581395348</v>
      </c>
      <c r="I1414" s="2">
        <v>43</v>
      </c>
      <c r="J1414" s="12">
        <f>I1414/Pondération!$G$85</f>
        <v>5.9972105997210597E-2</v>
      </c>
    </row>
    <row r="1415" spans="1:10" x14ac:dyDescent="0.25">
      <c r="A1415" s="2" t="s">
        <v>77</v>
      </c>
      <c r="B1415" s="2">
        <v>2016</v>
      </c>
      <c r="C1415" s="2" t="s">
        <v>22</v>
      </c>
      <c r="D1415" s="2" t="s">
        <v>40</v>
      </c>
      <c r="E1415" s="2" t="s">
        <v>78</v>
      </c>
      <c r="F1415" s="2" t="s">
        <v>84</v>
      </c>
      <c r="G1415" s="2">
        <f t="shared" si="22"/>
        <v>0.4232914923291492</v>
      </c>
      <c r="H1415" s="5">
        <v>4.4632352941176467</v>
      </c>
      <c r="I1415" s="2">
        <v>68</v>
      </c>
      <c r="J1415" s="12">
        <f>I1415/Pondération!$G$85</f>
        <v>9.4839609483960946E-2</v>
      </c>
    </row>
    <row r="1416" spans="1:10" x14ac:dyDescent="0.25">
      <c r="A1416" s="2" t="s">
        <v>77</v>
      </c>
      <c r="B1416" s="2">
        <v>2016</v>
      </c>
      <c r="C1416" s="2" t="s">
        <v>23</v>
      </c>
      <c r="D1416" s="2" t="s">
        <v>40</v>
      </c>
      <c r="E1416" s="2" t="s">
        <v>78</v>
      </c>
      <c r="F1416" s="2" t="s">
        <v>84</v>
      </c>
      <c r="G1416" s="2">
        <f t="shared" si="22"/>
        <v>0.33751743375174342</v>
      </c>
      <c r="H1416" s="5">
        <v>4.4000000000000004</v>
      </c>
      <c r="I1416" s="2">
        <v>55</v>
      </c>
      <c r="J1416" s="12">
        <f>I1416/Pondération!$G$85</f>
        <v>7.6708507670850773E-2</v>
      </c>
    </row>
    <row r="1417" spans="1:10" x14ac:dyDescent="0.25">
      <c r="A1417" s="2" t="s">
        <v>77</v>
      </c>
      <c r="B1417" s="2">
        <v>2016</v>
      </c>
      <c r="C1417" s="2" t="s">
        <v>24</v>
      </c>
      <c r="D1417" s="2" t="s">
        <v>40</v>
      </c>
      <c r="E1417" s="2" t="s">
        <v>78</v>
      </c>
      <c r="F1417" s="2" t="s">
        <v>84</v>
      </c>
      <c r="G1417" s="2">
        <f t="shared" si="22"/>
        <v>0.38702928870292885</v>
      </c>
      <c r="H1417" s="5">
        <v>4.475806451612903</v>
      </c>
      <c r="I1417" s="2">
        <v>62</v>
      </c>
      <c r="J1417" s="12">
        <f>I1417/Pondération!$G$85</f>
        <v>8.6471408647140868E-2</v>
      </c>
    </row>
    <row r="1418" spans="1:10" x14ac:dyDescent="0.25">
      <c r="A1418" s="2" t="s">
        <v>77</v>
      </c>
      <c r="B1418" s="2">
        <v>2016</v>
      </c>
      <c r="C1418" s="2" t="s">
        <v>25</v>
      </c>
      <c r="D1418" s="2" t="s">
        <v>40</v>
      </c>
      <c r="E1418" s="2" t="s">
        <v>78</v>
      </c>
      <c r="F1418" s="2" t="s">
        <v>84</v>
      </c>
      <c r="G1418" s="2">
        <f t="shared" si="22"/>
        <v>0.63319386331938643</v>
      </c>
      <c r="H1418" s="5">
        <v>4.4950495049504955</v>
      </c>
      <c r="I1418" s="2">
        <v>101</v>
      </c>
      <c r="J1418" s="12">
        <f>I1418/Pondération!$G$85</f>
        <v>0.14086471408647142</v>
      </c>
    </row>
    <row r="1419" spans="1:10" x14ac:dyDescent="0.25">
      <c r="A1419" s="2" t="s">
        <v>77</v>
      </c>
      <c r="B1419" s="2">
        <v>2016</v>
      </c>
      <c r="C1419" s="2" t="s">
        <v>26</v>
      </c>
      <c r="D1419" s="2" t="s">
        <v>40</v>
      </c>
      <c r="E1419" s="2" t="s">
        <v>78</v>
      </c>
      <c r="F1419" s="2" t="s">
        <v>84</v>
      </c>
      <c r="G1419" s="2">
        <f t="shared" si="22"/>
        <v>0.47907949790794979</v>
      </c>
      <c r="H1419" s="5">
        <v>4.4610389610389607</v>
      </c>
      <c r="I1419" s="2">
        <v>77</v>
      </c>
      <c r="J1419" s="12">
        <f>I1419/Pondération!$G$85</f>
        <v>0.10739191073919108</v>
      </c>
    </row>
    <row r="1420" spans="1:10" x14ac:dyDescent="0.25">
      <c r="A1420" s="2" t="s">
        <v>77</v>
      </c>
      <c r="B1420" s="2">
        <v>2016</v>
      </c>
      <c r="C1420" s="2" t="s">
        <v>27</v>
      </c>
      <c r="D1420" s="2" t="s">
        <v>40</v>
      </c>
      <c r="E1420" s="2" t="s">
        <v>78</v>
      </c>
      <c r="F1420" s="2" t="s">
        <v>84</v>
      </c>
      <c r="G1420" s="2">
        <f t="shared" si="22"/>
        <v>0.49442119944211993</v>
      </c>
      <c r="H1420" s="5">
        <v>4.4873417721518987</v>
      </c>
      <c r="I1420" s="2">
        <v>79</v>
      </c>
      <c r="J1420" s="12">
        <f>I1420/Pondération!$G$85</f>
        <v>0.1101813110181311</v>
      </c>
    </row>
    <row r="1421" spans="1:10" x14ac:dyDescent="0.25">
      <c r="A1421" s="2" t="s">
        <v>77</v>
      </c>
      <c r="B1421" s="2">
        <v>2016</v>
      </c>
      <c r="C1421" s="2" t="s">
        <v>28</v>
      </c>
      <c r="D1421" s="2" t="s">
        <v>40</v>
      </c>
      <c r="E1421" s="2" t="s">
        <v>78</v>
      </c>
      <c r="F1421" s="2" t="s">
        <v>84</v>
      </c>
      <c r="G1421" s="2">
        <f t="shared" si="22"/>
        <v>0.38842398884239893</v>
      </c>
      <c r="H1421" s="5">
        <v>4.491935483870968</v>
      </c>
      <c r="I1421" s="2">
        <v>62</v>
      </c>
      <c r="J1421" s="12">
        <f>I1421/Pondération!$G$85</f>
        <v>8.6471408647140868E-2</v>
      </c>
    </row>
    <row r="1422" spans="1:10" x14ac:dyDescent="0.25">
      <c r="A1422" s="2" t="s">
        <v>77</v>
      </c>
      <c r="B1422" s="2">
        <v>2016</v>
      </c>
      <c r="C1422" s="2" t="s">
        <v>29</v>
      </c>
      <c r="D1422" s="2" t="s">
        <v>40</v>
      </c>
      <c r="E1422" s="2" t="s">
        <v>78</v>
      </c>
      <c r="F1422" s="2" t="s">
        <v>84</v>
      </c>
      <c r="G1422" s="2">
        <f t="shared" si="22"/>
        <v>0.26359832635983266</v>
      </c>
      <c r="H1422" s="5">
        <v>4.5</v>
      </c>
      <c r="I1422" s="2">
        <v>42</v>
      </c>
      <c r="J1422" s="12">
        <f>I1422/Pondération!$G$85</f>
        <v>5.8577405857740586E-2</v>
      </c>
    </row>
    <row r="1423" spans="1:10" x14ac:dyDescent="0.25">
      <c r="A1423" s="2" t="s">
        <v>77</v>
      </c>
      <c r="B1423" s="2">
        <v>2017</v>
      </c>
      <c r="C1423" s="2" t="s">
        <v>30</v>
      </c>
      <c r="D1423" s="2" t="s">
        <v>40</v>
      </c>
      <c r="E1423" s="2" t="s">
        <v>78</v>
      </c>
      <c r="F1423" s="2" t="s">
        <v>84</v>
      </c>
      <c r="G1423" s="2">
        <f t="shared" si="22"/>
        <v>0.71769662921348321</v>
      </c>
      <c r="H1423" s="5">
        <v>4.4824561403508776</v>
      </c>
      <c r="I1423" s="2">
        <v>57</v>
      </c>
      <c r="J1423" s="12">
        <f>I1423/Pondération!$F$85</f>
        <v>0.1601123595505618</v>
      </c>
    </row>
    <row r="1424" spans="1:10" x14ac:dyDescent="0.25">
      <c r="A1424" s="2" t="s">
        <v>77</v>
      </c>
      <c r="B1424" s="2">
        <v>2017</v>
      </c>
      <c r="C1424" s="2" t="s">
        <v>31</v>
      </c>
      <c r="D1424" s="2" t="s">
        <v>40</v>
      </c>
      <c r="E1424" s="2" t="s">
        <v>78</v>
      </c>
      <c r="F1424" s="2" t="s">
        <v>84</v>
      </c>
      <c r="G1424" s="2">
        <f t="shared" si="22"/>
        <v>0.7092696629213483</v>
      </c>
      <c r="H1424" s="5">
        <v>4.5089285714285712</v>
      </c>
      <c r="I1424" s="2">
        <v>56</v>
      </c>
      <c r="J1424" s="12">
        <f>I1424/Pondération!$F$85</f>
        <v>0.15730337078651685</v>
      </c>
    </row>
    <row r="1425" spans="1:10" x14ac:dyDescent="0.25">
      <c r="A1425" s="2" t="s">
        <v>77</v>
      </c>
      <c r="B1425" s="2">
        <v>2017</v>
      </c>
      <c r="C1425" s="2" t="s">
        <v>32</v>
      </c>
      <c r="D1425" s="2" t="s">
        <v>40</v>
      </c>
      <c r="E1425" s="2" t="s">
        <v>78</v>
      </c>
      <c r="F1425" s="2" t="s">
        <v>84</v>
      </c>
      <c r="G1425" s="2">
        <f t="shared" si="22"/>
        <v>0.824438202247191</v>
      </c>
      <c r="H1425" s="5">
        <v>4.5153846153846153</v>
      </c>
      <c r="I1425" s="2">
        <v>65</v>
      </c>
      <c r="J1425" s="12">
        <f>I1425/Pondération!$F$85</f>
        <v>0.18258426966292135</v>
      </c>
    </row>
    <row r="1426" spans="1:10" x14ac:dyDescent="0.25">
      <c r="A1426" s="2" t="s">
        <v>77</v>
      </c>
      <c r="B1426" s="2">
        <v>2017</v>
      </c>
      <c r="C1426" s="2" t="s">
        <v>33</v>
      </c>
      <c r="D1426" s="2" t="s">
        <v>40</v>
      </c>
      <c r="E1426" s="2" t="s">
        <v>78</v>
      </c>
      <c r="F1426" s="2" t="s">
        <v>84</v>
      </c>
      <c r="G1426" s="2">
        <f t="shared" si="22"/>
        <v>0.8061797752808989</v>
      </c>
      <c r="H1426" s="5">
        <v>4.484375</v>
      </c>
      <c r="I1426" s="2">
        <v>64</v>
      </c>
      <c r="J1426" s="12">
        <f>I1426/Pondération!$F$85</f>
        <v>0.1797752808988764</v>
      </c>
    </row>
    <row r="1427" spans="1:10" x14ac:dyDescent="0.25">
      <c r="A1427" s="2" t="s">
        <v>77</v>
      </c>
      <c r="B1427" s="2">
        <v>2017</v>
      </c>
      <c r="C1427" s="2" t="s">
        <v>34</v>
      </c>
      <c r="D1427" s="2" t="s">
        <v>40</v>
      </c>
      <c r="E1427" s="2" t="s">
        <v>78</v>
      </c>
      <c r="F1427" s="2" t="s">
        <v>84</v>
      </c>
      <c r="G1427" s="2">
        <f t="shared" si="22"/>
        <v>1.0870786516853932</v>
      </c>
      <c r="H1427" s="5">
        <v>4.5</v>
      </c>
      <c r="I1427" s="2">
        <v>86</v>
      </c>
      <c r="J1427" s="12">
        <f>I1427/Pondération!$F$85</f>
        <v>0.24157303370786518</v>
      </c>
    </row>
    <row r="1428" spans="1:10" x14ac:dyDescent="0.25">
      <c r="A1428" s="2" t="s">
        <v>77</v>
      </c>
      <c r="B1428" s="2">
        <v>2017</v>
      </c>
      <c r="C1428" s="2" t="s">
        <v>80</v>
      </c>
      <c r="D1428" s="2" t="s">
        <v>40</v>
      </c>
      <c r="E1428" s="2" t="s">
        <v>78</v>
      </c>
      <c r="F1428" s="2" t="s">
        <v>84</v>
      </c>
      <c r="G1428" s="2">
        <f t="shared" si="22"/>
        <v>0.34831460674157305</v>
      </c>
      <c r="H1428" s="5">
        <v>4.4285714285714288</v>
      </c>
      <c r="I1428" s="2">
        <v>28</v>
      </c>
      <c r="J1428" s="12">
        <f>I1428/Pondération!$F$85</f>
        <v>7.8651685393258425E-2</v>
      </c>
    </row>
    <row r="1429" spans="1:10" x14ac:dyDescent="0.25">
      <c r="A1429" s="2" t="s">
        <v>77</v>
      </c>
      <c r="B1429" s="2">
        <v>2013</v>
      </c>
      <c r="C1429" s="2" t="s">
        <v>49</v>
      </c>
      <c r="D1429" s="2" t="s">
        <v>41</v>
      </c>
      <c r="E1429" s="2" t="s">
        <v>78</v>
      </c>
      <c r="F1429" s="2" t="s">
        <v>79</v>
      </c>
      <c r="G1429" s="2">
        <f t="shared" si="22"/>
        <v>0.17791411042944788</v>
      </c>
      <c r="H1429" s="5">
        <v>4.1428571428571432</v>
      </c>
      <c r="I1429" s="2">
        <v>35</v>
      </c>
      <c r="J1429" s="12">
        <f>I1429/Pondération!$J$95</f>
        <v>4.2944785276073622E-2</v>
      </c>
    </row>
    <row r="1430" spans="1:10" x14ac:dyDescent="0.25">
      <c r="A1430" s="2" t="s">
        <v>77</v>
      </c>
      <c r="B1430" s="2">
        <v>2013</v>
      </c>
      <c r="C1430" s="2" t="s">
        <v>50</v>
      </c>
      <c r="D1430" s="2" t="s">
        <v>41</v>
      </c>
      <c r="E1430" s="2" t="s">
        <v>78</v>
      </c>
      <c r="F1430" s="2" t="s">
        <v>79</v>
      </c>
      <c r="G1430" s="2">
        <f t="shared" si="22"/>
        <v>0.17914110429447855</v>
      </c>
      <c r="H1430" s="5">
        <v>4.1714285714285717</v>
      </c>
      <c r="I1430" s="2">
        <v>35</v>
      </c>
      <c r="J1430" s="12">
        <f>I1430/Pondération!$J$95</f>
        <v>4.2944785276073622E-2</v>
      </c>
    </row>
    <row r="1431" spans="1:10" x14ac:dyDescent="0.25">
      <c r="A1431" s="2" t="s">
        <v>77</v>
      </c>
      <c r="B1431" s="2">
        <v>2013</v>
      </c>
      <c r="C1431" s="2" t="s">
        <v>51</v>
      </c>
      <c r="D1431" s="2" t="s">
        <v>41</v>
      </c>
      <c r="E1431" s="2" t="s">
        <v>78</v>
      </c>
      <c r="F1431" s="2" t="s">
        <v>79</v>
      </c>
      <c r="G1431" s="2">
        <f t="shared" si="22"/>
        <v>0.19141104294478531</v>
      </c>
      <c r="H1431" s="5">
        <v>4.1052631578947372</v>
      </c>
      <c r="I1431" s="2">
        <v>38</v>
      </c>
      <c r="J1431" s="12">
        <f>I1431/Pondération!$J$95</f>
        <v>4.6625766871165646E-2</v>
      </c>
    </row>
    <row r="1432" spans="1:10" x14ac:dyDescent="0.25">
      <c r="A1432" s="2" t="s">
        <v>77</v>
      </c>
      <c r="B1432" s="2">
        <v>2013</v>
      </c>
      <c r="C1432" s="2" t="s">
        <v>52</v>
      </c>
      <c r="D1432" s="2" t="s">
        <v>41</v>
      </c>
      <c r="E1432" s="2" t="s">
        <v>78</v>
      </c>
      <c r="F1432" s="2" t="s">
        <v>79</v>
      </c>
      <c r="G1432" s="2">
        <f t="shared" si="22"/>
        <v>0.28404907975460125</v>
      </c>
      <c r="H1432" s="5">
        <v>4.2870370370370372</v>
      </c>
      <c r="I1432" s="2">
        <v>54</v>
      </c>
      <c r="J1432" s="12">
        <f>I1432/Pondération!$J$95</f>
        <v>6.6257668711656448E-2</v>
      </c>
    </row>
    <row r="1433" spans="1:10" x14ac:dyDescent="0.25">
      <c r="A1433" s="2" t="s">
        <v>77</v>
      </c>
      <c r="B1433" s="2">
        <v>2013</v>
      </c>
      <c r="C1433" s="2" t="s">
        <v>53</v>
      </c>
      <c r="D1433" s="2" t="s">
        <v>41</v>
      </c>
      <c r="E1433" s="2" t="s">
        <v>78</v>
      </c>
      <c r="F1433" s="2" t="s">
        <v>79</v>
      </c>
      <c r="G1433" s="2">
        <f t="shared" si="22"/>
        <v>0.40552147239263803</v>
      </c>
      <c r="H1433" s="5">
        <v>4.2371794871794872</v>
      </c>
      <c r="I1433" s="2">
        <v>78</v>
      </c>
      <c r="J1433" s="12">
        <f>I1433/Pondération!$J$95</f>
        <v>9.5705521472392641E-2</v>
      </c>
    </row>
    <row r="1434" spans="1:10" x14ac:dyDescent="0.25">
      <c r="A1434" s="2" t="s">
        <v>77</v>
      </c>
      <c r="B1434" s="2">
        <v>2013</v>
      </c>
      <c r="C1434" s="2" t="s">
        <v>54</v>
      </c>
      <c r="D1434" s="2" t="s">
        <v>41</v>
      </c>
      <c r="E1434" s="2" t="s">
        <v>78</v>
      </c>
      <c r="F1434" s="2" t="s">
        <v>79</v>
      </c>
      <c r="G1434" s="2">
        <f t="shared" si="22"/>
        <v>0.36932515337423311</v>
      </c>
      <c r="H1434" s="5">
        <v>4.23943661971831</v>
      </c>
      <c r="I1434" s="2">
        <v>71</v>
      </c>
      <c r="J1434" s="12">
        <f>I1434/Pondération!$J$95</f>
        <v>8.7116564417177911E-2</v>
      </c>
    </row>
    <row r="1435" spans="1:10" x14ac:dyDescent="0.25">
      <c r="A1435" s="2" t="s">
        <v>77</v>
      </c>
      <c r="B1435" s="2">
        <v>2013</v>
      </c>
      <c r="C1435" s="2" t="s">
        <v>55</v>
      </c>
      <c r="D1435" s="2" t="s">
        <v>41</v>
      </c>
      <c r="E1435" s="2" t="s">
        <v>78</v>
      </c>
      <c r="F1435" s="2" t="s">
        <v>79</v>
      </c>
      <c r="G1435" s="2">
        <f t="shared" si="22"/>
        <v>0.49815950920245405</v>
      </c>
      <c r="H1435" s="5">
        <v>4.1855670103092786</v>
      </c>
      <c r="I1435" s="2">
        <v>97</v>
      </c>
      <c r="J1435" s="12">
        <f>I1435/Pondération!$J$95</f>
        <v>0.11901840490797547</v>
      </c>
    </row>
    <row r="1436" spans="1:10" x14ac:dyDescent="0.25">
      <c r="A1436" s="2" t="s">
        <v>77</v>
      </c>
      <c r="B1436" s="2">
        <v>2013</v>
      </c>
      <c r="C1436" s="2" t="s">
        <v>56</v>
      </c>
      <c r="D1436" s="2" t="s">
        <v>41</v>
      </c>
      <c r="E1436" s="2" t="s">
        <v>78</v>
      </c>
      <c r="F1436" s="2" t="s">
        <v>79</v>
      </c>
      <c r="G1436" s="2">
        <f t="shared" si="22"/>
        <v>0.64785276073619635</v>
      </c>
      <c r="H1436" s="5">
        <v>4.1904761904761907</v>
      </c>
      <c r="I1436" s="2">
        <v>126</v>
      </c>
      <c r="J1436" s="12">
        <f>I1436/Pondération!$J$95</f>
        <v>0.15460122699386503</v>
      </c>
    </row>
    <row r="1437" spans="1:10" x14ac:dyDescent="0.25">
      <c r="A1437" s="2" t="s">
        <v>77</v>
      </c>
      <c r="B1437" s="2">
        <v>2013</v>
      </c>
      <c r="C1437" s="2" t="s">
        <v>57</v>
      </c>
      <c r="D1437" s="2" t="s">
        <v>41</v>
      </c>
      <c r="E1437" s="2" t="s">
        <v>78</v>
      </c>
      <c r="F1437" s="2" t="s">
        <v>79</v>
      </c>
      <c r="G1437" s="2">
        <f t="shared" si="22"/>
        <v>0.44049079754601228</v>
      </c>
      <c r="H1437" s="5">
        <v>4.223529411764706</v>
      </c>
      <c r="I1437" s="2">
        <v>85</v>
      </c>
      <c r="J1437" s="12">
        <f>I1437/Pondération!$J$95</f>
        <v>0.10429447852760736</v>
      </c>
    </row>
    <row r="1438" spans="1:10" x14ac:dyDescent="0.25">
      <c r="A1438" s="2" t="s">
        <v>77</v>
      </c>
      <c r="B1438" s="2">
        <v>2013</v>
      </c>
      <c r="C1438" s="2" t="s">
        <v>58</v>
      </c>
      <c r="D1438" s="2" t="s">
        <v>41</v>
      </c>
      <c r="E1438" s="2" t="s">
        <v>78</v>
      </c>
      <c r="F1438" s="2" t="s">
        <v>79</v>
      </c>
      <c r="G1438" s="2">
        <f t="shared" si="22"/>
        <v>0.41840490797546015</v>
      </c>
      <c r="H1438" s="5">
        <v>4.4285714285714288</v>
      </c>
      <c r="I1438" s="2">
        <v>77</v>
      </c>
      <c r="J1438" s="12">
        <f>I1438/Pondération!$J$95</f>
        <v>9.4478527607361959E-2</v>
      </c>
    </row>
    <row r="1439" spans="1:10" x14ac:dyDescent="0.25">
      <c r="A1439" s="2" t="s">
        <v>77</v>
      </c>
      <c r="B1439" s="2">
        <v>2013</v>
      </c>
      <c r="C1439" s="2" t="s">
        <v>59</v>
      </c>
      <c r="D1439" s="2" t="s">
        <v>41</v>
      </c>
      <c r="E1439" s="2" t="s">
        <v>78</v>
      </c>
      <c r="F1439" s="2" t="s">
        <v>79</v>
      </c>
      <c r="G1439" s="2">
        <f t="shared" si="22"/>
        <v>0.34171779141104291</v>
      </c>
      <c r="H1439" s="5">
        <v>4.0362318840579707</v>
      </c>
      <c r="I1439" s="2">
        <v>69</v>
      </c>
      <c r="J1439" s="12">
        <f>I1439/Pondération!$J$95</f>
        <v>8.4662576687116561E-2</v>
      </c>
    </row>
    <row r="1440" spans="1:10" x14ac:dyDescent="0.25">
      <c r="A1440" s="2" t="s">
        <v>77</v>
      </c>
      <c r="B1440" s="2">
        <v>2013</v>
      </c>
      <c r="C1440" s="2" t="s">
        <v>60</v>
      </c>
      <c r="D1440" s="2" t="s">
        <v>41</v>
      </c>
      <c r="E1440" s="2" t="s">
        <v>78</v>
      </c>
      <c r="F1440" s="2" t="s">
        <v>79</v>
      </c>
      <c r="G1440" s="2">
        <f t="shared" si="22"/>
        <v>0.2607361963190184</v>
      </c>
      <c r="H1440" s="5">
        <v>4.25</v>
      </c>
      <c r="I1440" s="2">
        <v>50</v>
      </c>
      <c r="J1440" s="12">
        <f>I1440/Pondération!$J$95</f>
        <v>6.1349693251533742E-2</v>
      </c>
    </row>
    <row r="1441" spans="1:10" x14ac:dyDescent="0.25">
      <c r="A1441" s="2" t="s">
        <v>77</v>
      </c>
      <c r="B1441" s="2">
        <v>2014</v>
      </c>
      <c r="C1441" s="2" t="s">
        <v>61</v>
      </c>
      <c r="D1441" s="2" t="s">
        <v>41</v>
      </c>
      <c r="E1441" s="2" t="s">
        <v>78</v>
      </c>
      <c r="F1441" s="2" t="s">
        <v>79</v>
      </c>
      <c r="G1441" s="2">
        <f t="shared" si="22"/>
        <v>8.5958355579284579E-2</v>
      </c>
      <c r="H1441" s="5">
        <v>4.3513513513513518</v>
      </c>
      <c r="I1441" s="2">
        <v>37</v>
      </c>
      <c r="J1441" s="12">
        <f>I1441/Pondération!$I$95</f>
        <v>1.9754404698344902E-2</v>
      </c>
    </row>
    <row r="1442" spans="1:10" x14ac:dyDescent="0.25">
      <c r="A1442" s="2" t="s">
        <v>77</v>
      </c>
      <c r="B1442" s="2">
        <v>2014</v>
      </c>
      <c r="C1442" s="2" t="s">
        <v>62</v>
      </c>
      <c r="D1442" s="2" t="s">
        <v>41</v>
      </c>
      <c r="E1442" s="2" t="s">
        <v>78</v>
      </c>
      <c r="F1442" s="2" t="s">
        <v>79</v>
      </c>
      <c r="G1442" s="2">
        <f t="shared" si="22"/>
        <v>8.2754938601174582E-2</v>
      </c>
      <c r="H1442" s="5">
        <v>4.0789473684210522</v>
      </c>
      <c r="I1442" s="2">
        <v>38</v>
      </c>
      <c r="J1442" s="12">
        <f>I1442/Pondération!$I$95</f>
        <v>2.02883075280299E-2</v>
      </c>
    </row>
    <row r="1443" spans="1:10" x14ac:dyDescent="0.25">
      <c r="A1443" s="2" t="s">
        <v>77</v>
      </c>
      <c r="B1443" s="2">
        <v>2014</v>
      </c>
      <c r="C1443" s="2" t="s">
        <v>63</v>
      </c>
      <c r="D1443" s="2" t="s">
        <v>41</v>
      </c>
      <c r="E1443" s="2" t="s">
        <v>78</v>
      </c>
      <c r="F1443" s="2" t="s">
        <v>79</v>
      </c>
      <c r="G1443" s="2">
        <f t="shared" si="22"/>
        <v>0.16604378003203418</v>
      </c>
      <c r="H1443" s="5">
        <v>4.0921052631578947</v>
      </c>
      <c r="I1443" s="2">
        <v>76</v>
      </c>
      <c r="J1443" s="12">
        <f>I1443/Pondération!$I$95</f>
        <v>4.0576615056059799E-2</v>
      </c>
    </row>
    <row r="1444" spans="1:10" x14ac:dyDescent="0.25">
      <c r="A1444" s="2" t="s">
        <v>77</v>
      </c>
      <c r="B1444" s="2">
        <v>2014</v>
      </c>
      <c r="C1444" s="2" t="s">
        <v>64</v>
      </c>
      <c r="D1444" s="2" t="s">
        <v>41</v>
      </c>
      <c r="E1444" s="2" t="s">
        <v>78</v>
      </c>
      <c r="F1444" s="2" t="s">
        <v>79</v>
      </c>
      <c r="G1444" s="2">
        <f t="shared" si="22"/>
        <v>0.30646022423918851</v>
      </c>
      <c r="H1444" s="5">
        <v>4.1897810218978107</v>
      </c>
      <c r="I1444" s="2">
        <v>137</v>
      </c>
      <c r="J1444" s="12">
        <f>I1444/Pondération!$I$95</f>
        <v>7.3144687666844635E-2</v>
      </c>
    </row>
    <row r="1445" spans="1:10" x14ac:dyDescent="0.25">
      <c r="A1445" s="2" t="s">
        <v>77</v>
      </c>
      <c r="B1445" s="2">
        <v>2014</v>
      </c>
      <c r="C1445" s="2" t="s">
        <v>65</v>
      </c>
      <c r="D1445" s="2" t="s">
        <v>41</v>
      </c>
      <c r="E1445" s="2" t="s">
        <v>78</v>
      </c>
      <c r="F1445" s="2" t="s">
        <v>79</v>
      </c>
      <c r="G1445" s="2">
        <f t="shared" si="22"/>
        <v>0.3619861185264282</v>
      </c>
      <c r="H1445" s="5">
        <v>4.0843373493975905</v>
      </c>
      <c r="I1445" s="2">
        <v>166</v>
      </c>
      <c r="J1445" s="12">
        <f>I1445/Pondération!$I$95</f>
        <v>8.8627869727709557E-2</v>
      </c>
    </row>
    <row r="1446" spans="1:10" x14ac:dyDescent="0.25">
      <c r="A1446" s="2" t="s">
        <v>77</v>
      </c>
      <c r="B1446" s="2">
        <v>2014</v>
      </c>
      <c r="C1446" s="2" t="s">
        <v>66</v>
      </c>
      <c r="D1446" s="2" t="s">
        <v>41</v>
      </c>
      <c r="E1446" s="2" t="s">
        <v>78</v>
      </c>
      <c r="F1446" s="2" t="s">
        <v>79</v>
      </c>
      <c r="G1446" s="2">
        <f t="shared" si="22"/>
        <v>0.38494394020288314</v>
      </c>
      <c r="H1446" s="5">
        <v>4.1676300578034686</v>
      </c>
      <c r="I1446" s="2">
        <v>173</v>
      </c>
      <c r="J1446" s="12">
        <f>I1446/Pondération!$I$95</f>
        <v>9.2365189535504544E-2</v>
      </c>
    </row>
    <row r="1447" spans="1:10" x14ac:dyDescent="0.25">
      <c r="A1447" s="2" t="s">
        <v>77</v>
      </c>
      <c r="B1447" s="2">
        <v>2014</v>
      </c>
      <c r="C1447" s="2" t="s">
        <v>67</v>
      </c>
      <c r="D1447" s="2" t="s">
        <v>41</v>
      </c>
      <c r="E1447" s="2" t="s">
        <v>78</v>
      </c>
      <c r="F1447" s="2" t="s">
        <v>79</v>
      </c>
      <c r="G1447" s="2">
        <f t="shared" si="22"/>
        <v>0.51094500800854248</v>
      </c>
      <c r="H1447" s="5">
        <v>4.1428571428571432</v>
      </c>
      <c r="I1447" s="2">
        <v>231</v>
      </c>
      <c r="J1447" s="12">
        <f>I1447/Pondération!$I$95</f>
        <v>0.12333155365723439</v>
      </c>
    </row>
    <row r="1448" spans="1:10" x14ac:dyDescent="0.25">
      <c r="A1448" s="2" t="s">
        <v>77</v>
      </c>
      <c r="B1448" s="2">
        <v>2014</v>
      </c>
      <c r="C1448" s="2" t="s">
        <v>68</v>
      </c>
      <c r="D1448" s="2" t="s">
        <v>41</v>
      </c>
      <c r="E1448" s="2" t="s">
        <v>78</v>
      </c>
      <c r="F1448" s="2" t="s">
        <v>79</v>
      </c>
      <c r="G1448" s="2">
        <f t="shared" si="22"/>
        <v>0.74399359316604385</v>
      </c>
      <c r="H1448" s="5">
        <v>4.1350148367952526</v>
      </c>
      <c r="I1448" s="2">
        <v>337</v>
      </c>
      <c r="J1448" s="12">
        <f>I1448/Pondération!$I$95</f>
        <v>0.17992525360384409</v>
      </c>
    </row>
    <row r="1449" spans="1:10" x14ac:dyDescent="0.25">
      <c r="A1449" s="2" t="s">
        <v>77</v>
      </c>
      <c r="B1449" s="2">
        <v>2014</v>
      </c>
      <c r="C1449" s="2" t="s">
        <v>69</v>
      </c>
      <c r="D1449" s="2" t="s">
        <v>41</v>
      </c>
      <c r="E1449" s="2" t="s">
        <v>78</v>
      </c>
      <c r="F1449" s="2" t="s">
        <v>79</v>
      </c>
      <c r="G1449" s="2">
        <f t="shared" si="22"/>
        <v>0.42471970101441531</v>
      </c>
      <c r="H1449" s="5">
        <v>4.1868421052631577</v>
      </c>
      <c r="I1449" s="2">
        <v>190</v>
      </c>
      <c r="J1449" s="12">
        <f>I1449/Pondération!$I$95</f>
        <v>0.10144153764014949</v>
      </c>
    </row>
    <row r="1450" spans="1:10" x14ac:dyDescent="0.25">
      <c r="A1450" s="2" t="s">
        <v>77</v>
      </c>
      <c r="B1450" s="2">
        <v>2014</v>
      </c>
      <c r="C1450" s="2" t="s">
        <v>70</v>
      </c>
      <c r="D1450" s="2" t="s">
        <v>41</v>
      </c>
      <c r="E1450" s="2" t="s">
        <v>78</v>
      </c>
      <c r="F1450" s="2" t="s">
        <v>79</v>
      </c>
      <c r="G1450" s="2">
        <f t="shared" si="22"/>
        <v>0.43699946609717033</v>
      </c>
      <c r="H1450" s="5">
        <v>4.154822335025381</v>
      </c>
      <c r="I1450" s="2">
        <v>197</v>
      </c>
      <c r="J1450" s="12">
        <f>I1450/Pondération!$I$95</f>
        <v>0.10517885744794447</v>
      </c>
    </row>
    <row r="1451" spans="1:10" x14ac:dyDescent="0.25">
      <c r="A1451" s="2" t="s">
        <v>77</v>
      </c>
      <c r="B1451" s="2">
        <v>2014</v>
      </c>
      <c r="C1451" s="2" t="s">
        <v>71</v>
      </c>
      <c r="D1451" s="2" t="s">
        <v>41</v>
      </c>
      <c r="E1451" s="2" t="s">
        <v>78</v>
      </c>
      <c r="F1451" s="2" t="s">
        <v>79</v>
      </c>
      <c r="G1451" s="2">
        <f t="shared" si="22"/>
        <v>0.34543513080619331</v>
      </c>
      <c r="H1451" s="5">
        <v>4.2012987012987013</v>
      </c>
      <c r="I1451" s="2">
        <v>154</v>
      </c>
      <c r="J1451" s="12">
        <f>I1451/Pondération!$I$95</f>
        <v>8.2221035771489592E-2</v>
      </c>
    </row>
    <row r="1452" spans="1:10" x14ac:dyDescent="0.25">
      <c r="A1452" s="2" t="s">
        <v>77</v>
      </c>
      <c r="B1452" s="2">
        <v>2014</v>
      </c>
      <c r="C1452" s="2" t="s">
        <v>72</v>
      </c>
      <c r="D1452" s="2" t="s">
        <v>41</v>
      </c>
      <c r="E1452" s="2" t="s">
        <v>78</v>
      </c>
      <c r="F1452" s="2" t="s">
        <v>79</v>
      </c>
      <c r="G1452" s="2">
        <f t="shared" si="22"/>
        <v>0.30806193272824345</v>
      </c>
      <c r="H1452" s="5">
        <v>4.211678832116788</v>
      </c>
      <c r="I1452" s="2">
        <v>137</v>
      </c>
      <c r="J1452" s="12">
        <f>I1452/Pondération!$I$95</f>
        <v>7.3144687666844635E-2</v>
      </c>
    </row>
    <row r="1453" spans="1:10" x14ac:dyDescent="0.25">
      <c r="A1453" s="2" t="s">
        <v>77</v>
      </c>
      <c r="B1453" s="2">
        <v>2015</v>
      </c>
      <c r="C1453" s="2" t="s">
        <v>73</v>
      </c>
      <c r="D1453" s="2" t="s">
        <v>41</v>
      </c>
      <c r="E1453" s="2" t="s">
        <v>78</v>
      </c>
      <c r="F1453" s="2" t="s">
        <v>79</v>
      </c>
      <c r="G1453" s="2">
        <f t="shared" si="22"/>
        <v>0.14216505178750419</v>
      </c>
      <c r="H1453" s="5">
        <v>4.0913461538461542</v>
      </c>
      <c r="I1453" s="2">
        <v>104</v>
      </c>
      <c r="J1453" s="12">
        <f>I1453/Pondération!$H$95</f>
        <v>3.4747744737721346E-2</v>
      </c>
    </row>
    <row r="1454" spans="1:10" x14ac:dyDescent="0.25">
      <c r="A1454" s="2" t="s">
        <v>77</v>
      </c>
      <c r="B1454" s="2">
        <v>2015</v>
      </c>
      <c r="C1454" s="2" t="s">
        <v>74</v>
      </c>
      <c r="D1454" s="2" t="s">
        <v>41</v>
      </c>
      <c r="E1454" s="2" t="s">
        <v>78</v>
      </c>
      <c r="F1454" s="2" t="s">
        <v>79</v>
      </c>
      <c r="G1454" s="2">
        <f t="shared" si="22"/>
        <v>0.195790177079853</v>
      </c>
      <c r="H1454" s="5">
        <v>4.1857142857142859</v>
      </c>
      <c r="I1454" s="2">
        <v>140</v>
      </c>
      <c r="J1454" s="12">
        <f>I1454/Pondération!$H$95</f>
        <v>4.6775810223855664E-2</v>
      </c>
    </row>
    <row r="1455" spans="1:10" x14ac:dyDescent="0.25">
      <c r="A1455" s="2" t="s">
        <v>77</v>
      </c>
      <c r="B1455" s="2">
        <v>2015</v>
      </c>
      <c r="C1455" s="2" t="s">
        <v>75</v>
      </c>
      <c r="D1455" s="2" t="s">
        <v>41</v>
      </c>
      <c r="E1455" s="2" t="s">
        <v>78</v>
      </c>
      <c r="F1455" s="2" t="s">
        <v>79</v>
      </c>
      <c r="G1455" s="2">
        <f t="shared" si="22"/>
        <v>0.2499164717674574</v>
      </c>
      <c r="H1455" s="5">
        <v>4.1787709497206702</v>
      </c>
      <c r="I1455" s="2">
        <v>179</v>
      </c>
      <c r="J1455" s="12">
        <f>I1455/Pondération!$H$95</f>
        <v>5.9806214500501172E-2</v>
      </c>
    </row>
    <row r="1456" spans="1:10" x14ac:dyDescent="0.25">
      <c r="A1456" s="2" t="s">
        <v>77</v>
      </c>
      <c r="B1456" s="2">
        <v>2015</v>
      </c>
      <c r="C1456" s="2" t="s">
        <v>76</v>
      </c>
      <c r="D1456" s="2" t="s">
        <v>41</v>
      </c>
      <c r="E1456" s="2" t="s">
        <v>78</v>
      </c>
      <c r="F1456" s="2" t="s">
        <v>79</v>
      </c>
      <c r="G1456" s="2">
        <f t="shared" si="22"/>
        <v>0.30988974273304376</v>
      </c>
      <c r="H1456" s="5">
        <v>4.1779279279279278</v>
      </c>
      <c r="I1456" s="2">
        <v>222</v>
      </c>
      <c r="J1456" s="12">
        <f>I1456/Pondération!$H$95</f>
        <v>7.4173070497828272E-2</v>
      </c>
    </row>
    <row r="1457" spans="1:10" x14ac:dyDescent="0.25">
      <c r="A1457" s="2" t="s">
        <v>77</v>
      </c>
      <c r="B1457" s="2">
        <v>2015</v>
      </c>
      <c r="C1457" s="2" t="s">
        <v>7</v>
      </c>
      <c r="D1457" s="2" t="s">
        <v>41</v>
      </c>
      <c r="E1457" s="2" t="s">
        <v>78</v>
      </c>
      <c r="F1457" s="2" t="s">
        <v>79</v>
      </c>
      <c r="G1457" s="2">
        <f t="shared" si="22"/>
        <v>0.41430003341129296</v>
      </c>
      <c r="H1457" s="5">
        <v>4.3055555555555554</v>
      </c>
      <c r="I1457" s="2">
        <v>288</v>
      </c>
      <c r="J1457" s="12">
        <f>I1457/Pondération!$H$95</f>
        <v>9.6224523889074501E-2</v>
      </c>
    </row>
    <row r="1458" spans="1:10" x14ac:dyDescent="0.25">
      <c r="A1458" s="2" t="s">
        <v>77</v>
      </c>
      <c r="B1458" s="2">
        <v>2015</v>
      </c>
      <c r="C1458" s="2" t="s">
        <v>11</v>
      </c>
      <c r="D1458" s="2" t="s">
        <v>41</v>
      </c>
      <c r="E1458" s="2" t="s">
        <v>78</v>
      </c>
      <c r="F1458" s="2" t="s">
        <v>79</v>
      </c>
      <c r="G1458" s="2">
        <f t="shared" si="22"/>
        <v>0.42532576010691608</v>
      </c>
      <c r="H1458" s="5">
        <v>4.2433333333333332</v>
      </c>
      <c r="I1458" s="2">
        <v>300</v>
      </c>
      <c r="J1458" s="12">
        <f>I1458/Pondération!$H$95</f>
        <v>0.10023387905111927</v>
      </c>
    </row>
    <row r="1459" spans="1:10" x14ac:dyDescent="0.25">
      <c r="A1459" s="2" t="s">
        <v>77</v>
      </c>
      <c r="B1459" s="2">
        <v>2015</v>
      </c>
      <c r="C1459" s="2" t="s">
        <v>12</v>
      </c>
      <c r="D1459" s="2" t="s">
        <v>41</v>
      </c>
      <c r="E1459" s="2" t="s">
        <v>78</v>
      </c>
      <c r="F1459" s="2" t="s">
        <v>79</v>
      </c>
      <c r="G1459" s="2">
        <f t="shared" si="22"/>
        <v>0.60491146007350483</v>
      </c>
      <c r="H1459" s="5">
        <v>4.26</v>
      </c>
      <c r="I1459" s="2">
        <v>425</v>
      </c>
      <c r="J1459" s="12">
        <f>I1459/Pondération!$H$95</f>
        <v>0.14199799532241897</v>
      </c>
    </row>
    <row r="1460" spans="1:10" x14ac:dyDescent="0.25">
      <c r="A1460" s="2" t="s">
        <v>77</v>
      </c>
      <c r="B1460" s="2">
        <v>2015</v>
      </c>
      <c r="C1460" s="2" t="s">
        <v>13</v>
      </c>
      <c r="D1460" s="2" t="s">
        <v>41</v>
      </c>
      <c r="E1460" s="2" t="s">
        <v>78</v>
      </c>
      <c r="F1460" s="2" t="s">
        <v>79</v>
      </c>
      <c r="G1460" s="2">
        <f t="shared" si="22"/>
        <v>0.74624122953558303</v>
      </c>
      <c r="H1460" s="5">
        <v>4.2221172022684312</v>
      </c>
      <c r="I1460" s="2">
        <v>529</v>
      </c>
      <c r="J1460" s="12">
        <f>I1460/Pondération!$H$95</f>
        <v>0.17674574006014032</v>
      </c>
    </row>
    <row r="1461" spans="1:10" x14ac:dyDescent="0.25">
      <c r="A1461" s="2" t="s">
        <v>77</v>
      </c>
      <c r="B1461" s="2">
        <v>2015</v>
      </c>
      <c r="C1461" s="2" t="s">
        <v>14</v>
      </c>
      <c r="D1461" s="2" t="s">
        <v>41</v>
      </c>
      <c r="E1461" s="2" t="s">
        <v>78</v>
      </c>
      <c r="F1461" s="2" t="s">
        <v>79</v>
      </c>
      <c r="G1461" s="2">
        <f t="shared" si="22"/>
        <v>0.35933845639826256</v>
      </c>
      <c r="H1461" s="5">
        <v>4.1686046511627906</v>
      </c>
      <c r="I1461" s="2">
        <v>258</v>
      </c>
      <c r="J1461" s="12">
        <f>I1461/Pondération!$H$95</f>
        <v>8.6201135983962576E-2</v>
      </c>
    </row>
    <row r="1462" spans="1:10" x14ac:dyDescent="0.25">
      <c r="A1462" s="2" t="s">
        <v>77</v>
      </c>
      <c r="B1462" s="2">
        <v>2015</v>
      </c>
      <c r="C1462" s="2" t="s">
        <v>15</v>
      </c>
      <c r="D1462" s="2" t="s">
        <v>41</v>
      </c>
      <c r="E1462" s="2" t="s">
        <v>78</v>
      </c>
      <c r="F1462" s="2" t="s">
        <v>79</v>
      </c>
      <c r="G1462" s="2">
        <f t="shared" si="22"/>
        <v>0.34179752756431675</v>
      </c>
      <c r="H1462" s="5">
        <v>4.2625000000000002</v>
      </c>
      <c r="I1462" s="2">
        <v>240</v>
      </c>
      <c r="J1462" s="12">
        <f>I1462/Pondération!$H$95</f>
        <v>8.0187103240895424E-2</v>
      </c>
    </row>
    <row r="1463" spans="1:10" x14ac:dyDescent="0.25">
      <c r="A1463" s="2" t="s">
        <v>77</v>
      </c>
      <c r="B1463" s="2">
        <v>2015</v>
      </c>
      <c r="C1463" s="2" t="s">
        <v>16</v>
      </c>
      <c r="D1463" s="2" t="s">
        <v>41</v>
      </c>
      <c r="E1463" s="2" t="s">
        <v>78</v>
      </c>
      <c r="F1463" s="2" t="s">
        <v>79</v>
      </c>
      <c r="G1463" s="2">
        <f t="shared" si="22"/>
        <v>0.22402271967925161</v>
      </c>
      <c r="H1463" s="5">
        <v>4.2436708860759493</v>
      </c>
      <c r="I1463" s="2">
        <v>158</v>
      </c>
      <c r="J1463" s="12">
        <f>I1463/Pondération!$H$95</f>
        <v>5.2789842966922823E-2</v>
      </c>
    </row>
    <row r="1464" spans="1:10" x14ac:dyDescent="0.25">
      <c r="A1464" s="2" t="s">
        <v>77</v>
      </c>
      <c r="B1464" s="2">
        <v>2015</v>
      </c>
      <c r="C1464" s="2" t="s">
        <v>17</v>
      </c>
      <c r="D1464" s="2" t="s">
        <v>41</v>
      </c>
      <c r="E1464" s="2" t="s">
        <v>78</v>
      </c>
      <c r="F1464" s="2" t="s">
        <v>79</v>
      </c>
      <c r="G1464" s="2">
        <f t="shared" si="22"/>
        <v>0.21466755763448045</v>
      </c>
      <c r="H1464" s="5">
        <v>4.2833333333333332</v>
      </c>
      <c r="I1464" s="2">
        <v>150</v>
      </c>
      <c r="J1464" s="12">
        <f>I1464/Pondération!$H$95</f>
        <v>5.0116939525559637E-2</v>
      </c>
    </row>
    <row r="1465" spans="1:10" x14ac:dyDescent="0.25">
      <c r="A1465" s="2" t="s">
        <v>77</v>
      </c>
      <c r="B1465" s="2">
        <v>2016</v>
      </c>
      <c r="C1465" s="2" t="s">
        <v>18</v>
      </c>
      <c r="D1465" s="2" t="s">
        <v>41</v>
      </c>
      <c r="E1465" s="2" t="s">
        <v>78</v>
      </c>
      <c r="F1465" s="2" t="s">
        <v>79</v>
      </c>
      <c r="G1465" s="2">
        <f t="shared" si="22"/>
        <v>0.1310400368154625</v>
      </c>
      <c r="H1465" s="5">
        <v>4.25</v>
      </c>
      <c r="I1465" s="2">
        <v>134</v>
      </c>
      <c r="J1465" s="12">
        <f>I1465/Pondération!$G$95</f>
        <v>3.0832949838932353E-2</v>
      </c>
    </row>
    <row r="1466" spans="1:10" x14ac:dyDescent="0.25">
      <c r="A1466" s="2" t="s">
        <v>77</v>
      </c>
      <c r="B1466" s="2">
        <v>2016</v>
      </c>
      <c r="C1466" s="2" t="s">
        <v>19</v>
      </c>
      <c r="D1466" s="2" t="s">
        <v>41</v>
      </c>
      <c r="E1466" s="2" t="s">
        <v>78</v>
      </c>
      <c r="F1466" s="2" t="s">
        <v>79</v>
      </c>
      <c r="G1466" s="2">
        <f t="shared" si="22"/>
        <v>0.17211228716060745</v>
      </c>
      <c r="H1466" s="5">
        <v>4.25</v>
      </c>
      <c r="I1466" s="2">
        <v>176</v>
      </c>
      <c r="J1466" s="12">
        <f>I1466/Pondération!$G$95</f>
        <v>4.049700874367234E-2</v>
      </c>
    </row>
    <row r="1467" spans="1:10" x14ac:dyDescent="0.25">
      <c r="A1467" s="2" t="s">
        <v>77</v>
      </c>
      <c r="B1467" s="2">
        <v>2016</v>
      </c>
      <c r="C1467" s="2" t="s">
        <v>20</v>
      </c>
      <c r="D1467" s="2" t="s">
        <v>41</v>
      </c>
      <c r="E1467" s="2" t="s">
        <v>78</v>
      </c>
      <c r="F1467" s="2" t="s">
        <v>79</v>
      </c>
      <c r="G1467" s="2">
        <f t="shared" si="22"/>
        <v>0.24689369535204783</v>
      </c>
      <c r="H1467" s="5">
        <v>4.2244094488188972</v>
      </c>
      <c r="I1467" s="2">
        <v>254</v>
      </c>
      <c r="J1467" s="12">
        <f>I1467/Pondération!$G$95</f>
        <v>5.8444546709618038E-2</v>
      </c>
    </row>
    <row r="1468" spans="1:10" x14ac:dyDescent="0.25">
      <c r="A1468" s="2" t="s">
        <v>77</v>
      </c>
      <c r="B1468" s="2">
        <v>2016</v>
      </c>
      <c r="C1468" s="2" t="s">
        <v>21</v>
      </c>
      <c r="D1468" s="2" t="s">
        <v>41</v>
      </c>
      <c r="E1468" s="2" t="s">
        <v>78</v>
      </c>
      <c r="F1468" s="2" t="s">
        <v>79</v>
      </c>
      <c r="G1468" s="2">
        <f t="shared" si="22"/>
        <v>0.39001380579843531</v>
      </c>
      <c r="H1468" s="5">
        <v>4.3461538461538458</v>
      </c>
      <c r="I1468" s="2">
        <v>390</v>
      </c>
      <c r="J1468" s="12">
        <f>I1468/Pondération!$G$95</f>
        <v>8.973768982972849E-2</v>
      </c>
    </row>
    <row r="1469" spans="1:10" x14ac:dyDescent="0.25">
      <c r="A1469" s="2" t="s">
        <v>77</v>
      </c>
      <c r="B1469" s="2">
        <v>2016</v>
      </c>
      <c r="C1469" s="2" t="s">
        <v>22</v>
      </c>
      <c r="D1469" s="2" t="s">
        <v>41</v>
      </c>
      <c r="E1469" s="2" t="s">
        <v>78</v>
      </c>
      <c r="F1469" s="2" t="s">
        <v>79</v>
      </c>
      <c r="G1469" s="2">
        <f t="shared" si="22"/>
        <v>0.45823745973308788</v>
      </c>
      <c r="H1469" s="5">
        <v>4.4059734513274336</v>
      </c>
      <c r="I1469" s="2">
        <v>452</v>
      </c>
      <c r="J1469" s="12">
        <f>I1469/Pondération!$G$95</f>
        <v>0.10400368154624942</v>
      </c>
    </row>
    <row r="1470" spans="1:10" x14ac:dyDescent="0.25">
      <c r="A1470" s="2" t="s">
        <v>77</v>
      </c>
      <c r="B1470" s="2">
        <v>2016</v>
      </c>
      <c r="C1470" s="2" t="s">
        <v>23</v>
      </c>
      <c r="D1470" s="2" t="s">
        <v>41</v>
      </c>
      <c r="E1470" s="2" t="s">
        <v>78</v>
      </c>
      <c r="F1470" s="2" t="s">
        <v>79</v>
      </c>
      <c r="G1470" s="2">
        <f t="shared" si="22"/>
        <v>0.33732167510354344</v>
      </c>
      <c r="H1470" s="5">
        <v>4.4424242424242424</v>
      </c>
      <c r="I1470" s="2">
        <v>330</v>
      </c>
      <c r="J1470" s="12">
        <f>I1470/Pondération!$G$95</f>
        <v>7.5931891394385637E-2</v>
      </c>
    </row>
    <row r="1471" spans="1:10" x14ac:dyDescent="0.25">
      <c r="A1471" s="2" t="s">
        <v>77</v>
      </c>
      <c r="B1471" s="2">
        <v>2016</v>
      </c>
      <c r="C1471" s="2" t="s">
        <v>24</v>
      </c>
      <c r="D1471" s="2" t="s">
        <v>41</v>
      </c>
      <c r="E1471" s="2" t="s">
        <v>78</v>
      </c>
      <c r="F1471" s="2" t="s">
        <v>79</v>
      </c>
      <c r="G1471" s="2">
        <f t="shared" si="22"/>
        <v>0.53946157386102167</v>
      </c>
      <c r="H1471" s="5">
        <v>4.3416666666666668</v>
      </c>
      <c r="I1471" s="2">
        <v>540</v>
      </c>
      <c r="J1471" s="12">
        <f>I1471/Pondération!$G$95</f>
        <v>0.12425218591808559</v>
      </c>
    </row>
    <row r="1472" spans="1:10" x14ac:dyDescent="0.25">
      <c r="A1472" s="2" t="s">
        <v>77</v>
      </c>
      <c r="B1472" s="2">
        <v>2016</v>
      </c>
      <c r="C1472" s="2" t="s">
        <v>25</v>
      </c>
      <c r="D1472" s="2" t="s">
        <v>41</v>
      </c>
      <c r="E1472" s="2" t="s">
        <v>78</v>
      </c>
      <c r="F1472" s="2" t="s">
        <v>79</v>
      </c>
      <c r="G1472" s="2">
        <f t="shared" si="22"/>
        <v>0.75057524160147271</v>
      </c>
      <c r="H1472" s="5">
        <v>4.2977602108036894</v>
      </c>
      <c r="I1472" s="2">
        <v>759</v>
      </c>
      <c r="J1472" s="12">
        <f>I1472/Pondération!$G$95</f>
        <v>0.17464335020708699</v>
      </c>
    </row>
    <row r="1473" spans="1:10" x14ac:dyDescent="0.25">
      <c r="A1473" s="2" t="s">
        <v>77</v>
      </c>
      <c r="B1473" s="2">
        <v>2016</v>
      </c>
      <c r="C1473" s="2" t="s">
        <v>26</v>
      </c>
      <c r="D1473" s="2" t="s">
        <v>41</v>
      </c>
      <c r="E1473" s="2" t="s">
        <v>78</v>
      </c>
      <c r="F1473" s="2" t="s">
        <v>79</v>
      </c>
      <c r="G1473" s="2">
        <f t="shared" si="22"/>
        <v>0.44765301426599174</v>
      </c>
      <c r="H1473" s="5">
        <v>4.3719101123595507</v>
      </c>
      <c r="I1473" s="2">
        <v>445</v>
      </c>
      <c r="J1473" s="12">
        <f>I1473/Pondération!$G$95</f>
        <v>0.10239300506212609</v>
      </c>
    </row>
    <row r="1474" spans="1:10" x14ac:dyDescent="0.25">
      <c r="A1474" s="2" t="s">
        <v>77</v>
      </c>
      <c r="B1474" s="2">
        <v>2016</v>
      </c>
      <c r="C1474" s="2" t="s">
        <v>27</v>
      </c>
      <c r="D1474" s="2" t="s">
        <v>41</v>
      </c>
      <c r="E1474" s="2" t="s">
        <v>78</v>
      </c>
      <c r="F1474" s="2" t="s">
        <v>79</v>
      </c>
      <c r="G1474" s="2">
        <f t="shared" ref="G1474:G1537" si="23">H1474*J1474</f>
        <v>0.37620800736309246</v>
      </c>
      <c r="H1474" s="5">
        <v>4.313984168865435</v>
      </c>
      <c r="I1474" s="2">
        <v>379</v>
      </c>
      <c r="J1474" s="12">
        <f>I1474/Pondération!$G$95</f>
        <v>8.7206626783248961E-2</v>
      </c>
    </row>
    <row r="1475" spans="1:10" x14ac:dyDescent="0.25">
      <c r="A1475" s="2" t="s">
        <v>77</v>
      </c>
      <c r="B1475" s="2">
        <v>2016</v>
      </c>
      <c r="C1475" s="2" t="s">
        <v>28</v>
      </c>
      <c r="D1475" s="2" t="s">
        <v>41</v>
      </c>
      <c r="E1475" s="2" t="s">
        <v>78</v>
      </c>
      <c r="F1475" s="2" t="s">
        <v>79</v>
      </c>
      <c r="G1475" s="2">
        <f t="shared" si="23"/>
        <v>0.29475379659456968</v>
      </c>
      <c r="H1475" s="5">
        <v>4.2699999999999996</v>
      </c>
      <c r="I1475" s="2">
        <v>300</v>
      </c>
      <c r="J1475" s="12">
        <f>I1475/Pondération!$G$95</f>
        <v>6.9028992176714224E-2</v>
      </c>
    </row>
    <row r="1476" spans="1:10" x14ac:dyDescent="0.25">
      <c r="A1476" s="2" t="s">
        <v>77</v>
      </c>
      <c r="B1476" s="2">
        <v>2016</v>
      </c>
      <c r="C1476" s="2" t="s">
        <v>29</v>
      </c>
      <c r="D1476" s="2" t="s">
        <v>41</v>
      </c>
      <c r="E1476" s="2" t="s">
        <v>78</v>
      </c>
      <c r="F1476" s="2" t="s">
        <v>79</v>
      </c>
      <c r="G1476" s="2">
        <f t="shared" si="23"/>
        <v>0.17993557294063506</v>
      </c>
      <c r="H1476" s="5">
        <v>4.1818181818181817</v>
      </c>
      <c r="I1476" s="2">
        <v>187</v>
      </c>
      <c r="J1476" s="12">
        <f>I1476/Pondération!$G$95</f>
        <v>4.3028071790151862E-2</v>
      </c>
    </row>
    <row r="1477" spans="1:10" x14ac:dyDescent="0.25">
      <c r="A1477" s="2" t="s">
        <v>77</v>
      </c>
      <c r="B1477" s="2">
        <v>2017</v>
      </c>
      <c r="C1477" s="2" t="s">
        <v>30</v>
      </c>
      <c r="D1477" s="2" t="s">
        <v>41</v>
      </c>
      <c r="E1477" s="2" t="s">
        <v>78</v>
      </c>
      <c r="F1477" s="2" t="s">
        <v>79</v>
      </c>
      <c r="G1477" s="2">
        <f t="shared" si="23"/>
        <v>0.41568836712913548</v>
      </c>
      <c r="H1477" s="5">
        <v>4.1436170212765955</v>
      </c>
      <c r="I1477" s="2">
        <v>188</v>
      </c>
      <c r="J1477" s="12">
        <f>I1477/Pondération!$F$95</f>
        <v>0.10032017075773746</v>
      </c>
    </row>
    <row r="1478" spans="1:10" x14ac:dyDescent="0.25">
      <c r="A1478" s="2" t="s">
        <v>77</v>
      </c>
      <c r="B1478" s="2">
        <v>2017</v>
      </c>
      <c r="C1478" s="2" t="s">
        <v>31</v>
      </c>
      <c r="D1478" s="2" t="s">
        <v>41</v>
      </c>
      <c r="E1478" s="2" t="s">
        <v>78</v>
      </c>
      <c r="F1478" s="2" t="s">
        <v>79</v>
      </c>
      <c r="G1478" s="2">
        <f t="shared" si="23"/>
        <v>0.50560298826040551</v>
      </c>
      <c r="H1478" s="5">
        <v>4.1557017543859649</v>
      </c>
      <c r="I1478" s="2">
        <v>228</v>
      </c>
      <c r="J1478" s="12">
        <f>I1478/Pondération!$F$95</f>
        <v>0.12166488794023479</v>
      </c>
    </row>
    <row r="1479" spans="1:10" x14ac:dyDescent="0.25">
      <c r="A1479" s="2" t="s">
        <v>77</v>
      </c>
      <c r="B1479" s="2">
        <v>2017</v>
      </c>
      <c r="C1479" s="2" t="s">
        <v>32</v>
      </c>
      <c r="D1479" s="2" t="s">
        <v>41</v>
      </c>
      <c r="E1479" s="2" t="s">
        <v>78</v>
      </c>
      <c r="F1479" s="2" t="s">
        <v>79</v>
      </c>
      <c r="G1479" s="2">
        <f t="shared" si="23"/>
        <v>0.57550693703308431</v>
      </c>
      <c r="H1479" s="5">
        <v>4.1640926640926637</v>
      </c>
      <c r="I1479" s="2">
        <v>259</v>
      </c>
      <c r="J1479" s="12">
        <f>I1479/Pondération!$F$95</f>
        <v>0.13820704375667023</v>
      </c>
    </row>
    <row r="1480" spans="1:10" x14ac:dyDescent="0.25">
      <c r="A1480" s="2" t="s">
        <v>77</v>
      </c>
      <c r="B1480" s="2">
        <v>2017</v>
      </c>
      <c r="C1480" s="2" t="s">
        <v>33</v>
      </c>
      <c r="D1480" s="2" t="s">
        <v>41</v>
      </c>
      <c r="E1480" s="2" t="s">
        <v>78</v>
      </c>
      <c r="F1480" s="2" t="s">
        <v>79</v>
      </c>
      <c r="G1480" s="2">
        <f t="shared" si="23"/>
        <v>1.161152614727855</v>
      </c>
      <c r="H1480" s="5">
        <v>4.2252427184466024</v>
      </c>
      <c r="I1480" s="2">
        <v>515</v>
      </c>
      <c r="J1480" s="12">
        <f>I1480/Pondération!$F$95</f>
        <v>0.27481323372465316</v>
      </c>
    </row>
    <row r="1481" spans="1:10" x14ac:dyDescent="0.25">
      <c r="A1481" s="2" t="s">
        <v>77</v>
      </c>
      <c r="B1481" s="2">
        <v>2017</v>
      </c>
      <c r="C1481" s="2" t="s">
        <v>34</v>
      </c>
      <c r="D1481" s="2" t="s">
        <v>41</v>
      </c>
      <c r="E1481" s="2" t="s">
        <v>78</v>
      </c>
      <c r="F1481" s="2" t="s">
        <v>79</v>
      </c>
      <c r="G1481" s="2">
        <f t="shared" si="23"/>
        <v>1.0707043756670225</v>
      </c>
      <c r="H1481" s="5">
        <v>4.3619565217391303</v>
      </c>
      <c r="I1481" s="2">
        <v>460</v>
      </c>
      <c r="J1481" s="12">
        <f>I1481/Pondération!$F$95</f>
        <v>0.24546424759871932</v>
      </c>
    </row>
    <row r="1482" spans="1:10" x14ac:dyDescent="0.25">
      <c r="A1482" s="2" t="s">
        <v>77</v>
      </c>
      <c r="B1482" s="2">
        <v>2017</v>
      </c>
      <c r="C1482" s="2" t="s">
        <v>80</v>
      </c>
      <c r="D1482" s="2" t="s">
        <v>41</v>
      </c>
      <c r="E1482" s="2" t="s">
        <v>78</v>
      </c>
      <c r="F1482" s="2" t="s">
        <v>79</v>
      </c>
      <c r="G1482" s="2">
        <f t="shared" si="23"/>
        <v>0.50853788687299895</v>
      </c>
      <c r="H1482" s="5">
        <v>4.2544642857142856</v>
      </c>
      <c r="I1482" s="2">
        <v>224</v>
      </c>
      <c r="J1482" s="12">
        <f>I1482/Pondération!$F$95</f>
        <v>0.11953041622198506</v>
      </c>
    </row>
    <row r="1483" spans="1:10" x14ac:dyDescent="0.25">
      <c r="A1483" s="2" t="s">
        <v>77</v>
      </c>
      <c r="B1483" s="2">
        <v>2013</v>
      </c>
      <c r="C1483" s="2" t="s">
        <v>49</v>
      </c>
      <c r="D1483" s="2" t="s">
        <v>41</v>
      </c>
      <c r="E1483" s="2" t="s">
        <v>78</v>
      </c>
      <c r="F1483" s="2" t="s">
        <v>81</v>
      </c>
      <c r="G1483" s="2">
        <f t="shared" si="23"/>
        <v>0.13649425287356323</v>
      </c>
      <c r="H1483" s="5">
        <v>4.3181818181818183</v>
      </c>
      <c r="I1483" s="2">
        <v>11</v>
      </c>
      <c r="J1483" s="12">
        <f>I1483/Pondération!$J$96</f>
        <v>3.1609195402298854E-2</v>
      </c>
    </row>
    <row r="1484" spans="1:10" x14ac:dyDescent="0.25">
      <c r="A1484" s="2" t="s">
        <v>77</v>
      </c>
      <c r="B1484" s="2">
        <v>2013</v>
      </c>
      <c r="C1484" s="2" t="s">
        <v>50</v>
      </c>
      <c r="D1484" s="2" t="s">
        <v>41</v>
      </c>
      <c r="E1484" s="2" t="s">
        <v>78</v>
      </c>
      <c r="F1484" s="2" t="s">
        <v>81</v>
      </c>
      <c r="G1484" s="2">
        <f t="shared" si="23"/>
        <v>0.20258620689655171</v>
      </c>
      <c r="H1484" s="5">
        <v>4.40625</v>
      </c>
      <c r="I1484" s="2">
        <v>16</v>
      </c>
      <c r="J1484" s="12">
        <f>I1484/Pondération!$J$96</f>
        <v>4.5977011494252873E-2</v>
      </c>
    </row>
    <row r="1485" spans="1:10" x14ac:dyDescent="0.25">
      <c r="A1485" s="2" t="s">
        <v>77</v>
      </c>
      <c r="B1485" s="2">
        <v>2013</v>
      </c>
      <c r="C1485" s="2" t="s">
        <v>51</v>
      </c>
      <c r="D1485" s="2" t="s">
        <v>41</v>
      </c>
      <c r="E1485" s="2" t="s">
        <v>78</v>
      </c>
      <c r="F1485" s="2" t="s">
        <v>81</v>
      </c>
      <c r="G1485" s="2">
        <f t="shared" si="23"/>
        <v>0.15948275862068967</v>
      </c>
      <c r="H1485" s="5">
        <v>4.2692307692307692</v>
      </c>
      <c r="I1485" s="2">
        <v>13</v>
      </c>
      <c r="J1485" s="12">
        <f>I1485/Pondération!$J$96</f>
        <v>3.7356321839080463E-2</v>
      </c>
    </row>
    <row r="1486" spans="1:10" x14ac:dyDescent="0.25">
      <c r="A1486" s="2" t="s">
        <v>77</v>
      </c>
      <c r="B1486" s="2">
        <v>2013</v>
      </c>
      <c r="C1486" s="2" t="s">
        <v>52</v>
      </c>
      <c r="D1486" s="2" t="s">
        <v>41</v>
      </c>
      <c r="E1486" s="2" t="s">
        <v>78</v>
      </c>
      <c r="F1486" s="2" t="s">
        <v>81</v>
      </c>
      <c r="G1486" s="2">
        <f t="shared" si="23"/>
        <v>0.36063218390804597</v>
      </c>
      <c r="H1486" s="5">
        <v>4.3275862068965516</v>
      </c>
      <c r="I1486" s="2">
        <v>29</v>
      </c>
      <c r="J1486" s="12">
        <f>I1486/Pondération!$J$96</f>
        <v>8.3333333333333329E-2</v>
      </c>
    </row>
    <row r="1487" spans="1:10" x14ac:dyDescent="0.25">
      <c r="A1487" s="2" t="s">
        <v>77</v>
      </c>
      <c r="B1487" s="2">
        <v>2013</v>
      </c>
      <c r="C1487" s="2" t="s">
        <v>53</v>
      </c>
      <c r="D1487" s="2" t="s">
        <v>41</v>
      </c>
      <c r="E1487" s="2" t="s">
        <v>78</v>
      </c>
      <c r="F1487" s="2" t="s">
        <v>81</v>
      </c>
      <c r="G1487" s="2">
        <f t="shared" si="23"/>
        <v>0.2557471264367816</v>
      </c>
      <c r="H1487" s="5">
        <v>4.45</v>
      </c>
      <c r="I1487" s="2">
        <v>20</v>
      </c>
      <c r="J1487" s="12">
        <f>I1487/Pondération!$J$96</f>
        <v>5.7471264367816091E-2</v>
      </c>
    </row>
    <row r="1488" spans="1:10" x14ac:dyDescent="0.25">
      <c r="A1488" s="2" t="s">
        <v>77</v>
      </c>
      <c r="B1488" s="2">
        <v>2013</v>
      </c>
      <c r="C1488" s="2" t="s">
        <v>54</v>
      </c>
      <c r="D1488" s="2" t="s">
        <v>41</v>
      </c>
      <c r="E1488" s="2" t="s">
        <v>78</v>
      </c>
      <c r="F1488" s="2" t="s">
        <v>81</v>
      </c>
      <c r="G1488" s="2">
        <f t="shared" si="23"/>
        <v>0.17385057471264367</v>
      </c>
      <c r="H1488" s="5">
        <v>4.3214285714285712</v>
      </c>
      <c r="I1488" s="2">
        <v>14</v>
      </c>
      <c r="J1488" s="12">
        <f>I1488/Pondération!$J$96</f>
        <v>4.0229885057471264E-2</v>
      </c>
    </row>
    <row r="1489" spans="1:10" x14ac:dyDescent="0.25">
      <c r="A1489" s="2" t="s">
        <v>77</v>
      </c>
      <c r="B1489" s="2">
        <v>2013</v>
      </c>
      <c r="C1489" s="2" t="s">
        <v>55</v>
      </c>
      <c r="D1489" s="2" t="s">
        <v>41</v>
      </c>
      <c r="E1489" s="2" t="s">
        <v>78</v>
      </c>
      <c r="F1489" s="2" t="s">
        <v>81</v>
      </c>
      <c r="G1489" s="2">
        <f t="shared" si="23"/>
        <v>0.35344827586206901</v>
      </c>
      <c r="H1489" s="5">
        <v>4.3928571428571432</v>
      </c>
      <c r="I1489" s="2">
        <v>28</v>
      </c>
      <c r="J1489" s="12">
        <f>I1489/Pondération!$J$96</f>
        <v>8.0459770114942528E-2</v>
      </c>
    </row>
    <row r="1490" spans="1:10" x14ac:dyDescent="0.25">
      <c r="A1490" s="2" t="s">
        <v>77</v>
      </c>
      <c r="B1490" s="2">
        <v>2013</v>
      </c>
      <c r="C1490" s="2" t="s">
        <v>56</v>
      </c>
      <c r="D1490" s="2" t="s">
        <v>41</v>
      </c>
      <c r="E1490" s="2" t="s">
        <v>78</v>
      </c>
      <c r="F1490" s="2" t="s">
        <v>81</v>
      </c>
      <c r="G1490" s="2">
        <f t="shared" si="23"/>
        <v>0.45833333333333337</v>
      </c>
      <c r="H1490" s="5">
        <v>4.1973684210526319</v>
      </c>
      <c r="I1490" s="2">
        <v>38</v>
      </c>
      <c r="J1490" s="12">
        <f>I1490/Pondération!$J$96</f>
        <v>0.10919540229885058</v>
      </c>
    </row>
    <row r="1491" spans="1:10" x14ac:dyDescent="0.25">
      <c r="A1491" s="2" t="s">
        <v>77</v>
      </c>
      <c r="B1491" s="2">
        <v>2013</v>
      </c>
      <c r="C1491" s="2" t="s">
        <v>57</v>
      </c>
      <c r="D1491" s="2" t="s">
        <v>41</v>
      </c>
      <c r="E1491" s="2" t="s">
        <v>78</v>
      </c>
      <c r="F1491" s="2" t="s">
        <v>81</v>
      </c>
      <c r="G1491" s="2">
        <f t="shared" si="23"/>
        <v>0.28304597701149425</v>
      </c>
      <c r="H1491" s="5">
        <v>4.2826086956521738</v>
      </c>
      <c r="I1491" s="2">
        <v>23</v>
      </c>
      <c r="J1491" s="12">
        <f>I1491/Pondération!$J$96</f>
        <v>6.6091954022988508E-2</v>
      </c>
    </row>
    <row r="1492" spans="1:10" x14ac:dyDescent="0.25">
      <c r="A1492" s="2" t="s">
        <v>77</v>
      </c>
      <c r="B1492" s="2">
        <v>2013</v>
      </c>
      <c r="C1492" s="2" t="s">
        <v>58</v>
      </c>
      <c r="D1492" s="2" t="s">
        <v>41</v>
      </c>
      <c r="E1492" s="2" t="s">
        <v>78</v>
      </c>
      <c r="F1492" s="2" t="s">
        <v>81</v>
      </c>
      <c r="G1492" s="2">
        <f t="shared" si="23"/>
        <v>0.42816091954022989</v>
      </c>
      <c r="H1492" s="5">
        <v>4.2571428571428571</v>
      </c>
      <c r="I1492" s="2">
        <v>35</v>
      </c>
      <c r="J1492" s="12">
        <f>I1492/Pondération!$J$96</f>
        <v>0.10057471264367816</v>
      </c>
    </row>
    <row r="1493" spans="1:10" x14ac:dyDescent="0.25">
      <c r="A1493" s="2" t="s">
        <v>77</v>
      </c>
      <c r="B1493" s="2">
        <v>2013</v>
      </c>
      <c r="C1493" s="2" t="s">
        <v>59</v>
      </c>
      <c r="D1493" s="2" t="s">
        <v>41</v>
      </c>
      <c r="E1493" s="2" t="s">
        <v>78</v>
      </c>
      <c r="F1493" s="2" t="s">
        <v>81</v>
      </c>
      <c r="G1493" s="2">
        <f t="shared" si="23"/>
        <v>0.58333333333333337</v>
      </c>
      <c r="H1493" s="5">
        <v>4.3191489361702127</v>
      </c>
      <c r="I1493" s="2">
        <v>47</v>
      </c>
      <c r="J1493" s="12">
        <f>I1493/Pondération!$J$96</f>
        <v>0.13505747126436782</v>
      </c>
    </row>
    <row r="1494" spans="1:10" x14ac:dyDescent="0.25">
      <c r="A1494" s="2" t="s">
        <v>77</v>
      </c>
      <c r="B1494" s="2">
        <v>2013</v>
      </c>
      <c r="C1494" s="2" t="s">
        <v>60</v>
      </c>
      <c r="D1494" s="2" t="s">
        <v>41</v>
      </c>
      <c r="E1494" s="2" t="s">
        <v>78</v>
      </c>
      <c r="F1494" s="2" t="s">
        <v>81</v>
      </c>
      <c r="G1494" s="2">
        <f t="shared" si="23"/>
        <v>1.0244252873563218</v>
      </c>
      <c r="H1494" s="5">
        <v>4.8175675675675675</v>
      </c>
      <c r="I1494" s="2">
        <v>74</v>
      </c>
      <c r="J1494" s="12">
        <f>I1494/Pondération!$J$96</f>
        <v>0.21264367816091953</v>
      </c>
    </row>
    <row r="1495" spans="1:10" x14ac:dyDescent="0.25">
      <c r="A1495" s="2" t="s">
        <v>77</v>
      </c>
      <c r="B1495" s="2">
        <v>2014</v>
      </c>
      <c r="C1495" s="2" t="s">
        <v>61</v>
      </c>
      <c r="D1495" s="2" t="s">
        <v>41</v>
      </c>
      <c r="E1495" s="2" t="s">
        <v>78</v>
      </c>
      <c r="F1495" s="2" t="s">
        <v>81</v>
      </c>
      <c r="G1495" s="2">
        <f t="shared" si="23"/>
        <v>0.18860450944546009</v>
      </c>
      <c r="H1495" s="5">
        <v>4.6893939393939394</v>
      </c>
      <c r="I1495" s="2">
        <v>66</v>
      </c>
      <c r="J1495" s="12">
        <f>I1495/Pondération!$I$96</f>
        <v>4.0219378427787937E-2</v>
      </c>
    </row>
    <row r="1496" spans="1:10" x14ac:dyDescent="0.25">
      <c r="A1496" s="2" t="s">
        <v>77</v>
      </c>
      <c r="B1496" s="2">
        <v>2014</v>
      </c>
      <c r="C1496" s="2" t="s">
        <v>62</v>
      </c>
      <c r="D1496" s="2" t="s">
        <v>41</v>
      </c>
      <c r="E1496" s="2" t="s">
        <v>78</v>
      </c>
      <c r="F1496" s="2" t="s">
        <v>81</v>
      </c>
      <c r="G1496" s="2">
        <f t="shared" si="23"/>
        <v>0.20444850700792197</v>
      </c>
      <c r="H1496" s="5">
        <v>4.725352112676056</v>
      </c>
      <c r="I1496" s="2">
        <v>71</v>
      </c>
      <c r="J1496" s="12">
        <f>I1496/Pondération!$I$96</f>
        <v>4.3266301035953685E-2</v>
      </c>
    </row>
    <row r="1497" spans="1:10" x14ac:dyDescent="0.25">
      <c r="A1497" s="2" t="s">
        <v>77</v>
      </c>
      <c r="B1497" s="2">
        <v>2014</v>
      </c>
      <c r="C1497" s="2" t="s">
        <v>63</v>
      </c>
      <c r="D1497" s="2" t="s">
        <v>41</v>
      </c>
      <c r="E1497" s="2" t="s">
        <v>78</v>
      </c>
      <c r="F1497" s="2" t="s">
        <v>81</v>
      </c>
      <c r="G1497" s="2">
        <f t="shared" si="23"/>
        <v>0.21054235222425352</v>
      </c>
      <c r="H1497" s="5">
        <v>4.6689189189189193</v>
      </c>
      <c r="I1497" s="2">
        <v>74</v>
      </c>
      <c r="J1497" s="12">
        <f>I1497/Pondération!$I$96</f>
        <v>4.5094454600853137E-2</v>
      </c>
    </row>
    <row r="1498" spans="1:10" x14ac:dyDescent="0.25">
      <c r="A1498" s="2" t="s">
        <v>77</v>
      </c>
      <c r="B1498" s="2">
        <v>2014</v>
      </c>
      <c r="C1498" s="2" t="s">
        <v>64</v>
      </c>
      <c r="D1498" s="2" t="s">
        <v>41</v>
      </c>
      <c r="E1498" s="2" t="s">
        <v>78</v>
      </c>
      <c r="F1498" s="2" t="s">
        <v>81</v>
      </c>
      <c r="G1498" s="2">
        <f t="shared" si="23"/>
        <v>0.20231566118220595</v>
      </c>
      <c r="H1498" s="5">
        <v>4.7428571428571429</v>
      </c>
      <c r="I1498" s="2">
        <v>70</v>
      </c>
      <c r="J1498" s="12">
        <f>I1498/Pondération!$I$96</f>
        <v>4.2656916514320534E-2</v>
      </c>
    </row>
    <row r="1499" spans="1:10" x14ac:dyDescent="0.25">
      <c r="A1499" s="2" t="s">
        <v>77</v>
      </c>
      <c r="B1499" s="2">
        <v>2014</v>
      </c>
      <c r="C1499" s="2" t="s">
        <v>65</v>
      </c>
      <c r="D1499" s="2" t="s">
        <v>41</v>
      </c>
      <c r="E1499" s="2" t="s">
        <v>78</v>
      </c>
      <c r="F1499" s="2" t="s">
        <v>81</v>
      </c>
      <c r="G1499" s="2">
        <f t="shared" si="23"/>
        <v>0.28001218769043268</v>
      </c>
      <c r="H1499" s="5">
        <v>4.5949999999999998</v>
      </c>
      <c r="I1499" s="2">
        <v>100</v>
      </c>
      <c r="J1499" s="12">
        <f>I1499/Pondération!$I$96</f>
        <v>6.0938452163315053E-2</v>
      </c>
    </row>
    <row r="1500" spans="1:10" x14ac:dyDescent="0.25">
      <c r="A1500" s="2" t="s">
        <v>77</v>
      </c>
      <c r="B1500" s="2">
        <v>2014</v>
      </c>
      <c r="C1500" s="2" t="s">
        <v>66</v>
      </c>
      <c r="D1500" s="2" t="s">
        <v>41</v>
      </c>
      <c r="E1500" s="2" t="s">
        <v>78</v>
      </c>
      <c r="F1500" s="2" t="s">
        <v>81</v>
      </c>
      <c r="G1500" s="2">
        <f t="shared" si="23"/>
        <v>0.2525898842169409</v>
      </c>
      <c r="H1500" s="5">
        <v>4.6573033707865168</v>
      </c>
      <c r="I1500" s="2">
        <v>89</v>
      </c>
      <c r="J1500" s="12">
        <f>I1500/Pondération!$I$96</f>
        <v>5.4235222425350393E-2</v>
      </c>
    </row>
    <row r="1501" spans="1:10" x14ac:dyDescent="0.25">
      <c r="A1501" s="2" t="s">
        <v>77</v>
      </c>
      <c r="B1501" s="2">
        <v>2014</v>
      </c>
      <c r="C1501" s="2" t="s">
        <v>67</v>
      </c>
      <c r="D1501" s="2" t="s">
        <v>41</v>
      </c>
      <c r="E1501" s="2" t="s">
        <v>78</v>
      </c>
      <c r="F1501" s="2" t="s">
        <v>81</v>
      </c>
      <c r="G1501" s="2">
        <f t="shared" si="23"/>
        <v>0.37172455819622185</v>
      </c>
      <c r="H1501" s="5">
        <v>4.656488549618321</v>
      </c>
      <c r="I1501" s="2">
        <v>131</v>
      </c>
      <c r="J1501" s="12">
        <f>I1501/Pondération!$I$96</f>
        <v>7.9829372333942716E-2</v>
      </c>
    </row>
    <row r="1502" spans="1:10" x14ac:dyDescent="0.25">
      <c r="A1502" s="2" t="s">
        <v>77</v>
      </c>
      <c r="B1502" s="2">
        <v>2014</v>
      </c>
      <c r="C1502" s="2" t="s">
        <v>68</v>
      </c>
      <c r="D1502" s="2" t="s">
        <v>41</v>
      </c>
      <c r="E1502" s="2" t="s">
        <v>78</v>
      </c>
      <c r="F1502" s="2" t="s">
        <v>81</v>
      </c>
      <c r="G1502" s="2">
        <f t="shared" si="23"/>
        <v>0.51188299817184646</v>
      </c>
      <c r="H1502" s="5">
        <v>4.4919786096256686</v>
      </c>
      <c r="I1502" s="2">
        <v>187</v>
      </c>
      <c r="J1502" s="12">
        <f>I1502/Pondération!$I$96</f>
        <v>0.11395490554539915</v>
      </c>
    </row>
    <row r="1503" spans="1:10" x14ac:dyDescent="0.25">
      <c r="A1503" s="2" t="s">
        <v>77</v>
      </c>
      <c r="B1503" s="2">
        <v>2014</v>
      </c>
      <c r="C1503" s="2" t="s">
        <v>69</v>
      </c>
      <c r="D1503" s="2" t="s">
        <v>41</v>
      </c>
      <c r="E1503" s="2" t="s">
        <v>78</v>
      </c>
      <c r="F1503" s="2" t="s">
        <v>81</v>
      </c>
      <c r="G1503" s="2">
        <f t="shared" si="23"/>
        <v>0.3729433272394882</v>
      </c>
      <c r="H1503" s="5">
        <v>4.5671641791044779</v>
      </c>
      <c r="I1503" s="2">
        <v>134</v>
      </c>
      <c r="J1503" s="12">
        <f>I1503/Pondération!$I$96</f>
        <v>8.1657525898842176E-2</v>
      </c>
    </row>
    <row r="1504" spans="1:10" x14ac:dyDescent="0.25">
      <c r="A1504" s="2" t="s">
        <v>77</v>
      </c>
      <c r="B1504" s="2">
        <v>2014</v>
      </c>
      <c r="C1504" s="2" t="s">
        <v>70</v>
      </c>
      <c r="D1504" s="2" t="s">
        <v>41</v>
      </c>
      <c r="E1504" s="2" t="s">
        <v>78</v>
      </c>
      <c r="F1504" s="2" t="s">
        <v>81</v>
      </c>
      <c r="G1504" s="2">
        <f t="shared" si="23"/>
        <v>0.64137720901889095</v>
      </c>
      <c r="H1504" s="5">
        <v>4.5760869565217392</v>
      </c>
      <c r="I1504" s="2">
        <v>230</v>
      </c>
      <c r="J1504" s="12">
        <f>I1504/Pondération!$I$96</f>
        <v>0.14015843997562463</v>
      </c>
    </row>
    <row r="1505" spans="1:10" x14ac:dyDescent="0.25">
      <c r="A1505" s="2" t="s">
        <v>77</v>
      </c>
      <c r="B1505" s="2">
        <v>2014</v>
      </c>
      <c r="C1505" s="2" t="s">
        <v>71</v>
      </c>
      <c r="D1505" s="2" t="s">
        <v>41</v>
      </c>
      <c r="E1505" s="2" t="s">
        <v>78</v>
      </c>
      <c r="F1505" s="2" t="s">
        <v>81</v>
      </c>
      <c r="G1505" s="2">
        <f t="shared" si="23"/>
        <v>0.7434491163924436</v>
      </c>
      <c r="H1505" s="5">
        <v>4.6037735849056602</v>
      </c>
      <c r="I1505" s="2">
        <v>265</v>
      </c>
      <c r="J1505" s="12">
        <f>I1505/Pondération!$I$96</f>
        <v>0.16148689823278489</v>
      </c>
    </row>
    <row r="1506" spans="1:10" x14ac:dyDescent="0.25">
      <c r="A1506" s="2" t="s">
        <v>77</v>
      </c>
      <c r="B1506" s="2">
        <v>2014</v>
      </c>
      <c r="C1506" s="2" t="s">
        <v>72</v>
      </c>
      <c r="D1506" s="2" t="s">
        <v>41</v>
      </c>
      <c r="E1506" s="2" t="s">
        <v>78</v>
      </c>
      <c r="F1506" s="2" t="s">
        <v>81</v>
      </c>
      <c r="G1506" s="2">
        <f t="shared" si="23"/>
        <v>0.63071297989031083</v>
      </c>
      <c r="H1506" s="5">
        <v>4.6205357142857144</v>
      </c>
      <c r="I1506" s="2">
        <v>224</v>
      </c>
      <c r="J1506" s="12">
        <f>I1506/Pondération!$I$96</f>
        <v>0.13650213284582571</v>
      </c>
    </row>
    <row r="1507" spans="1:10" x14ac:dyDescent="0.25">
      <c r="A1507" s="2" t="s">
        <v>77</v>
      </c>
      <c r="B1507" s="2">
        <v>2015</v>
      </c>
      <c r="C1507" s="2" t="s">
        <v>73</v>
      </c>
      <c r="D1507" s="2" t="s">
        <v>41</v>
      </c>
      <c r="E1507" s="2" t="s">
        <v>78</v>
      </c>
      <c r="F1507" s="2" t="s">
        <v>81</v>
      </c>
      <c r="G1507" s="2">
        <f t="shared" si="23"/>
        <v>0.23614431645294498</v>
      </c>
      <c r="H1507" s="5">
        <v>4.6234042553191488</v>
      </c>
      <c r="I1507" s="2">
        <v>235</v>
      </c>
      <c r="J1507" s="12">
        <f>I1507/Pondération!$H$96</f>
        <v>5.1075853075418384E-2</v>
      </c>
    </row>
    <row r="1508" spans="1:10" x14ac:dyDescent="0.25">
      <c r="A1508" s="2" t="s">
        <v>77</v>
      </c>
      <c r="B1508" s="2">
        <v>2015</v>
      </c>
      <c r="C1508" s="2" t="s">
        <v>74</v>
      </c>
      <c r="D1508" s="2" t="s">
        <v>41</v>
      </c>
      <c r="E1508" s="2" t="s">
        <v>78</v>
      </c>
      <c r="F1508" s="2" t="s">
        <v>81</v>
      </c>
      <c r="G1508" s="2">
        <f t="shared" si="23"/>
        <v>0.28059117583134102</v>
      </c>
      <c r="H1508" s="5">
        <v>4.545774647887324</v>
      </c>
      <c r="I1508" s="2">
        <v>284</v>
      </c>
      <c r="J1508" s="12">
        <f>I1508/Pondération!$H$96</f>
        <v>6.172571180178222E-2</v>
      </c>
    </row>
    <row r="1509" spans="1:10" x14ac:dyDescent="0.25">
      <c r="A1509" s="2" t="s">
        <v>77</v>
      </c>
      <c r="B1509" s="2">
        <v>2015</v>
      </c>
      <c r="C1509" s="2" t="s">
        <v>75</v>
      </c>
      <c r="D1509" s="2" t="s">
        <v>41</v>
      </c>
      <c r="E1509" s="2" t="s">
        <v>78</v>
      </c>
      <c r="F1509" s="2" t="s">
        <v>81</v>
      </c>
      <c r="G1509" s="2">
        <f t="shared" si="23"/>
        <v>0.27787437513584001</v>
      </c>
      <c r="H1509" s="5">
        <v>4.5498220640569391</v>
      </c>
      <c r="I1509" s="2">
        <v>281</v>
      </c>
      <c r="J1509" s="12">
        <f>I1509/Pondération!$H$96</f>
        <v>6.1073679634861988E-2</v>
      </c>
    </row>
    <row r="1510" spans="1:10" x14ac:dyDescent="0.25">
      <c r="A1510" s="2" t="s">
        <v>77</v>
      </c>
      <c r="B1510" s="2">
        <v>2015</v>
      </c>
      <c r="C1510" s="2" t="s">
        <v>76</v>
      </c>
      <c r="D1510" s="2" t="s">
        <v>41</v>
      </c>
      <c r="E1510" s="2" t="s">
        <v>78</v>
      </c>
      <c r="F1510" s="2" t="s">
        <v>81</v>
      </c>
      <c r="G1510" s="2">
        <f t="shared" si="23"/>
        <v>0.27320147793957839</v>
      </c>
      <c r="H1510" s="5">
        <v>4.4733096085409256</v>
      </c>
      <c r="I1510" s="2">
        <v>281</v>
      </c>
      <c r="J1510" s="12">
        <f>I1510/Pondération!$H$96</f>
        <v>6.1073679634861988E-2</v>
      </c>
    </row>
    <row r="1511" spans="1:10" x14ac:dyDescent="0.25">
      <c r="A1511" s="2" t="s">
        <v>77</v>
      </c>
      <c r="B1511" s="2">
        <v>2015</v>
      </c>
      <c r="C1511" s="2" t="s">
        <v>7</v>
      </c>
      <c r="D1511" s="2" t="s">
        <v>41</v>
      </c>
      <c r="E1511" s="2" t="s">
        <v>78</v>
      </c>
      <c r="F1511" s="2" t="s">
        <v>81</v>
      </c>
      <c r="G1511" s="2">
        <f t="shared" si="23"/>
        <v>0.3301456205172788</v>
      </c>
      <c r="H1511" s="5">
        <v>4.5753012048192767</v>
      </c>
      <c r="I1511" s="2">
        <v>332</v>
      </c>
      <c r="J1511" s="12">
        <f>I1511/Pondération!$H$96</f>
        <v>7.2158226472505971E-2</v>
      </c>
    </row>
    <row r="1512" spans="1:10" x14ac:dyDescent="0.25">
      <c r="A1512" s="2" t="s">
        <v>77</v>
      </c>
      <c r="B1512" s="2">
        <v>2015</v>
      </c>
      <c r="C1512" s="2" t="s">
        <v>11</v>
      </c>
      <c r="D1512" s="2" t="s">
        <v>41</v>
      </c>
      <c r="E1512" s="2" t="s">
        <v>78</v>
      </c>
      <c r="F1512" s="2" t="s">
        <v>81</v>
      </c>
      <c r="G1512" s="2">
        <f t="shared" si="23"/>
        <v>0.31536622473375353</v>
      </c>
      <c r="H1512" s="5">
        <v>4.6506410256410255</v>
      </c>
      <c r="I1512" s="2">
        <v>312</v>
      </c>
      <c r="J1512" s="12">
        <f>I1512/Pondération!$H$96</f>
        <v>6.7811345359704414E-2</v>
      </c>
    </row>
    <row r="1513" spans="1:10" x14ac:dyDescent="0.25">
      <c r="A1513" s="2" t="s">
        <v>77</v>
      </c>
      <c r="B1513" s="2">
        <v>2015</v>
      </c>
      <c r="C1513" s="2" t="s">
        <v>12</v>
      </c>
      <c r="D1513" s="2" t="s">
        <v>41</v>
      </c>
      <c r="E1513" s="2" t="s">
        <v>78</v>
      </c>
      <c r="F1513" s="2" t="s">
        <v>81</v>
      </c>
      <c r="G1513" s="2">
        <f t="shared" si="23"/>
        <v>0.48456857204955445</v>
      </c>
      <c r="H1513" s="5">
        <v>4.4679358717434869</v>
      </c>
      <c r="I1513" s="2">
        <v>499</v>
      </c>
      <c r="J1513" s="12">
        <f>I1513/Pondération!$H$96</f>
        <v>0.10845468376439904</v>
      </c>
    </row>
    <row r="1514" spans="1:10" x14ac:dyDescent="0.25">
      <c r="A1514" s="2" t="s">
        <v>77</v>
      </c>
      <c r="B1514" s="2">
        <v>2015</v>
      </c>
      <c r="C1514" s="2" t="s">
        <v>13</v>
      </c>
      <c r="D1514" s="2" t="s">
        <v>41</v>
      </c>
      <c r="E1514" s="2" t="s">
        <v>78</v>
      </c>
      <c r="F1514" s="2" t="s">
        <v>81</v>
      </c>
      <c r="G1514" s="2">
        <f t="shared" si="23"/>
        <v>0.56313844816344272</v>
      </c>
      <c r="H1514" s="5">
        <v>4.4215017064846416</v>
      </c>
      <c r="I1514" s="2">
        <v>586</v>
      </c>
      <c r="J1514" s="12">
        <f>I1514/Pondération!$H$96</f>
        <v>0.12736361660508586</v>
      </c>
    </row>
    <row r="1515" spans="1:10" x14ac:dyDescent="0.25">
      <c r="A1515" s="2" t="s">
        <v>77</v>
      </c>
      <c r="B1515" s="2">
        <v>2015</v>
      </c>
      <c r="C1515" s="2" t="s">
        <v>14</v>
      </c>
      <c r="D1515" s="2" t="s">
        <v>41</v>
      </c>
      <c r="E1515" s="2" t="s">
        <v>78</v>
      </c>
      <c r="F1515" s="2" t="s">
        <v>81</v>
      </c>
      <c r="G1515" s="2">
        <f t="shared" si="23"/>
        <v>0.4003477504890241</v>
      </c>
      <c r="H1515" s="5">
        <v>4.6165413533834583</v>
      </c>
      <c r="I1515" s="2">
        <v>399</v>
      </c>
      <c r="J1515" s="12">
        <f>I1515/Pondération!$H$96</f>
        <v>8.6720278200391215E-2</v>
      </c>
    </row>
    <row r="1516" spans="1:10" x14ac:dyDescent="0.25">
      <c r="A1516" s="2" t="s">
        <v>77</v>
      </c>
      <c r="B1516" s="2">
        <v>2015</v>
      </c>
      <c r="C1516" s="2" t="s">
        <v>15</v>
      </c>
      <c r="D1516" s="2" t="s">
        <v>41</v>
      </c>
      <c r="E1516" s="2" t="s">
        <v>78</v>
      </c>
      <c r="F1516" s="2" t="s">
        <v>81</v>
      </c>
      <c r="G1516" s="2">
        <f t="shared" si="23"/>
        <v>0.43121060638991521</v>
      </c>
      <c r="H1516" s="5">
        <v>4.6032482598607887</v>
      </c>
      <c r="I1516" s="2">
        <v>431</v>
      </c>
      <c r="J1516" s="12">
        <f>I1516/Pondération!$H$96</f>
        <v>9.3675287980873725E-2</v>
      </c>
    </row>
    <row r="1517" spans="1:10" x14ac:dyDescent="0.25">
      <c r="A1517" s="2" t="s">
        <v>77</v>
      </c>
      <c r="B1517" s="2">
        <v>2015</v>
      </c>
      <c r="C1517" s="2" t="s">
        <v>16</v>
      </c>
      <c r="D1517" s="2" t="s">
        <v>41</v>
      </c>
      <c r="E1517" s="2" t="s">
        <v>78</v>
      </c>
      <c r="F1517" s="2" t="s">
        <v>81</v>
      </c>
      <c r="G1517" s="2">
        <f t="shared" si="23"/>
        <v>0.40034775048902416</v>
      </c>
      <c r="H1517" s="5">
        <v>4.6515151515151514</v>
      </c>
      <c r="I1517" s="2">
        <v>396</v>
      </c>
      <c r="J1517" s="12">
        <f>I1517/Pondération!$H$96</f>
        <v>8.6068246033470991E-2</v>
      </c>
    </row>
    <row r="1518" spans="1:10" x14ac:dyDescent="0.25">
      <c r="A1518" s="2" t="s">
        <v>77</v>
      </c>
      <c r="B1518" s="2">
        <v>2015</v>
      </c>
      <c r="C1518" s="2" t="s">
        <v>17</v>
      </c>
      <c r="D1518" s="2" t="s">
        <v>41</v>
      </c>
      <c r="E1518" s="2" t="s">
        <v>78</v>
      </c>
      <c r="F1518" s="2" t="s">
        <v>81</v>
      </c>
      <c r="G1518" s="2">
        <f t="shared" si="23"/>
        <v>0.58041730058682894</v>
      </c>
      <c r="H1518" s="5">
        <v>4.7265486725663717</v>
      </c>
      <c r="I1518" s="2">
        <v>565</v>
      </c>
      <c r="J1518" s="12">
        <f>I1518/Pondération!$H$96</f>
        <v>0.12279939143664421</v>
      </c>
    </row>
    <row r="1519" spans="1:10" x14ac:dyDescent="0.25">
      <c r="A1519" s="2" t="s">
        <v>77</v>
      </c>
      <c r="B1519" s="2">
        <v>2016</v>
      </c>
      <c r="C1519" s="2" t="s">
        <v>18</v>
      </c>
      <c r="D1519" s="2" t="s">
        <v>41</v>
      </c>
      <c r="E1519" s="2" t="s">
        <v>78</v>
      </c>
      <c r="F1519" s="2" t="s">
        <v>81</v>
      </c>
      <c r="G1519" s="2">
        <f t="shared" si="23"/>
        <v>0.3368800641082717</v>
      </c>
      <c r="H1519" s="5">
        <v>4.7352941176470589</v>
      </c>
      <c r="I1519" s="2">
        <v>799</v>
      </c>
      <c r="J1519" s="12">
        <f>I1519/Pondération!$G$96</f>
        <v>7.1142373786839991E-2</v>
      </c>
    </row>
    <row r="1520" spans="1:10" x14ac:dyDescent="0.25">
      <c r="A1520" s="2" t="s">
        <v>77</v>
      </c>
      <c r="B1520" s="2">
        <v>2016</v>
      </c>
      <c r="C1520" s="2" t="s">
        <v>19</v>
      </c>
      <c r="D1520" s="2" t="s">
        <v>41</v>
      </c>
      <c r="E1520" s="2" t="s">
        <v>78</v>
      </c>
      <c r="F1520" s="2" t="s">
        <v>81</v>
      </c>
      <c r="G1520" s="2">
        <f t="shared" si="23"/>
        <v>0.34275665568515717</v>
      </c>
      <c r="H1520" s="5">
        <v>4.6773997569866346</v>
      </c>
      <c r="I1520" s="2">
        <v>823</v>
      </c>
      <c r="J1520" s="12">
        <f>I1520/Pondération!$G$96</f>
        <v>7.3279316178434695E-2</v>
      </c>
    </row>
    <row r="1521" spans="1:10" x14ac:dyDescent="0.25">
      <c r="A1521" s="2" t="s">
        <v>77</v>
      </c>
      <c r="B1521" s="2">
        <v>2016</v>
      </c>
      <c r="C1521" s="2" t="s">
        <v>20</v>
      </c>
      <c r="D1521" s="2" t="s">
        <v>41</v>
      </c>
      <c r="E1521" s="2" t="s">
        <v>78</v>
      </c>
      <c r="F1521" s="2" t="s">
        <v>81</v>
      </c>
      <c r="G1521" s="2">
        <f t="shared" si="23"/>
        <v>0.36372540290268013</v>
      </c>
      <c r="H1521" s="5">
        <v>4.6792668957617414</v>
      </c>
      <c r="I1521" s="2">
        <v>873</v>
      </c>
      <c r="J1521" s="12">
        <f>I1521/Pondération!$G$96</f>
        <v>7.7731279494256969E-2</v>
      </c>
    </row>
    <row r="1522" spans="1:10" x14ac:dyDescent="0.25">
      <c r="A1522" s="2" t="s">
        <v>77</v>
      </c>
      <c r="B1522" s="2">
        <v>2016</v>
      </c>
      <c r="C1522" s="2" t="s">
        <v>21</v>
      </c>
      <c r="D1522" s="2" t="s">
        <v>41</v>
      </c>
      <c r="E1522" s="2" t="s">
        <v>78</v>
      </c>
      <c r="F1522" s="2" t="s">
        <v>81</v>
      </c>
      <c r="G1522" s="2">
        <f t="shared" si="23"/>
        <v>0.44412786038643043</v>
      </c>
      <c r="H1522" s="5">
        <v>4.7414448669201521</v>
      </c>
      <c r="I1522" s="2">
        <v>1052</v>
      </c>
      <c r="J1522" s="12">
        <f>I1522/Pondération!$G$96</f>
        <v>9.3669308164900725E-2</v>
      </c>
    </row>
    <row r="1523" spans="1:10" x14ac:dyDescent="0.25">
      <c r="A1523" s="2" t="s">
        <v>77</v>
      </c>
      <c r="B1523" s="2">
        <v>2016</v>
      </c>
      <c r="C1523" s="2" t="s">
        <v>22</v>
      </c>
      <c r="D1523" s="2" t="s">
        <v>41</v>
      </c>
      <c r="E1523" s="2" t="s">
        <v>78</v>
      </c>
      <c r="F1523" s="2" t="s">
        <v>81</v>
      </c>
      <c r="G1523" s="2">
        <f t="shared" si="23"/>
        <v>0.44328198735642416</v>
      </c>
      <c r="H1523" s="5">
        <v>4.7595602294455066</v>
      </c>
      <c r="I1523" s="2">
        <v>1046</v>
      </c>
      <c r="J1523" s="12">
        <f>I1523/Pondération!$G$96</f>
        <v>9.3135072567002042E-2</v>
      </c>
    </row>
    <row r="1524" spans="1:10" x14ac:dyDescent="0.25">
      <c r="A1524" s="2" t="s">
        <v>77</v>
      </c>
      <c r="B1524" s="2">
        <v>2016</v>
      </c>
      <c r="C1524" s="2" t="s">
        <v>23</v>
      </c>
      <c r="D1524" s="2" t="s">
        <v>41</v>
      </c>
      <c r="E1524" s="2" t="s">
        <v>78</v>
      </c>
      <c r="F1524" s="2" t="s">
        <v>81</v>
      </c>
      <c r="G1524" s="2">
        <f t="shared" si="23"/>
        <v>0.36390348143531293</v>
      </c>
      <c r="H1524" s="5">
        <v>4.7468060394889662</v>
      </c>
      <c r="I1524" s="2">
        <v>861</v>
      </c>
      <c r="J1524" s="12">
        <f>I1524/Pondération!$G$96</f>
        <v>7.6662808298459617E-2</v>
      </c>
    </row>
    <row r="1525" spans="1:10" x14ac:dyDescent="0.25">
      <c r="A1525" s="2" t="s">
        <v>77</v>
      </c>
      <c r="B1525" s="2">
        <v>2016</v>
      </c>
      <c r="C1525" s="2" t="s">
        <v>24</v>
      </c>
      <c r="D1525" s="2" t="s">
        <v>41</v>
      </c>
      <c r="E1525" s="2" t="s">
        <v>78</v>
      </c>
      <c r="F1525" s="2" t="s">
        <v>81</v>
      </c>
      <c r="G1525" s="2">
        <f t="shared" si="23"/>
        <v>0.43397738402635561</v>
      </c>
      <c r="H1525" s="5">
        <v>4.7091787439613526</v>
      </c>
      <c r="I1525" s="2">
        <v>1035</v>
      </c>
      <c r="J1525" s="12">
        <f>I1525/Pondération!$G$96</f>
        <v>9.2155640637521144E-2</v>
      </c>
    </row>
    <row r="1526" spans="1:10" x14ac:dyDescent="0.25">
      <c r="A1526" s="2" t="s">
        <v>77</v>
      </c>
      <c r="B1526" s="2">
        <v>2016</v>
      </c>
      <c r="C1526" s="2" t="s">
        <v>25</v>
      </c>
      <c r="D1526" s="2" t="s">
        <v>41</v>
      </c>
      <c r="E1526" s="2" t="s">
        <v>78</v>
      </c>
      <c r="F1526" s="2" t="s">
        <v>81</v>
      </c>
      <c r="G1526" s="2">
        <f t="shared" si="23"/>
        <v>0.48054492030985663</v>
      </c>
      <c r="H1526" s="5">
        <v>4.7053182214472535</v>
      </c>
      <c r="I1526" s="2">
        <v>1147</v>
      </c>
      <c r="J1526" s="12">
        <f>I1526/Pondération!$G$96</f>
        <v>0.10212803846496304</v>
      </c>
    </row>
    <row r="1527" spans="1:10" x14ac:dyDescent="0.25">
      <c r="A1527" s="2" t="s">
        <v>77</v>
      </c>
      <c r="B1527" s="2">
        <v>2016</v>
      </c>
      <c r="C1527" s="2" t="s">
        <v>26</v>
      </c>
      <c r="D1527" s="2" t="s">
        <v>41</v>
      </c>
      <c r="E1527" s="2" t="s">
        <v>78</v>
      </c>
      <c r="F1527" s="2" t="s">
        <v>81</v>
      </c>
      <c r="G1527" s="2">
        <f t="shared" si="23"/>
        <v>0.35228385718101685</v>
      </c>
      <c r="H1527" s="5">
        <v>4.7496998799519812</v>
      </c>
      <c r="I1527" s="2">
        <v>833</v>
      </c>
      <c r="J1527" s="12">
        <f>I1527/Pondération!$G$96</f>
        <v>7.4169708841599138E-2</v>
      </c>
    </row>
    <row r="1528" spans="1:10" x14ac:dyDescent="0.25">
      <c r="A1528" s="2" t="s">
        <v>77</v>
      </c>
      <c r="B1528" s="2">
        <v>2016</v>
      </c>
      <c r="C1528" s="2" t="s">
        <v>27</v>
      </c>
      <c r="D1528" s="2" t="s">
        <v>41</v>
      </c>
      <c r="E1528" s="2" t="s">
        <v>78</v>
      </c>
      <c r="F1528" s="2" t="s">
        <v>81</v>
      </c>
      <c r="G1528" s="2">
        <f t="shared" si="23"/>
        <v>0.39938562906241648</v>
      </c>
      <c r="H1528" s="5">
        <v>4.6968586387434552</v>
      </c>
      <c r="I1528" s="2">
        <v>955</v>
      </c>
      <c r="J1528" s="12">
        <f>I1528/Pondération!$G$96</f>
        <v>8.5032499332205497E-2</v>
      </c>
    </row>
    <row r="1529" spans="1:10" x14ac:dyDescent="0.25">
      <c r="A1529" s="2" t="s">
        <v>77</v>
      </c>
      <c r="B1529" s="2">
        <v>2016</v>
      </c>
      <c r="C1529" s="2" t="s">
        <v>28</v>
      </c>
      <c r="D1529" s="2" t="s">
        <v>41</v>
      </c>
      <c r="E1529" s="2" t="s">
        <v>78</v>
      </c>
      <c r="F1529" s="2" t="s">
        <v>81</v>
      </c>
      <c r="G1529" s="2">
        <f t="shared" si="23"/>
        <v>0.41113881221618737</v>
      </c>
      <c r="H1529" s="5">
        <v>4.6925813008130079</v>
      </c>
      <c r="I1529" s="2">
        <v>984</v>
      </c>
      <c r="J1529" s="12">
        <f>I1529/Pondération!$G$96</f>
        <v>8.7614638055382429E-2</v>
      </c>
    </row>
    <row r="1530" spans="1:10" x14ac:dyDescent="0.25">
      <c r="A1530" s="2" t="s">
        <v>77</v>
      </c>
      <c r="B1530" s="2">
        <v>2016</v>
      </c>
      <c r="C1530" s="2" t="s">
        <v>29</v>
      </c>
      <c r="D1530" s="2" t="s">
        <v>41</v>
      </c>
      <c r="E1530" s="2" t="s">
        <v>78</v>
      </c>
      <c r="F1530" s="2" t="s">
        <v>81</v>
      </c>
      <c r="G1530" s="2">
        <f t="shared" si="23"/>
        <v>0.34208886118778381</v>
      </c>
      <c r="H1530" s="5">
        <v>4.6682867557715673</v>
      </c>
      <c r="I1530" s="2">
        <v>823</v>
      </c>
      <c r="J1530" s="12">
        <f>I1530/Pondération!$G$96</f>
        <v>7.3279316178434695E-2</v>
      </c>
    </row>
    <row r="1531" spans="1:10" x14ac:dyDescent="0.25">
      <c r="A1531" s="2" t="s">
        <v>77</v>
      </c>
      <c r="B1531" s="2">
        <v>2017</v>
      </c>
      <c r="C1531" s="2" t="s">
        <v>30</v>
      </c>
      <c r="D1531" s="2" t="s">
        <v>41</v>
      </c>
      <c r="E1531" s="2" t="s">
        <v>78</v>
      </c>
      <c r="F1531" s="2" t="s">
        <v>81</v>
      </c>
      <c r="G1531" s="2">
        <f t="shared" si="23"/>
        <v>0.66169686985172982</v>
      </c>
      <c r="H1531" s="5">
        <v>4.664924506387921</v>
      </c>
      <c r="I1531" s="2">
        <v>861</v>
      </c>
      <c r="J1531" s="12">
        <f>I1531/Pondération!$F$96</f>
        <v>0.14184514003294893</v>
      </c>
    </row>
    <row r="1532" spans="1:10" x14ac:dyDescent="0.25">
      <c r="A1532" s="2" t="s">
        <v>77</v>
      </c>
      <c r="B1532" s="2">
        <v>2017</v>
      </c>
      <c r="C1532" s="2" t="s">
        <v>31</v>
      </c>
      <c r="D1532" s="2" t="s">
        <v>41</v>
      </c>
      <c r="E1532" s="2" t="s">
        <v>78</v>
      </c>
      <c r="F1532" s="2" t="s">
        <v>81</v>
      </c>
      <c r="G1532" s="2">
        <f t="shared" si="23"/>
        <v>0.80090609555189451</v>
      </c>
      <c r="H1532" s="5">
        <v>4.6388358778625953</v>
      </c>
      <c r="I1532" s="2">
        <v>1048</v>
      </c>
      <c r="J1532" s="12">
        <f>I1532/Pondération!$F$96</f>
        <v>0.17265238879736408</v>
      </c>
    </row>
    <row r="1533" spans="1:10" x14ac:dyDescent="0.25">
      <c r="A1533" s="2" t="s">
        <v>77</v>
      </c>
      <c r="B1533" s="2">
        <v>2017</v>
      </c>
      <c r="C1533" s="2" t="s">
        <v>32</v>
      </c>
      <c r="D1533" s="2" t="s">
        <v>41</v>
      </c>
      <c r="E1533" s="2" t="s">
        <v>78</v>
      </c>
      <c r="F1533" s="2" t="s">
        <v>81</v>
      </c>
      <c r="G1533" s="2">
        <f t="shared" si="23"/>
        <v>0.91301482701812187</v>
      </c>
      <c r="H1533" s="5">
        <v>4.6728499156829679</v>
      </c>
      <c r="I1533" s="2">
        <v>1186</v>
      </c>
      <c r="J1533" s="12">
        <f>I1533/Pondération!$F$96</f>
        <v>0.19538714991762768</v>
      </c>
    </row>
    <row r="1534" spans="1:10" x14ac:dyDescent="0.25">
      <c r="A1534" s="2" t="s">
        <v>77</v>
      </c>
      <c r="B1534" s="2">
        <v>2017</v>
      </c>
      <c r="C1534" s="2" t="s">
        <v>33</v>
      </c>
      <c r="D1534" s="2" t="s">
        <v>41</v>
      </c>
      <c r="E1534" s="2" t="s">
        <v>78</v>
      </c>
      <c r="F1534" s="2" t="s">
        <v>81</v>
      </c>
      <c r="G1534" s="2">
        <f t="shared" si="23"/>
        <v>0.91227347611202636</v>
      </c>
      <c r="H1534" s="5">
        <v>4.6769425675675675</v>
      </c>
      <c r="I1534" s="2">
        <v>1184</v>
      </c>
      <c r="J1534" s="12">
        <f>I1534/Pondération!$F$96</f>
        <v>0.19505766062602967</v>
      </c>
    </row>
    <row r="1535" spans="1:10" x14ac:dyDescent="0.25">
      <c r="A1535" s="2" t="s">
        <v>77</v>
      </c>
      <c r="B1535" s="2">
        <v>2017</v>
      </c>
      <c r="C1535" s="2" t="s">
        <v>34</v>
      </c>
      <c r="D1535" s="2" t="s">
        <v>41</v>
      </c>
      <c r="E1535" s="2" t="s">
        <v>78</v>
      </c>
      <c r="F1535" s="2" t="s">
        <v>81</v>
      </c>
      <c r="G1535" s="2">
        <f t="shared" si="23"/>
        <v>0.91466227347611195</v>
      </c>
      <c r="H1535" s="5">
        <v>4.6616288832913515</v>
      </c>
      <c r="I1535" s="2">
        <v>1191</v>
      </c>
      <c r="J1535" s="12">
        <f>I1535/Pondération!$F$96</f>
        <v>0.19621087314662272</v>
      </c>
    </row>
    <row r="1536" spans="1:10" x14ac:dyDescent="0.25">
      <c r="A1536" s="2" t="s">
        <v>77</v>
      </c>
      <c r="B1536" s="2">
        <v>2017</v>
      </c>
      <c r="C1536" s="2" t="s">
        <v>80</v>
      </c>
      <c r="D1536" s="2" t="s">
        <v>41</v>
      </c>
      <c r="E1536" s="2" t="s">
        <v>78</v>
      </c>
      <c r="F1536" s="2" t="s">
        <v>81</v>
      </c>
      <c r="G1536" s="2">
        <f t="shared" si="23"/>
        <v>0.46252059308072485</v>
      </c>
      <c r="H1536" s="5">
        <v>4.6791666666666663</v>
      </c>
      <c r="I1536" s="2">
        <v>600</v>
      </c>
      <c r="J1536" s="12">
        <f>I1536/Pondération!$F$96</f>
        <v>9.8846787479406922E-2</v>
      </c>
    </row>
    <row r="1537" spans="1:10" x14ac:dyDescent="0.25">
      <c r="A1537" s="2" t="s">
        <v>77</v>
      </c>
      <c r="B1537" s="2">
        <v>2013</v>
      </c>
      <c r="C1537" s="2" t="s">
        <v>49</v>
      </c>
      <c r="D1537" s="2" t="s">
        <v>41</v>
      </c>
      <c r="E1537" s="2" t="s">
        <v>78</v>
      </c>
      <c r="F1537" s="2" t="s">
        <v>83</v>
      </c>
      <c r="G1537" s="2">
        <f t="shared" si="23"/>
        <v>0.26817447495961233</v>
      </c>
      <c r="H1537" s="5">
        <v>4.4864864864864868</v>
      </c>
      <c r="I1537" s="2">
        <v>37</v>
      </c>
      <c r="J1537" s="12">
        <f>I1537/Pondération!$J$97</f>
        <v>5.9773828756058162E-2</v>
      </c>
    </row>
    <row r="1538" spans="1:10" x14ac:dyDescent="0.25">
      <c r="A1538" s="2" t="s">
        <v>77</v>
      </c>
      <c r="B1538" s="2">
        <v>2013</v>
      </c>
      <c r="C1538" s="2" t="s">
        <v>50</v>
      </c>
      <c r="D1538" s="2" t="s">
        <v>41</v>
      </c>
      <c r="E1538" s="2" t="s">
        <v>78</v>
      </c>
      <c r="F1538" s="2" t="s">
        <v>83</v>
      </c>
      <c r="G1538" s="2">
        <f t="shared" ref="G1538:G1601" si="24">H1538*J1538</f>
        <v>0.22051696284329564</v>
      </c>
      <c r="H1538" s="5">
        <v>4.55</v>
      </c>
      <c r="I1538" s="2">
        <v>30</v>
      </c>
      <c r="J1538" s="12">
        <f>I1538/Pondération!$J$97</f>
        <v>4.8465266558966075E-2</v>
      </c>
    </row>
    <row r="1539" spans="1:10" x14ac:dyDescent="0.25">
      <c r="A1539" s="2" t="s">
        <v>77</v>
      </c>
      <c r="B1539" s="2">
        <v>2013</v>
      </c>
      <c r="C1539" s="2" t="s">
        <v>51</v>
      </c>
      <c r="D1539" s="2" t="s">
        <v>41</v>
      </c>
      <c r="E1539" s="2" t="s">
        <v>78</v>
      </c>
      <c r="F1539" s="2" t="s">
        <v>83</v>
      </c>
      <c r="G1539" s="2">
        <f t="shared" si="24"/>
        <v>0.28594507269789987</v>
      </c>
      <c r="H1539" s="5">
        <v>4.5384615384615383</v>
      </c>
      <c r="I1539" s="2">
        <v>39</v>
      </c>
      <c r="J1539" s="12">
        <f>I1539/Pondération!$J$97</f>
        <v>6.3004846526655903E-2</v>
      </c>
    </row>
    <row r="1540" spans="1:10" x14ac:dyDescent="0.25">
      <c r="A1540" s="2" t="s">
        <v>77</v>
      </c>
      <c r="B1540" s="2">
        <v>2013</v>
      </c>
      <c r="C1540" s="2" t="s">
        <v>52</v>
      </c>
      <c r="D1540" s="2" t="s">
        <v>41</v>
      </c>
      <c r="E1540" s="2" t="s">
        <v>78</v>
      </c>
      <c r="F1540" s="2" t="s">
        <v>83</v>
      </c>
      <c r="G1540" s="2">
        <f t="shared" si="24"/>
        <v>0.38529886914378031</v>
      </c>
      <c r="H1540" s="5">
        <v>4.5</v>
      </c>
      <c r="I1540" s="2">
        <v>53</v>
      </c>
      <c r="J1540" s="12">
        <f>I1540/Pondération!$J$97</f>
        <v>8.5621970920840063E-2</v>
      </c>
    </row>
    <row r="1541" spans="1:10" x14ac:dyDescent="0.25">
      <c r="A1541" s="2" t="s">
        <v>77</v>
      </c>
      <c r="B1541" s="2">
        <v>2013</v>
      </c>
      <c r="C1541" s="2" t="s">
        <v>53</v>
      </c>
      <c r="D1541" s="2" t="s">
        <v>41</v>
      </c>
      <c r="E1541" s="2" t="s">
        <v>78</v>
      </c>
      <c r="F1541" s="2" t="s">
        <v>83</v>
      </c>
      <c r="G1541" s="2">
        <f t="shared" si="24"/>
        <v>0.2972536348949919</v>
      </c>
      <c r="H1541" s="5">
        <v>4.4878048780487809</v>
      </c>
      <c r="I1541" s="2">
        <v>41</v>
      </c>
      <c r="J1541" s="12">
        <f>I1541/Pondération!$J$97</f>
        <v>6.623586429725363E-2</v>
      </c>
    </row>
    <row r="1542" spans="1:10" x14ac:dyDescent="0.25">
      <c r="A1542" s="2" t="s">
        <v>77</v>
      </c>
      <c r="B1542" s="2">
        <v>2013</v>
      </c>
      <c r="C1542" s="2" t="s">
        <v>54</v>
      </c>
      <c r="D1542" s="2" t="s">
        <v>41</v>
      </c>
      <c r="E1542" s="2" t="s">
        <v>78</v>
      </c>
      <c r="F1542" s="2" t="s">
        <v>83</v>
      </c>
      <c r="G1542" s="2">
        <f t="shared" si="24"/>
        <v>0.26171243941841682</v>
      </c>
      <c r="H1542" s="5">
        <v>4.3783783783783781</v>
      </c>
      <c r="I1542" s="2">
        <v>37</v>
      </c>
      <c r="J1542" s="12">
        <f>I1542/Pondération!$J$97</f>
        <v>5.9773828756058162E-2</v>
      </c>
    </row>
    <row r="1543" spans="1:10" x14ac:dyDescent="0.25">
      <c r="A1543" s="2" t="s">
        <v>77</v>
      </c>
      <c r="B1543" s="2">
        <v>2013</v>
      </c>
      <c r="C1543" s="2" t="s">
        <v>55</v>
      </c>
      <c r="D1543" s="2" t="s">
        <v>41</v>
      </c>
      <c r="E1543" s="2" t="s">
        <v>78</v>
      </c>
      <c r="F1543" s="2" t="s">
        <v>83</v>
      </c>
      <c r="G1543" s="2">
        <f t="shared" si="24"/>
        <v>0.3061389337641357</v>
      </c>
      <c r="H1543" s="5">
        <v>4.4069767441860463</v>
      </c>
      <c r="I1543" s="2">
        <v>43</v>
      </c>
      <c r="J1543" s="12">
        <f>I1543/Pondération!$J$97</f>
        <v>6.9466882067851371E-2</v>
      </c>
    </row>
    <row r="1544" spans="1:10" x14ac:dyDescent="0.25">
      <c r="A1544" s="2" t="s">
        <v>77</v>
      </c>
      <c r="B1544" s="2">
        <v>2013</v>
      </c>
      <c r="C1544" s="2" t="s">
        <v>56</v>
      </c>
      <c r="D1544" s="2" t="s">
        <v>41</v>
      </c>
      <c r="E1544" s="2" t="s">
        <v>78</v>
      </c>
      <c r="F1544" s="2" t="s">
        <v>83</v>
      </c>
      <c r="G1544" s="2">
        <f t="shared" si="24"/>
        <v>0.57673667205169632</v>
      </c>
      <c r="H1544" s="5">
        <v>4.4625000000000004</v>
      </c>
      <c r="I1544" s="2">
        <v>80</v>
      </c>
      <c r="J1544" s="12">
        <f>I1544/Pondération!$J$97</f>
        <v>0.12924071082390953</v>
      </c>
    </row>
    <row r="1545" spans="1:10" x14ac:dyDescent="0.25">
      <c r="A1545" s="2" t="s">
        <v>77</v>
      </c>
      <c r="B1545" s="2">
        <v>2013</v>
      </c>
      <c r="C1545" s="2" t="s">
        <v>57</v>
      </c>
      <c r="D1545" s="2" t="s">
        <v>41</v>
      </c>
      <c r="E1545" s="2" t="s">
        <v>78</v>
      </c>
      <c r="F1545" s="2" t="s">
        <v>83</v>
      </c>
      <c r="G1545" s="2">
        <f t="shared" si="24"/>
        <v>0.39579967689822293</v>
      </c>
      <c r="H1545" s="5">
        <v>4.4545454545454541</v>
      </c>
      <c r="I1545" s="2">
        <v>55</v>
      </c>
      <c r="J1545" s="12">
        <f>I1545/Pondération!$J$97</f>
        <v>8.8852988691437804E-2</v>
      </c>
    </row>
    <row r="1546" spans="1:10" x14ac:dyDescent="0.25">
      <c r="A1546" s="2" t="s">
        <v>77</v>
      </c>
      <c r="B1546" s="2">
        <v>2013</v>
      </c>
      <c r="C1546" s="2" t="s">
        <v>58</v>
      </c>
      <c r="D1546" s="2" t="s">
        <v>41</v>
      </c>
      <c r="E1546" s="2" t="s">
        <v>78</v>
      </c>
      <c r="F1546" s="2" t="s">
        <v>83</v>
      </c>
      <c r="G1546" s="2">
        <f t="shared" si="24"/>
        <v>0.41841680129240716</v>
      </c>
      <c r="H1546" s="5">
        <v>4.5438596491228074</v>
      </c>
      <c r="I1546" s="2">
        <v>57</v>
      </c>
      <c r="J1546" s="12">
        <f>I1546/Pondération!$J$97</f>
        <v>9.2084006462035545E-2</v>
      </c>
    </row>
    <row r="1547" spans="1:10" x14ac:dyDescent="0.25">
      <c r="A1547" s="2" t="s">
        <v>77</v>
      </c>
      <c r="B1547" s="2">
        <v>2013</v>
      </c>
      <c r="C1547" s="2" t="s">
        <v>59</v>
      </c>
      <c r="D1547" s="2" t="s">
        <v>41</v>
      </c>
      <c r="E1547" s="2" t="s">
        <v>78</v>
      </c>
      <c r="F1547" s="2" t="s">
        <v>83</v>
      </c>
      <c r="G1547" s="2">
        <f t="shared" si="24"/>
        <v>0.50969305331179326</v>
      </c>
      <c r="H1547" s="5">
        <v>4.5071428571428571</v>
      </c>
      <c r="I1547" s="2">
        <v>70</v>
      </c>
      <c r="J1547" s="12">
        <f>I1547/Pondération!$J$97</f>
        <v>0.11308562197092084</v>
      </c>
    </row>
    <row r="1548" spans="1:10" x14ac:dyDescent="0.25">
      <c r="A1548" s="2" t="s">
        <v>77</v>
      </c>
      <c r="B1548" s="2">
        <v>2013</v>
      </c>
      <c r="C1548" s="2" t="s">
        <v>60</v>
      </c>
      <c r="D1548" s="2" t="s">
        <v>41</v>
      </c>
      <c r="E1548" s="2" t="s">
        <v>78</v>
      </c>
      <c r="F1548" s="2" t="s">
        <v>83</v>
      </c>
      <c r="G1548" s="2">
        <f t="shared" si="24"/>
        <v>0.55411954765751203</v>
      </c>
      <c r="H1548" s="5">
        <v>4.4545454545454541</v>
      </c>
      <c r="I1548" s="2">
        <v>77</v>
      </c>
      <c r="J1548" s="12">
        <f>I1548/Pondération!$J$97</f>
        <v>0.12439418416801293</v>
      </c>
    </row>
    <row r="1549" spans="1:10" x14ac:dyDescent="0.25">
      <c r="A1549" s="2" t="s">
        <v>77</v>
      </c>
      <c r="B1549" s="2">
        <v>2014</v>
      </c>
      <c r="C1549" s="2" t="s">
        <v>61</v>
      </c>
      <c r="D1549" s="2" t="s">
        <v>41</v>
      </c>
      <c r="E1549" s="2" t="s">
        <v>78</v>
      </c>
      <c r="F1549" s="2" t="s">
        <v>83</v>
      </c>
      <c r="G1549" s="2">
        <f t="shared" si="24"/>
        <v>0.26132404181184665</v>
      </c>
      <c r="H1549" s="5">
        <v>4.3478260869565215</v>
      </c>
      <c r="I1549" s="2">
        <v>69</v>
      </c>
      <c r="J1549" s="12">
        <f>I1549/Pondération!$I$97</f>
        <v>6.0104529616724738E-2</v>
      </c>
    </row>
    <row r="1550" spans="1:10" x14ac:dyDescent="0.25">
      <c r="A1550" s="2" t="s">
        <v>77</v>
      </c>
      <c r="B1550" s="2">
        <v>2014</v>
      </c>
      <c r="C1550" s="2" t="s">
        <v>62</v>
      </c>
      <c r="D1550" s="2" t="s">
        <v>41</v>
      </c>
      <c r="E1550" s="2" t="s">
        <v>78</v>
      </c>
      <c r="F1550" s="2" t="s">
        <v>83</v>
      </c>
      <c r="G1550" s="2">
        <f t="shared" si="24"/>
        <v>0.17290940766550522</v>
      </c>
      <c r="H1550" s="5">
        <v>4.4111111111111114</v>
      </c>
      <c r="I1550" s="2">
        <v>45</v>
      </c>
      <c r="J1550" s="12">
        <f>I1550/Pondération!$I$97</f>
        <v>3.9198606271777001E-2</v>
      </c>
    </row>
    <row r="1551" spans="1:10" x14ac:dyDescent="0.25">
      <c r="A1551" s="2" t="s">
        <v>77</v>
      </c>
      <c r="B1551" s="2">
        <v>2014</v>
      </c>
      <c r="C1551" s="2" t="s">
        <v>63</v>
      </c>
      <c r="D1551" s="2" t="s">
        <v>41</v>
      </c>
      <c r="E1551" s="2" t="s">
        <v>78</v>
      </c>
      <c r="F1551" s="2" t="s">
        <v>83</v>
      </c>
      <c r="G1551" s="2">
        <f t="shared" si="24"/>
        <v>0.24390243902439024</v>
      </c>
      <c r="H1551" s="5">
        <v>4.375</v>
      </c>
      <c r="I1551" s="2">
        <v>64</v>
      </c>
      <c r="J1551" s="12">
        <f>I1551/Pondération!$I$97</f>
        <v>5.5749128919860627E-2</v>
      </c>
    </row>
    <row r="1552" spans="1:10" x14ac:dyDescent="0.25">
      <c r="A1552" s="2" t="s">
        <v>77</v>
      </c>
      <c r="B1552" s="2">
        <v>2014</v>
      </c>
      <c r="C1552" s="2" t="s">
        <v>64</v>
      </c>
      <c r="D1552" s="2" t="s">
        <v>41</v>
      </c>
      <c r="E1552" s="2" t="s">
        <v>78</v>
      </c>
      <c r="F1552" s="2" t="s">
        <v>83</v>
      </c>
      <c r="G1552" s="2">
        <f t="shared" si="24"/>
        <v>0.29486062717770034</v>
      </c>
      <c r="H1552" s="5">
        <v>4.3961038961038961</v>
      </c>
      <c r="I1552" s="2">
        <v>77</v>
      </c>
      <c r="J1552" s="12">
        <f>I1552/Pondération!$I$97</f>
        <v>6.7073170731707321E-2</v>
      </c>
    </row>
    <row r="1553" spans="1:10" x14ac:dyDescent="0.25">
      <c r="A1553" s="2" t="s">
        <v>77</v>
      </c>
      <c r="B1553" s="2">
        <v>2014</v>
      </c>
      <c r="C1553" s="2" t="s">
        <v>65</v>
      </c>
      <c r="D1553" s="2" t="s">
        <v>41</v>
      </c>
      <c r="E1553" s="2" t="s">
        <v>78</v>
      </c>
      <c r="F1553" s="2" t="s">
        <v>83</v>
      </c>
      <c r="G1553" s="2">
        <f t="shared" si="24"/>
        <v>0.26829268292682928</v>
      </c>
      <c r="H1553" s="5">
        <v>4.4637681159420293</v>
      </c>
      <c r="I1553" s="2">
        <v>69</v>
      </c>
      <c r="J1553" s="12">
        <f>I1553/Pondération!$I$97</f>
        <v>6.0104529616724738E-2</v>
      </c>
    </row>
    <row r="1554" spans="1:10" x14ac:dyDescent="0.25">
      <c r="A1554" s="2" t="s">
        <v>77</v>
      </c>
      <c r="B1554" s="2">
        <v>2014</v>
      </c>
      <c r="C1554" s="2" t="s">
        <v>66</v>
      </c>
      <c r="D1554" s="2" t="s">
        <v>41</v>
      </c>
      <c r="E1554" s="2" t="s">
        <v>78</v>
      </c>
      <c r="F1554" s="2" t="s">
        <v>83</v>
      </c>
      <c r="G1554" s="2">
        <f t="shared" si="24"/>
        <v>0.27526132404181186</v>
      </c>
      <c r="H1554" s="5">
        <v>4.3888888888888893</v>
      </c>
      <c r="I1554" s="2">
        <v>72</v>
      </c>
      <c r="J1554" s="12">
        <f>I1554/Pondération!$I$97</f>
        <v>6.2717770034843204E-2</v>
      </c>
    </row>
    <row r="1555" spans="1:10" x14ac:dyDescent="0.25">
      <c r="A1555" s="2" t="s">
        <v>77</v>
      </c>
      <c r="B1555" s="2">
        <v>2014</v>
      </c>
      <c r="C1555" s="2" t="s">
        <v>67</v>
      </c>
      <c r="D1555" s="2" t="s">
        <v>41</v>
      </c>
      <c r="E1555" s="2" t="s">
        <v>78</v>
      </c>
      <c r="F1555" s="2" t="s">
        <v>83</v>
      </c>
      <c r="G1555" s="2">
        <f t="shared" si="24"/>
        <v>0.32360627177700346</v>
      </c>
      <c r="H1555" s="5">
        <v>4.3705882352941172</v>
      </c>
      <c r="I1555" s="2">
        <v>85</v>
      </c>
      <c r="J1555" s="12">
        <f>I1555/Pondération!$I$97</f>
        <v>7.4041811846689898E-2</v>
      </c>
    </row>
    <row r="1556" spans="1:10" x14ac:dyDescent="0.25">
      <c r="A1556" s="2" t="s">
        <v>77</v>
      </c>
      <c r="B1556" s="2">
        <v>2014</v>
      </c>
      <c r="C1556" s="2" t="s">
        <v>68</v>
      </c>
      <c r="D1556" s="2" t="s">
        <v>41</v>
      </c>
      <c r="E1556" s="2" t="s">
        <v>78</v>
      </c>
      <c r="F1556" s="2" t="s">
        <v>83</v>
      </c>
      <c r="G1556" s="2">
        <f t="shared" si="24"/>
        <v>0.46341463414634149</v>
      </c>
      <c r="H1556" s="5">
        <v>4.4333333333333336</v>
      </c>
      <c r="I1556" s="2">
        <v>120</v>
      </c>
      <c r="J1556" s="12">
        <f>I1556/Pondération!$I$97</f>
        <v>0.10452961672473868</v>
      </c>
    </row>
    <row r="1557" spans="1:10" x14ac:dyDescent="0.25">
      <c r="A1557" s="2" t="s">
        <v>77</v>
      </c>
      <c r="B1557" s="2">
        <v>2014</v>
      </c>
      <c r="C1557" s="2" t="s">
        <v>69</v>
      </c>
      <c r="D1557" s="2" t="s">
        <v>41</v>
      </c>
      <c r="E1557" s="2" t="s">
        <v>78</v>
      </c>
      <c r="F1557" s="2" t="s">
        <v>83</v>
      </c>
      <c r="G1557" s="2">
        <f t="shared" si="24"/>
        <v>0.3214285714285714</v>
      </c>
      <c r="H1557" s="5">
        <v>4.5</v>
      </c>
      <c r="I1557" s="2">
        <v>82</v>
      </c>
      <c r="J1557" s="12">
        <f>I1557/Pondération!$I$97</f>
        <v>7.1428571428571425E-2</v>
      </c>
    </row>
    <row r="1558" spans="1:10" x14ac:dyDescent="0.25">
      <c r="A1558" s="2" t="s">
        <v>77</v>
      </c>
      <c r="B1558" s="2">
        <v>2014</v>
      </c>
      <c r="C1558" s="2" t="s">
        <v>70</v>
      </c>
      <c r="D1558" s="2" t="s">
        <v>41</v>
      </c>
      <c r="E1558" s="2" t="s">
        <v>78</v>
      </c>
      <c r="F1558" s="2" t="s">
        <v>83</v>
      </c>
      <c r="G1558" s="2">
        <f t="shared" si="24"/>
        <v>0.60888501742160273</v>
      </c>
      <c r="H1558" s="5">
        <v>4.452229299363057</v>
      </c>
      <c r="I1558" s="2">
        <v>157</v>
      </c>
      <c r="J1558" s="12">
        <f>I1558/Pondération!$I$97</f>
        <v>0.13675958188153309</v>
      </c>
    </row>
    <row r="1559" spans="1:10" x14ac:dyDescent="0.25">
      <c r="A1559" s="2" t="s">
        <v>77</v>
      </c>
      <c r="B1559" s="2">
        <v>2014</v>
      </c>
      <c r="C1559" s="2" t="s">
        <v>71</v>
      </c>
      <c r="D1559" s="2" t="s">
        <v>41</v>
      </c>
      <c r="E1559" s="2" t="s">
        <v>78</v>
      </c>
      <c r="F1559" s="2" t="s">
        <v>83</v>
      </c>
      <c r="G1559" s="2">
        <f t="shared" si="24"/>
        <v>0.55574912891986061</v>
      </c>
      <c r="H1559" s="5">
        <v>4.492957746478873</v>
      </c>
      <c r="I1559" s="2">
        <v>142</v>
      </c>
      <c r="J1559" s="12">
        <f>I1559/Pondération!$I$97</f>
        <v>0.12369337979094076</v>
      </c>
    </row>
    <row r="1560" spans="1:10" x14ac:dyDescent="0.25">
      <c r="A1560" s="2" t="s">
        <v>77</v>
      </c>
      <c r="B1560" s="2">
        <v>2014</v>
      </c>
      <c r="C1560" s="2" t="s">
        <v>72</v>
      </c>
      <c r="D1560" s="2" t="s">
        <v>41</v>
      </c>
      <c r="E1560" s="2" t="s">
        <v>78</v>
      </c>
      <c r="F1560" s="2" t="s">
        <v>83</v>
      </c>
      <c r="G1560" s="2">
        <f t="shared" si="24"/>
        <v>0.64329268292682928</v>
      </c>
      <c r="H1560" s="5">
        <v>4.4487951807228914</v>
      </c>
      <c r="I1560" s="2">
        <v>166</v>
      </c>
      <c r="J1560" s="12">
        <f>I1560/Pondération!$I$97</f>
        <v>0.14459930313588851</v>
      </c>
    </row>
    <row r="1561" spans="1:10" x14ac:dyDescent="0.25">
      <c r="A1561" s="2" t="s">
        <v>77</v>
      </c>
      <c r="B1561" s="2">
        <v>2015</v>
      </c>
      <c r="C1561" s="2" t="s">
        <v>73</v>
      </c>
      <c r="D1561" s="2" t="s">
        <v>41</v>
      </c>
      <c r="E1561" s="2" t="s">
        <v>78</v>
      </c>
      <c r="F1561" s="2" t="s">
        <v>83</v>
      </c>
      <c r="G1561" s="2">
        <f t="shared" si="24"/>
        <v>0.25626740947075211</v>
      </c>
      <c r="H1561" s="5">
        <v>4.4722222222222223</v>
      </c>
      <c r="I1561" s="2">
        <v>144</v>
      </c>
      <c r="J1561" s="12">
        <f>I1561/Pondération!$H$97</f>
        <v>5.7302029446876242E-2</v>
      </c>
    </row>
    <row r="1562" spans="1:10" x14ac:dyDescent="0.25">
      <c r="A1562" s="2" t="s">
        <v>77</v>
      </c>
      <c r="B1562" s="2">
        <v>2015</v>
      </c>
      <c r="C1562" s="2" t="s">
        <v>74</v>
      </c>
      <c r="D1562" s="2" t="s">
        <v>41</v>
      </c>
      <c r="E1562" s="2" t="s">
        <v>78</v>
      </c>
      <c r="F1562" s="2" t="s">
        <v>83</v>
      </c>
      <c r="G1562" s="2">
        <f t="shared" si="24"/>
        <v>0.28949462793473935</v>
      </c>
      <c r="H1562" s="5">
        <v>4.4359756097560972</v>
      </c>
      <c r="I1562" s="2">
        <v>164</v>
      </c>
      <c r="J1562" s="12">
        <f>I1562/Pondération!$H$97</f>
        <v>6.5260644647831281E-2</v>
      </c>
    </row>
    <row r="1563" spans="1:10" x14ac:dyDescent="0.25">
      <c r="A1563" s="2" t="s">
        <v>77</v>
      </c>
      <c r="B1563" s="2">
        <v>2015</v>
      </c>
      <c r="C1563" s="2" t="s">
        <v>75</v>
      </c>
      <c r="D1563" s="2" t="s">
        <v>41</v>
      </c>
      <c r="E1563" s="2" t="s">
        <v>78</v>
      </c>
      <c r="F1563" s="2" t="s">
        <v>83</v>
      </c>
      <c r="G1563" s="2">
        <f t="shared" si="24"/>
        <v>0.2729805013927577</v>
      </c>
      <c r="H1563" s="5">
        <v>4.3417721518987342</v>
      </c>
      <c r="I1563" s="2">
        <v>158</v>
      </c>
      <c r="J1563" s="12">
        <f>I1563/Pondération!$H$97</f>
        <v>6.2873060087544771E-2</v>
      </c>
    </row>
    <row r="1564" spans="1:10" x14ac:dyDescent="0.25">
      <c r="A1564" s="2" t="s">
        <v>77</v>
      </c>
      <c r="B1564" s="2">
        <v>2015</v>
      </c>
      <c r="C1564" s="2" t="s">
        <v>76</v>
      </c>
      <c r="D1564" s="2" t="s">
        <v>41</v>
      </c>
      <c r="E1564" s="2" t="s">
        <v>78</v>
      </c>
      <c r="F1564" s="2" t="s">
        <v>83</v>
      </c>
      <c r="G1564" s="2">
        <f t="shared" si="24"/>
        <v>0.24015121368881814</v>
      </c>
      <c r="H1564" s="5">
        <v>4.4051094890510951</v>
      </c>
      <c r="I1564" s="2">
        <v>137</v>
      </c>
      <c r="J1564" s="12">
        <f>I1564/Pondération!$H$97</f>
        <v>5.451651412654198E-2</v>
      </c>
    </row>
    <row r="1565" spans="1:10" x14ac:dyDescent="0.25">
      <c r="A1565" s="2" t="s">
        <v>77</v>
      </c>
      <c r="B1565" s="2">
        <v>2015</v>
      </c>
      <c r="C1565" s="2" t="s">
        <v>7</v>
      </c>
      <c r="D1565" s="2" t="s">
        <v>41</v>
      </c>
      <c r="E1565" s="2" t="s">
        <v>78</v>
      </c>
      <c r="F1565" s="2" t="s">
        <v>83</v>
      </c>
      <c r="G1565" s="2">
        <f t="shared" si="24"/>
        <v>0.30939116593712696</v>
      </c>
      <c r="H1565" s="5">
        <v>4.3435754189944138</v>
      </c>
      <c r="I1565" s="2">
        <v>179</v>
      </c>
      <c r="J1565" s="12">
        <f>I1565/Pondération!$H$97</f>
        <v>7.1229606048547556E-2</v>
      </c>
    </row>
    <row r="1566" spans="1:10" x14ac:dyDescent="0.25">
      <c r="A1566" s="2" t="s">
        <v>77</v>
      </c>
      <c r="B1566" s="2">
        <v>2015</v>
      </c>
      <c r="C1566" s="2" t="s">
        <v>11</v>
      </c>
      <c r="D1566" s="2" t="s">
        <v>41</v>
      </c>
      <c r="E1566" s="2" t="s">
        <v>78</v>
      </c>
      <c r="F1566" s="2" t="s">
        <v>83</v>
      </c>
      <c r="G1566" s="2">
        <f t="shared" si="24"/>
        <v>0.2693991245523279</v>
      </c>
      <c r="H1566" s="5">
        <v>4.3677419354838714</v>
      </c>
      <c r="I1566" s="2">
        <v>155</v>
      </c>
      <c r="J1566" s="12">
        <f>I1566/Pondération!$H$97</f>
        <v>6.167926780740151E-2</v>
      </c>
    </row>
    <row r="1567" spans="1:10" x14ac:dyDescent="0.25">
      <c r="A1567" s="2" t="s">
        <v>77</v>
      </c>
      <c r="B1567" s="2">
        <v>2015</v>
      </c>
      <c r="C1567" s="2" t="s">
        <v>12</v>
      </c>
      <c r="D1567" s="2" t="s">
        <v>41</v>
      </c>
      <c r="E1567" s="2" t="s">
        <v>78</v>
      </c>
      <c r="F1567" s="2" t="s">
        <v>83</v>
      </c>
      <c r="G1567" s="2">
        <f t="shared" si="24"/>
        <v>0.42976522085157182</v>
      </c>
      <c r="H1567" s="5">
        <v>4.4262295081967213</v>
      </c>
      <c r="I1567" s="2">
        <v>244</v>
      </c>
      <c r="J1567" s="12">
        <f>I1567/Pondération!$H$97</f>
        <v>9.7095105451651412E-2</v>
      </c>
    </row>
    <row r="1568" spans="1:10" x14ac:dyDescent="0.25">
      <c r="A1568" s="2" t="s">
        <v>77</v>
      </c>
      <c r="B1568" s="2">
        <v>2015</v>
      </c>
      <c r="C1568" s="2" t="s">
        <v>13</v>
      </c>
      <c r="D1568" s="2" t="s">
        <v>41</v>
      </c>
      <c r="E1568" s="2" t="s">
        <v>78</v>
      </c>
      <c r="F1568" s="2" t="s">
        <v>83</v>
      </c>
      <c r="G1568" s="2">
        <f t="shared" si="24"/>
        <v>0.48786311181854353</v>
      </c>
      <c r="H1568" s="5">
        <v>4.4744525547445253</v>
      </c>
      <c r="I1568" s="2">
        <v>274</v>
      </c>
      <c r="J1568" s="12">
        <f>I1568/Pondération!$H$97</f>
        <v>0.10903302825308396</v>
      </c>
    </row>
    <row r="1569" spans="1:10" x14ac:dyDescent="0.25">
      <c r="A1569" s="2" t="s">
        <v>77</v>
      </c>
      <c r="B1569" s="2">
        <v>2015</v>
      </c>
      <c r="C1569" s="2" t="s">
        <v>14</v>
      </c>
      <c r="D1569" s="2" t="s">
        <v>41</v>
      </c>
      <c r="E1569" s="2" t="s">
        <v>78</v>
      </c>
      <c r="F1569" s="2" t="s">
        <v>83</v>
      </c>
      <c r="G1569" s="2">
        <f t="shared" si="24"/>
        <v>0.43454038997214489</v>
      </c>
      <c r="H1569" s="5">
        <v>4.3855421686746991</v>
      </c>
      <c r="I1569" s="2">
        <v>249</v>
      </c>
      <c r="J1569" s="12">
        <f>I1569/Pondération!$H$97</f>
        <v>9.908475925189017E-2</v>
      </c>
    </row>
    <row r="1570" spans="1:10" x14ac:dyDescent="0.25">
      <c r="A1570" s="2" t="s">
        <v>77</v>
      </c>
      <c r="B1570" s="2">
        <v>2015</v>
      </c>
      <c r="C1570" s="2" t="s">
        <v>15</v>
      </c>
      <c r="D1570" s="2" t="s">
        <v>41</v>
      </c>
      <c r="E1570" s="2" t="s">
        <v>78</v>
      </c>
      <c r="F1570" s="2" t="s">
        <v>83</v>
      </c>
      <c r="G1570" s="2">
        <f t="shared" si="24"/>
        <v>0.51691205730202938</v>
      </c>
      <c r="H1570" s="5">
        <v>4.4033898305084742</v>
      </c>
      <c r="I1570" s="2">
        <v>295</v>
      </c>
      <c r="J1570" s="12">
        <f>I1570/Pondération!$H$97</f>
        <v>0.11738957421408674</v>
      </c>
    </row>
    <row r="1571" spans="1:10" x14ac:dyDescent="0.25">
      <c r="A1571" s="2" t="s">
        <v>77</v>
      </c>
      <c r="B1571" s="2">
        <v>2015</v>
      </c>
      <c r="C1571" s="2" t="s">
        <v>16</v>
      </c>
      <c r="D1571" s="2" t="s">
        <v>41</v>
      </c>
      <c r="E1571" s="2" t="s">
        <v>78</v>
      </c>
      <c r="F1571" s="2" t="s">
        <v>83</v>
      </c>
      <c r="G1571" s="2">
        <f t="shared" si="24"/>
        <v>0.38022284122562672</v>
      </c>
      <c r="H1571" s="5">
        <v>4.4236111111111107</v>
      </c>
      <c r="I1571" s="2">
        <v>216</v>
      </c>
      <c r="J1571" s="12">
        <f>I1571/Pondération!$H$97</f>
        <v>8.5953044170314366E-2</v>
      </c>
    </row>
    <row r="1572" spans="1:10" x14ac:dyDescent="0.25">
      <c r="A1572" s="2" t="s">
        <v>77</v>
      </c>
      <c r="B1572" s="2">
        <v>2015</v>
      </c>
      <c r="C1572" s="2" t="s">
        <v>17</v>
      </c>
      <c r="D1572" s="2" t="s">
        <v>41</v>
      </c>
      <c r="E1572" s="2" t="s">
        <v>78</v>
      </c>
      <c r="F1572" s="2" t="s">
        <v>83</v>
      </c>
      <c r="G1572" s="2">
        <f t="shared" si="24"/>
        <v>0.52984480700358139</v>
      </c>
      <c r="H1572" s="5">
        <v>4.4681208053691277</v>
      </c>
      <c r="I1572" s="2">
        <v>298</v>
      </c>
      <c r="J1572" s="12">
        <f>I1572/Pondération!$H$97</f>
        <v>0.11858336649423</v>
      </c>
    </row>
    <row r="1573" spans="1:10" x14ac:dyDescent="0.25">
      <c r="A1573" s="2" t="s">
        <v>77</v>
      </c>
      <c r="B1573" s="2">
        <v>2016</v>
      </c>
      <c r="C1573" s="2" t="s">
        <v>18</v>
      </c>
      <c r="D1573" s="2" t="s">
        <v>41</v>
      </c>
      <c r="E1573" s="2" t="s">
        <v>78</v>
      </c>
      <c r="F1573" s="2" t="s">
        <v>83</v>
      </c>
      <c r="G1573" s="2">
        <f t="shared" si="24"/>
        <v>0.33069828722002642</v>
      </c>
      <c r="H1573" s="5">
        <v>4.3576388888888893</v>
      </c>
      <c r="I1573" s="2">
        <v>288</v>
      </c>
      <c r="J1573" s="12">
        <f>I1573/Pondération!$G$97</f>
        <v>7.5889328063241113E-2</v>
      </c>
    </row>
    <row r="1574" spans="1:10" x14ac:dyDescent="0.25">
      <c r="A1574" s="2" t="s">
        <v>77</v>
      </c>
      <c r="B1574" s="2">
        <v>2016</v>
      </c>
      <c r="C1574" s="2" t="s">
        <v>19</v>
      </c>
      <c r="D1574" s="2" t="s">
        <v>41</v>
      </c>
      <c r="E1574" s="2" t="s">
        <v>78</v>
      </c>
      <c r="F1574" s="2" t="s">
        <v>83</v>
      </c>
      <c r="G1574" s="2">
        <f t="shared" si="24"/>
        <v>0.35006587615283269</v>
      </c>
      <c r="H1574" s="5">
        <v>4.4136212624584719</v>
      </c>
      <c r="I1574" s="2">
        <v>301</v>
      </c>
      <c r="J1574" s="12">
        <f>I1574/Pondération!$G$97</f>
        <v>7.931488801054018E-2</v>
      </c>
    </row>
    <row r="1575" spans="1:10" x14ac:dyDescent="0.25">
      <c r="A1575" s="2" t="s">
        <v>77</v>
      </c>
      <c r="B1575" s="2">
        <v>2016</v>
      </c>
      <c r="C1575" s="2" t="s">
        <v>20</v>
      </c>
      <c r="D1575" s="2" t="s">
        <v>41</v>
      </c>
      <c r="E1575" s="2" t="s">
        <v>78</v>
      </c>
      <c r="F1575" s="2" t="s">
        <v>83</v>
      </c>
      <c r="G1575" s="2">
        <f t="shared" si="24"/>
        <v>0.36574440052700924</v>
      </c>
      <c r="H1575" s="5">
        <v>4.3924050632911396</v>
      </c>
      <c r="I1575" s="2">
        <v>316</v>
      </c>
      <c r="J1575" s="12">
        <f>I1575/Pondération!$G$97</f>
        <v>8.3267457180500659E-2</v>
      </c>
    </row>
    <row r="1576" spans="1:10" x14ac:dyDescent="0.25">
      <c r="A1576" s="2" t="s">
        <v>77</v>
      </c>
      <c r="B1576" s="2">
        <v>2016</v>
      </c>
      <c r="C1576" s="2" t="s">
        <v>21</v>
      </c>
      <c r="D1576" s="2" t="s">
        <v>41</v>
      </c>
      <c r="E1576" s="2" t="s">
        <v>78</v>
      </c>
      <c r="F1576" s="2" t="s">
        <v>83</v>
      </c>
      <c r="G1576" s="2">
        <f t="shared" si="24"/>
        <v>0.35032938076416337</v>
      </c>
      <c r="H1576" s="5">
        <v>4.3590163934426229</v>
      </c>
      <c r="I1576" s="2">
        <v>305</v>
      </c>
      <c r="J1576" s="12">
        <f>I1576/Pondération!$G$97</f>
        <v>8.0368906455862976E-2</v>
      </c>
    </row>
    <row r="1577" spans="1:10" x14ac:dyDescent="0.25">
      <c r="A1577" s="2" t="s">
        <v>77</v>
      </c>
      <c r="B1577" s="2">
        <v>2016</v>
      </c>
      <c r="C1577" s="2" t="s">
        <v>22</v>
      </c>
      <c r="D1577" s="2" t="s">
        <v>41</v>
      </c>
      <c r="E1577" s="2" t="s">
        <v>78</v>
      </c>
      <c r="F1577" s="2" t="s">
        <v>83</v>
      </c>
      <c r="G1577" s="2">
        <f t="shared" si="24"/>
        <v>0.28577075098814231</v>
      </c>
      <c r="H1577" s="5">
        <v>4.3380000000000001</v>
      </c>
      <c r="I1577" s="2">
        <v>250</v>
      </c>
      <c r="J1577" s="12">
        <f>I1577/Pondération!$G$97</f>
        <v>6.5876152832674575E-2</v>
      </c>
    </row>
    <row r="1578" spans="1:10" x14ac:dyDescent="0.25">
      <c r="A1578" s="2" t="s">
        <v>77</v>
      </c>
      <c r="B1578" s="2">
        <v>2016</v>
      </c>
      <c r="C1578" s="2" t="s">
        <v>23</v>
      </c>
      <c r="D1578" s="2" t="s">
        <v>41</v>
      </c>
      <c r="E1578" s="2" t="s">
        <v>78</v>
      </c>
      <c r="F1578" s="2" t="s">
        <v>83</v>
      </c>
      <c r="G1578" s="2">
        <f t="shared" si="24"/>
        <v>0.35006587615283263</v>
      </c>
      <c r="H1578" s="5">
        <v>4.3844884488448841</v>
      </c>
      <c r="I1578" s="2">
        <v>303</v>
      </c>
      <c r="J1578" s="12">
        <f>I1578/Pondération!$G$97</f>
        <v>7.9841897233201578E-2</v>
      </c>
    </row>
    <row r="1579" spans="1:10" x14ac:dyDescent="0.25">
      <c r="A1579" s="2" t="s">
        <v>77</v>
      </c>
      <c r="B1579" s="2">
        <v>2016</v>
      </c>
      <c r="C1579" s="2" t="s">
        <v>24</v>
      </c>
      <c r="D1579" s="2" t="s">
        <v>41</v>
      </c>
      <c r="E1579" s="2" t="s">
        <v>78</v>
      </c>
      <c r="F1579" s="2" t="s">
        <v>83</v>
      </c>
      <c r="G1579" s="2">
        <f t="shared" si="24"/>
        <v>0.34558629776021083</v>
      </c>
      <c r="H1579" s="5">
        <v>4.371666666666667</v>
      </c>
      <c r="I1579" s="2">
        <v>300</v>
      </c>
      <c r="J1579" s="12">
        <f>I1579/Pondération!$G$97</f>
        <v>7.9051383399209488E-2</v>
      </c>
    </row>
    <row r="1580" spans="1:10" x14ac:dyDescent="0.25">
      <c r="A1580" s="2" t="s">
        <v>77</v>
      </c>
      <c r="B1580" s="2">
        <v>2016</v>
      </c>
      <c r="C1580" s="2" t="s">
        <v>25</v>
      </c>
      <c r="D1580" s="2" t="s">
        <v>41</v>
      </c>
      <c r="E1580" s="2" t="s">
        <v>78</v>
      </c>
      <c r="F1580" s="2" t="s">
        <v>83</v>
      </c>
      <c r="G1580" s="2">
        <f t="shared" si="24"/>
        <v>0.44374176548089594</v>
      </c>
      <c r="H1580" s="5">
        <v>4.3626943005181351</v>
      </c>
      <c r="I1580" s="2">
        <v>386</v>
      </c>
      <c r="J1580" s="12">
        <f>I1580/Pondération!$G$97</f>
        <v>0.10171277997364954</v>
      </c>
    </row>
    <row r="1581" spans="1:10" x14ac:dyDescent="0.25">
      <c r="A1581" s="2" t="s">
        <v>77</v>
      </c>
      <c r="B1581" s="2">
        <v>2016</v>
      </c>
      <c r="C1581" s="2" t="s">
        <v>26</v>
      </c>
      <c r="D1581" s="2" t="s">
        <v>41</v>
      </c>
      <c r="E1581" s="2" t="s">
        <v>78</v>
      </c>
      <c r="F1581" s="2" t="s">
        <v>83</v>
      </c>
      <c r="G1581" s="2">
        <f t="shared" si="24"/>
        <v>0.37667984189723325</v>
      </c>
      <c r="H1581" s="5">
        <v>4.4120370370370372</v>
      </c>
      <c r="I1581" s="2">
        <v>324</v>
      </c>
      <c r="J1581" s="12">
        <f>I1581/Pondération!$G$97</f>
        <v>8.5375494071146252E-2</v>
      </c>
    </row>
    <row r="1582" spans="1:10" x14ac:dyDescent="0.25">
      <c r="A1582" s="2" t="s">
        <v>77</v>
      </c>
      <c r="B1582" s="2">
        <v>2016</v>
      </c>
      <c r="C1582" s="2" t="s">
        <v>27</v>
      </c>
      <c r="D1582" s="2" t="s">
        <v>41</v>
      </c>
      <c r="E1582" s="2" t="s">
        <v>78</v>
      </c>
      <c r="F1582" s="2" t="s">
        <v>83</v>
      </c>
      <c r="G1582" s="2">
        <f t="shared" si="24"/>
        <v>0.34532279314888009</v>
      </c>
      <c r="H1582" s="5">
        <v>4.3829431438127093</v>
      </c>
      <c r="I1582" s="2">
        <v>299</v>
      </c>
      <c r="J1582" s="12">
        <f>I1582/Pondération!$G$97</f>
        <v>7.8787878787878782E-2</v>
      </c>
    </row>
    <row r="1583" spans="1:10" x14ac:dyDescent="0.25">
      <c r="A1583" s="2" t="s">
        <v>77</v>
      </c>
      <c r="B1583" s="2">
        <v>2016</v>
      </c>
      <c r="C1583" s="2" t="s">
        <v>28</v>
      </c>
      <c r="D1583" s="2" t="s">
        <v>41</v>
      </c>
      <c r="E1583" s="2" t="s">
        <v>78</v>
      </c>
      <c r="F1583" s="2" t="s">
        <v>83</v>
      </c>
      <c r="G1583" s="2">
        <f t="shared" si="24"/>
        <v>0.39696969696969697</v>
      </c>
      <c r="H1583" s="5">
        <v>4.443952802359882</v>
      </c>
      <c r="I1583" s="2">
        <v>339</v>
      </c>
      <c r="J1583" s="12">
        <f>I1583/Pondération!$G$97</f>
        <v>8.9328063241106717E-2</v>
      </c>
    </row>
    <row r="1584" spans="1:10" x14ac:dyDescent="0.25">
      <c r="A1584" s="2" t="s">
        <v>77</v>
      </c>
      <c r="B1584" s="2">
        <v>2016</v>
      </c>
      <c r="C1584" s="2" t="s">
        <v>29</v>
      </c>
      <c r="D1584" s="2" t="s">
        <v>41</v>
      </c>
      <c r="E1584" s="2" t="s">
        <v>78</v>
      </c>
      <c r="F1584" s="2" t="s">
        <v>83</v>
      </c>
      <c r="G1584" s="2">
        <f t="shared" si="24"/>
        <v>0.4499341238471673</v>
      </c>
      <c r="H1584" s="5">
        <v>4.446614583333333</v>
      </c>
      <c r="I1584" s="2">
        <v>384</v>
      </c>
      <c r="J1584" s="12">
        <f>I1584/Pondération!$G$97</f>
        <v>0.10118577075098814</v>
      </c>
    </row>
    <row r="1585" spans="1:10" x14ac:dyDescent="0.25">
      <c r="A1585" s="2" t="s">
        <v>77</v>
      </c>
      <c r="B1585" s="2">
        <v>2017</v>
      </c>
      <c r="C1585" s="2" t="s">
        <v>30</v>
      </c>
      <c r="D1585" s="2" t="s">
        <v>41</v>
      </c>
      <c r="E1585" s="2" t="s">
        <v>78</v>
      </c>
      <c r="F1585" s="2" t="s">
        <v>83</v>
      </c>
      <c r="G1585" s="2">
        <f t="shared" si="24"/>
        <v>0.81267928858290306</v>
      </c>
      <c r="H1585" s="5">
        <v>4.3990683229813667</v>
      </c>
      <c r="I1585" s="2">
        <v>322</v>
      </c>
      <c r="J1585" s="12">
        <f>I1585/Pondération!$F$97</f>
        <v>0.18473895582329317</v>
      </c>
    </row>
    <row r="1586" spans="1:10" x14ac:dyDescent="0.25">
      <c r="A1586" s="2" t="s">
        <v>77</v>
      </c>
      <c r="B1586" s="2">
        <v>2017</v>
      </c>
      <c r="C1586" s="2" t="s">
        <v>31</v>
      </c>
      <c r="D1586" s="2" t="s">
        <v>41</v>
      </c>
      <c r="E1586" s="2" t="s">
        <v>78</v>
      </c>
      <c r="F1586" s="2" t="s">
        <v>83</v>
      </c>
      <c r="G1586" s="2">
        <f t="shared" si="24"/>
        <v>0.81899024670109</v>
      </c>
      <c r="H1586" s="5">
        <v>4.433229813664596</v>
      </c>
      <c r="I1586" s="2">
        <v>322</v>
      </c>
      <c r="J1586" s="12">
        <f>I1586/Pondération!$F$97</f>
        <v>0.18473895582329317</v>
      </c>
    </row>
    <row r="1587" spans="1:10" x14ac:dyDescent="0.25">
      <c r="A1587" s="2" t="s">
        <v>77</v>
      </c>
      <c r="B1587" s="2">
        <v>2017</v>
      </c>
      <c r="C1587" s="2" t="s">
        <v>32</v>
      </c>
      <c r="D1587" s="2" t="s">
        <v>41</v>
      </c>
      <c r="E1587" s="2" t="s">
        <v>78</v>
      </c>
      <c r="F1587" s="2" t="s">
        <v>83</v>
      </c>
      <c r="G1587" s="2">
        <f t="shared" si="24"/>
        <v>0.79518072289156616</v>
      </c>
      <c r="H1587" s="5">
        <v>4.4281150159744405</v>
      </c>
      <c r="I1587" s="2">
        <v>313</v>
      </c>
      <c r="J1587" s="12">
        <f>I1587/Pondération!$F$97</f>
        <v>0.17957544463568559</v>
      </c>
    </row>
    <row r="1588" spans="1:10" x14ac:dyDescent="0.25">
      <c r="A1588" s="2" t="s">
        <v>77</v>
      </c>
      <c r="B1588" s="2">
        <v>2017</v>
      </c>
      <c r="C1588" s="2" t="s">
        <v>33</v>
      </c>
      <c r="D1588" s="2" t="s">
        <v>41</v>
      </c>
      <c r="E1588" s="2" t="s">
        <v>78</v>
      </c>
      <c r="F1588" s="2" t="s">
        <v>83</v>
      </c>
      <c r="G1588" s="2">
        <f t="shared" si="24"/>
        <v>0.90160642570281124</v>
      </c>
      <c r="H1588" s="5">
        <v>4.3774373259052926</v>
      </c>
      <c r="I1588" s="2">
        <v>359</v>
      </c>
      <c r="J1588" s="12">
        <f>I1588/Pondération!$F$97</f>
        <v>0.2059667240390132</v>
      </c>
    </row>
    <row r="1589" spans="1:10" x14ac:dyDescent="0.25">
      <c r="A1589" s="2" t="s">
        <v>77</v>
      </c>
      <c r="B1589" s="2">
        <v>2017</v>
      </c>
      <c r="C1589" s="2" t="s">
        <v>34</v>
      </c>
      <c r="D1589" s="2" t="s">
        <v>41</v>
      </c>
      <c r="E1589" s="2" t="s">
        <v>78</v>
      </c>
      <c r="F1589" s="2" t="s">
        <v>83</v>
      </c>
      <c r="G1589" s="2">
        <f t="shared" si="24"/>
        <v>0.73666092943201389</v>
      </c>
      <c r="H1589" s="5">
        <v>4.3087248322147653</v>
      </c>
      <c r="I1589" s="2">
        <v>298</v>
      </c>
      <c r="J1589" s="12">
        <f>I1589/Pondération!$F$97</f>
        <v>0.17096959265633965</v>
      </c>
    </row>
    <row r="1590" spans="1:10" x14ac:dyDescent="0.25">
      <c r="A1590" s="2" t="s">
        <v>77</v>
      </c>
      <c r="B1590" s="2">
        <v>2017</v>
      </c>
      <c r="C1590" s="2" t="s">
        <v>80</v>
      </c>
      <c r="D1590" s="2" t="s">
        <v>41</v>
      </c>
      <c r="E1590" s="2" t="s">
        <v>78</v>
      </c>
      <c r="F1590" s="2" t="s">
        <v>83</v>
      </c>
      <c r="G1590" s="2">
        <f t="shared" si="24"/>
        <v>0.3241537578886976</v>
      </c>
      <c r="H1590" s="5">
        <v>4.3798449612403099</v>
      </c>
      <c r="I1590" s="2">
        <v>129</v>
      </c>
      <c r="J1590" s="12">
        <f>I1590/Pondération!$F$97</f>
        <v>7.4010327022375214E-2</v>
      </c>
    </row>
    <row r="1591" spans="1:10" x14ac:dyDescent="0.25">
      <c r="A1591" s="2" t="s">
        <v>77</v>
      </c>
      <c r="B1591" s="2">
        <v>2013</v>
      </c>
      <c r="C1591" s="2" t="s">
        <v>49</v>
      </c>
      <c r="D1591" s="2" t="s">
        <v>41</v>
      </c>
      <c r="E1591" s="2" t="s">
        <v>78</v>
      </c>
      <c r="F1591" s="2" t="s">
        <v>84</v>
      </c>
      <c r="G1591" s="2">
        <f t="shared" si="24"/>
        <v>0.22232645403377113</v>
      </c>
      <c r="H1591" s="5">
        <v>4.3888888888888893</v>
      </c>
      <c r="I1591" s="2">
        <v>27</v>
      </c>
      <c r="J1591" s="12">
        <f>I1591/Pondération!$J$98</f>
        <v>5.0656660412757973E-2</v>
      </c>
    </row>
    <row r="1592" spans="1:10" x14ac:dyDescent="0.25">
      <c r="A1592" s="2" t="s">
        <v>77</v>
      </c>
      <c r="B1592" s="2">
        <v>2013</v>
      </c>
      <c r="C1592" s="2" t="s">
        <v>50</v>
      </c>
      <c r="D1592" s="2" t="s">
        <v>41</v>
      </c>
      <c r="E1592" s="2" t="s">
        <v>78</v>
      </c>
      <c r="F1592" s="2" t="s">
        <v>84</v>
      </c>
      <c r="G1592" s="2">
        <f t="shared" si="24"/>
        <v>0.20262664165103189</v>
      </c>
      <c r="H1592" s="5">
        <v>4.32</v>
      </c>
      <c r="I1592" s="2">
        <v>25</v>
      </c>
      <c r="J1592" s="12">
        <f>I1592/Pondération!$J$98</f>
        <v>4.6904315196998121E-2</v>
      </c>
    </row>
    <row r="1593" spans="1:10" x14ac:dyDescent="0.25">
      <c r="A1593" s="2" t="s">
        <v>77</v>
      </c>
      <c r="B1593" s="2">
        <v>2013</v>
      </c>
      <c r="C1593" s="2" t="s">
        <v>51</v>
      </c>
      <c r="D1593" s="2" t="s">
        <v>41</v>
      </c>
      <c r="E1593" s="2" t="s">
        <v>78</v>
      </c>
      <c r="F1593" s="2" t="s">
        <v>84</v>
      </c>
      <c r="G1593" s="2">
        <f t="shared" si="24"/>
        <v>0.34427767354596622</v>
      </c>
      <c r="H1593" s="5">
        <v>4.3690476190476186</v>
      </c>
      <c r="I1593" s="2">
        <v>42</v>
      </c>
      <c r="J1593" s="12">
        <f>I1593/Pondération!$J$98</f>
        <v>7.879924953095685E-2</v>
      </c>
    </row>
    <row r="1594" spans="1:10" x14ac:dyDescent="0.25">
      <c r="A1594" s="2" t="s">
        <v>77</v>
      </c>
      <c r="B1594" s="2">
        <v>2013</v>
      </c>
      <c r="C1594" s="2" t="s">
        <v>52</v>
      </c>
      <c r="D1594" s="2" t="s">
        <v>41</v>
      </c>
      <c r="E1594" s="2" t="s">
        <v>78</v>
      </c>
      <c r="F1594" s="2" t="s">
        <v>84</v>
      </c>
      <c r="G1594" s="2">
        <f t="shared" si="24"/>
        <v>0.33208255159474676</v>
      </c>
      <c r="H1594" s="5">
        <v>4.4249999999999998</v>
      </c>
      <c r="I1594" s="2">
        <v>40</v>
      </c>
      <c r="J1594" s="12">
        <f>I1594/Pondération!$J$98</f>
        <v>7.5046904315197005E-2</v>
      </c>
    </row>
    <row r="1595" spans="1:10" x14ac:dyDescent="0.25">
      <c r="A1595" s="2" t="s">
        <v>77</v>
      </c>
      <c r="B1595" s="2">
        <v>2013</v>
      </c>
      <c r="C1595" s="2" t="s">
        <v>53</v>
      </c>
      <c r="D1595" s="2" t="s">
        <v>41</v>
      </c>
      <c r="E1595" s="2" t="s">
        <v>78</v>
      </c>
      <c r="F1595" s="2" t="s">
        <v>84</v>
      </c>
      <c r="G1595" s="2">
        <f t="shared" si="24"/>
        <v>0.33864915572232646</v>
      </c>
      <c r="H1595" s="5">
        <v>4.2976190476190474</v>
      </c>
      <c r="I1595" s="2">
        <v>42</v>
      </c>
      <c r="J1595" s="12">
        <f>I1595/Pondération!$J$98</f>
        <v>7.879924953095685E-2</v>
      </c>
    </row>
    <row r="1596" spans="1:10" x14ac:dyDescent="0.25">
      <c r="A1596" s="2" t="s">
        <v>77</v>
      </c>
      <c r="B1596" s="2">
        <v>2013</v>
      </c>
      <c r="C1596" s="2" t="s">
        <v>54</v>
      </c>
      <c r="D1596" s="2" t="s">
        <v>41</v>
      </c>
      <c r="E1596" s="2" t="s">
        <v>78</v>
      </c>
      <c r="F1596" s="2" t="s">
        <v>84</v>
      </c>
      <c r="G1596" s="2">
        <f t="shared" si="24"/>
        <v>0.30863039399624764</v>
      </c>
      <c r="H1596" s="5">
        <v>4.4459459459459456</v>
      </c>
      <c r="I1596" s="2">
        <v>37</v>
      </c>
      <c r="J1596" s="12">
        <f>I1596/Pondération!$J$98</f>
        <v>6.9418386491557224E-2</v>
      </c>
    </row>
    <row r="1597" spans="1:10" x14ac:dyDescent="0.25">
      <c r="A1597" s="2" t="s">
        <v>77</v>
      </c>
      <c r="B1597" s="2">
        <v>2013</v>
      </c>
      <c r="C1597" s="2" t="s">
        <v>55</v>
      </c>
      <c r="D1597" s="2" t="s">
        <v>41</v>
      </c>
      <c r="E1597" s="2" t="s">
        <v>78</v>
      </c>
      <c r="F1597" s="2" t="s">
        <v>84</v>
      </c>
      <c r="G1597" s="2">
        <f t="shared" si="24"/>
        <v>0.35834896810506567</v>
      </c>
      <c r="H1597" s="5">
        <v>4.441860465116279</v>
      </c>
      <c r="I1597" s="2">
        <v>43</v>
      </c>
      <c r="J1597" s="12">
        <f>I1597/Pondération!$J$98</f>
        <v>8.0675422138836772E-2</v>
      </c>
    </row>
    <row r="1598" spans="1:10" x14ac:dyDescent="0.25">
      <c r="A1598" s="2" t="s">
        <v>77</v>
      </c>
      <c r="B1598" s="2">
        <v>2013</v>
      </c>
      <c r="C1598" s="2" t="s">
        <v>56</v>
      </c>
      <c r="D1598" s="2" t="s">
        <v>41</v>
      </c>
      <c r="E1598" s="2" t="s">
        <v>78</v>
      </c>
      <c r="F1598" s="2" t="s">
        <v>84</v>
      </c>
      <c r="G1598" s="2">
        <f t="shared" si="24"/>
        <v>0.34990619136960599</v>
      </c>
      <c r="H1598" s="5">
        <v>4.3372093023255811</v>
      </c>
      <c r="I1598" s="2">
        <v>43</v>
      </c>
      <c r="J1598" s="12">
        <f>I1598/Pondération!$J$98</f>
        <v>8.0675422138836772E-2</v>
      </c>
    </row>
    <row r="1599" spans="1:10" x14ac:dyDescent="0.25">
      <c r="A1599" s="2" t="s">
        <v>77</v>
      </c>
      <c r="B1599" s="2">
        <v>2013</v>
      </c>
      <c r="C1599" s="2" t="s">
        <v>57</v>
      </c>
      <c r="D1599" s="2" t="s">
        <v>41</v>
      </c>
      <c r="E1599" s="2" t="s">
        <v>78</v>
      </c>
      <c r="F1599" s="2" t="s">
        <v>84</v>
      </c>
      <c r="G1599" s="2">
        <f t="shared" si="24"/>
        <v>0.52251407129455918</v>
      </c>
      <c r="H1599" s="5">
        <v>4.4206349206349209</v>
      </c>
      <c r="I1599" s="2">
        <v>63</v>
      </c>
      <c r="J1599" s="12">
        <f>I1599/Pondération!$J$98</f>
        <v>0.11819887429643527</v>
      </c>
    </row>
    <row r="1600" spans="1:10" x14ac:dyDescent="0.25">
      <c r="A1600" s="2" t="s">
        <v>77</v>
      </c>
      <c r="B1600" s="2">
        <v>2013</v>
      </c>
      <c r="C1600" s="2" t="s">
        <v>58</v>
      </c>
      <c r="D1600" s="2" t="s">
        <v>41</v>
      </c>
      <c r="E1600" s="2" t="s">
        <v>78</v>
      </c>
      <c r="F1600" s="2" t="s">
        <v>84</v>
      </c>
      <c r="G1600" s="2">
        <f t="shared" si="24"/>
        <v>0.49624765478424016</v>
      </c>
      <c r="H1600" s="5">
        <v>4.4830508474576272</v>
      </c>
      <c r="I1600" s="2">
        <v>59</v>
      </c>
      <c r="J1600" s="12">
        <f>I1600/Pondération!$J$98</f>
        <v>0.11069418386491557</v>
      </c>
    </row>
    <row r="1601" spans="1:10" x14ac:dyDescent="0.25">
      <c r="A1601" s="2" t="s">
        <v>77</v>
      </c>
      <c r="B1601" s="2">
        <v>2013</v>
      </c>
      <c r="C1601" s="2" t="s">
        <v>59</v>
      </c>
      <c r="D1601" s="2" t="s">
        <v>41</v>
      </c>
      <c r="E1601" s="2" t="s">
        <v>78</v>
      </c>
      <c r="F1601" s="2" t="s">
        <v>84</v>
      </c>
      <c r="G1601" s="2">
        <f t="shared" si="24"/>
        <v>0.48780487804878042</v>
      </c>
      <c r="H1601" s="5">
        <v>4.333333333333333</v>
      </c>
      <c r="I1601" s="2">
        <v>60</v>
      </c>
      <c r="J1601" s="12">
        <f>I1601/Pondération!$J$98</f>
        <v>0.11257035647279549</v>
      </c>
    </row>
    <row r="1602" spans="1:10" x14ac:dyDescent="0.25">
      <c r="A1602" s="2" t="s">
        <v>77</v>
      </c>
      <c r="B1602" s="2">
        <v>2013</v>
      </c>
      <c r="C1602" s="2" t="s">
        <v>60</v>
      </c>
      <c r="D1602" s="2" t="s">
        <v>41</v>
      </c>
      <c r="E1602" s="2" t="s">
        <v>78</v>
      </c>
      <c r="F1602" s="2" t="s">
        <v>84</v>
      </c>
      <c r="G1602" s="2">
        <f t="shared" ref="G1602:G1665" si="25">H1602*J1602</f>
        <v>0.41838649155722324</v>
      </c>
      <c r="H1602" s="5">
        <v>4.2884615384615383</v>
      </c>
      <c r="I1602" s="2">
        <v>52</v>
      </c>
      <c r="J1602" s="12">
        <f>I1602/Pondération!$J$98</f>
        <v>9.7560975609756101E-2</v>
      </c>
    </row>
    <row r="1603" spans="1:10" x14ac:dyDescent="0.25">
      <c r="A1603" s="2" t="s">
        <v>77</v>
      </c>
      <c r="B1603" s="2">
        <v>2014</v>
      </c>
      <c r="C1603" s="2" t="s">
        <v>61</v>
      </c>
      <c r="D1603" s="2" t="s">
        <v>41</v>
      </c>
      <c r="E1603" s="2" t="s">
        <v>78</v>
      </c>
      <c r="F1603" s="2" t="s">
        <v>84</v>
      </c>
      <c r="G1603" s="2">
        <f t="shared" si="25"/>
        <v>0.27105263157894738</v>
      </c>
      <c r="H1603" s="5">
        <v>4.4142857142857146</v>
      </c>
      <c r="I1603" s="2">
        <v>70</v>
      </c>
      <c r="J1603" s="12">
        <f>I1603/Pondération!$I$98</f>
        <v>6.1403508771929821E-2</v>
      </c>
    </row>
    <row r="1604" spans="1:10" x14ac:dyDescent="0.25">
      <c r="A1604" s="2" t="s">
        <v>77</v>
      </c>
      <c r="B1604" s="2">
        <v>2014</v>
      </c>
      <c r="C1604" s="2" t="s">
        <v>62</v>
      </c>
      <c r="D1604" s="2" t="s">
        <v>41</v>
      </c>
      <c r="E1604" s="2" t="s">
        <v>78</v>
      </c>
      <c r="F1604" s="2" t="s">
        <v>84</v>
      </c>
      <c r="G1604" s="2">
        <f t="shared" si="25"/>
        <v>0.38333333333333336</v>
      </c>
      <c r="H1604" s="5">
        <v>4.4141414141414144</v>
      </c>
      <c r="I1604" s="2">
        <v>99</v>
      </c>
      <c r="J1604" s="12">
        <f>I1604/Pondération!$I$98</f>
        <v>8.6842105263157901E-2</v>
      </c>
    </row>
    <row r="1605" spans="1:10" x14ac:dyDescent="0.25">
      <c r="A1605" s="2" t="s">
        <v>77</v>
      </c>
      <c r="B1605" s="2">
        <v>2014</v>
      </c>
      <c r="C1605" s="2" t="s">
        <v>63</v>
      </c>
      <c r="D1605" s="2" t="s">
        <v>41</v>
      </c>
      <c r="E1605" s="2" t="s">
        <v>78</v>
      </c>
      <c r="F1605" s="2" t="s">
        <v>84</v>
      </c>
      <c r="G1605" s="2">
        <f t="shared" si="25"/>
        <v>0.27982456140350875</v>
      </c>
      <c r="H1605" s="5">
        <v>4.5571428571428569</v>
      </c>
      <c r="I1605" s="2">
        <v>70</v>
      </c>
      <c r="J1605" s="12">
        <f>I1605/Pondération!$I$98</f>
        <v>6.1403508771929821E-2</v>
      </c>
    </row>
    <row r="1606" spans="1:10" x14ac:dyDescent="0.25">
      <c r="A1606" s="2" t="s">
        <v>77</v>
      </c>
      <c r="B1606" s="2">
        <v>2014</v>
      </c>
      <c r="C1606" s="2" t="s">
        <v>64</v>
      </c>
      <c r="D1606" s="2" t="s">
        <v>41</v>
      </c>
      <c r="E1606" s="2" t="s">
        <v>78</v>
      </c>
      <c r="F1606" s="2" t="s">
        <v>84</v>
      </c>
      <c r="G1606" s="2">
        <f t="shared" si="25"/>
        <v>0.23991228070175438</v>
      </c>
      <c r="H1606" s="5">
        <v>4.411290322580645</v>
      </c>
      <c r="I1606" s="2">
        <v>62</v>
      </c>
      <c r="J1606" s="12">
        <f>I1606/Pondération!$I$98</f>
        <v>5.4385964912280704E-2</v>
      </c>
    </row>
    <row r="1607" spans="1:10" x14ac:dyDescent="0.25">
      <c r="A1607" s="2" t="s">
        <v>77</v>
      </c>
      <c r="B1607" s="2">
        <v>2014</v>
      </c>
      <c r="C1607" s="2" t="s">
        <v>65</v>
      </c>
      <c r="D1607" s="2" t="s">
        <v>41</v>
      </c>
      <c r="E1607" s="2" t="s">
        <v>78</v>
      </c>
      <c r="F1607" s="2" t="s">
        <v>84</v>
      </c>
      <c r="G1607" s="2">
        <f t="shared" si="25"/>
        <v>0.27894736842105267</v>
      </c>
      <c r="H1607" s="5">
        <v>4.416666666666667</v>
      </c>
      <c r="I1607" s="2">
        <v>72</v>
      </c>
      <c r="J1607" s="12">
        <f>I1607/Pondération!$I$98</f>
        <v>6.3157894736842107E-2</v>
      </c>
    </row>
    <row r="1608" spans="1:10" x14ac:dyDescent="0.25">
      <c r="A1608" s="2" t="s">
        <v>77</v>
      </c>
      <c r="B1608" s="2">
        <v>2014</v>
      </c>
      <c r="C1608" s="2" t="s">
        <v>66</v>
      </c>
      <c r="D1608" s="2" t="s">
        <v>41</v>
      </c>
      <c r="E1608" s="2" t="s">
        <v>78</v>
      </c>
      <c r="F1608" s="2" t="s">
        <v>84</v>
      </c>
      <c r="G1608" s="2">
        <f t="shared" si="25"/>
        <v>0.37105263157894736</v>
      </c>
      <c r="H1608" s="5">
        <v>4.40625</v>
      </c>
      <c r="I1608" s="2">
        <v>96</v>
      </c>
      <c r="J1608" s="12">
        <f>I1608/Pondération!$I$98</f>
        <v>8.4210526315789472E-2</v>
      </c>
    </row>
    <row r="1609" spans="1:10" x14ac:dyDescent="0.25">
      <c r="A1609" s="2" t="s">
        <v>77</v>
      </c>
      <c r="B1609" s="2">
        <v>2014</v>
      </c>
      <c r="C1609" s="2" t="s">
        <v>67</v>
      </c>
      <c r="D1609" s="2" t="s">
        <v>41</v>
      </c>
      <c r="E1609" s="2" t="s">
        <v>78</v>
      </c>
      <c r="F1609" s="2" t="s">
        <v>84</v>
      </c>
      <c r="G1609" s="2">
        <f t="shared" si="25"/>
        <v>0.30570175438596492</v>
      </c>
      <c r="H1609" s="5">
        <v>4.3024691358024691</v>
      </c>
      <c r="I1609" s="2">
        <v>81</v>
      </c>
      <c r="J1609" s="12">
        <f>I1609/Pondération!$I$98</f>
        <v>7.1052631578947367E-2</v>
      </c>
    </row>
    <row r="1610" spans="1:10" x14ac:dyDescent="0.25">
      <c r="A1610" s="2" t="s">
        <v>77</v>
      </c>
      <c r="B1610" s="2">
        <v>2014</v>
      </c>
      <c r="C1610" s="2" t="s">
        <v>68</v>
      </c>
      <c r="D1610" s="2" t="s">
        <v>41</v>
      </c>
      <c r="E1610" s="2" t="s">
        <v>78</v>
      </c>
      <c r="F1610" s="2" t="s">
        <v>84</v>
      </c>
      <c r="G1610" s="2">
        <f t="shared" si="25"/>
        <v>0.39649122807017545</v>
      </c>
      <c r="H1610" s="5">
        <v>4.4313725490196081</v>
      </c>
      <c r="I1610" s="2">
        <v>102</v>
      </c>
      <c r="J1610" s="12">
        <f>I1610/Pondération!$I$98</f>
        <v>8.9473684210526316E-2</v>
      </c>
    </row>
    <row r="1611" spans="1:10" x14ac:dyDescent="0.25">
      <c r="A1611" s="2" t="s">
        <v>77</v>
      </c>
      <c r="B1611" s="2">
        <v>2014</v>
      </c>
      <c r="C1611" s="2" t="s">
        <v>69</v>
      </c>
      <c r="D1611" s="2" t="s">
        <v>41</v>
      </c>
      <c r="E1611" s="2" t="s">
        <v>78</v>
      </c>
      <c r="F1611" s="2" t="s">
        <v>84</v>
      </c>
      <c r="G1611" s="2">
        <f t="shared" si="25"/>
        <v>0.32236842105263158</v>
      </c>
      <c r="H1611" s="5">
        <v>4.4817073170731705</v>
      </c>
      <c r="I1611" s="2">
        <v>82</v>
      </c>
      <c r="J1611" s="12">
        <f>I1611/Pondération!$I$98</f>
        <v>7.192982456140351E-2</v>
      </c>
    </row>
    <row r="1612" spans="1:10" x14ac:dyDescent="0.25">
      <c r="A1612" s="2" t="s">
        <v>77</v>
      </c>
      <c r="B1612" s="2">
        <v>2014</v>
      </c>
      <c r="C1612" s="2" t="s">
        <v>70</v>
      </c>
      <c r="D1612" s="2" t="s">
        <v>41</v>
      </c>
      <c r="E1612" s="2" t="s">
        <v>78</v>
      </c>
      <c r="F1612" s="2" t="s">
        <v>84</v>
      </c>
      <c r="G1612" s="2">
        <f t="shared" si="25"/>
        <v>0.47280701754385962</v>
      </c>
      <c r="H1612" s="5">
        <v>4.4545454545454541</v>
      </c>
      <c r="I1612" s="2">
        <v>121</v>
      </c>
      <c r="J1612" s="12">
        <f>I1612/Pondération!$I$98</f>
        <v>0.10614035087719298</v>
      </c>
    </row>
    <row r="1613" spans="1:10" x14ac:dyDescent="0.25">
      <c r="A1613" s="2" t="s">
        <v>77</v>
      </c>
      <c r="B1613" s="2">
        <v>2014</v>
      </c>
      <c r="C1613" s="2" t="s">
        <v>71</v>
      </c>
      <c r="D1613" s="2" t="s">
        <v>41</v>
      </c>
      <c r="E1613" s="2" t="s">
        <v>78</v>
      </c>
      <c r="F1613" s="2" t="s">
        <v>84</v>
      </c>
      <c r="G1613" s="2">
        <f t="shared" si="25"/>
        <v>0.54122807017543861</v>
      </c>
      <c r="H1613" s="5">
        <v>4.345070422535211</v>
      </c>
      <c r="I1613" s="2">
        <v>142</v>
      </c>
      <c r="J1613" s="12">
        <f>I1613/Pondération!$I$98</f>
        <v>0.12456140350877193</v>
      </c>
    </row>
    <row r="1614" spans="1:10" x14ac:dyDescent="0.25">
      <c r="A1614" s="2" t="s">
        <v>77</v>
      </c>
      <c r="B1614" s="2">
        <v>2014</v>
      </c>
      <c r="C1614" s="2" t="s">
        <v>72</v>
      </c>
      <c r="D1614" s="2" t="s">
        <v>41</v>
      </c>
      <c r="E1614" s="2" t="s">
        <v>78</v>
      </c>
      <c r="F1614" s="2" t="s">
        <v>84</v>
      </c>
      <c r="G1614" s="2">
        <f t="shared" si="25"/>
        <v>0.54122807017543861</v>
      </c>
      <c r="H1614" s="5">
        <v>4.314685314685315</v>
      </c>
      <c r="I1614" s="2">
        <v>143</v>
      </c>
      <c r="J1614" s="12">
        <f>I1614/Pondération!$I$98</f>
        <v>0.12543859649122807</v>
      </c>
    </row>
    <row r="1615" spans="1:10" x14ac:dyDescent="0.25">
      <c r="A1615" s="2" t="s">
        <v>77</v>
      </c>
      <c r="B1615" s="2">
        <v>2015</v>
      </c>
      <c r="C1615" s="2" t="s">
        <v>73</v>
      </c>
      <c r="D1615" s="2" t="s">
        <v>41</v>
      </c>
      <c r="E1615" s="2" t="s">
        <v>78</v>
      </c>
      <c r="F1615" s="2" t="s">
        <v>84</v>
      </c>
      <c r="G1615" s="2">
        <f t="shared" si="25"/>
        <v>0.30338809034907593</v>
      </c>
      <c r="H1615" s="5">
        <v>4.3455882352941178</v>
      </c>
      <c r="I1615" s="2">
        <v>136</v>
      </c>
      <c r="J1615" s="12">
        <f>I1615/Pondération!$H$98</f>
        <v>6.9815195071868577E-2</v>
      </c>
    </row>
    <row r="1616" spans="1:10" x14ac:dyDescent="0.25">
      <c r="A1616" s="2" t="s">
        <v>77</v>
      </c>
      <c r="B1616" s="2">
        <v>2015</v>
      </c>
      <c r="C1616" s="2" t="s">
        <v>74</v>
      </c>
      <c r="D1616" s="2" t="s">
        <v>41</v>
      </c>
      <c r="E1616" s="2" t="s">
        <v>78</v>
      </c>
      <c r="F1616" s="2" t="s">
        <v>84</v>
      </c>
      <c r="G1616" s="2">
        <f t="shared" si="25"/>
        <v>0.26899383983572894</v>
      </c>
      <c r="H1616" s="5">
        <v>4.4406779661016946</v>
      </c>
      <c r="I1616" s="2">
        <v>118</v>
      </c>
      <c r="J1616" s="12">
        <f>I1616/Pondération!$H$98</f>
        <v>6.0574948665297744E-2</v>
      </c>
    </row>
    <row r="1617" spans="1:10" x14ac:dyDescent="0.25">
      <c r="A1617" s="2" t="s">
        <v>77</v>
      </c>
      <c r="B1617" s="2">
        <v>2015</v>
      </c>
      <c r="C1617" s="2" t="s">
        <v>75</v>
      </c>
      <c r="D1617" s="2" t="s">
        <v>41</v>
      </c>
      <c r="E1617" s="2" t="s">
        <v>78</v>
      </c>
      <c r="F1617" s="2" t="s">
        <v>84</v>
      </c>
      <c r="G1617" s="2">
        <f t="shared" si="25"/>
        <v>0.3190451745379877</v>
      </c>
      <c r="H1617" s="5">
        <v>4.3159722222222223</v>
      </c>
      <c r="I1617" s="2">
        <v>144</v>
      </c>
      <c r="J1617" s="12">
        <f>I1617/Pondération!$H$98</f>
        <v>7.3921971252566734E-2</v>
      </c>
    </row>
    <row r="1618" spans="1:10" x14ac:dyDescent="0.25">
      <c r="A1618" s="2" t="s">
        <v>77</v>
      </c>
      <c r="B1618" s="2">
        <v>2015</v>
      </c>
      <c r="C1618" s="2" t="s">
        <v>76</v>
      </c>
      <c r="D1618" s="2" t="s">
        <v>41</v>
      </c>
      <c r="E1618" s="2" t="s">
        <v>78</v>
      </c>
      <c r="F1618" s="2" t="s">
        <v>84</v>
      </c>
      <c r="G1618" s="2">
        <f t="shared" si="25"/>
        <v>0.32751540041067762</v>
      </c>
      <c r="H1618" s="5">
        <v>4.3401360544217686</v>
      </c>
      <c r="I1618" s="2">
        <v>147</v>
      </c>
      <c r="J1618" s="12">
        <f>I1618/Pondération!$H$98</f>
        <v>7.5462012320328536E-2</v>
      </c>
    </row>
    <row r="1619" spans="1:10" x14ac:dyDescent="0.25">
      <c r="A1619" s="2" t="s">
        <v>77</v>
      </c>
      <c r="B1619" s="2">
        <v>2015</v>
      </c>
      <c r="C1619" s="2" t="s">
        <v>7</v>
      </c>
      <c r="D1619" s="2" t="s">
        <v>41</v>
      </c>
      <c r="E1619" s="2" t="s">
        <v>78</v>
      </c>
      <c r="F1619" s="2" t="s">
        <v>84</v>
      </c>
      <c r="G1619" s="2">
        <f t="shared" si="25"/>
        <v>0.33752566735112932</v>
      </c>
      <c r="H1619" s="5">
        <v>4.4127516778523486</v>
      </c>
      <c r="I1619" s="2">
        <v>149</v>
      </c>
      <c r="J1619" s="12">
        <f>I1619/Pondération!$H$98</f>
        <v>7.6488706365503076E-2</v>
      </c>
    </row>
    <row r="1620" spans="1:10" x14ac:dyDescent="0.25">
      <c r="A1620" s="2" t="s">
        <v>77</v>
      </c>
      <c r="B1620" s="2">
        <v>2015</v>
      </c>
      <c r="C1620" s="2" t="s">
        <v>11</v>
      </c>
      <c r="D1620" s="2" t="s">
        <v>41</v>
      </c>
      <c r="E1620" s="2" t="s">
        <v>78</v>
      </c>
      <c r="F1620" s="2" t="s">
        <v>84</v>
      </c>
      <c r="G1620" s="2">
        <f t="shared" si="25"/>
        <v>0.28336755646817252</v>
      </c>
      <c r="H1620" s="5">
        <v>4.3809523809523814</v>
      </c>
      <c r="I1620" s="2">
        <v>126</v>
      </c>
      <c r="J1620" s="12">
        <f>I1620/Pondération!$H$98</f>
        <v>6.4681724845995894E-2</v>
      </c>
    </row>
    <row r="1621" spans="1:10" x14ac:dyDescent="0.25">
      <c r="A1621" s="2" t="s">
        <v>77</v>
      </c>
      <c r="B1621" s="2">
        <v>2015</v>
      </c>
      <c r="C1621" s="2" t="s">
        <v>12</v>
      </c>
      <c r="D1621" s="2" t="s">
        <v>41</v>
      </c>
      <c r="E1621" s="2" t="s">
        <v>78</v>
      </c>
      <c r="F1621" s="2" t="s">
        <v>84</v>
      </c>
      <c r="G1621" s="2">
        <f t="shared" si="25"/>
        <v>0.45302874743326493</v>
      </c>
      <c r="H1621" s="5">
        <v>4.4346733668341711</v>
      </c>
      <c r="I1621" s="2">
        <v>199</v>
      </c>
      <c r="J1621" s="12">
        <f>I1621/Pondération!$H$98</f>
        <v>0.10215605749486653</v>
      </c>
    </row>
    <row r="1622" spans="1:10" x14ac:dyDescent="0.25">
      <c r="A1622" s="2" t="s">
        <v>77</v>
      </c>
      <c r="B1622" s="2">
        <v>2015</v>
      </c>
      <c r="C1622" s="2" t="s">
        <v>13</v>
      </c>
      <c r="D1622" s="2" t="s">
        <v>41</v>
      </c>
      <c r="E1622" s="2" t="s">
        <v>78</v>
      </c>
      <c r="F1622" s="2" t="s">
        <v>84</v>
      </c>
      <c r="G1622" s="2">
        <f t="shared" si="25"/>
        <v>0.41606776180698152</v>
      </c>
      <c r="H1622" s="5">
        <v>4.35752688172043</v>
      </c>
      <c r="I1622" s="2">
        <v>186</v>
      </c>
      <c r="J1622" s="12">
        <f>I1622/Pondération!$H$98</f>
        <v>9.5482546201232033E-2</v>
      </c>
    </row>
    <row r="1623" spans="1:10" x14ac:dyDescent="0.25">
      <c r="A1623" s="2" t="s">
        <v>77</v>
      </c>
      <c r="B1623" s="2">
        <v>2015</v>
      </c>
      <c r="C1623" s="2" t="s">
        <v>14</v>
      </c>
      <c r="D1623" s="2" t="s">
        <v>41</v>
      </c>
      <c r="E1623" s="2" t="s">
        <v>78</v>
      </c>
      <c r="F1623" s="2" t="s">
        <v>84</v>
      </c>
      <c r="G1623" s="2">
        <f t="shared" si="25"/>
        <v>0.40605749486652981</v>
      </c>
      <c r="H1623" s="5">
        <v>4.3224043715846996</v>
      </c>
      <c r="I1623" s="2">
        <v>183</v>
      </c>
      <c r="J1623" s="12">
        <f>I1623/Pondération!$H$98</f>
        <v>9.394250513347023E-2</v>
      </c>
    </row>
    <row r="1624" spans="1:10" x14ac:dyDescent="0.25">
      <c r="A1624" s="2" t="s">
        <v>77</v>
      </c>
      <c r="B1624" s="2">
        <v>2015</v>
      </c>
      <c r="C1624" s="2" t="s">
        <v>15</v>
      </c>
      <c r="D1624" s="2" t="s">
        <v>41</v>
      </c>
      <c r="E1624" s="2" t="s">
        <v>78</v>
      </c>
      <c r="F1624" s="2" t="s">
        <v>84</v>
      </c>
      <c r="G1624" s="2">
        <f t="shared" si="25"/>
        <v>0.42761806981519512</v>
      </c>
      <c r="H1624" s="5">
        <v>4.338541666666667</v>
      </c>
      <c r="I1624" s="2">
        <v>192</v>
      </c>
      <c r="J1624" s="12">
        <f>I1624/Pondération!$H$98</f>
        <v>9.856262833675565E-2</v>
      </c>
    </row>
    <row r="1625" spans="1:10" x14ac:dyDescent="0.25">
      <c r="A1625" s="2" t="s">
        <v>77</v>
      </c>
      <c r="B1625" s="2">
        <v>2015</v>
      </c>
      <c r="C1625" s="2" t="s">
        <v>16</v>
      </c>
      <c r="D1625" s="2" t="s">
        <v>41</v>
      </c>
      <c r="E1625" s="2" t="s">
        <v>78</v>
      </c>
      <c r="F1625" s="2" t="s">
        <v>84</v>
      </c>
      <c r="G1625" s="2">
        <f t="shared" si="25"/>
        <v>0.39194045174537989</v>
      </c>
      <c r="H1625" s="5">
        <v>4.4389534883720927</v>
      </c>
      <c r="I1625" s="2">
        <v>172</v>
      </c>
      <c r="J1625" s="12">
        <f>I1625/Pondération!$H$98</f>
        <v>8.8295687885010271E-2</v>
      </c>
    </row>
    <row r="1626" spans="1:10" x14ac:dyDescent="0.25">
      <c r="A1626" s="2" t="s">
        <v>77</v>
      </c>
      <c r="B1626" s="2">
        <v>2015</v>
      </c>
      <c r="C1626" s="2" t="s">
        <v>17</v>
      </c>
      <c r="D1626" s="2" t="s">
        <v>41</v>
      </c>
      <c r="E1626" s="2" t="s">
        <v>78</v>
      </c>
      <c r="F1626" s="2" t="s">
        <v>84</v>
      </c>
      <c r="G1626" s="2">
        <f t="shared" si="25"/>
        <v>0.44378850102669404</v>
      </c>
      <c r="H1626" s="5">
        <v>4.4107142857142856</v>
      </c>
      <c r="I1626" s="2">
        <v>196</v>
      </c>
      <c r="J1626" s="12">
        <f>I1626/Pondération!$H$98</f>
        <v>0.10061601642710473</v>
      </c>
    </row>
    <row r="1627" spans="1:10" x14ac:dyDescent="0.25">
      <c r="A1627" s="2" t="s">
        <v>77</v>
      </c>
      <c r="B1627" s="2">
        <v>2016</v>
      </c>
      <c r="C1627" s="2" t="s">
        <v>18</v>
      </c>
      <c r="D1627" s="2" t="s">
        <v>41</v>
      </c>
      <c r="E1627" s="2" t="s">
        <v>78</v>
      </c>
      <c r="F1627" s="2" t="s">
        <v>84</v>
      </c>
      <c r="G1627" s="2">
        <f t="shared" si="25"/>
        <v>0.34142715559960363</v>
      </c>
      <c r="H1627" s="5">
        <v>4.3607594936708862</v>
      </c>
      <c r="I1627" s="2">
        <v>237</v>
      </c>
      <c r="J1627" s="12">
        <f>I1627/Pondération!$G$98</f>
        <v>7.8295341922695744E-2</v>
      </c>
    </row>
    <row r="1628" spans="1:10" x14ac:dyDescent="0.25">
      <c r="A1628" s="2" t="s">
        <v>77</v>
      </c>
      <c r="B1628" s="2">
        <v>2016</v>
      </c>
      <c r="C1628" s="2" t="s">
        <v>19</v>
      </c>
      <c r="D1628" s="2" t="s">
        <v>41</v>
      </c>
      <c r="E1628" s="2" t="s">
        <v>78</v>
      </c>
      <c r="F1628" s="2" t="s">
        <v>84</v>
      </c>
      <c r="G1628" s="2">
        <f t="shared" si="25"/>
        <v>0.37743640568219355</v>
      </c>
      <c r="H1628" s="5">
        <v>4.3606870229007635</v>
      </c>
      <c r="I1628" s="2">
        <v>262</v>
      </c>
      <c r="J1628" s="12">
        <f>I1628/Pondération!$G$98</f>
        <v>8.6554344235216379E-2</v>
      </c>
    </row>
    <row r="1629" spans="1:10" x14ac:dyDescent="0.25">
      <c r="A1629" s="2" t="s">
        <v>77</v>
      </c>
      <c r="B1629" s="2">
        <v>2016</v>
      </c>
      <c r="C1629" s="2" t="s">
        <v>20</v>
      </c>
      <c r="D1629" s="2" t="s">
        <v>41</v>
      </c>
      <c r="E1629" s="2" t="s">
        <v>78</v>
      </c>
      <c r="F1629" s="2" t="s">
        <v>84</v>
      </c>
      <c r="G1629" s="2">
        <f t="shared" si="25"/>
        <v>0.38965972910472413</v>
      </c>
      <c r="H1629" s="5">
        <v>4.336397058823529</v>
      </c>
      <c r="I1629" s="2">
        <v>272</v>
      </c>
      <c r="J1629" s="12">
        <f>I1629/Pondération!$G$98</f>
        <v>8.9857945160224648E-2</v>
      </c>
    </row>
    <row r="1630" spans="1:10" x14ac:dyDescent="0.25">
      <c r="A1630" s="2" t="s">
        <v>77</v>
      </c>
      <c r="B1630" s="2">
        <v>2016</v>
      </c>
      <c r="C1630" s="2" t="s">
        <v>21</v>
      </c>
      <c r="D1630" s="2" t="s">
        <v>41</v>
      </c>
      <c r="E1630" s="2" t="s">
        <v>78</v>
      </c>
      <c r="F1630" s="2" t="s">
        <v>84</v>
      </c>
      <c r="G1630" s="2">
        <f t="shared" si="25"/>
        <v>0.35051205814337633</v>
      </c>
      <c r="H1630" s="5">
        <v>4.3130081300813012</v>
      </c>
      <c r="I1630" s="2">
        <v>246</v>
      </c>
      <c r="J1630" s="12">
        <f>I1630/Pondération!$G$98</f>
        <v>8.126858275520317E-2</v>
      </c>
    </row>
    <row r="1631" spans="1:10" x14ac:dyDescent="0.25">
      <c r="A1631" s="2" t="s">
        <v>77</v>
      </c>
      <c r="B1631" s="2">
        <v>2016</v>
      </c>
      <c r="C1631" s="2" t="s">
        <v>22</v>
      </c>
      <c r="D1631" s="2" t="s">
        <v>41</v>
      </c>
      <c r="E1631" s="2" t="s">
        <v>78</v>
      </c>
      <c r="F1631" s="2" t="s">
        <v>84</v>
      </c>
      <c r="G1631" s="2">
        <f t="shared" si="25"/>
        <v>0.2966633630657417</v>
      </c>
      <c r="H1631" s="5">
        <v>4.4019607843137258</v>
      </c>
      <c r="I1631" s="2">
        <v>204</v>
      </c>
      <c r="J1631" s="12">
        <f>I1631/Pondération!$G$98</f>
        <v>6.7393458870168482E-2</v>
      </c>
    </row>
    <row r="1632" spans="1:10" x14ac:dyDescent="0.25">
      <c r="A1632" s="2" t="s">
        <v>77</v>
      </c>
      <c r="B1632" s="2">
        <v>2016</v>
      </c>
      <c r="C1632" s="2" t="s">
        <v>23</v>
      </c>
      <c r="D1632" s="2" t="s">
        <v>41</v>
      </c>
      <c r="E1632" s="2" t="s">
        <v>78</v>
      </c>
      <c r="F1632" s="2" t="s">
        <v>84</v>
      </c>
      <c r="G1632" s="2">
        <f t="shared" si="25"/>
        <v>0.31433762801453585</v>
      </c>
      <c r="H1632" s="5">
        <v>4.4255813953488374</v>
      </c>
      <c r="I1632" s="2">
        <v>215</v>
      </c>
      <c r="J1632" s="12">
        <f>I1632/Pondération!$G$98</f>
        <v>7.1027419887677565E-2</v>
      </c>
    </row>
    <row r="1633" spans="1:10" x14ac:dyDescent="0.25">
      <c r="A1633" s="2" t="s">
        <v>77</v>
      </c>
      <c r="B1633" s="2">
        <v>2016</v>
      </c>
      <c r="C1633" s="2" t="s">
        <v>24</v>
      </c>
      <c r="D1633" s="2" t="s">
        <v>41</v>
      </c>
      <c r="E1633" s="2" t="s">
        <v>78</v>
      </c>
      <c r="F1633" s="2" t="s">
        <v>84</v>
      </c>
      <c r="G1633" s="2">
        <f t="shared" si="25"/>
        <v>0.33663693425834162</v>
      </c>
      <c r="H1633" s="5">
        <v>4.2458333333333336</v>
      </c>
      <c r="I1633" s="2">
        <v>240</v>
      </c>
      <c r="J1633" s="12">
        <f>I1633/Pondération!$G$98</f>
        <v>7.9286422200198214E-2</v>
      </c>
    </row>
    <row r="1634" spans="1:10" x14ac:dyDescent="0.25">
      <c r="A1634" s="2" t="s">
        <v>77</v>
      </c>
      <c r="B1634" s="2">
        <v>2016</v>
      </c>
      <c r="C1634" s="2" t="s">
        <v>25</v>
      </c>
      <c r="D1634" s="2" t="s">
        <v>41</v>
      </c>
      <c r="E1634" s="2" t="s">
        <v>78</v>
      </c>
      <c r="F1634" s="2" t="s">
        <v>84</v>
      </c>
      <c r="G1634" s="2">
        <f t="shared" si="25"/>
        <v>0.36025768087215065</v>
      </c>
      <c r="H1634" s="5">
        <v>4.3446215139442232</v>
      </c>
      <c r="I1634" s="2">
        <v>251</v>
      </c>
      <c r="J1634" s="12">
        <f>I1634/Pondération!$G$98</f>
        <v>8.2920383217707297E-2</v>
      </c>
    </row>
    <row r="1635" spans="1:10" x14ac:dyDescent="0.25">
      <c r="A1635" s="2" t="s">
        <v>77</v>
      </c>
      <c r="B1635" s="2">
        <v>2016</v>
      </c>
      <c r="C1635" s="2" t="s">
        <v>26</v>
      </c>
      <c r="D1635" s="2" t="s">
        <v>41</v>
      </c>
      <c r="E1635" s="2" t="s">
        <v>78</v>
      </c>
      <c r="F1635" s="2" t="s">
        <v>84</v>
      </c>
      <c r="G1635" s="2">
        <f t="shared" si="25"/>
        <v>0.39461513049223645</v>
      </c>
      <c r="H1635" s="5">
        <v>4.4570895522388057</v>
      </c>
      <c r="I1635" s="2">
        <v>268</v>
      </c>
      <c r="J1635" s="12">
        <f>I1635/Pondération!$G$98</f>
        <v>8.8536504790221335E-2</v>
      </c>
    </row>
    <row r="1636" spans="1:10" x14ac:dyDescent="0.25">
      <c r="A1636" s="2" t="s">
        <v>77</v>
      </c>
      <c r="B1636" s="2">
        <v>2016</v>
      </c>
      <c r="C1636" s="2" t="s">
        <v>27</v>
      </c>
      <c r="D1636" s="2" t="s">
        <v>41</v>
      </c>
      <c r="E1636" s="2" t="s">
        <v>78</v>
      </c>
      <c r="F1636" s="2" t="s">
        <v>84</v>
      </c>
      <c r="G1636" s="2">
        <f t="shared" si="25"/>
        <v>0.45688800792864226</v>
      </c>
      <c r="H1636" s="5">
        <v>4.3627760252365935</v>
      </c>
      <c r="I1636" s="2">
        <v>317</v>
      </c>
      <c r="J1636" s="12">
        <f>I1636/Pondération!$G$98</f>
        <v>0.10472414932276181</v>
      </c>
    </row>
    <row r="1637" spans="1:10" x14ac:dyDescent="0.25">
      <c r="A1637" s="2" t="s">
        <v>77</v>
      </c>
      <c r="B1637" s="2">
        <v>2016</v>
      </c>
      <c r="C1637" s="2" t="s">
        <v>28</v>
      </c>
      <c r="D1637" s="2" t="s">
        <v>41</v>
      </c>
      <c r="E1637" s="2" t="s">
        <v>78</v>
      </c>
      <c r="F1637" s="2" t="s">
        <v>84</v>
      </c>
      <c r="G1637" s="2">
        <f t="shared" si="25"/>
        <v>0.43458870168483643</v>
      </c>
      <c r="H1637" s="5">
        <v>4.3131147540983603</v>
      </c>
      <c r="I1637" s="2">
        <v>305</v>
      </c>
      <c r="J1637" s="12">
        <f>I1637/Pondération!$G$98</f>
        <v>0.1007598282127519</v>
      </c>
    </row>
    <row r="1638" spans="1:10" x14ac:dyDescent="0.25">
      <c r="A1638" s="2" t="s">
        <v>77</v>
      </c>
      <c r="B1638" s="2">
        <v>2016</v>
      </c>
      <c r="C1638" s="2" t="s">
        <v>29</v>
      </c>
      <c r="D1638" s="2" t="s">
        <v>41</v>
      </c>
      <c r="E1638" s="2" t="s">
        <v>78</v>
      </c>
      <c r="F1638" s="2" t="s">
        <v>84</v>
      </c>
      <c r="G1638" s="2">
        <f t="shared" si="25"/>
        <v>0.30459200528576152</v>
      </c>
      <c r="H1638" s="5">
        <v>4.3904761904761909</v>
      </c>
      <c r="I1638" s="2">
        <v>210</v>
      </c>
      <c r="J1638" s="12">
        <f>I1638/Pondération!$G$98</f>
        <v>6.9375619425173438E-2</v>
      </c>
    </row>
    <row r="1639" spans="1:10" x14ac:dyDescent="0.25">
      <c r="A1639" s="2" t="s">
        <v>77</v>
      </c>
      <c r="B1639" s="2">
        <v>2017</v>
      </c>
      <c r="C1639" s="2" t="s">
        <v>30</v>
      </c>
      <c r="D1639" s="2" t="s">
        <v>41</v>
      </c>
      <c r="E1639" s="2" t="s">
        <v>78</v>
      </c>
      <c r="F1639" s="2" t="s">
        <v>84</v>
      </c>
      <c r="G1639" s="2">
        <f t="shared" si="25"/>
        <v>0.80190677966101698</v>
      </c>
      <c r="H1639" s="5">
        <v>4.3174904942965782</v>
      </c>
      <c r="I1639" s="2">
        <v>263</v>
      </c>
      <c r="J1639" s="12">
        <f>I1639/Pondération!$F$98</f>
        <v>0.18573446327683615</v>
      </c>
    </row>
    <row r="1640" spans="1:10" x14ac:dyDescent="0.25">
      <c r="A1640" s="2" t="s">
        <v>77</v>
      </c>
      <c r="B1640" s="2">
        <v>2017</v>
      </c>
      <c r="C1640" s="2" t="s">
        <v>31</v>
      </c>
      <c r="D1640" s="2" t="s">
        <v>41</v>
      </c>
      <c r="E1640" s="2" t="s">
        <v>78</v>
      </c>
      <c r="F1640" s="2" t="s">
        <v>84</v>
      </c>
      <c r="G1640" s="2">
        <f t="shared" si="25"/>
        <v>0.82944915254237273</v>
      </c>
      <c r="H1640" s="5">
        <v>4.3499999999999996</v>
      </c>
      <c r="I1640" s="2">
        <v>270</v>
      </c>
      <c r="J1640" s="12">
        <f>I1640/Pondération!$F$98</f>
        <v>0.19067796610169491</v>
      </c>
    </row>
    <row r="1641" spans="1:10" x14ac:dyDescent="0.25">
      <c r="A1641" s="2" t="s">
        <v>77</v>
      </c>
      <c r="B1641" s="2">
        <v>2017</v>
      </c>
      <c r="C1641" s="2" t="s">
        <v>32</v>
      </c>
      <c r="D1641" s="2" t="s">
        <v>41</v>
      </c>
      <c r="E1641" s="2" t="s">
        <v>78</v>
      </c>
      <c r="F1641" s="2" t="s">
        <v>84</v>
      </c>
      <c r="G1641" s="2">
        <f t="shared" si="25"/>
        <v>0.91772598870056499</v>
      </c>
      <c r="H1641" s="5">
        <v>4.3754208754208754</v>
      </c>
      <c r="I1641" s="2">
        <v>297</v>
      </c>
      <c r="J1641" s="12">
        <f>I1641/Pondération!$F$98</f>
        <v>0.2097457627118644</v>
      </c>
    </row>
    <row r="1642" spans="1:10" x14ac:dyDescent="0.25">
      <c r="A1642" s="2" t="s">
        <v>77</v>
      </c>
      <c r="B1642" s="2">
        <v>2017</v>
      </c>
      <c r="C1642" s="2" t="s">
        <v>33</v>
      </c>
      <c r="D1642" s="2" t="s">
        <v>41</v>
      </c>
      <c r="E1642" s="2" t="s">
        <v>78</v>
      </c>
      <c r="F1642" s="2" t="s">
        <v>84</v>
      </c>
      <c r="G1642" s="2">
        <f t="shared" si="25"/>
        <v>0.76306497175141252</v>
      </c>
      <c r="H1642" s="5">
        <v>4.2707509881422929</v>
      </c>
      <c r="I1642" s="2">
        <v>253</v>
      </c>
      <c r="J1642" s="12">
        <f>I1642/Pondération!$F$98</f>
        <v>0.1786723163841808</v>
      </c>
    </row>
    <row r="1643" spans="1:10" x14ac:dyDescent="0.25">
      <c r="A1643" s="2" t="s">
        <v>77</v>
      </c>
      <c r="B1643" s="2">
        <v>2017</v>
      </c>
      <c r="C1643" s="2" t="s">
        <v>34</v>
      </c>
      <c r="D1643" s="2" t="s">
        <v>41</v>
      </c>
      <c r="E1643" s="2" t="s">
        <v>78</v>
      </c>
      <c r="F1643" s="2" t="s">
        <v>84</v>
      </c>
      <c r="G1643" s="2">
        <f t="shared" si="25"/>
        <v>0.63559322033898302</v>
      </c>
      <c r="H1643" s="5">
        <v>4.3478260869565215</v>
      </c>
      <c r="I1643" s="2">
        <v>207</v>
      </c>
      <c r="J1643" s="12">
        <f>I1643/Pondération!$F$98</f>
        <v>0.1461864406779661</v>
      </c>
    </row>
    <row r="1644" spans="1:10" x14ac:dyDescent="0.25">
      <c r="A1644" s="2" t="s">
        <v>77</v>
      </c>
      <c r="B1644" s="2">
        <v>2017</v>
      </c>
      <c r="C1644" s="2" t="s">
        <v>80</v>
      </c>
      <c r="D1644" s="2" t="s">
        <v>41</v>
      </c>
      <c r="E1644" s="2" t="s">
        <v>78</v>
      </c>
      <c r="F1644" s="2" t="s">
        <v>84</v>
      </c>
      <c r="G1644" s="2">
        <f t="shared" si="25"/>
        <v>0.38665254237288132</v>
      </c>
      <c r="H1644" s="5">
        <v>4.3452380952380949</v>
      </c>
      <c r="I1644" s="2">
        <v>126</v>
      </c>
      <c r="J1644" s="12">
        <f>I1644/Pondération!$F$98</f>
        <v>8.8983050847457626E-2</v>
      </c>
    </row>
    <row r="1645" spans="1:10" x14ac:dyDescent="0.25">
      <c r="A1645" s="2" t="s">
        <v>77</v>
      </c>
      <c r="B1645" s="2">
        <v>2013</v>
      </c>
      <c r="C1645" s="2" t="s">
        <v>49</v>
      </c>
      <c r="D1645" s="2" t="s">
        <v>42</v>
      </c>
      <c r="E1645" s="2" t="s">
        <v>78</v>
      </c>
      <c r="F1645" s="2" t="s">
        <v>79</v>
      </c>
      <c r="G1645" s="2">
        <f t="shared" si="25"/>
        <v>0.17296511627906977</v>
      </c>
      <c r="H1645" s="5">
        <v>4.25</v>
      </c>
      <c r="I1645" s="2">
        <v>14</v>
      </c>
      <c r="J1645" s="12">
        <f>I1645/Pondération!$J$108</f>
        <v>4.0697674418604654E-2</v>
      </c>
    </row>
    <row r="1646" spans="1:10" x14ac:dyDescent="0.25">
      <c r="A1646" s="2" t="s">
        <v>77</v>
      </c>
      <c r="B1646" s="2">
        <v>2013</v>
      </c>
      <c r="C1646" s="2" t="s">
        <v>50</v>
      </c>
      <c r="D1646" s="2" t="s">
        <v>42</v>
      </c>
      <c r="E1646" s="2" t="s">
        <v>78</v>
      </c>
      <c r="F1646" s="2" t="s">
        <v>79</v>
      </c>
      <c r="G1646" s="2">
        <f t="shared" si="25"/>
        <v>0.15988372093023256</v>
      </c>
      <c r="H1646" s="5">
        <v>4.2307692307692308</v>
      </c>
      <c r="I1646" s="2">
        <v>13</v>
      </c>
      <c r="J1646" s="12">
        <f>I1646/Pondération!$J$108</f>
        <v>3.7790697674418602E-2</v>
      </c>
    </row>
    <row r="1647" spans="1:10" x14ac:dyDescent="0.25">
      <c r="A1647" s="2" t="s">
        <v>77</v>
      </c>
      <c r="B1647" s="2">
        <v>2013</v>
      </c>
      <c r="C1647" s="2" t="s">
        <v>51</v>
      </c>
      <c r="D1647" s="2" t="s">
        <v>42</v>
      </c>
      <c r="E1647" s="2" t="s">
        <v>78</v>
      </c>
      <c r="F1647" s="2" t="s">
        <v>79</v>
      </c>
      <c r="G1647" s="2">
        <f t="shared" si="25"/>
        <v>0.22383720930232559</v>
      </c>
      <c r="H1647" s="5">
        <v>4.2777777777777777</v>
      </c>
      <c r="I1647" s="2">
        <v>18</v>
      </c>
      <c r="J1647" s="12">
        <f>I1647/Pondération!$J$108</f>
        <v>5.232558139534884E-2</v>
      </c>
    </row>
    <row r="1648" spans="1:10" x14ac:dyDescent="0.25">
      <c r="A1648" s="2" t="s">
        <v>77</v>
      </c>
      <c r="B1648" s="2">
        <v>2013</v>
      </c>
      <c r="C1648" s="2" t="s">
        <v>52</v>
      </c>
      <c r="D1648" s="2" t="s">
        <v>42</v>
      </c>
      <c r="E1648" s="2" t="s">
        <v>78</v>
      </c>
      <c r="F1648" s="2" t="s">
        <v>79</v>
      </c>
      <c r="G1648" s="2">
        <f t="shared" si="25"/>
        <v>0.34011627906976744</v>
      </c>
      <c r="H1648" s="5">
        <v>4.0344827586206895</v>
      </c>
      <c r="I1648" s="2">
        <v>29</v>
      </c>
      <c r="J1648" s="12">
        <f>I1648/Pondération!$J$108</f>
        <v>8.4302325581395346E-2</v>
      </c>
    </row>
    <row r="1649" spans="1:10" x14ac:dyDescent="0.25">
      <c r="A1649" s="2" t="s">
        <v>77</v>
      </c>
      <c r="B1649" s="2">
        <v>2013</v>
      </c>
      <c r="C1649" s="2" t="s">
        <v>53</v>
      </c>
      <c r="D1649" s="2" t="s">
        <v>42</v>
      </c>
      <c r="E1649" s="2" t="s">
        <v>78</v>
      </c>
      <c r="F1649" s="2" t="s">
        <v>79</v>
      </c>
      <c r="G1649" s="2">
        <f t="shared" si="25"/>
        <v>0.34738372093023256</v>
      </c>
      <c r="H1649" s="5">
        <v>3.9833333333333334</v>
      </c>
      <c r="I1649" s="2">
        <v>30</v>
      </c>
      <c r="J1649" s="12">
        <f>I1649/Pondération!$J$108</f>
        <v>8.7209302325581398E-2</v>
      </c>
    </row>
    <row r="1650" spans="1:10" x14ac:dyDescent="0.25">
      <c r="A1650" s="2" t="s">
        <v>77</v>
      </c>
      <c r="B1650" s="2">
        <v>2013</v>
      </c>
      <c r="C1650" s="2" t="s">
        <v>54</v>
      </c>
      <c r="D1650" s="2" t="s">
        <v>42</v>
      </c>
      <c r="E1650" s="2" t="s">
        <v>78</v>
      </c>
      <c r="F1650" s="2" t="s">
        <v>79</v>
      </c>
      <c r="G1650" s="2">
        <f t="shared" si="25"/>
        <v>0.28779069767441856</v>
      </c>
      <c r="H1650" s="5">
        <v>4.3043478260869561</v>
      </c>
      <c r="I1650" s="2">
        <v>23</v>
      </c>
      <c r="J1650" s="12">
        <f>I1650/Pondération!$J$108</f>
        <v>6.6860465116279064E-2</v>
      </c>
    </row>
    <row r="1651" spans="1:10" x14ac:dyDescent="0.25">
      <c r="A1651" s="2" t="s">
        <v>77</v>
      </c>
      <c r="B1651" s="2">
        <v>2013</v>
      </c>
      <c r="C1651" s="2" t="s">
        <v>55</v>
      </c>
      <c r="D1651" s="2" t="s">
        <v>42</v>
      </c>
      <c r="E1651" s="2" t="s">
        <v>78</v>
      </c>
      <c r="F1651" s="2" t="s">
        <v>79</v>
      </c>
      <c r="G1651" s="2">
        <f t="shared" si="25"/>
        <v>0.61191860465116288</v>
      </c>
      <c r="H1651" s="5">
        <v>4.295918367346939</v>
      </c>
      <c r="I1651" s="2">
        <v>49</v>
      </c>
      <c r="J1651" s="12">
        <f>I1651/Pondération!$J$108</f>
        <v>0.14244186046511628</v>
      </c>
    </row>
    <row r="1652" spans="1:10" x14ac:dyDescent="0.25">
      <c r="A1652" s="2" t="s">
        <v>77</v>
      </c>
      <c r="B1652" s="2">
        <v>2013</v>
      </c>
      <c r="C1652" s="2" t="s">
        <v>56</v>
      </c>
      <c r="D1652" s="2" t="s">
        <v>42</v>
      </c>
      <c r="E1652" s="2" t="s">
        <v>78</v>
      </c>
      <c r="F1652" s="2" t="s">
        <v>79</v>
      </c>
      <c r="G1652" s="2">
        <f t="shared" si="25"/>
        <v>1.0087209302325582</v>
      </c>
      <c r="H1652" s="5">
        <v>4.1309523809523814</v>
      </c>
      <c r="I1652" s="2">
        <v>84</v>
      </c>
      <c r="J1652" s="12">
        <f>I1652/Pondération!$J$108</f>
        <v>0.2441860465116279</v>
      </c>
    </row>
    <row r="1653" spans="1:10" x14ac:dyDescent="0.25">
      <c r="A1653" s="2" t="s">
        <v>77</v>
      </c>
      <c r="B1653" s="2">
        <v>2013</v>
      </c>
      <c r="C1653" s="2" t="s">
        <v>57</v>
      </c>
      <c r="D1653" s="2" t="s">
        <v>42</v>
      </c>
      <c r="E1653" s="2" t="s">
        <v>78</v>
      </c>
      <c r="F1653" s="2" t="s">
        <v>79</v>
      </c>
      <c r="G1653" s="2">
        <f t="shared" si="25"/>
        <v>0.44767441860465118</v>
      </c>
      <c r="H1653" s="5">
        <v>4.2777777777777777</v>
      </c>
      <c r="I1653" s="2">
        <v>36</v>
      </c>
      <c r="J1653" s="12">
        <f>I1653/Pondération!$J$108</f>
        <v>0.10465116279069768</v>
      </c>
    </row>
    <row r="1654" spans="1:10" x14ac:dyDescent="0.25">
      <c r="A1654" s="2" t="s">
        <v>77</v>
      </c>
      <c r="B1654" s="2">
        <v>2013</v>
      </c>
      <c r="C1654" s="2" t="s">
        <v>58</v>
      </c>
      <c r="D1654" s="2" t="s">
        <v>42</v>
      </c>
      <c r="E1654" s="2" t="s">
        <v>78</v>
      </c>
      <c r="F1654" s="2" t="s">
        <v>79</v>
      </c>
      <c r="G1654" s="2">
        <f t="shared" si="25"/>
        <v>0.27180232558139539</v>
      </c>
      <c r="H1654" s="5">
        <v>4.25</v>
      </c>
      <c r="I1654" s="2">
        <v>22</v>
      </c>
      <c r="J1654" s="12">
        <f>I1654/Pondération!$J$108</f>
        <v>6.3953488372093026E-2</v>
      </c>
    </row>
    <row r="1655" spans="1:10" x14ac:dyDescent="0.25">
      <c r="A1655" s="2" t="s">
        <v>77</v>
      </c>
      <c r="B1655" s="2">
        <v>2013</v>
      </c>
      <c r="C1655" s="2" t="s">
        <v>59</v>
      </c>
      <c r="D1655" s="2" t="s">
        <v>42</v>
      </c>
      <c r="E1655" s="2" t="s">
        <v>78</v>
      </c>
      <c r="F1655" s="2" t="s">
        <v>79</v>
      </c>
      <c r="G1655" s="2">
        <f t="shared" si="25"/>
        <v>0.22093023255813954</v>
      </c>
      <c r="H1655" s="5">
        <v>4.4705882352941178</v>
      </c>
      <c r="I1655" s="2">
        <v>17</v>
      </c>
      <c r="J1655" s="12">
        <f>I1655/Pondération!$J$108</f>
        <v>4.9418604651162788E-2</v>
      </c>
    </row>
    <row r="1656" spans="1:10" x14ac:dyDescent="0.25">
      <c r="A1656" s="2" t="s">
        <v>77</v>
      </c>
      <c r="B1656" s="2">
        <v>2013</v>
      </c>
      <c r="C1656" s="2" t="s">
        <v>60</v>
      </c>
      <c r="D1656" s="2" t="s">
        <v>42</v>
      </c>
      <c r="E1656" s="2" t="s">
        <v>78</v>
      </c>
      <c r="F1656" s="2" t="s">
        <v>79</v>
      </c>
      <c r="G1656" s="2">
        <f t="shared" si="25"/>
        <v>0.125</v>
      </c>
      <c r="H1656" s="5">
        <v>4.7777777777777777</v>
      </c>
      <c r="I1656" s="2">
        <v>9</v>
      </c>
      <c r="J1656" s="12">
        <f>I1656/Pondération!$J$108</f>
        <v>2.616279069767442E-2</v>
      </c>
    </row>
    <row r="1657" spans="1:10" x14ac:dyDescent="0.25">
      <c r="A1657" s="2" t="s">
        <v>77</v>
      </c>
      <c r="B1657" s="2">
        <v>2014</v>
      </c>
      <c r="C1657" s="2" t="s">
        <v>61</v>
      </c>
      <c r="D1657" s="2" t="s">
        <v>42</v>
      </c>
      <c r="E1657" s="2" t="s">
        <v>78</v>
      </c>
      <c r="F1657" s="2" t="s">
        <v>79</v>
      </c>
      <c r="G1657" s="2">
        <f t="shared" si="25"/>
        <v>7.3548387096774193E-2</v>
      </c>
      <c r="H1657" s="5">
        <v>4.384615384615385</v>
      </c>
      <c r="I1657" s="2">
        <v>13</v>
      </c>
      <c r="J1657" s="12">
        <f>I1657/Pondération!$I$108</f>
        <v>1.6774193548387096E-2</v>
      </c>
    </row>
    <row r="1658" spans="1:10" x14ac:dyDescent="0.25">
      <c r="A1658" s="2" t="s">
        <v>77</v>
      </c>
      <c r="B1658" s="2">
        <v>2014</v>
      </c>
      <c r="C1658" s="2" t="s">
        <v>62</v>
      </c>
      <c r="D1658" s="2" t="s">
        <v>42</v>
      </c>
      <c r="E1658" s="2" t="s">
        <v>78</v>
      </c>
      <c r="F1658" s="2" t="s">
        <v>79</v>
      </c>
      <c r="G1658" s="2">
        <f t="shared" si="25"/>
        <v>0.10774193548387097</v>
      </c>
      <c r="H1658" s="5">
        <v>4.3947368421052628</v>
      </c>
      <c r="I1658" s="2">
        <v>19</v>
      </c>
      <c r="J1658" s="12">
        <f>I1658/Pondération!$I$108</f>
        <v>2.4516129032258065E-2</v>
      </c>
    </row>
    <row r="1659" spans="1:10" x14ac:dyDescent="0.25">
      <c r="A1659" s="2" t="s">
        <v>77</v>
      </c>
      <c r="B1659" s="2">
        <v>2014</v>
      </c>
      <c r="C1659" s="2" t="s">
        <v>63</v>
      </c>
      <c r="D1659" s="2" t="s">
        <v>42</v>
      </c>
      <c r="E1659" s="2" t="s">
        <v>78</v>
      </c>
      <c r="F1659" s="2" t="s">
        <v>79</v>
      </c>
      <c r="G1659" s="2">
        <f t="shared" si="25"/>
        <v>0.16451612903225807</v>
      </c>
      <c r="H1659" s="5">
        <v>4.3965517241379306</v>
      </c>
      <c r="I1659" s="2">
        <v>29</v>
      </c>
      <c r="J1659" s="12">
        <f>I1659/Pondération!$I$108</f>
        <v>3.741935483870968E-2</v>
      </c>
    </row>
    <row r="1660" spans="1:10" x14ac:dyDescent="0.25">
      <c r="A1660" s="2" t="s">
        <v>77</v>
      </c>
      <c r="B1660" s="2">
        <v>2014</v>
      </c>
      <c r="C1660" s="2" t="s">
        <v>64</v>
      </c>
      <c r="D1660" s="2" t="s">
        <v>42</v>
      </c>
      <c r="E1660" s="2" t="s">
        <v>78</v>
      </c>
      <c r="F1660" s="2" t="s">
        <v>79</v>
      </c>
      <c r="G1660" s="2">
        <f t="shared" si="25"/>
        <v>0.21290322580645163</v>
      </c>
      <c r="H1660" s="5">
        <v>4.2307692307692308</v>
      </c>
      <c r="I1660" s="2">
        <v>39</v>
      </c>
      <c r="J1660" s="12">
        <f>I1660/Pondération!$I$108</f>
        <v>5.0322580645161291E-2</v>
      </c>
    </row>
    <row r="1661" spans="1:10" x14ac:dyDescent="0.25">
      <c r="A1661" s="2" t="s">
        <v>77</v>
      </c>
      <c r="B1661" s="2">
        <v>2014</v>
      </c>
      <c r="C1661" s="2" t="s">
        <v>65</v>
      </c>
      <c r="D1661" s="2" t="s">
        <v>42</v>
      </c>
      <c r="E1661" s="2" t="s">
        <v>78</v>
      </c>
      <c r="F1661" s="2" t="s">
        <v>79</v>
      </c>
      <c r="G1661" s="2">
        <f t="shared" si="25"/>
        <v>0.42000000000000004</v>
      </c>
      <c r="H1661" s="5">
        <v>4.1730769230769234</v>
      </c>
      <c r="I1661" s="2">
        <v>78</v>
      </c>
      <c r="J1661" s="12">
        <f>I1661/Pondération!$I$108</f>
        <v>0.10064516129032258</v>
      </c>
    </row>
    <row r="1662" spans="1:10" x14ac:dyDescent="0.25">
      <c r="A1662" s="2" t="s">
        <v>77</v>
      </c>
      <c r="B1662" s="2">
        <v>2014</v>
      </c>
      <c r="C1662" s="2" t="s">
        <v>66</v>
      </c>
      <c r="D1662" s="2" t="s">
        <v>42</v>
      </c>
      <c r="E1662" s="2" t="s">
        <v>78</v>
      </c>
      <c r="F1662" s="2" t="s">
        <v>79</v>
      </c>
      <c r="G1662" s="2">
        <f t="shared" si="25"/>
        <v>0.35870967741935483</v>
      </c>
      <c r="H1662" s="5">
        <v>4.4838709677419351</v>
      </c>
      <c r="I1662" s="2">
        <v>62</v>
      </c>
      <c r="J1662" s="12">
        <f>I1662/Pondération!$I$108</f>
        <v>0.08</v>
      </c>
    </row>
    <row r="1663" spans="1:10" x14ac:dyDescent="0.25">
      <c r="A1663" s="2" t="s">
        <v>77</v>
      </c>
      <c r="B1663" s="2">
        <v>2014</v>
      </c>
      <c r="C1663" s="2" t="s">
        <v>67</v>
      </c>
      <c r="D1663" s="2" t="s">
        <v>42</v>
      </c>
      <c r="E1663" s="2" t="s">
        <v>78</v>
      </c>
      <c r="F1663" s="2" t="s">
        <v>79</v>
      </c>
      <c r="G1663" s="2">
        <f t="shared" si="25"/>
        <v>0.56322580645161291</v>
      </c>
      <c r="H1663" s="5">
        <v>4.3650000000000002</v>
      </c>
      <c r="I1663" s="2">
        <v>100</v>
      </c>
      <c r="J1663" s="12">
        <f>I1663/Pondération!$I$108</f>
        <v>0.12903225806451613</v>
      </c>
    </row>
    <row r="1664" spans="1:10" x14ac:dyDescent="0.25">
      <c r="A1664" s="2" t="s">
        <v>77</v>
      </c>
      <c r="B1664" s="2">
        <v>2014</v>
      </c>
      <c r="C1664" s="2" t="s">
        <v>68</v>
      </c>
      <c r="D1664" s="2" t="s">
        <v>42</v>
      </c>
      <c r="E1664" s="2" t="s">
        <v>78</v>
      </c>
      <c r="F1664" s="2" t="s">
        <v>79</v>
      </c>
      <c r="G1664" s="2">
        <f t="shared" si="25"/>
        <v>0.9245161290322581</v>
      </c>
      <c r="H1664" s="5">
        <v>4.2147058823529413</v>
      </c>
      <c r="I1664" s="2">
        <v>170</v>
      </c>
      <c r="J1664" s="12">
        <f>I1664/Pondération!$I$108</f>
        <v>0.21935483870967742</v>
      </c>
    </row>
    <row r="1665" spans="1:10" x14ac:dyDescent="0.25">
      <c r="A1665" s="2" t="s">
        <v>77</v>
      </c>
      <c r="B1665" s="2">
        <v>2014</v>
      </c>
      <c r="C1665" s="2" t="s">
        <v>69</v>
      </c>
      <c r="D1665" s="2" t="s">
        <v>42</v>
      </c>
      <c r="E1665" s="2" t="s">
        <v>78</v>
      </c>
      <c r="F1665" s="2" t="s">
        <v>79</v>
      </c>
      <c r="G1665" s="2">
        <f t="shared" si="25"/>
        <v>0.55870967741935484</v>
      </c>
      <c r="H1665" s="5">
        <v>4.2871287128712874</v>
      </c>
      <c r="I1665" s="2">
        <v>101</v>
      </c>
      <c r="J1665" s="12">
        <f>I1665/Pondération!$I$108</f>
        <v>0.13032258064516128</v>
      </c>
    </row>
    <row r="1666" spans="1:10" x14ac:dyDescent="0.25">
      <c r="A1666" s="2" t="s">
        <v>77</v>
      </c>
      <c r="B1666" s="2">
        <v>2014</v>
      </c>
      <c r="C1666" s="2" t="s">
        <v>70</v>
      </c>
      <c r="D1666" s="2" t="s">
        <v>42</v>
      </c>
      <c r="E1666" s="2" t="s">
        <v>78</v>
      </c>
      <c r="F1666" s="2" t="s">
        <v>79</v>
      </c>
      <c r="G1666" s="2">
        <f t="shared" ref="G1666:G1729" si="26">H1666*J1666</f>
        <v>0.3948387096774193</v>
      </c>
      <c r="H1666" s="5">
        <v>4.3098591549295771</v>
      </c>
      <c r="I1666" s="2">
        <v>71</v>
      </c>
      <c r="J1666" s="12">
        <f>I1666/Pondération!$I$108</f>
        <v>9.1612903225806452E-2</v>
      </c>
    </row>
    <row r="1667" spans="1:10" x14ac:dyDescent="0.25">
      <c r="A1667" s="2" t="s">
        <v>77</v>
      </c>
      <c r="B1667" s="2">
        <v>2014</v>
      </c>
      <c r="C1667" s="2" t="s">
        <v>71</v>
      </c>
      <c r="D1667" s="2" t="s">
        <v>42</v>
      </c>
      <c r="E1667" s="2" t="s">
        <v>78</v>
      </c>
      <c r="F1667" s="2" t="s">
        <v>79</v>
      </c>
      <c r="G1667" s="2">
        <f t="shared" si="26"/>
        <v>0.30516129032258066</v>
      </c>
      <c r="H1667" s="5">
        <v>4.3796296296296298</v>
      </c>
      <c r="I1667" s="2">
        <v>54</v>
      </c>
      <c r="J1667" s="12">
        <f>I1667/Pondération!$I$108</f>
        <v>6.9677419354838704E-2</v>
      </c>
    </row>
    <row r="1668" spans="1:10" x14ac:dyDescent="0.25">
      <c r="A1668" s="2" t="s">
        <v>77</v>
      </c>
      <c r="B1668" s="2">
        <v>2014</v>
      </c>
      <c r="C1668" s="2" t="s">
        <v>72</v>
      </c>
      <c r="D1668" s="2" t="s">
        <v>42</v>
      </c>
      <c r="E1668" s="2" t="s">
        <v>78</v>
      </c>
      <c r="F1668" s="2" t="s">
        <v>79</v>
      </c>
      <c r="G1668" s="2">
        <f t="shared" si="26"/>
        <v>0.2193548387096774</v>
      </c>
      <c r="H1668" s="5">
        <v>4.3589743589743586</v>
      </c>
      <c r="I1668" s="2">
        <v>39</v>
      </c>
      <c r="J1668" s="12">
        <f>I1668/Pondération!$I$108</f>
        <v>5.0322580645161291E-2</v>
      </c>
    </row>
    <row r="1669" spans="1:10" x14ac:dyDescent="0.25">
      <c r="A1669" s="2" t="s">
        <v>77</v>
      </c>
      <c r="B1669" s="2">
        <v>2015</v>
      </c>
      <c r="C1669" s="2" t="s">
        <v>73</v>
      </c>
      <c r="D1669" s="2" t="s">
        <v>42</v>
      </c>
      <c r="E1669" s="2" t="s">
        <v>78</v>
      </c>
      <c r="F1669" s="2" t="s">
        <v>79</v>
      </c>
      <c r="G1669" s="2">
        <f t="shared" si="26"/>
        <v>0.14971309337506519</v>
      </c>
      <c r="H1669" s="5">
        <v>4.3484848484848486</v>
      </c>
      <c r="I1669" s="2">
        <v>66</v>
      </c>
      <c r="J1669" s="12">
        <f>I1669/Pondération!$H$108</f>
        <v>3.4428794992175271E-2</v>
      </c>
    </row>
    <row r="1670" spans="1:10" x14ac:dyDescent="0.25">
      <c r="A1670" s="2" t="s">
        <v>77</v>
      </c>
      <c r="B1670" s="2">
        <v>2015</v>
      </c>
      <c r="C1670" s="2" t="s">
        <v>74</v>
      </c>
      <c r="D1670" s="2" t="s">
        <v>42</v>
      </c>
      <c r="E1670" s="2" t="s">
        <v>78</v>
      </c>
      <c r="F1670" s="2" t="s">
        <v>79</v>
      </c>
      <c r="G1670" s="2">
        <f t="shared" si="26"/>
        <v>7.9551382368283768E-2</v>
      </c>
      <c r="H1670" s="5">
        <v>4.3571428571428568</v>
      </c>
      <c r="I1670" s="2">
        <v>35</v>
      </c>
      <c r="J1670" s="12">
        <f>I1670/Pondération!$H$108</f>
        <v>1.8257694314032343E-2</v>
      </c>
    </row>
    <row r="1671" spans="1:10" x14ac:dyDescent="0.25">
      <c r="A1671" s="2" t="s">
        <v>77</v>
      </c>
      <c r="B1671" s="2">
        <v>2015</v>
      </c>
      <c r="C1671" s="2" t="s">
        <v>75</v>
      </c>
      <c r="D1671" s="2" t="s">
        <v>42</v>
      </c>
      <c r="E1671" s="2" t="s">
        <v>78</v>
      </c>
      <c r="F1671" s="2" t="s">
        <v>79</v>
      </c>
      <c r="G1671" s="2">
        <f t="shared" si="26"/>
        <v>0.11163275952008346</v>
      </c>
      <c r="H1671" s="5">
        <v>4.3673469387755102</v>
      </c>
      <c r="I1671" s="2">
        <v>49</v>
      </c>
      <c r="J1671" s="12">
        <f>I1671/Pondération!$H$108</f>
        <v>2.5560772039645279E-2</v>
      </c>
    </row>
    <row r="1672" spans="1:10" x14ac:dyDescent="0.25">
      <c r="A1672" s="2" t="s">
        <v>77</v>
      </c>
      <c r="B1672" s="2">
        <v>2015</v>
      </c>
      <c r="C1672" s="2" t="s">
        <v>76</v>
      </c>
      <c r="D1672" s="2" t="s">
        <v>42</v>
      </c>
      <c r="E1672" s="2" t="s">
        <v>78</v>
      </c>
      <c r="F1672" s="2" t="s">
        <v>79</v>
      </c>
      <c r="G1672" s="2">
        <f t="shared" si="26"/>
        <v>0.28403755868544606</v>
      </c>
      <c r="H1672" s="5">
        <v>4.2209302325581399</v>
      </c>
      <c r="I1672" s="2">
        <v>129</v>
      </c>
      <c r="J1672" s="12">
        <f>I1672/Pondération!$H$108</f>
        <v>6.729264475743349E-2</v>
      </c>
    </row>
    <row r="1673" spans="1:10" x14ac:dyDescent="0.25">
      <c r="A1673" s="2" t="s">
        <v>77</v>
      </c>
      <c r="B1673" s="2">
        <v>2015</v>
      </c>
      <c r="C1673" s="2" t="s">
        <v>7</v>
      </c>
      <c r="D1673" s="2" t="s">
        <v>42</v>
      </c>
      <c r="E1673" s="2" t="s">
        <v>78</v>
      </c>
      <c r="F1673" s="2" t="s">
        <v>79</v>
      </c>
      <c r="G1673" s="2">
        <f t="shared" si="26"/>
        <v>0.4606155451225874</v>
      </c>
      <c r="H1673" s="5">
        <v>4.2864077669902914</v>
      </c>
      <c r="I1673" s="2">
        <v>206</v>
      </c>
      <c r="J1673" s="12">
        <f>I1673/Pondération!$H$108</f>
        <v>0.10745957224830464</v>
      </c>
    </row>
    <row r="1674" spans="1:10" x14ac:dyDescent="0.25">
      <c r="A1674" s="2" t="s">
        <v>77</v>
      </c>
      <c r="B1674" s="2">
        <v>2015</v>
      </c>
      <c r="C1674" s="2" t="s">
        <v>11</v>
      </c>
      <c r="D1674" s="2" t="s">
        <v>42</v>
      </c>
      <c r="E1674" s="2" t="s">
        <v>78</v>
      </c>
      <c r="F1674" s="2" t="s">
        <v>79</v>
      </c>
      <c r="G1674" s="2">
        <f t="shared" si="26"/>
        <v>0.30855503390714656</v>
      </c>
      <c r="H1674" s="5">
        <v>4.2862318840579707</v>
      </c>
      <c r="I1674" s="2">
        <v>138</v>
      </c>
      <c r="J1674" s="12">
        <f>I1674/Pondération!$H$108</f>
        <v>7.1987480438184662E-2</v>
      </c>
    </row>
    <row r="1675" spans="1:10" x14ac:dyDescent="0.25">
      <c r="A1675" s="2" t="s">
        <v>77</v>
      </c>
      <c r="B1675" s="2">
        <v>2015</v>
      </c>
      <c r="C1675" s="2" t="s">
        <v>12</v>
      </c>
      <c r="D1675" s="2" t="s">
        <v>42</v>
      </c>
      <c r="E1675" s="2" t="s">
        <v>78</v>
      </c>
      <c r="F1675" s="2" t="s">
        <v>79</v>
      </c>
      <c r="G1675" s="2">
        <f t="shared" si="26"/>
        <v>0.63041210224308819</v>
      </c>
      <c r="H1675" s="5">
        <v>4.2255244755244759</v>
      </c>
      <c r="I1675" s="2">
        <v>286</v>
      </c>
      <c r="J1675" s="12">
        <f>I1675/Pondération!$H$108</f>
        <v>0.14919144496609285</v>
      </c>
    </row>
    <row r="1676" spans="1:10" x14ac:dyDescent="0.25">
      <c r="A1676" s="2" t="s">
        <v>77</v>
      </c>
      <c r="B1676" s="2">
        <v>2015</v>
      </c>
      <c r="C1676" s="2" t="s">
        <v>13</v>
      </c>
      <c r="D1676" s="2" t="s">
        <v>42</v>
      </c>
      <c r="E1676" s="2" t="s">
        <v>78</v>
      </c>
      <c r="F1676" s="2" t="s">
        <v>79</v>
      </c>
      <c r="G1676" s="2">
        <f t="shared" si="26"/>
        <v>1.0847678664580074</v>
      </c>
      <c r="H1676" s="5">
        <v>4.2010101010101009</v>
      </c>
      <c r="I1676" s="2">
        <v>495</v>
      </c>
      <c r="J1676" s="12">
        <f>I1676/Pondération!$H$108</f>
        <v>0.25821596244131456</v>
      </c>
    </row>
    <row r="1677" spans="1:10" x14ac:dyDescent="0.25">
      <c r="A1677" s="2" t="s">
        <v>77</v>
      </c>
      <c r="B1677" s="2">
        <v>2015</v>
      </c>
      <c r="C1677" s="2" t="s">
        <v>14</v>
      </c>
      <c r="D1677" s="2" t="s">
        <v>42</v>
      </c>
      <c r="E1677" s="2" t="s">
        <v>78</v>
      </c>
      <c r="F1677" s="2" t="s">
        <v>79</v>
      </c>
      <c r="G1677" s="2">
        <f t="shared" si="26"/>
        <v>0.45931142410015646</v>
      </c>
      <c r="H1677" s="5">
        <v>4.2742718446601939</v>
      </c>
      <c r="I1677" s="2">
        <v>206</v>
      </c>
      <c r="J1677" s="12">
        <f>I1677/Pondération!$H$108</f>
        <v>0.10745957224830464</v>
      </c>
    </row>
    <row r="1678" spans="1:10" x14ac:dyDescent="0.25">
      <c r="A1678" s="2" t="s">
        <v>77</v>
      </c>
      <c r="B1678" s="2">
        <v>2015</v>
      </c>
      <c r="C1678" s="2" t="s">
        <v>15</v>
      </c>
      <c r="D1678" s="2" t="s">
        <v>42</v>
      </c>
      <c r="E1678" s="2" t="s">
        <v>78</v>
      </c>
      <c r="F1678" s="2" t="s">
        <v>79</v>
      </c>
      <c r="G1678" s="2">
        <f t="shared" si="26"/>
        <v>0.31820552947313507</v>
      </c>
      <c r="H1678" s="5">
        <v>4.149659863945578</v>
      </c>
      <c r="I1678" s="2">
        <v>147</v>
      </c>
      <c r="J1678" s="12">
        <f>I1678/Pondération!$H$108</f>
        <v>7.6682316118935834E-2</v>
      </c>
    </row>
    <row r="1679" spans="1:10" x14ac:dyDescent="0.25">
      <c r="A1679" s="2" t="s">
        <v>77</v>
      </c>
      <c r="B1679" s="2">
        <v>2015</v>
      </c>
      <c r="C1679" s="2" t="s">
        <v>16</v>
      </c>
      <c r="D1679" s="2" t="s">
        <v>42</v>
      </c>
      <c r="E1679" s="2" t="s">
        <v>78</v>
      </c>
      <c r="F1679" s="2" t="s">
        <v>79</v>
      </c>
      <c r="G1679" s="2">
        <f t="shared" si="26"/>
        <v>0.21883150756390196</v>
      </c>
      <c r="H1679" s="5">
        <v>4.369791666666667</v>
      </c>
      <c r="I1679" s="2">
        <v>96</v>
      </c>
      <c r="J1679" s="12">
        <f>I1679/Pondération!$H$108</f>
        <v>5.0078247261345854E-2</v>
      </c>
    </row>
    <row r="1680" spans="1:10" x14ac:dyDescent="0.25">
      <c r="A1680" s="2" t="s">
        <v>77</v>
      </c>
      <c r="B1680" s="2">
        <v>2015</v>
      </c>
      <c r="C1680" s="2" t="s">
        <v>17</v>
      </c>
      <c r="D1680" s="2" t="s">
        <v>42</v>
      </c>
      <c r="E1680" s="2" t="s">
        <v>78</v>
      </c>
      <c r="F1680" s="2" t="s">
        <v>79</v>
      </c>
      <c r="G1680" s="2">
        <f t="shared" si="26"/>
        <v>0.14397496087636932</v>
      </c>
      <c r="H1680" s="5">
        <v>4.3125</v>
      </c>
      <c r="I1680" s="2">
        <v>64</v>
      </c>
      <c r="J1680" s="12">
        <f>I1680/Pondération!$H$108</f>
        <v>3.3385498174230567E-2</v>
      </c>
    </row>
    <row r="1681" spans="1:10" x14ac:dyDescent="0.25">
      <c r="A1681" s="2" t="s">
        <v>77</v>
      </c>
      <c r="B1681" s="2">
        <v>2016</v>
      </c>
      <c r="C1681" s="2" t="s">
        <v>18</v>
      </c>
      <c r="D1681" s="2" t="s">
        <v>42</v>
      </c>
      <c r="E1681" s="2" t="s">
        <v>78</v>
      </c>
      <c r="F1681" s="2" t="s">
        <v>79</v>
      </c>
      <c r="G1681" s="2">
        <f t="shared" si="26"/>
        <v>0.11856223175965666</v>
      </c>
      <c r="H1681" s="5">
        <v>4.25</v>
      </c>
      <c r="I1681" s="2">
        <v>78</v>
      </c>
      <c r="J1681" s="12">
        <f>I1681/Pondération!$G$108</f>
        <v>2.7896995708154508E-2</v>
      </c>
    </row>
    <row r="1682" spans="1:10" x14ac:dyDescent="0.25">
      <c r="A1682" s="2" t="s">
        <v>77</v>
      </c>
      <c r="B1682" s="2">
        <v>2016</v>
      </c>
      <c r="C1682" s="2" t="s">
        <v>19</v>
      </c>
      <c r="D1682" s="2" t="s">
        <v>42</v>
      </c>
      <c r="E1682" s="2" t="s">
        <v>78</v>
      </c>
      <c r="F1682" s="2" t="s">
        <v>79</v>
      </c>
      <c r="G1682" s="2">
        <f t="shared" si="26"/>
        <v>0.15414878397711015</v>
      </c>
      <c r="H1682" s="5">
        <v>4.3099999999999996</v>
      </c>
      <c r="I1682" s="2">
        <v>100</v>
      </c>
      <c r="J1682" s="12">
        <f>I1682/Pondération!$G$108</f>
        <v>3.5765379113018601E-2</v>
      </c>
    </row>
    <row r="1683" spans="1:10" x14ac:dyDescent="0.25">
      <c r="A1683" s="2" t="s">
        <v>77</v>
      </c>
      <c r="B1683" s="2">
        <v>2016</v>
      </c>
      <c r="C1683" s="2" t="s">
        <v>20</v>
      </c>
      <c r="D1683" s="2" t="s">
        <v>42</v>
      </c>
      <c r="E1683" s="2" t="s">
        <v>78</v>
      </c>
      <c r="F1683" s="2" t="s">
        <v>79</v>
      </c>
      <c r="G1683" s="2">
        <f t="shared" si="26"/>
        <v>0.17346208869814023</v>
      </c>
      <c r="H1683" s="5">
        <v>4.181034482758621</v>
      </c>
      <c r="I1683" s="2">
        <v>116</v>
      </c>
      <c r="J1683" s="12">
        <f>I1683/Pondération!$G$108</f>
        <v>4.1487839771101577E-2</v>
      </c>
    </row>
    <row r="1684" spans="1:10" x14ac:dyDescent="0.25">
      <c r="A1684" s="2" t="s">
        <v>77</v>
      </c>
      <c r="B1684" s="2">
        <v>2016</v>
      </c>
      <c r="C1684" s="2" t="s">
        <v>21</v>
      </c>
      <c r="D1684" s="2" t="s">
        <v>42</v>
      </c>
      <c r="E1684" s="2" t="s">
        <v>78</v>
      </c>
      <c r="F1684" s="2" t="s">
        <v>79</v>
      </c>
      <c r="G1684" s="2">
        <f t="shared" si="26"/>
        <v>0.37947067238912735</v>
      </c>
      <c r="H1684" s="5">
        <v>4.2955465587044532</v>
      </c>
      <c r="I1684" s="2">
        <v>247</v>
      </c>
      <c r="J1684" s="12">
        <f>I1684/Pondération!$G$108</f>
        <v>8.8340486409155941E-2</v>
      </c>
    </row>
    <row r="1685" spans="1:10" x14ac:dyDescent="0.25">
      <c r="A1685" s="2" t="s">
        <v>77</v>
      </c>
      <c r="B1685" s="2">
        <v>2016</v>
      </c>
      <c r="C1685" s="2" t="s">
        <v>22</v>
      </c>
      <c r="D1685" s="2" t="s">
        <v>42</v>
      </c>
      <c r="E1685" s="2" t="s">
        <v>78</v>
      </c>
      <c r="F1685" s="2" t="s">
        <v>79</v>
      </c>
      <c r="G1685" s="2">
        <f t="shared" si="26"/>
        <v>0.43240343347639482</v>
      </c>
      <c r="H1685" s="5">
        <v>4.302491103202847</v>
      </c>
      <c r="I1685" s="2">
        <v>281</v>
      </c>
      <c r="J1685" s="12">
        <f>I1685/Pondération!$G$108</f>
        <v>0.10050071530758226</v>
      </c>
    </row>
    <row r="1686" spans="1:10" x14ac:dyDescent="0.25">
      <c r="A1686" s="2" t="s">
        <v>77</v>
      </c>
      <c r="B1686" s="2">
        <v>2016</v>
      </c>
      <c r="C1686" s="2" t="s">
        <v>23</v>
      </c>
      <c r="D1686" s="2" t="s">
        <v>42</v>
      </c>
      <c r="E1686" s="2" t="s">
        <v>78</v>
      </c>
      <c r="F1686" s="2" t="s">
        <v>79</v>
      </c>
      <c r="G1686" s="2">
        <f t="shared" si="26"/>
        <v>0.29828326180257508</v>
      </c>
      <c r="H1686" s="5">
        <v>4.2769230769230768</v>
      </c>
      <c r="I1686" s="2">
        <v>195</v>
      </c>
      <c r="J1686" s="12">
        <f>I1686/Pondération!$G$108</f>
        <v>6.974248927038626E-2</v>
      </c>
    </row>
    <row r="1687" spans="1:10" x14ac:dyDescent="0.25">
      <c r="A1687" s="2" t="s">
        <v>77</v>
      </c>
      <c r="B1687" s="2">
        <v>2016</v>
      </c>
      <c r="C1687" s="2" t="s">
        <v>24</v>
      </c>
      <c r="D1687" s="2" t="s">
        <v>42</v>
      </c>
      <c r="E1687" s="2" t="s">
        <v>78</v>
      </c>
      <c r="F1687" s="2" t="s">
        <v>79</v>
      </c>
      <c r="G1687" s="2">
        <f t="shared" si="26"/>
        <v>0.56241058655221743</v>
      </c>
      <c r="H1687" s="5">
        <v>4.2964480874316937</v>
      </c>
      <c r="I1687" s="2">
        <v>366</v>
      </c>
      <c r="J1687" s="12">
        <f>I1687/Pondération!$G$108</f>
        <v>0.13090128755364808</v>
      </c>
    </row>
    <row r="1688" spans="1:10" x14ac:dyDescent="0.25">
      <c r="A1688" s="2" t="s">
        <v>77</v>
      </c>
      <c r="B1688" s="2">
        <v>2016</v>
      </c>
      <c r="C1688" s="2" t="s">
        <v>25</v>
      </c>
      <c r="D1688" s="2" t="s">
        <v>42</v>
      </c>
      <c r="E1688" s="2" t="s">
        <v>78</v>
      </c>
      <c r="F1688" s="2" t="s">
        <v>79</v>
      </c>
      <c r="G1688" s="2">
        <f t="shared" si="26"/>
        <v>1.0207439198855508</v>
      </c>
      <c r="H1688" s="5">
        <v>4.2788605697151425</v>
      </c>
      <c r="I1688" s="2">
        <v>667</v>
      </c>
      <c r="J1688" s="12">
        <f>I1688/Pondération!$G$108</f>
        <v>0.23855507868383405</v>
      </c>
    </row>
    <row r="1689" spans="1:10" x14ac:dyDescent="0.25">
      <c r="A1689" s="2" t="s">
        <v>77</v>
      </c>
      <c r="B1689" s="2">
        <v>2016</v>
      </c>
      <c r="C1689" s="2" t="s">
        <v>26</v>
      </c>
      <c r="D1689" s="2" t="s">
        <v>42</v>
      </c>
      <c r="E1689" s="2" t="s">
        <v>78</v>
      </c>
      <c r="F1689" s="2" t="s">
        <v>79</v>
      </c>
      <c r="G1689" s="2">
        <f t="shared" si="26"/>
        <v>0.48104434907010013</v>
      </c>
      <c r="H1689" s="5">
        <v>4.2698412698412698</v>
      </c>
      <c r="I1689" s="2">
        <v>315</v>
      </c>
      <c r="J1689" s="12">
        <f>I1689/Pondération!$G$108</f>
        <v>0.11266094420600858</v>
      </c>
    </row>
    <row r="1690" spans="1:10" x14ac:dyDescent="0.25">
      <c r="A1690" s="2" t="s">
        <v>77</v>
      </c>
      <c r="B1690" s="2">
        <v>2016</v>
      </c>
      <c r="C1690" s="2" t="s">
        <v>27</v>
      </c>
      <c r="D1690" s="2" t="s">
        <v>42</v>
      </c>
      <c r="E1690" s="2" t="s">
        <v>78</v>
      </c>
      <c r="F1690" s="2" t="s">
        <v>79</v>
      </c>
      <c r="G1690" s="2">
        <f t="shared" si="26"/>
        <v>0.3032904148783977</v>
      </c>
      <c r="H1690" s="5">
        <v>4.2613065326633164</v>
      </c>
      <c r="I1690" s="2">
        <v>199</v>
      </c>
      <c r="J1690" s="12">
        <f>I1690/Pondération!$G$108</f>
        <v>7.1173104434907014E-2</v>
      </c>
    </row>
    <row r="1691" spans="1:10" x14ac:dyDescent="0.25">
      <c r="A1691" s="2" t="s">
        <v>77</v>
      </c>
      <c r="B1691" s="2">
        <v>2016</v>
      </c>
      <c r="C1691" s="2" t="s">
        <v>28</v>
      </c>
      <c r="D1691" s="2" t="s">
        <v>42</v>
      </c>
      <c r="E1691" s="2" t="s">
        <v>78</v>
      </c>
      <c r="F1691" s="2" t="s">
        <v>79</v>
      </c>
      <c r="G1691" s="2">
        <f t="shared" si="26"/>
        <v>0.25768955650929903</v>
      </c>
      <c r="H1691" s="5">
        <v>4.3403614457831328</v>
      </c>
      <c r="I1691" s="2">
        <v>166</v>
      </c>
      <c r="J1691" s="12">
        <f>I1691/Pondération!$G$108</f>
        <v>5.9370529327610874E-2</v>
      </c>
    </row>
    <row r="1692" spans="1:10" x14ac:dyDescent="0.25">
      <c r="A1692" s="2" t="s">
        <v>77</v>
      </c>
      <c r="B1692" s="2">
        <v>2016</v>
      </c>
      <c r="C1692" s="2" t="s">
        <v>29</v>
      </c>
      <c r="D1692" s="2" t="s">
        <v>42</v>
      </c>
      <c r="E1692" s="2" t="s">
        <v>78</v>
      </c>
      <c r="F1692" s="2" t="s">
        <v>79</v>
      </c>
      <c r="G1692" s="2">
        <f t="shared" si="26"/>
        <v>0.10157367668097282</v>
      </c>
      <c r="H1692" s="5">
        <v>4.3030303030303028</v>
      </c>
      <c r="I1692" s="2">
        <v>66</v>
      </c>
      <c r="J1692" s="12">
        <f>I1692/Pondération!$G$108</f>
        <v>2.3605150214592276E-2</v>
      </c>
    </row>
    <row r="1693" spans="1:10" x14ac:dyDescent="0.25">
      <c r="A1693" s="2" t="s">
        <v>77</v>
      </c>
      <c r="B1693" s="2">
        <v>2017</v>
      </c>
      <c r="C1693" s="2" t="s">
        <v>30</v>
      </c>
      <c r="D1693" s="2" t="s">
        <v>42</v>
      </c>
      <c r="E1693" s="2" t="s">
        <v>78</v>
      </c>
      <c r="F1693" s="2" t="s">
        <v>79</v>
      </c>
      <c r="G1693" s="2">
        <f t="shared" si="26"/>
        <v>0.28190476190476188</v>
      </c>
      <c r="H1693" s="5">
        <v>4.3529411764705879</v>
      </c>
      <c r="I1693" s="2">
        <v>68</v>
      </c>
      <c r="J1693" s="12">
        <f>I1693/Pondération!$F$108</f>
        <v>6.4761904761904757E-2</v>
      </c>
    </row>
    <row r="1694" spans="1:10" x14ac:dyDescent="0.25">
      <c r="A1694" s="2" t="s">
        <v>77</v>
      </c>
      <c r="B1694" s="2">
        <v>2017</v>
      </c>
      <c r="C1694" s="2" t="s">
        <v>31</v>
      </c>
      <c r="D1694" s="2" t="s">
        <v>42</v>
      </c>
      <c r="E1694" s="2" t="s">
        <v>78</v>
      </c>
      <c r="F1694" s="2" t="s">
        <v>79</v>
      </c>
      <c r="G1694" s="2">
        <f t="shared" si="26"/>
        <v>0.52</v>
      </c>
      <c r="H1694" s="5">
        <v>4.265625</v>
      </c>
      <c r="I1694" s="2">
        <v>128</v>
      </c>
      <c r="J1694" s="12">
        <f>I1694/Pondération!$F$108</f>
        <v>0.1219047619047619</v>
      </c>
    </row>
    <row r="1695" spans="1:10" x14ac:dyDescent="0.25">
      <c r="A1695" s="2" t="s">
        <v>77</v>
      </c>
      <c r="B1695" s="2">
        <v>2017</v>
      </c>
      <c r="C1695" s="2" t="s">
        <v>32</v>
      </c>
      <c r="D1695" s="2" t="s">
        <v>42</v>
      </c>
      <c r="E1695" s="2" t="s">
        <v>78</v>
      </c>
      <c r="F1695" s="2" t="s">
        <v>79</v>
      </c>
      <c r="G1695" s="2">
        <f t="shared" si="26"/>
        <v>0.39809523809523811</v>
      </c>
      <c r="H1695" s="5">
        <v>4.2653061224489797</v>
      </c>
      <c r="I1695" s="2">
        <v>98</v>
      </c>
      <c r="J1695" s="12">
        <f>I1695/Pondération!$F$108</f>
        <v>9.3333333333333338E-2</v>
      </c>
    </row>
    <row r="1696" spans="1:10" x14ac:dyDescent="0.25">
      <c r="A1696" s="2" t="s">
        <v>77</v>
      </c>
      <c r="B1696" s="2">
        <v>2017</v>
      </c>
      <c r="C1696" s="2" t="s">
        <v>33</v>
      </c>
      <c r="D1696" s="2" t="s">
        <v>42</v>
      </c>
      <c r="E1696" s="2" t="s">
        <v>78</v>
      </c>
      <c r="F1696" s="2" t="s">
        <v>79</v>
      </c>
      <c r="G1696" s="2">
        <f t="shared" si="26"/>
        <v>1.2790476190476192</v>
      </c>
      <c r="H1696" s="5">
        <v>4.2770700636942678</v>
      </c>
      <c r="I1696" s="2">
        <v>314</v>
      </c>
      <c r="J1696" s="12">
        <f>I1696/Pondération!$F$108</f>
        <v>0.29904761904761906</v>
      </c>
    </row>
    <row r="1697" spans="1:10" x14ac:dyDescent="0.25">
      <c r="A1697" s="2" t="s">
        <v>77</v>
      </c>
      <c r="B1697" s="2">
        <v>2017</v>
      </c>
      <c r="C1697" s="2" t="s">
        <v>34</v>
      </c>
      <c r="D1697" s="2" t="s">
        <v>42</v>
      </c>
      <c r="E1697" s="2" t="s">
        <v>78</v>
      </c>
      <c r="F1697" s="2" t="s">
        <v>79</v>
      </c>
      <c r="G1697" s="2">
        <f t="shared" si="26"/>
        <v>1.1933333333333334</v>
      </c>
      <c r="H1697" s="5">
        <v>4.2764505119453924</v>
      </c>
      <c r="I1697" s="2">
        <v>293</v>
      </c>
      <c r="J1697" s="12">
        <f>I1697/Pondération!$F$108</f>
        <v>0.27904761904761904</v>
      </c>
    </row>
    <row r="1698" spans="1:10" x14ac:dyDescent="0.25">
      <c r="A1698" s="2" t="s">
        <v>77</v>
      </c>
      <c r="B1698" s="2">
        <v>2017</v>
      </c>
      <c r="C1698" s="2" t="s">
        <v>80</v>
      </c>
      <c r="D1698" s="2" t="s">
        <v>42</v>
      </c>
      <c r="E1698" s="2" t="s">
        <v>78</v>
      </c>
      <c r="F1698" s="2" t="s">
        <v>79</v>
      </c>
      <c r="G1698" s="2">
        <f t="shared" si="26"/>
        <v>0.60857142857142854</v>
      </c>
      <c r="H1698" s="5">
        <v>4.2885906040268456</v>
      </c>
      <c r="I1698" s="2">
        <v>149</v>
      </c>
      <c r="J1698" s="12">
        <f>I1698/Pondération!$F$108</f>
        <v>0.14190476190476189</v>
      </c>
    </row>
    <row r="1699" spans="1:10" x14ac:dyDescent="0.25">
      <c r="A1699" s="2" t="s">
        <v>77</v>
      </c>
      <c r="B1699" s="2">
        <v>2013</v>
      </c>
      <c r="C1699" s="2" t="s">
        <v>49</v>
      </c>
      <c r="D1699" s="2" t="s">
        <v>42</v>
      </c>
      <c r="E1699" s="2" t="s">
        <v>78</v>
      </c>
      <c r="F1699" s="2" t="s">
        <v>81</v>
      </c>
      <c r="G1699" s="2">
        <f t="shared" si="26"/>
        <v>0.33728813559322035</v>
      </c>
      <c r="H1699" s="5">
        <v>4.3260869565217392</v>
      </c>
      <c r="I1699" s="2">
        <v>23</v>
      </c>
      <c r="J1699" s="12">
        <f>I1699/Pondération!$J$109</f>
        <v>7.796610169491526E-2</v>
      </c>
    </row>
    <row r="1700" spans="1:10" x14ac:dyDescent="0.25">
      <c r="A1700" s="2" t="s">
        <v>77</v>
      </c>
      <c r="B1700" s="2">
        <v>2013</v>
      </c>
      <c r="C1700" s="2" t="s">
        <v>50</v>
      </c>
      <c r="D1700" s="2" t="s">
        <v>42</v>
      </c>
      <c r="E1700" s="2" t="s">
        <v>78</v>
      </c>
      <c r="F1700" s="2" t="s">
        <v>81</v>
      </c>
      <c r="G1700" s="2">
        <f t="shared" si="26"/>
        <v>0.19491525423728814</v>
      </c>
      <c r="H1700" s="5">
        <v>4.4230769230769234</v>
      </c>
      <c r="I1700" s="2">
        <v>13</v>
      </c>
      <c r="J1700" s="12">
        <f>I1700/Pondération!$J$109</f>
        <v>4.4067796610169491E-2</v>
      </c>
    </row>
    <row r="1701" spans="1:10" x14ac:dyDescent="0.25">
      <c r="A1701" s="2" t="s">
        <v>77</v>
      </c>
      <c r="B1701" s="2">
        <v>2013</v>
      </c>
      <c r="C1701" s="2" t="s">
        <v>51</v>
      </c>
      <c r="D1701" s="2" t="s">
        <v>42</v>
      </c>
      <c r="E1701" s="2" t="s">
        <v>78</v>
      </c>
      <c r="F1701" s="2" t="s">
        <v>81</v>
      </c>
      <c r="G1701" s="2">
        <f t="shared" si="26"/>
        <v>0.21016949152542375</v>
      </c>
      <c r="H1701" s="5">
        <v>4.4285714285714288</v>
      </c>
      <c r="I1701" s="2">
        <v>14</v>
      </c>
      <c r="J1701" s="12">
        <f>I1701/Pondération!$J$109</f>
        <v>4.7457627118644069E-2</v>
      </c>
    </row>
    <row r="1702" spans="1:10" x14ac:dyDescent="0.25">
      <c r="A1702" s="2" t="s">
        <v>77</v>
      </c>
      <c r="B1702" s="2">
        <v>2013</v>
      </c>
      <c r="C1702" s="2" t="s">
        <v>52</v>
      </c>
      <c r="D1702" s="2" t="s">
        <v>42</v>
      </c>
      <c r="E1702" s="2" t="s">
        <v>78</v>
      </c>
      <c r="F1702" s="2" t="s">
        <v>81</v>
      </c>
      <c r="G1702" s="2">
        <f t="shared" si="26"/>
        <v>0.20847457627118646</v>
      </c>
      <c r="H1702" s="5">
        <v>4.3928571428571432</v>
      </c>
      <c r="I1702" s="2">
        <v>14</v>
      </c>
      <c r="J1702" s="12">
        <f>I1702/Pondération!$J$109</f>
        <v>4.7457627118644069E-2</v>
      </c>
    </row>
    <row r="1703" spans="1:10" x14ac:dyDescent="0.25">
      <c r="A1703" s="2" t="s">
        <v>77</v>
      </c>
      <c r="B1703" s="2">
        <v>2013</v>
      </c>
      <c r="C1703" s="2" t="s">
        <v>53</v>
      </c>
      <c r="D1703" s="2" t="s">
        <v>42</v>
      </c>
      <c r="E1703" s="2" t="s">
        <v>78</v>
      </c>
      <c r="F1703" s="2" t="s">
        <v>81</v>
      </c>
      <c r="G1703" s="2">
        <f t="shared" si="26"/>
        <v>0.38305084745762707</v>
      </c>
      <c r="H1703" s="5">
        <v>4.3461538461538458</v>
      </c>
      <c r="I1703" s="2">
        <v>26</v>
      </c>
      <c r="J1703" s="12">
        <f>I1703/Pondération!$J$109</f>
        <v>8.8135593220338981E-2</v>
      </c>
    </row>
    <row r="1704" spans="1:10" x14ac:dyDescent="0.25">
      <c r="A1704" s="2" t="s">
        <v>77</v>
      </c>
      <c r="B1704" s="2">
        <v>2013</v>
      </c>
      <c r="C1704" s="2" t="s">
        <v>54</v>
      </c>
      <c r="D1704" s="2" t="s">
        <v>42</v>
      </c>
      <c r="E1704" s="2" t="s">
        <v>78</v>
      </c>
      <c r="F1704" s="2" t="s">
        <v>81</v>
      </c>
      <c r="G1704" s="2">
        <f t="shared" si="26"/>
        <v>0.54406779661016946</v>
      </c>
      <c r="H1704" s="5">
        <v>4.458333333333333</v>
      </c>
      <c r="I1704" s="2">
        <v>36</v>
      </c>
      <c r="J1704" s="12">
        <f>I1704/Pondération!$J$109</f>
        <v>0.12203389830508475</v>
      </c>
    </row>
    <row r="1705" spans="1:10" x14ac:dyDescent="0.25">
      <c r="A1705" s="2" t="s">
        <v>77</v>
      </c>
      <c r="B1705" s="2">
        <v>2013</v>
      </c>
      <c r="C1705" s="2" t="s">
        <v>55</v>
      </c>
      <c r="D1705" s="2" t="s">
        <v>42</v>
      </c>
      <c r="E1705" s="2" t="s">
        <v>78</v>
      </c>
      <c r="F1705" s="2" t="s">
        <v>81</v>
      </c>
      <c r="G1705" s="2">
        <f t="shared" si="26"/>
        <v>0.41186440677966102</v>
      </c>
      <c r="H1705" s="5">
        <v>4.5</v>
      </c>
      <c r="I1705" s="2">
        <v>27</v>
      </c>
      <c r="J1705" s="12">
        <f>I1705/Pondération!$J$109</f>
        <v>9.152542372881356E-2</v>
      </c>
    </row>
    <row r="1706" spans="1:10" x14ac:dyDescent="0.25">
      <c r="A1706" s="2" t="s">
        <v>77</v>
      </c>
      <c r="B1706" s="2">
        <v>2013</v>
      </c>
      <c r="C1706" s="2" t="s">
        <v>56</v>
      </c>
      <c r="D1706" s="2" t="s">
        <v>42</v>
      </c>
      <c r="E1706" s="2" t="s">
        <v>78</v>
      </c>
      <c r="F1706" s="2" t="s">
        <v>81</v>
      </c>
      <c r="G1706" s="2">
        <f t="shared" si="26"/>
        <v>0.90508474576271181</v>
      </c>
      <c r="H1706" s="5">
        <v>4.3770491803278686</v>
      </c>
      <c r="I1706" s="2">
        <v>61</v>
      </c>
      <c r="J1706" s="12">
        <f>I1706/Pondération!$J$109</f>
        <v>0.20677966101694914</v>
      </c>
    </row>
    <row r="1707" spans="1:10" x14ac:dyDescent="0.25">
      <c r="A1707" s="2" t="s">
        <v>77</v>
      </c>
      <c r="B1707" s="2">
        <v>2013</v>
      </c>
      <c r="C1707" s="2" t="s">
        <v>57</v>
      </c>
      <c r="D1707" s="2" t="s">
        <v>42</v>
      </c>
      <c r="E1707" s="2" t="s">
        <v>78</v>
      </c>
      <c r="F1707" s="2" t="s">
        <v>81</v>
      </c>
      <c r="G1707" s="2">
        <f t="shared" si="26"/>
        <v>0.48135593220338979</v>
      </c>
      <c r="H1707" s="5">
        <v>4.4375</v>
      </c>
      <c r="I1707" s="2">
        <v>32</v>
      </c>
      <c r="J1707" s="12">
        <f>I1707/Pondération!$J$109</f>
        <v>0.10847457627118644</v>
      </c>
    </row>
    <row r="1708" spans="1:10" x14ac:dyDescent="0.25">
      <c r="A1708" s="2" t="s">
        <v>77</v>
      </c>
      <c r="B1708" s="2">
        <v>2013</v>
      </c>
      <c r="C1708" s="2" t="s">
        <v>58</v>
      </c>
      <c r="D1708" s="2" t="s">
        <v>42</v>
      </c>
      <c r="E1708" s="2" t="s">
        <v>78</v>
      </c>
      <c r="F1708" s="2" t="s">
        <v>81</v>
      </c>
      <c r="G1708" s="2">
        <f t="shared" si="26"/>
        <v>0.22542372881355935</v>
      </c>
      <c r="H1708" s="5">
        <v>4.4333333333333336</v>
      </c>
      <c r="I1708" s="2">
        <v>15</v>
      </c>
      <c r="J1708" s="12">
        <f>I1708/Pondération!$J$109</f>
        <v>5.0847457627118647E-2</v>
      </c>
    </row>
    <row r="1709" spans="1:10" x14ac:dyDescent="0.25">
      <c r="A1709" s="2" t="s">
        <v>77</v>
      </c>
      <c r="B1709" s="2">
        <v>2013</v>
      </c>
      <c r="C1709" s="2" t="s">
        <v>59</v>
      </c>
      <c r="D1709" s="2" t="s">
        <v>42</v>
      </c>
      <c r="E1709" s="2" t="s">
        <v>78</v>
      </c>
      <c r="F1709" s="2" t="s">
        <v>81</v>
      </c>
      <c r="G1709" s="2">
        <f t="shared" si="26"/>
        <v>0.26949152542372884</v>
      </c>
      <c r="H1709" s="5">
        <v>4.416666666666667</v>
      </c>
      <c r="I1709" s="2">
        <v>18</v>
      </c>
      <c r="J1709" s="12">
        <f>I1709/Pondération!$J$109</f>
        <v>6.1016949152542375E-2</v>
      </c>
    </row>
    <row r="1710" spans="1:10" x14ac:dyDescent="0.25">
      <c r="A1710" s="2" t="s">
        <v>77</v>
      </c>
      <c r="B1710" s="2">
        <v>2013</v>
      </c>
      <c r="C1710" s="2" t="s">
        <v>60</v>
      </c>
      <c r="D1710" s="2" t="s">
        <v>42</v>
      </c>
      <c r="E1710" s="2" t="s">
        <v>78</v>
      </c>
      <c r="F1710" s="2" t="s">
        <v>81</v>
      </c>
      <c r="G1710" s="2">
        <f t="shared" si="26"/>
        <v>0.2406779661016949</v>
      </c>
      <c r="H1710" s="5">
        <v>4.4375</v>
      </c>
      <c r="I1710" s="2">
        <v>16</v>
      </c>
      <c r="J1710" s="12">
        <f>I1710/Pondération!$J$109</f>
        <v>5.4237288135593219E-2</v>
      </c>
    </row>
    <row r="1711" spans="1:10" x14ac:dyDescent="0.25">
      <c r="A1711" s="2" t="s">
        <v>77</v>
      </c>
      <c r="B1711" s="2">
        <v>2014</v>
      </c>
      <c r="C1711" s="2" t="s">
        <v>61</v>
      </c>
      <c r="D1711" s="2" t="s">
        <v>42</v>
      </c>
      <c r="E1711" s="2" t="s">
        <v>78</v>
      </c>
      <c r="F1711" s="2" t="s">
        <v>81</v>
      </c>
      <c r="G1711" s="2">
        <f t="shared" si="26"/>
        <v>0.1524008350730689</v>
      </c>
      <c r="H1711" s="5">
        <v>4.2941176470588234</v>
      </c>
      <c r="I1711" s="2">
        <v>17</v>
      </c>
      <c r="J1711" s="12">
        <f>I1711/Pondération!$I$109</f>
        <v>3.5490605427974949E-2</v>
      </c>
    </row>
    <row r="1712" spans="1:10" x14ac:dyDescent="0.25">
      <c r="A1712" s="2" t="s">
        <v>77</v>
      </c>
      <c r="B1712" s="2">
        <v>2014</v>
      </c>
      <c r="C1712" s="2" t="s">
        <v>62</v>
      </c>
      <c r="D1712" s="2" t="s">
        <v>42</v>
      </c>
      <c r="E1712" s="2" t="s">
        <v>78</v>
      </c>
      <c r="F1712" s="2" t="s">
        <v>81</v>
      </c>
      <c r="G1712" s="2">
        <f t="shared" si="26"/>
        <v>0.20668058455114818</v>
      </c>
      <c r="H1712" s="5">
        <v>4.3043478260869561</v>
      </c>
      <c r="I1712" s="2">
        <v>23</v>
      </c>
      <c r="J1712" s="12">
        <f>I1712/Pondération!$I$109</f>
        <v>4.8016701461377868E-2</v>
      </c>
    </row>
    <row r="1713" spans="1:10" x14ac:dyDescent="0.25">
      <c r="A1713" s="2" t="s">
        <v>77</v>
      </c>
      <c r="B1713" s="2">
        <v>2014</v>
      </c>
      <c r="C1713" s="2" t="s">
        <v>63</v>
      </c>
      <c r="D1713" s="2" t="s">
        <v>42</v>
      </c>
      <c r="E1713" s="2" t="s">
        <v>78</v>
      </c>
      <c r="F1713" s="2" t="s">
        <v>81</v>
      </c>
      <c r="G1713" s="2">
        <f t="shared" si="26"/>
        <v>0.19311064718162843</v>
      </c>
      <c r="H1713" s="5">
        <v>4.4047619047619051</v>
      </c>
      <c r="I1713" s="2">
        <v>21</v>
      </c>
      <c r="J1713" s="12">
        <f>I1713/Pondération!$I$109</f>
        <v>4.3841336116910233E-2</v>
      </c>
    </row>
    <row r="1714" spans="1:10" x14ac:dyDescent="0.25">
      <c r="A1714" s="2" t="s">
        <v>77</v>
      </c>
      <c r="B1714" s="2">
        <v>2014</v>
      </c>
      <c r="C1714" s="2" t="s">
        <v>64</v>
      </c>
      <c r="D1714" s="2" t="s">
        <v>42</v>
      </c>
      <c r="E1714" s="2" t="s">
        <v>78</v>
      </c>
      <c r="F1714" s="2" t="s">
        <v>81</v>
      </c>
      <c r="G1714" s="2">
        <f t="shared" si="26"/>
        <v>0.19206680584551153</v>
      </c>
      <c r="H1714" s="5">
        <v>4.3809523809523814</v>
      </c>
      <c r="I1714" s="2">
        <v>21</v>
      </c>
      <c r="J1714" s="12">
        <f>I1714/Pondération!$I$109</f>
        <v>4.3841336116910233E-2</v>
      </c>
    </row>
    <row r="1715" spans="1:10" x14ac:dyDescent="0.25">
      <c r="A1715" s="2" t="s">
        <v>77</v>
      </c>
      <c r="B1715" s="2">
        <v>2014</v>
      </c>
      <c r="C1715" s="2" t="s">
        <v>65</v>
      </c>
      <c r="D1715" s="2" t="s">
        <v>42</v>
      </c>
      <c r="E1715" s="2" t="s">
        <v>78</v>
      </c>
      <c r="F1715" s="2" t="s">
        <v>81</v>
      </c>
      <c r="G1715" s="2">
        <f t="shared" si="26"/>
        <v>0.3632567849686848</v>
      </c>
      <c r="H1715" s="5">
        <v>4.4615384615384617</v>
      </c>
      <c r="I1715" s="2">
        <v>39</v>
      </c>
      <c r="J1715" s="12">
        <f>I1715/Pondération!$I$109</f>
        <v>8.1419624217118999E-2</v>
      </c>
    </row>
    <row r="1716" spans="1:10" x14ac:dyDescent="0.25">
      <c r="A1716" s="2" t="s">
        <v>77</v>
      </c>
      <c r="B1716" s="2">
        <v>2014</v>
      </c>
      <c r="C1716" s="2" t="s">
        <v>66</v>
      </c>
      <c r="D1716" s="2" t="s">
        <v>42</v>
      </c>
      <c r="E1716" s="2" t="s">
        <v>78</v>
      </c>
      <c r="F1716" s="2" t="s">
        <v>81</v>
      </c>
      <c r="G1716" s="2">
        <f t="shared" si="26"/>
        <v>0.28392484342379953</v>
      </c>
      <c r="H1716" s="5">
        <v>4.387096774193548</v>
      </c>
      <c r="I1716" s="2">
        <v>31</v>
      </c>
      <c r="J1716" s="12">
        <f>I1716/Pondération!$I$109</f>
        <v>6.471816283924843E-2</v>
      </c>
    </row>
    <row r="1717" spans="1:10" x14ac:dyDescent="0.25">
      <c r="A1717" s="2" t="s">
        <v>77</v>
      </c>
      <c r="B1717" s="2">
        <v>2014</v>
      </c>
      <c r="C1717" s="2" t="s">
        <v>67</v>
      </c>
      <c r="D1717" s="2" t="s">
        <v>42</v>
      </c>
      <c r="E1717" s="2" t="s">
        <v>78</v>
      </c>
      <c r="F1717" s="2" t="s">
        <v>81</v>
      </c>
      <c r="G1717" s="2">
        <f t="shared" si="26"/>
        <v>0.51774530271398744</v>
      </c>
      <c r="H1717" s="5">
        <v>4.4285714285714288</v>
      </c>
      <c r="I1717" s="2">
        <v>56</v>
      </c>
      <c r="J1717" s="12">
        <f>I1717/Pondération!$I$109</f>
        <v>0.11691022964509394</v>
      </c>
    </row>
    <row r="1718" spans="1:10" x14ac:dyDescent="0.25">
      <c r="A1718" s="2" t="s">
        <v>77</v>
      </c>
      <c r="B1718" s="2">
        <v>2014</v>
      </c>
      <c r="C1718" s="2" t="s">
        <v>68</v>
      </c>
      <c r="D1718" s="2" t="s">
        <v>42</v>
      </c>
      <c r="E1718" s="2" t="s">
        <v>78</v>
      </c>
      <c r="F1718" s="2" t="s">
        <v>81</v>
      </c>
      <c r="G1718" s="2">
        <f t="shared" si="26"/>
        <v>0.75991649269311068</v>
      </c>
      <c r="H1718" s="5">
        <v>4.4390243902439028</v>
      </c>
      <c r="I1718" s="2">
        <v>82</v>
      </c>
      <c r="J1718" s="12">
        <f>I1718/Pondération!$I$109</f>
        <v>0.17118997912317327</v>
      </c>
    </row>
    <row r="1719" spans="1:10" x14ac:dyDescent="0.25">
      <c r="A1719" s="2" t="s">
        <v>77</v>
      </c>
      <c r="B1719" s="2">
        <v>2014</v>
      </c>
      <c r="C1719" s="2" t="s">
        <v>69</v>
      </c>
      <c r="D1719" s="2" t="s">
        <v>42</v>
      </c>
      <c r="E1719" s="2" t="s">
        <v>78</v>
      </c>
      <c r="F1719" s="2" t="s">
        <v>81</v>
      </c>
      <c r="G1719" s="2">
        <f t="shared" si="26"/>
        <v>0.42379958246346555</v>
      </c>
      <c r="H1719" s="5">
        <v>4.5111111111111111</v>
      </c>
      <c r="I1719" s="2">
        <v>45</v>
      </c>
      <c r="J1719" s="12">
        <f>I1719/Pondération!$I$109</f>
        <v>9.3945720250521919E-2</v>
      </c>
    </row>
    <row r="1720" spans="1:10" x14ac:dyDescent="0.25">
      <c r="A1720" s="2" t="s">
        <v>77</v>
      </c>
      <c r="B1720" s="2">
        <v>2014</v>
      </c>
      <c r="C1720" s="2" t="s">
        <v>70</v>
      </c>
      <c r="D1720" s="2" t="s">
        <v>42</v>
      </c>
      <c r="E1720" s="2" t="s">
        <v>78</v>
      </c>
      <c r="F1720" s="2" t="s">
        <v>81</v>
      </c>
      <c r="G1720" s="2">
        <f t="shared" si="26"/>
        <v>0.65135699373695211</v>
      </c>
      <c r="H1720" s="5">
        <v>4.394366197183099</v>
      </c>
      <c r="I1720" s="2">
        <v>71</v>
      </c>
      <c r="J1720" s="12">
        <f>I1720/Pondération!$I$109</f>
        <v>0.14822546972860126</v>
      </c>
    </row>
    <row r="1721" spans="1:10" x14ac:dyDescent="0.25">
      <c r="A1721" s="2" t="s">
        <v>77</v>
      </c>
      <c r="B1721" s="2">
        <v>2014</v>
      </c>
      <c r="C1721" s="2" t="s">
        <v>71</v>
      </c>
      <c r="D1721" s="2" t="s">
        <v>42</v>
      </c>
      <c r="E1721" s="2" t="s">
        <v>78</v>
      </c>
      <c r="F1721" s="2" t="s">
        <v>81</v>
      </c>
      <c r="G1721" s="2">
        <f t="shared" si="26"/>
        <v>0.41962421711899794</v>
      </c>
      <c r="H1721" s="5">
        <v>4.3695652173913047</v>
      </c>
      <c r="I1721" s="2">
        <v>46</v>
      </c>
      <c r="J1721" s="12">
        <f>I1721/Pondération!$I$109</f>
        <v>9.6033402922755737E-2</v>
      </c>
    </row>
    <row r="1722" spans="1:10" x14ac:dyDescent="0.25">
      <c r="A1722" s="2" t="s">
        <v>77</v>
      </c>
      <c r="B1722" s="2">
        <v>2014</v>
      </c>
      <c r="C1722" s="2" t="s">
        <v>72</v>
      </c>
      <c r="D1722" s="2" t="s">
        <v>42</v>
      </c>
      <c r="E1722" s="2" t="s">
        <v>78</v>
      </c>
      <c r="F1722" s="2" t="s">
        <v>81</v>
      </c>
      <c r="G1722" s="2">
        <f t="shared" si="26"/>
        <v>0.24530271398747391</v>
      </c>
      <c r="H1722" s="5">
        <v>4.3518518518518521</v>
      </c>
      <c r="I1722" s="2">
        <v>27</v>
      </c>
      <c r="J1722" s="12">
        <f>I1722/Pondération!$I$109</f>
        <v>5.6367432150313153E-2</v>
      </c>
    </row>
    <row r="1723" spans="1:10" x14ac:dyDescent="0.25">
      <c r="A1723" s="2" t="s">
        <v>77</v>
      </c>
      <c r="B1723" s="2">
        <v>2015</v>
      </c>
      <c r="C1723" s="2" t="s">
        <v>73</v>
      </c>
      <c r="D1723" s="2" t="s">
        <v>42</v>
      </c>
      <c r="E1723" s="2" t="s">
        <v>78</v>
      </c>
      <c r="F1723" s="2" t="s">
        <v>81</v>
      </c>
      <c r="G1723" s="2">
        <f t="shared" si="26"/>
        <v>0.10204081632653061</v>
      </c>
      <c r="H1723" s="5">
        <v>4.3478260869565215</v>
      </c>
      <c r="I1723" s="2">
        <v>23</v>
      </c>
      <c r="J1723" s="12">
        <f>I1723/Pondération!$H$109</f>
        <v>2.3469387755102041E-2</v>
      </c>
    </row>
    <row r="1724" spans="1:10" x14ac:dyDescent="0.25">
      <c r="A1724" s="2" t="s">
        <v>77</v>
      </c>
      <c r="B1724" s="2">
        <v>2015</v>
      </c>
      <c r="C1724" s="2" t="s">
        <v>74</v>
      </c>
      <c r="D1724" s="2" t="s">
        <v>42</v>
      </c>
      <c r="E1724" s="2" t="s">
        <v>78</v>
      </c>
      <c r="F1724" s="2" t="s">
        <v>81</v>
      </c>
      <c r="G1724" s="2">
        <f t="shared" si="26"/>
        <v>0.17142857142857146</v>
      </c>
      <c r="H1724" s="5">
        <v>4.4210526315789478</v>
      </c>
      <c r="I1724" s="2">
        <v>38</v>
      </c>
      <c r="J1724" s="12">
        <f>I1724/Pondération!$H$109</f>
        <v>3.8775510204081633E-2</v>
      </c>
    </row>
    <row r="1725" spans="1:10" x14ac:dyDescent="0.25">
      <c r="A1725" s="2" t="s">
        <v>77</v>
      </c>
      <c r="B1725" s="2">
        <v>2015</v>
      </c>
      <c r="C1725" s="2" t="s">
        <v>75</v>
      </c>
      <c r="D1725" s="2" t="s">
        <v>42</v>
      </c>
      <c r="E1725" s="2" t="s">
        <v>78</v>
      </c>
      <c r="F1725" s="2" t="s">
        <v>81</v>
      </c>
      <c r="G1725" s="2">
        <f t="shared" si="26"/>
        <v>0.21173469387755103</v>
      </c>
      <c r="H1725" s="5">
        <v>4.4148936170212769</v>
      </c>
      <c r="I1725" s="2">
        <v>47</v>
      </c>
      <c r="J1725" s="12">
        <f>I1725/Pondération!$H$109</f>
        <v>4.7959183673469387E-2</v>
      </c>
    </row>
    <row r="1726" spans="1:10" x14ac:dyDescent="0.25">
      <c r="A1726" s="2" t="s">
        <v>77</v>
      </c>
      <c r="B1726" s="2">
        <v>2015</v>
      </c>
      <c r="C1726" s="2" t="s">
        <v>76</v>
      </c>
      <c r="D1726" s="2" t="s">
        <v>42</v>
      </c>
      <c r="E1726" s="2" t="s">
        <v>78</v>
      </c>
      <c r="F1726" s="2" t="s">
        <v>81</v>
      </c>
      <c r="G1726" s="2">
        <f t="shared" si="26"/>
        <v>0.25816326530612244</v>
      </c>
      <c r="H1726" s="5">
        <v>4.4385964912280702</v>
      </c>
      <c r="I1726" s="2">
        <v>57</v>
      </c>
      <c r="J1726" s="12">
        <f>I1726/Pondération!$H$109</f>
        <v>5.8163265306122446E-2</v>
      </c>
    </row>
    <row r="1727" spans="1:10" x14ac:dyDescent="0.25">
      <c r="A1727" s="2" t="s">
        <v>77</v>
      </c>
      <c r="B1727" s="2">
        <v>2015</v>
      </c>
      <c r="C1727" s="2" t="s">
        <v>7</v>
      </c>
      <c r="D1727" s="2" t="s">
        <v>42</v>
      </c>
      <c r="E1727" s="2" t="s">
        <v>78</v>
      </c>
      <c r="F1727" s="2" t="s">
        <v>81</v>
      </c>
      <c r="G1727" s="2">
        <f t="shared" si="26"/>
        <v>0.39948979591836736</v>
      </c>
      <c r="H1727" s="5">
        <v>4.4488636363636367</v>
      </c>
      <c r="I1727" s="2">
        <v>88</v>
      </c>
      <c r="J1727" s="12">
        <f>I1727/Pondération!$H$109</f>
        <v>8.9795918367346933E-2</v>
      </c>
    </row>
    <row r="1728" spans="1:10" x14ac:dyDescent="0.25">
      <c r="A1728" s="2" t="s">
        <v>77</v>
      </c>
      <c r="B1728" s="2">
        <v>2015</v>
      </c>
      <c r="C1728" s="2" t="s">
        <v>11</v>
      </c>
      <c r="D1728" s="2" t="s">
        <v>42</v>
      </c>
      <c r="E1728" s="2" t="s">
        <v>78</v>
      </c>
      <c r="F1728" s="2" t="s">
        <v>81</v>
      </c>
      <c r="G1728" s="2">
        <f t="shared" si="26"/>
        <v>0.33418367346938777</v>
      </c>
      <c r="H1728" s="5">
        <v>4.4256756756756754</v>
      </c>
      <c r="I1728" s="2">
        <v>74</v>
      </c>
      <c r="J1728" s="12">
        <f>I1728/Pondération!$H$109</f>
        <v>7.5510204081632656E-2</v>
      </c>
    </row>
    <row r="1729" spans="1:10" x14ac:dyDescent="0.25">
      <c r="A1729" s="2" t="s">
        <v>77</v>
      </c>
      <c r="B1729" s="2">
        <v>2015</v>
      </c>
      <c r="C1729" s="2" t="s">
        <v>12</v>
      </c>
      <c r="D1729" s="2" t="s">
        <v>42</v>
      </c>
      <c r="E1729" s="2" t="s">
        <v>78</v>
      </c>
      <c r="F1729" s="2" t="s">
        <v>81</v>
      </c>
      <c r="G1729" s="2">
        <f t="shared" si="26"/>
        <v>0.69693877551020411</v>
      </c>
      <c r="H1729" s="5">
        <v>4.4350649350649354</v>
      </c>
      <c r="I1729" s="2">
        <v>154</v>
      </c>
      <c r="J1729" s="12">
        <f>I1729/Pondération!$H$109</f>
        <v>0.15714285714285714</v>
      </c>
    </row>
    <row r="1730" spans="1:10" x14ac:dyDescent="0.25">
      <c r="A1730" s="2" t="s">
        <v>77</v>
      </c>
      <c r="B1730" s="2">
        <v>2015</v>
      </c>
      <c r="C1730" s="2" t="s">
        <v>13</v>
      </c>
      <c r="D1730" s="2" t="s">
        <v>42</v>
      </c>
      <c r="E1730" s="2" t="s">
        <v>78</v>
      </c>
      <c r="F1730" s="2" t="s">
        <v>81</v>
      </c>
      <c r="G1730" s="2">
        <f t="shared" ref="G1730:G1793" si="27">H1730*J1730</f>
        <v>0.87091836734693884</v>
      </c>
      <c r="H1730" s="5">
        <v>4.3545918367346941</v>
      </c>
      <c r="I1730" s="2">
        <v>196</v>
      </c>
      <c r="J1730" s="12">
        <f>I1730/Pondération!$H$109</f>
        <v>0.2</v>
      </c>
    </row>
    <row r="1731" spans="1:10" x14ac:dyDescent="0.25">
      <c r="A1731" s="2" t="s">
        <v>77</v>
      </c>
      <c r="B1731" s="2">
        <v>2015</v>
      </c>
      <c r="C1731" s="2" t="s">
        <v>14</v>
      </c>
      <c r="D1731" s="2" t="s">
        <v>42</v>
      </c>
      <c r="E1731" s="2" t="s">
        <v>78</v>
      </c>
      <c r="F1731" s="2" t="s">
        <v>81</v>
      </c>
      <c r="G1731" s="2">
        <f t="shared" si="27"/>
        <v>0.43622448979591838</v>
      </c>
      <c r="H1731" s="5">
        <v>4.3181818181818183</v>
      </c>
      <c r="I1731" s="2">
        <v>99</v>
      </c>
      <c r="J1731" s="12">
        <f>I1731/Pondération!$H$109</f>
        <v>0.10102040816326531</v>
      </c>
    </row>
    <row r="1732" spans="1:10" x14ac:dyDescent="0.25">
      <c r="A1732" s="2" t="s">
        <v>77</v>
      </c>
      <c r="B1732" s="2">
        <v>2015</v>
      </c>
      <c r="C1732" s="2" t="s">
        <v>15</v>
      </c>
      <c r="D1732" s="2" t="s">
        <v>42</v>
      </c>
      <c r="E1732" s="2" t="s">
        <v>78</v>
      </c>
      <c r="F1732" s="2" t="s">
        <v>81</v>
      </c>
      <c r="G1732" s="2">
        <f t="shared" si="27"/>
        <v>0.36275510204081629</v>
      </c>
      <c r="H1732" s="5">
        <v>4.3353658536585362</v>
      </c>
      <c r="I1732" s="2">
        <v>82</v>
      </c>
      <c r="J1732" s="12">
        <f>I1732/Pondération!$H$109</f>
        <v>8.3673469387755106E-2</v>
      </c>
    </row>
    <row r="1733" spans="1:10" x14ac:dyDescent="0.25">
      <c r="A1733" s="2" t="s">
        <v>77</v>
      </c>
      <c r="B1733" s="2">
        <v>2015</v>
      </c>
      <c r="C1733" s="2" t="s">
        <v>16</v>
      </c>
      <c r="D1733" s="2" t="s">
        <v>42</v>
      </c>
      <c r="E1733" s="2" t="s">
        <v>78</v>
      </c>
      <c r="F1733" s="2" t="s">
        <v>81</v>
      </c>
      <c r="G1733" s="2">
        <f t="shared" si="27"/>
        <v>0.33979591836734696</v>
      </c>
      <c r="H1733" s="5">
        <v>4.3246753246753249</v>
      </c>
      <c r="I1733" s="2">
        <v>77</v>
      </c>
      <c r="J1733" s="12">
        <f>I1733/Pondération!$H$109</f>
        <v>7.857142857142857E-2</v>
      </c>
    </row>
    <row r="1734" spans="1:10" x14ac:dyDescent="0.25">
      <c r="A1734" s="2" t="s">
        <v>77</v>
      </c>
      <c r="B1734" s="2">
        <v>2015</v>
      </c>
      <c r="C1734" s="2" t="s">
        <v>17</v>
      </c>
      <c r="D1734" s="2" t="s">
        <v>42</v>
      </c>
      <c r="E1734" s="2" t="s">
        <v>78</v>
      </c>
      <c r="F1734" s="2" t="s">
        <v>81</v>
      </c>
      <c r="G1734" s="2">
        <f t="shared" si="27"/>
        <v>0.19999999999999998</v>
      </c>
      <c r="H1734" s="5">
        <v>4.3555555555555552</v>
      </c>
      <c r="I1734" s="2">
        <v>45</v>
      </c>
      <c r="J1734" s="12">
        <f>I1734/Pondération!$H$109</f>
        <v>4.5918367346938778E-2</v>
      </c>
    </row>
    <row r="1735" spans="1:10" x14ac:dyDescent="0.25">
      <c r="A1735" s="2" t="s">
        <v>77</v>
      </c>
      <c r="B1735" s="2">
        <v>2016</v>
      </c>
      <c r="C1735" s="2" t="s">
        <v>18</v>
      </c>
      <c r="D1735" s="2" t="s">
        <v>42</v>
      </c>
      <c r="E1735" s="2" t="s">
        <v>78</v>
      </c>
      <c r="F1735" s="2" t="s">
        <v>81</v>
      </c>
      <c r="G1735" s="2">
        <f t="shared" si="27"/>
        <v>0.27462491846053488</v>
      </c>
      <c r="H1735" s="5">
        <v>4.34020618556701</v>
      </c>
      <c r="I1735" s="2">
        <v>97</v>
      </c>
      <c r="J1735" s="12">
        <f>I1735/Pondération!$G$109</f>
        <v>6.3274624918460531E-2</v>
      </c>
    </row>
    <row r="1736" spans="1:10" x14ac:dyDescent="0.25">
      <c r="A1736" s="2" t="s">
        <v>77</v>
      </c>
      <c r="B1736" s="2">
        <v>2016</v>
      </c>
      <c r="C1736" s="2" t="s">
        <v>19</v>
      </c>
      <c r="D1736" s="2" t="s">
        <v>42</v>
      </c>
      <c r="E1736" s="2" t="s">
        <v>78</v>
      </c>
      <c r="F1736" s="2" t="s">
        <v>81</v>
      </c>
      <c r="G1736" s="2">
        <f t="shared" si="27"/>
        <v>0.29223744292237441</v>
      </c>
      <c r="H1736" s="5">
        <v>4.3076923076923075</v>
      </c>
      <c r="I1736" s="2">
        <v>104</v>
      </c>
      <c r="J1736" s="12">
        <f>I1736/Pondération!$G$109</f>
        <v>6.7840834964122632E-2</v>
      </c>
    </row>
    <row r="1737" spans="1:10" x14ac:dyDescent="0.25">
      <c r="A1737" s="2" t="s">
        <v>77</v>
      </c>
      <c r="B1737" s="2">
        <v>2016</v>
      </c>
      <c r="C1737" s="2" t="s">
        <v>20</v>
      </c>
      <c r="D1737" s="2" t="s">
        <v>42</v>
      </c>
      <c r="E1737" s="2" t="s">
        <v>78</v>
      </c>
      <c r="F1737" s="2" t="s">
        <v>81</v>
      </c>
      <c r="G1737" s="2">
        <f t="shared" si="27"/>
        <v>0.25701239399869535</v>
      </c>
      <c r="H1737" s="5">
        <v>4.1914893617021276</v>
      </c>
      <c r="I1737" s="2">
        <v>94</v>
      </c>
      <c r="J1737" s="12">
        <f>I1737/Pondération!$G$109</f>
        <v>6.1317677756033917E-2</v>
      </c>
    </row>
    <row r="1738" spans="1:10" x14ac:dyDescent="0.25">
      <c r="A1738" s="2" t="s">
        <v>77</v>
      </c>
      <c r="B1738" s="2">
        <v>2016</v>
      </c>
      <c r="C1738" s="2" t="s">
        <v>21</v>
      </c>
      <c r="D1738" s="2" t="s">
        <v>42</v>
      </c>
      <c r="E1738" s="2" t="s">
        <v>78</v>
      </c>
      <c r="F1738" s="2" t="s">
        <v>81</v>
      </c>
      <c r="G1738" s="2">
        <f t="shared" si="27"/>
        <v>0.3268101761252446</v>
      </c>
      <c r="H1738" s="5">
        <v>4.3565217391304349</v>
      </c>
      <c r="I1738" s="2">
        <v>115</v>
      </c>
      <c r="J1738" s="12">
        <f>I1738/Pondération!$G$109</f>
        <v>7.5016307893020218E-2</v>
      </c>
    </row>
    <row r="1739" spans="1:10" x14ac:dyDescent="0.25">
      <c r="A1739" s="2" t="s">
        <v>77</v>
      </c>
      <c r="B1739" s="2">
        <v>2016</v>
      </c>
      <c r="C1739" s="2" t="s">
        <v>22</v>
      </c>
      <c r="D1739" s="2" t="s">
        <v>42</v>
      </c>
      <c r="E1739" s="2" t="s">
        <v>78</v>
      </c>
      <c r="F1739" s="2" t="s">
        <v>81</v>
      </c>
      <c r="G1739" s="2">
        <f t="shared" si="27"/>
        <v>0.32811480756686234</v>
      </c>
      <c r="H1739" s="5">
        <v>4.3739130434782609</v>
      </c>
      <c r="I1739" s="2">
        <v>115</v>
      </c>
      <c r="J1739" s="12">
        <f>I1739/Pondération!$G$109</f>
        <v>7.5016307893020218E-2</v>
      </c>
    </row>
    <row r="1740" spans="1:10" x14ac:dyDescent="0.25">
      <c r="A1740" s="2" t="s">
        <v>77</v>
      </c>
      <c r="B1740" s="2">
        <v>2016</v>
      </c>
      <c r="C1740" s="2" t="s">
        <v>23</v>
      </c>
      <c r="D1740" s="2" t="s">
        <v>42</v>
      </c>
      <c r="E1740" s="2" t="s">
        <v>78</v>
      </c>
      <c r="F1740" s="2" t="s">
        <v>81</v>
      </c>
      <c r="G1740" s="2">
        <f t="shared" si="27"/>
        <v>0.31930854533594261</v>
      </c>
      <c r="H1740" s="5">
        <v>4.4099099099099099</v>
      </c>
      <c r="I1740" s="2">
        <v>111</v>
      </c>
      <c r="J1740" s="12">
        <f>I1740/Pondération!$G$109</f>
        <v>7.2407045009784732E-2</v>
      </c>
    </row>
    <row r="1741" spans="1:10" x14ac:dyDescent="0.25">
      <c r="A1741" s="2" t="s">
        <v>77</v>
      </c>
      <c r="B1741" s="2">
        <v>2016</v>
      </c>
      <c r="C1741" s="2" t="s">
        <v>24</v>
      </c>
      <c r="D1741" s="2" t="s">
        <v>42</v>
      </c>
      <c r="E1741" s="2" t="s">
        <v>78</v>
      </c>
      <c r="F1741" s="2" t="s">
        <v>81</v>
      </c>
      <c r="G1741" s="2">
        <f t="shared" si="27"/>
        <v>0.48140900195694719</v>
      </c>
      <c r="H1741" s="5">
        <v>4.3928571428571432</v>
      </c>
      <c r="I1741" s="2">
        <v>168</v>
      </c>
      <c r="J1741" s="12">
        <f>I1741/Pondération!$G$109</f>
        <v>0.1095890410958904</v>
      </c>
    </row>
    <row r="1742" spans="1:10" x14ac:dyDescent="0.25">
      <c r="A1742" s="2" t="s">
        <v>77</v>
      </c>
      <c r="B1742" s="2">
        <v>2016</v>
      </c>
      <c r="C1742" s="2" t="s">
        <v>25</v>
      </c>
      <c r="D1742" s="2" t="s">
        <v>42</v>
      </c>
      <c r="E1742" s="2" t="s">
        <v>78</v>
      </c>
      <c r="F1742" s="2" t="s">
        <v>81</v>
      </c>
      <c r="G1742" s="2">
        <f t="shared" si="27"/>
        <v>0.68949771689497719</v>
      </c>
      <c r="H1742" s="5">
        <v>4.3677685950413228</v>
      </c>
      <c r="I1742" s="2">
        <v>242</v>
      </c>
      <c r="J1742" s="12">
        <f>I1742/Pondération!$G$109</f>
        <v>0.15786040443574689</v>
      </c>
    </row>
    <row r="1743" spans="1:10" x14ac:dyDescent="0.25">
      <c r="A1743" s="2" t="s">
        <v>77</v>
      </c>
      <c r="B1743" s="2">
        <v>2016</v>
      </c>
      <c r="C1743" s="2" t="s">
        <v>26</v>
      </c>
      <c r="D1743" s="2" t="s">
        <v>42</v>
      </c>
      <c r="E1743" s="2" t="s">
        <v>78</v>
      </c>
      <c r="F1743" s="2" t="s">
        <v>81</v>
      </c>
      <c r="G1743" s="2">
        <f t="shared" si="27"/>
        <v>0.38682322243966077</v>
      </c>
      <c r="H1743" s="5">
        <v>4.3925925925925924</v>
      </c>
      <c r="I1743" s="2">
        <v>135</v>
      </c>
      <c r="J1743" s="12">
        <f>I1743/Pondération!$G$109</f>
        <v>8.8062622309197647E-2</v>
      </c>
    </row>
    <row r="1744" spans="1:10" x14ac:dyDescent="0.25">
      <c r="A1744" s="2" t="s">
        <v>77</v>
      </c>
      <c r="B1744" s="2">
        <v>2016</v>
      </c>
      <c r="C1744" s="2" t="s">
        <v>27</v>
      </c>
      <c r="D1744" s="2" t="s">
        <v>42</v>
      </c>
      <c r="E1744" s="2" t="s">
        <v>78</v>
      </c>
      <c r="F1744" s="2" t="s">
        <v>81</v>
      </c>
      <c r="G1744" s="2">
        <f t="shared" si="27"/>
        <v>0.4452054794520548</v>
      </c>
      <c r="H1744" s="5">
        <v>4.3471337579617835</v>
      </c>
      <c r="I1744" s="2">
        <v>157</v>
      </c>
      <c r="J1744" s="12">
        <f>I1744/Pondération!$G$109</f>
        <v>0.10241356816699282</v>
      </c>
    </row>
    <row r="1745" spans="1:10" x14ac:dyDescent="0.25">
      <c r="A1745" s="2" t="s">
        <v>77</v>
      </c>
      <c r="B1745" s="2">
        <v>2016</v>
      </c>
      <c r="C1745" s="2" t="s">
        <v>28</v>
      </c>
      <c r="D1745" s="2" t="s">
        <v>42</v>
      </c>
      <c r="E1745" s="2" t="s">
        <v>78</v>
      </c>
      <c r="F1745" s="2" t="s">
        <v>81</v>
      </c>
      <c r="G1745" s="2">
        <f t="shared" si="27"/>
        <v>0.33529028049575998</v>
      </c>
      <c r="H1745" s="5">
        <v>4.3931623931623935</v>
      </c>
      <c r="I1745" s="2">
        <v>117</v>
      </c>
      <c r="J1745" s="12">
        <f>I1745/Pondération!$G$109</f>
        <v>7.6320939334637961E-2</v>
      </c>
    </row>
    <row r="1746" spans="1:10" x14ac:dyDescent="0.25">
      <c r="A1746" s="2" t="s">
        <v>77</v>
      </c>
      <c r="B1746" s="2">
        <v>2016</v>
      </c>
      <c r="C1746" s="2" t="s">
        <v>29</v>
      </c>
      <c r="D1746" s="2" t="s">
        <v>42</v>
      </c>
      <c r="E1746" s="2" t="s">
        <v>78</v>
      </c>
      <c r="F1746" s="2" t="s">
        <v>81</v>
      </c>
      <c r="G1746" s="2">
        <f t="shared" si="27"/>
        <v>0.21689497716894976</v>
      </c>
      <c r="H1746" s="5">
        <v>4.2628205128205128</v>
      </c>
      <c r="I1746" s="2">
        <v>78</v>
      </c>
      <c r="J1746" s="12">
        <f>I1746/Pondération!$G$109</f>
        <v>5.0880626223091974E-2</v>
      </c>
    </row>
    <row r="1747" spans="1:10" x14ac:dyDescent="0.25">
      <c r="A1747" s="2" t="s">
        <v>77</v>
      </c>
      <c r="B1747" s="2">
        <v>2017</v>
      </c>
      <c r="C1747" s="2" t="s">
        <v>30</v>
      </c>
      <c r="D1747" s="2" t="s">
        <v>42</v>
      </c>
      <c r="E1747" s="2" t="s">
        <v>78</v>
      </c>
      <c r="F1747" s="2" t="s">
        <v>81</v>
      </c>
      <c r="G1747" s="2">
        <f t="shared" si="27"/>
        <v>0.46476306196840822</v>
      </c>
      <c r="H1747" s="5">
        <v>4.3965517241379306</v>
      </c>
      <c r="I1747" s="2">
        <v>87</v>
      </c>
      <c r="J1747" s="12">
        <f>I1747/Pondération!$F$109</f>
        <v>0.10571081409477522</v>
      </c>
    </row>
    <row r="1748" spans="1:10" x14ac:dyDescent="0.25">
      <c r="A1748" s="2" t="s">
        <v>77</v>
      </c>
      <c r="B1748" s="2">
        <v>2017</v>
      </c>
      <c r="C1748" s="2" t="s">
        <v>31</v>
      </c>
      <c r="D1748" s="2" t="s">
        <v>42</v>
      </c>
      <c r="E1748" s="2" t="s">
        <v>78</v>
      </c>
      <c r="F1748" s="2" t="s">
        <v>81</v>
      </c>
      <c r="G1748" s="2">
        <f t="shared" si="27"/>
        <v>0.69501822600243013</v>
      </c>
      <c r="H1748" s="5">
        <v>4.333333333333333</v>
      </c>
      <c r="I1748" s="2">
        <v>132</v>
      </c>
      <c r="J1748" s="12">
        <f>I1748/Pondération!$F$109</f>
        <v>0.16038882138517618</v>
      </c>
    </row>
    <row r="1749" spans="1:10" x14ac:dyDescent="0.25">
      <c r="A1749" s="2" t="s">
        <v>77</v>
      </c>
      <c r="B1749" s="2">
        <v>2017</v>
      </c>
      <c r="C1749" s="2" t="s">
        <v>32</v>
      </c>
      <c r="D1749" s="2" t="s">
        <v>42</v>
      </c>
      <c r="E1749" s="2" t="s">
        <v>78</v>
      </c>
      <c r="F1749" s="2" t="s">
        <v>81</v>
      </c>
      <c r="G1749" s="2">
        <f t="shared" si="27"/>
        <v>0.92345078979343864</v>
      </c>
      <c r="H1749" s="5">
        <v>4.3181818181818183</v>
      </c>
      <c r="I1749" s="2">
        <v>176</v>
      </c>
      <c r="J1749" s="12">
        <f>I1749/Pondération!$F$109</f>
        <v>0.21385176184690158</v>
      </c>
    </row>
    <row r="1750" spans="1:10" x14ac:dyDescent="0.25">
      <c r="A1750" s="2" t="s">
        <v>77</v>
      </c>
      <c r="B1750" s="2">
        <v>2017</v>
      </c>
      <c r="C1750" s="2" t="s">
        <v>33</v>
      </c>
      <c r="D1750" s="2" t="s">
        <v>42</v>
      </c>
      <c r="E1750" s="2" t="s">
        <v>78</v>
      </c>
      <c r="F1750" s="2" t="s">
        <v>81</v>
      </c>
      <c r="G1750" s="2">
        <f t="shared" si="27"/>
        <v>0.8116646415552855</v>
      </c>
      <c r="H1750" s="5">
        <v>4.3947368421052628</v>
      </c>
      <c r="I1750" s="2">
        <v>152</v>
      </c>
      <c r="J1750" s="12">
        <f>I1750/Pondération!$F$109</f>
        <v>0.18469015795868773</v>
      </c>
    </row>
    <row r="1751" spans="1:10" x14ac:dyDescent="0.25">
      <c r="A1751" s="2" t="s">
        <v>77</v>
      </c>
      <c r="B1751" s="2">
        <v>2017</v>
      </c>
      <c r="C1751" s="2" t="s">
        <v>34</v>
      </c>
      <c r="D1751" s="2" t="s">
        <v>42</v>
      </c>
      <c r="E1751" s="2" t="s">
        <v>78</v>
      </c>
      <c r="F1751" s="2" t="s">
        <v>81</v>
      </c>
      <c r="G1751" s="2">
        <f t="shared" si="27"/>
        <v>0.9562575941676793</v>
      </c>
      <c r="H1751" s="5">
        <v>4.4463276836158192</v>
      </c>
      <c r="I1751" s="2">
        <v>177</v>
      </c>
      <c r="J1751" s="12">
        <f>I1751/Pondération!$F$109</f>
        <v>0.21506682867557717</v>
      </c>
    </row>
    <row r="1752" spans="1:10" x14ac:dyDescent="0.25">
      <c r="A1752" s="2" t="s">
        <v>77</v>
      </c>
      <c r="B1752" s="2">
        <v>2017</v>
      </c>
      <c r="C1752" s="2" t="s">
        <v>80</v>
      </c>
      <c r="D1752" s="2" t="s">
        <v>42</v>
      </c>
      <c r="E1752" s="2" t="s">
        <v>78</v>
      </c>
      <c r="F1752" s="2" t="s">
        <v>81</v>
      </c>
      <c r="G1752" s="2">
        <f t="shared" si="27"/>
        <v>0.55042527339003644</v>
      </c>
      <c r="H1752" s="5">
        <v>4.5757575757575761</v>
      </c>
      <c r="I1752" s="2">
        <v>99</v>
      </c>
      <c r="J1752" s="12">
        <f>I1752/Pondération!$F$109</f>
        <v>0.12029161603888214</v>
      </c>
    </row>
    <row r="1753" spans="1:10" x14ac:dyDescent="0.25">
      <c r="A1753" s="2" t="s">
        <v>77</v>
      </c>
      <c r="B1753" s="2">
        <v>2013</v>
      </c>
      <c r="C1753" s="2" t="s">
        <v>49</v>
      </c>
      <c r="D1753" s="2" t="s">
        <v>42</v>
      </c>
      <c r="E1753" s="2" t="s">
        <v>78</v>
      </c>
      <c r="F1753" s="2" t="s">
        <v>83</v>
      </c>
      <c r="G1753" s="2">
        <f t="shared" si="27"/>
        <v>0.23893805309734512</v>
      </c>
      <c r="H1753" s="5">
        <v>4.5</v>
      </c>
      <c r="I1753" s="2">
        <v>6</v>
      </c>
      <c r="J1753" s="12">
        <f>I1753/Pondération!$J$110</f>
        <v>5.3097345132743362E-2</v>
      </c>
    </row>
    <row r="1754" spans="1:10" x14ac:dyDescent="0.25">
      <c r="A1754" s="2" t="s">
        <v>77</v>
      </c>
      <c r="B1754" s="2">
        <v>2013</v>
      </c>
      <c r="C1754" s="2" t="s">
        <v>50</v>
      </c>
      <c r="D1754" s="2" t="s">
        <v>42</v>
      </c>
      <c r="E1754" s="2" t="s">
        <v>78</v>
      </c>
      <c r="F1754" s="2" t="s">
        <v>83</v>
      </c>
      <c r="G1754" s="2">
        <f t="shared" si="27"/>
        <v>0.23893805309734512</v>
      </c>
      <c r="H1754" s="5">
        <v>4.5</v>
      </c>
      <c r="I1754" s="2">
        <v>6</v>
      </c>
      <c r="J1754" s="12">
        <f>I1754/Pondération!$J$110</f>
        <v>5.3097345132743362E-2</v>
      </c>
    </row>
    <row r="1755" spans="1:10" x14ac:dyDescent="0.25">
      <c r="A1755" s="2" t="s">
        <v>77</v>
      </c>
      <c r="B1755" s="2">
        <v>2013</v>
      </c>
      <c r="C1755" s="2" t="s">
        <v>51</v>
      </c>
      <c r="D1755" s="2" t="s">
        <v>42</v>
      </c>
      <c r="E1755" s="2" t="s">
        <v>78</v>
      </c>
      <c r="F1755" s="2" t="s">
        <v>83</v>
      </c>
      <c r="G1755" s="2">
        <f t="shared" si="27"/>
        <v>0.15929203539823009</v>
      </c>
      <c r="H1755" s="5">
        <v>4.5</v>
      </c>
      <c r="I1755" s="2">
        <v>4</v>
      </c>
      <c r="J1755" s="12">
        <f>I1755/Pondération!$J$110</f>
        <v>3.5398230088495575E-2</v>
      </c>
    </row>
    <row r="1756" spans="1:10" x14ac:dyDescent="0.25">
      <c r="A1756" s="2" t="s">
        <v>77</v>
      </c>
      <c r="B1756" s="2">
        <v>2013</v>
      </c>
      <c r="C1756" s="2" t="s">
        <v>52</v>
      </c>
      <c r="D1756" s="2" t="s">
        <v>42</v>
      </c>
      <c r="E1756" s="2" t="s">
        <v>78</v>
      </c>
      <c r="F1756" s="2" t="s">
        <v>83</v>
      </c>
      <c r="G1756" s="2">
        <f t="shared" si="27"/>
        <v>0.27876106194690264</v>
      </c>
      <c r="H1756" s="5">
        <v>4.5</v>
      </c>
      <c r="I1756" s="2">
        <v>7</v>
      </c>
      <c r="J1756" s="12">
        <f>I1756/Pondération!$J$110</f>
        <v>6.1946902654867256E-2</v>
      </c>
    </row>
    <row r="1757" spans="1:10" x14ac:dyDescent="0.25">
      <c r="A1757" s="2" t="s">
        <v>77</v>
      </c>
      <c r="B1757" s="2">
        <v>2013</v>
      </c>
      <c r="C1757" s="2" t="s">
        <v>53</v>
      </c>
      <c r="D1757" s="2" t="s">
        <v>42</v>
      </c>
      <c r="E1757" s="2" t="s">
        <v>78</v>
      </c>
      <c r="F1757" s="2" t="s">
        <v>83</v>
      </c>
      <c r="G1757" s="2">
        <f t="shared" si="27"/>
        <v>0.56194690265486724</v>
      </c>
      <c r="H1757" s="5">
        <v>4.5357142857142856</v>
      </c>
      <c r="I1757" s="2">
        <v>14</v>
      </c>
      <c r="J1757" s="12">
        <f>I1757/Pondération!$J$110</f>
        <v>0.12389380530973451</v>
      </c>
    </row>
    <row r="1758" spans="1:10" x14ac:dyDescent="0.25">
      <c r="A1758" s="2" t="s">
        <v>77</v>
      </c>
      <c r="B1758" s="2">
        <v>2013</v>
      </c>
      <c r="C1758" s="2" t="s">
        <v>54</v>
      </c>
      <c r="D1758" s="2" t="s">
        <v>42</v>
      </c>
      <c r="E1758" s="2" t="s">
        <v>78</v>
      </c>
      <c r="F1758" s="2" t="s">
        <v>83</v>
      </c>
      <c r="G1758" s="2">
        <f t="shared" si="27"/>
        <v>0.6415929203539823</v>
      </c>
      <c r="H1758" s="5">
        <v>4.53125</v>
      </c>
      <c r="I1758" s="2">
        <v>16</v>
      </c>
      <c r="J1758" s="12">
        <f>I1758/Pondération!$J$110</f>
        <v>0.1415929203539823</v>
      </c>
    </row>
    <row r="1759" spans="1:10" x14ac:dyDescent="0.25">
      <c r="A1759" s="2" t="s">
        <v>77</v>
      </c>
      <c r="B1759" s="2">
        <v>2013</v>
      </c>
      <c r="C1759" s="2" t="s">
        <v>55</v>
      </c>
      <c r="D1759" s="2" t="s">
        <v>42</v>
      </c>
      <c r="E1759" s="2" t="s">
        <v>78</v>
      </c>
      <c r="F1759" s="2" t="s">
        <v>83</v>
      </c>
      <c r="G1759" s="2">
        <f t="shared" si="27"/>
        <v>0.47787610619469023</v>
      </c>
      <c r="H1759" s="5">
        <v>4.5</v>
      </c>
      <c r="I1759" s="2">
        <v>12</v>
      </c>
      <c r="J1759" s="12">
        <f>I1759/Pondération!$J$110</f>
        <v>0.10619469026548672</v>
      </c>
    </row>
    <row r="1760" spans="1:10" x14ac:dyDescent="0.25">
      <c r="A1760" s="2" t="s">
        <v>77</v>
      </c>
      <c r="B1760" s="2">
        <v>2013</v>
      </c>
      <c r="C1760" s="2" t="s">
        <v>56</v>
      </c>
      <c r="D1760" s="2" t="s">
        <v>42</v>
      </c>
      <c r="E1760" s="2" t="s">
        <v>78</v>
      </c>
      <c r="F1760" s="2" t="s">
        <v>83</v>
      </c>
      <c r="G1760" s="2">
        <f t="shared" si="27"/>
        <v>0.6415929203539823</v>
      </c>
      <c r="H1760" s="5">
        <v>4.53125</v>
      </c>
      <c r="I1760" s="2">
        <v>16</v>
      </c>
      <c r="J1760" s="12">
        <f>I1760/Pondération!$J$110</f>
        <v>0.1415929203539823</v>
      </c>
    </row>
    <row r="1761" spans="1:10" x14ac:dyDescent="0.25">
      <c r="A1761" s="2" t="s">
        <v>77</v>
      </c>
      <c r="B1761" s="2">
        <v>2013</v>
      </c>
      <c r="C1761" s="2" t="s">
        <v>57</v>
      </c>
      <c r="D1761" s="2" t="s">
        <v>42</v>
      </c>
      <c r="E1761" s="2" t="s">
        <v>78</v>
      </c>
      <c r="F1761" s="2" t="s">
        <v>83</v>
      </c>
      <c r="G1761" s="2">
        <f t="shared" si="27"/>
        <v>0.60176991150442483</v>
      </c>
      <c r="H1761" s="5">
        <v>4.5333333333333332</v>
      </c>
      <c r="I1761" s="2">
        <v>15</v>
      </c>
      <c r="J1761" s="12">
        <f>I1761/Pondération!$J$110</f>
        <v>0.13274336283185842</v>
      </c>
    </row>
    <row r="1762" spans="1:10" x14ac:dyDescent="0.25">
      <c r="A1762" s="2" t="s">
        <v>77</v>
      </c>
      <c r="B1762" s="2">
        <v>2013</v>
      </c>
      <c r="C1762" s="2" t="s">
        <v>58</v>
      </c>
      <c r="D1762" s="2" t="s">
        <v>42</v>
      </c>
      <c r="E1762" s="2" t="s">
        <v>78</v>
      </c>
      <c r="F1762" s="2" t="s">
        <v>83</v>
      </c>
      <c r="G1762" s="2">
        <f t="shared" si="27"/>
        <v>0.15929203539823009</v>
      </c>
      <c r="H1762" s="5">
        <v>4.5</v>
      </c>
      <c r="I1762" s="2">
        <v>4</v>
      </c>
      <c r="J1762" s="12">
        <f>I1762/Pondération!$J$110</f>
        <v>3.5398230088495575E-2</v>
      </c>
    </row>
    <row r="1763" spans="1:10" x14ac:dyDescent="0.25">
      <c r="A1763" s="2" t="s">
        <v>77</v>
      </c>
      <c r="B1763" s="2">
        <v>2013</v>
      </c>
      <c r="C1763" s="2" t="s">
        <v>59</v>
      </c>
      <c r="D1763" s="2" t="s">
        <v>42</v>
      </c>
      <c r="E1763" s="2" t="s">
        <v>78</v>
      </c>
      <c r="F1763" s="2" t="s">
        <v>83</v>
      </c>
      <c r="G1763" s="2">
        <f t="shared" si="27"/>
        <v>0.27876106194690264</v>
      </c>
      <c r="H1763" s="5">
        <v>4.5</v>
      </c>
      <c r="I1763" s="2">
        <v>7</v>
      </c>
      <c r="J1763" s="12">
        <f>I1763/Pondération!$J$110</f>
        <v>6.1946902654867256E-2</v>
      </c>
    </row>
    <row r="1764" spans="1:10" x14ac:dyDescent="0.25">
      <c r="A1764" s="2" t="s">
        <v>77</v>
      </c>
      <c r="B1764" s="2">
        <v>2013</v>
      </c>
      <c r="C1764" s="2" t="s">
        <v>60</v>
      </c>
      <c r="D1764" s="2" t="s">
        <v>42</v>
      </c>
      <c r="E1764" s="2" t="s">
        <v>78</v>
      </c>
      <c r="F1764" s="2" t="s">
        <v>83</v>
      </c>
      <c r="G1764" s="2">
        <f t="shared" si="27"/>
        <v>0.23008849557522121</v>
      </c>
      <c r="H1764" s="5">
        <v>4.333333333333333</v>
      </c>
      <c r="I1764" s="2">
        <v>6</v>
      </c>
      <c r="J1764" s="12">
        <f>I1764/Pondération!$J$110</f>
        <v>5.3097345132743362E-2</v>
      </c>
    </row>
    <row r="1765" spans="1:10" x14ac:dyDescent="0.25">
      <c r="A1765" s="2" t="s">
        <v>77</v>
      </c>
      <c r="B1765" s="2">
        <v>2014</v>
      </c>
      <c r="C1765" s="2" t="s">
        <v>61</v>
      </c>
      <c r="D1765" s="2" t="s">
        <v>42</v>
      </c>
      <c r="E1765" s="2" t="s">
        <v>78</v>
      </c>
      <c r="F1765" s="2" t="s">
        <v>83</v>
      </c>
      <c r="G1765" s="2">
        <f t="shared" si="27"/>
        <v>0.1858108108108108</v>
      </c>
      <c r="H1765" s="5">
        <v>4.583333333333333</v>
      </c>
      <c r="I1765" s="2">
        <v>6</v>
      </c>
      <c r="J1765" s="12">
        <f>I1765/Pondération!$I$110</f>
        <v>4.0540540540540543E-2</v>
      </c>
    </row>
    <row r="1766" spans="1:10" x14ac:dyDescent="0.25">
      <c r="A1766" s="2" t="s">
        <v>77</v>
      </c>
      <c r="B1766" s="2">
        <v>2014</v>
      </c>
      <c r="C1766" s="2" t="s">
        <v>62</v>
      </c>
      <c r="D1766" s="2" t="s">
        <v>42</v>
      </c>
      <c r="E1766" s="2" t="s">
        <v>78</v>
      </c>
      <c r="F1766" s="2" t="s">
        <v>83</v>
      </c>
      <c r="G1766" s="2">
        <f t="shared" si="27"/>
        <v>4.3918918918918921E-2</v>
      </c>
      <c r="H1766" s="5">
        <v>3.25</v>
      </c>
      <c r="I1766" s="2">
        <v>2</v>
      </c>
      <c r="J1766" s="12">
        <f>I1766/Pondération!$I$110</f>
        <v>1.3513513513513514E-2</v>
      </c>
    </row>
    <row r="1767" spans="1:10" x14ac:dyDescent="0.25">
      <c r="A1767" s="2" t="s">
        <v>77</v>
      </c>
      <c r="B1767" s="2">
        <v>2014</v>
      </c>
      <c r="C1767" s="2" t="s">
        <v>63</v>
      </c>
      <c r="D1767" s="2" t="s">
        <v>42</v>
      </c>
      <c r="E1767" s="2" t="s">
        <v>78</v>
      </c>
      <c r="F1767" s="2" t="s">
        <v>83</v>
      </c>
      <c r="G1767" s="2">
        <f t="shared" si="27"/>
        <v>9.1216216216216228E-2</v>
      </c>
      <c r="H1767" s="5">
        <v>4.5</v>
      </c>
      <c r="I1767" s="2">
        <v>3</v>
      </c>
      <c r="J1767" s="12">
        <f>I1767/Pondération!$I$110</f>
        <v>2.0270270270270271E-2</v>
      </c>
    </row>
    <row r="1768" spans="1:10" x14ac:dyDescent="0.25">
      <c r="A1768" s="2" t="s">
        <v>77</v>
      </c>
      <c r="B1768" s="2">
        <v>2014</v>
      </c>
      <c r="C1768" s="2" t="s">
        <v>64</v>
      </c>
      <c r="D1768" s="2" t="s">
        <v>42</v>
      </c>
      <c r="E1768" s="2" t="s">
        <v>78</v>
      </c>
      <c r="F1768" s="2" t="s">
        <v>83</v>
      </c>
      <c r="G1768" s="2">
        <f t="shared" si="27"/>
        <v>0.39527027027027029</v>
      </c>
      <c r="H1768" s="5">
        <v>4.5</v>
      </c>
      <c r="I1768" s="2">
        <v>13</v>
      </c>
      <c r="J1768" s="12">
        <f>I1768/Pondération!$I$110</f>
        <v>8.7837837837837843E-2</v>
      </c>
    </row>
    <row r="1769" spans="1:10" x14ac:dyDescent="0.25">
      <c r="A1769" s="2" t="s">
        <v>77</v>
      </c>
      <c r="B1769" s="2">
        <v>2014</v>
      </c>
      <c r="C1769" s="2" t="s">
        <v>65</v>
      </c>
      <c r="D1769" s="2" t="s">
        <v>42</v>
      </c>
      <c r="E1769" s="2" t="s">
        <v>78</v>
      </c>
      <c r="F1769" s="2" t="s">
        <v>83</v>
      </c>
      <c r="G1769" s="2">
        <f t="shared" si="27"/>
        <v>0.42567567567567571</v>
      </c>
      <c r="H1769" s="5">
        <v>4.5</v>
      </c>
      <c r="I1769" s="2">
        <v>14</v>
      </c>
      <c r="J1769" s="12">
        <f>I1769/Pondération!$I$110</f>
        <v>9.45945945945946E-2</v>
      </c>
    </row>
    <row r="1770" spans="1:10" x14ac:dyDescent="0.25">
      <c r="A1770" s="2" t="s">
        <v>77</v>
      </c>
      <c r="B1770" s="2">
        <v>2014</v>
      </c>
      <c r="C1770" s="2" t="s">
        <v>66</v>
      </c>
      <c r="D1770" s="2" t="s">
        <v>42</v>
      </c>
      <c r="E1770" s="2" t="s">
        <v>78</v>
      </c>
      <c r="F1770" s="2" t="s">
        <v>83</v>
      </c>
      <c r="G1770" s="2">
        <f t="shared" si="27"/>
        <v>0.36486486486486491</v>
      </c>
      <c r="H1770" s="5">
        <v>4.5</v>
      </c>
      <c r="I1770" s="2">
        <v>12</v>
      </c>
      <c r="J1770" s="12">
        <f>I1770/Pondération!$I$110</f>
        <v>8.1081081081081086E-2</v>
      </c>
    </row>
    <row r="1771" spans="1:10" x14ac:dyDescent="0.25">
      <c r="A1771" s="2" t="s">
        <v>77</v>
      </c>
      <c r="B1771" s="2">
        <v>2014</v>
      </c>
      <c r="C1771" s="2" t="s">
        <v>67</v>
      </c>
      <c r="D1771" s="2" t="s">
        <v>42</v>
      </c>
      <c r="E1771" s="2" t="s">
        <v>78</v>
      </c>
      <c r="F1771" s="2" t="s">
        <v>83</v>
      </c>
      <c r="G1771" s="2">
        <f t="shared" si="27"/>
        <v>0.70945945945945943</v>
      </c>
      <c r="H1771" s="5">
        <v>4.5652173913043477</v>
      </c>
      <c r="I1771" s="2">
        <v>23</v>
      </c>
      <c r="J1771" s="12">
        <f>I1771/Pondération!$I$110</f>
        <v>0.1554054054054054</v>
      </c>
    </row>
    <row r="1772" spans="1:10" x14ac:dyDescent="0.25">
      <c r="A1772" s="2" t="s">
        <v>77</v>
      </c>
      <c r="B1772" s="2">
        <v>2014</v>
      </c>
      <c r="C1772" s="2" t="s">
        <v>68</v>
      </c>
      <c r="D1772" s="2" t="s">
        <v>42</v>
      </c>
      <c r="E1772" s="2" t="s">
        <v>78</v>
      </c>
      <c r="F1772" s="2" t="s">
        <v>83</v>
      </c>
      <c r="G1772" s="2">
        <f t="shared" si="27"/>
        <v>0.65202702702702697</v>
      </c>
      <c r="H1772" s="5">
        <v>4.5952380952380949</v>
      </c>
      <c r="I1772" s="2">
        <v>21</v>
      </c>
      <c r="J1772" s="12">
        <f>I1772/Pondération!$I$110</f>
        <v>0.14189189189189189</v>
      </c>
    </row>
    <row r="1773" spans="1:10" x14ac:dyDescent="0.25">
      <c r="A1773" s="2" t="s">
        <v>77</v>
      </c>
      <c r="B1773" s="2">
        <v>2014</v>
      </c>
      <c r="C1773" s="2" t="s">
        <v>69</v>
      </c>
      <c r="D1773" s="2" t="s">
        <v>42</v>
      </c>
      <c r="E1773" s="2" t="s">
        <v>78</v>
      </c>
      <c r="F1773" s="2" t="s">
        <v>83</v>
      </c>
      <c r="G1773" s="2">
        <f t="shared" si="27"/>
        <v>0.4391891891891892</v>
      </c>
      <c r="H1773" s="5">
        <v>4.333333333333333</v>
      </c>
      <c r="I1773" s="2">
        <v>15</v>
      </c>
      <c r="J1773" s="12">
        <f>I1773/Pondération!$I$110</f>
        <v>0.10135135135135136</v>
      </c>
    </row>
    <row r="1774" spans="1:10" x14ac:dyDescent="0.25">
      <c r="A1774" s="2" t="s">
        <v>77</v>
      </c>
      <c r="B1774" s="2">
        <v>2014</v>
      </c>
      <c r="C1774" s="2" t="s">
        <v>70</v>
      </c>
      <c r="D1774" s="2" t="s">
        <v>42</v>
      </c>
      <c r="E1774" s="2" t="s">
        <v>78</v>
      </c>
      <c r="F1774" s="2" t="s">
        <v>83</v>
      </c>
      <c r="G1774" s="2">
        <f t="shared" si="27"/>
        <v>0.45270270270270274</v>
      </c>
      <c r="H1774" s="5">
        <v>4.4666666666666668</v>
      </c>
      <c r="I1774" s="2">
        <v>15</v>
      </c>
      <c r="J1774" s="12">
        <f>I1774/Pondération!$I$110</f>
        <v>0.10135135135135136</v>
      </c>
    </row>
    <row r="1775" spans="1:10" x14ac:dyDescent="0.25">
      <c r="A1775" s="2" t="s">
        <v>77</v>
      </c>
      <c r="B1775" s="2">
        <v>2014</v>
      </c>
      <c r="C1775" s="2" t="s">
        <v>71</v>
      </c>
      <c r="D1775" s="2" t="s">
        <v>42</v>
      </c>
      <c r="E1775" s="2" t="s">
        <v>78</v>
      </c>
      <c r="F1775" s="2" t="s">
        <v>83</v>
      </c>
      <c r="G1775" s="2">
        <f t="shared" si="27"/>
        <v>0.48310810810810811</v>
      </c>
      <c r="H1775" s="5">
        <v>4.46875</v>
      </c>
      <c r="I1775" s="2">
        <v>16</v>
      </c>
      <c r="J1775" s="12">
        <f>I1775/Pondération!$I$110</f>
        <v>0.10810810810810811</v>
      </c>
    </row>
    <row r="1776" spans="1:10" x14ac:dyDescent="0.25">
      <c r="A1776" s="2" t="s">
        <v>77</v>
      </c>
      <c r="B1776" s="2">
        <v>2014</v>
      </c>
      <c r="C1776" s="2" t="s">
        <v>72</v>
      </c>
      <c r="D1776" s="2" t="s">
        <v>42</v>
      </c>
      <c r="E1776" s="2" t="s">
        <v>78</v>
      </c>
      <c r="F1776" s="2" t="s">
        <v>83</v>
      </c>
      <c r="G1776" s="2">
        <f t="shared" si="27"/>
        <v>0.24662162162162163</v>
      </c>
      <c r="H1776" s="5">
        <v>4.5625</v>
      </c>
      <c r="I1776" s="2">
        <v>8</v>
      </c>
      <c r="J1776" s="12">
        <f>I1776/Pondération!$I$110</f>
        <v>5.4054054054054057E-2</v>
      </c>
    </row>
    <row r="1777" spans="1:10" x14ac:dyDescent="0.25">
      <c r="A1777" s="2" t="s">
        <v>77</v>
      </c>
      <c r="B1777" s="2">
        <v>2015</v>
      </c>
      <c r="C1777" s="2" t="s">
        <v>73</v>
      </c>
      <c r="D1777" s="2" t="s">
        <v>42</v>
      </c>
      <c r="E1777" s="2" t="s">
        <v>78</v>
      </c>
      <c r="F1777" s="2" t="s">
        <v>83</v>
      </c>
      <c r="G1777" s="2">
        <f t="shared" si="27"/>
        <v>6.3870967741935486E-2</v>
      </c>
      <c r="H1777" s="5">
        <v>4.5</v>
      </c>
      <c r="I1777" s="2">
        <v>11</v>
      </c>
      <c r="J1777" s="12">
        <f>I1777/Pondération!$H$110</f>
        <v>1.4193548387096775E-2</v>
      </c>
    </row>
    <row r="1778" spans="1:10" x14ac:dyDescent="0.25">
      <c r="A1778" s="2" t="s">
        <v>77</v>
      </c>
      <c r="B1778" s="2">
        <v>2015</v>
      </c>
      <c r="C1778" s="2" t="s">
        <v>74</v>
      </c>
      <c r="D1778" s="2" t="s">
        <v>42</v>
      </c>
      <c r="E1778" s="2" t="s">
        <v>78</v>
      </c>
      <c r="F1778" s="2" t="s">
        <v>83</v>
      </c>
      <c r="G1778" s="2">
        <f t="shared" si="27"/>
        <v>0.1135483870967742</v>
      </c>
      <c r="H1778" s="5">
        <v>4.6315789473684212</v>
      </c>
      <c r="I1778" s="2">
        <v>19</v>
      </c>
      <c r="J1778" s="12">
        <f>I1778/Pondération!$H$110</f>
        <v>2.4516129032258065E-2</v>
      </c>
    </row>
    <row r="1779" spans="1:10" x14ac:dyDescent="0.25">
      <c r="A1779" s="2" t="s">
        <v>77</v>
      </c>
      <c r="B1779" s="2">
        <v>2015</v>
      </c>
      <c r="C1779" s="2" t="s">
        <v>75</v>
      </c>
      <c r="D1779" s="2" t="s">
        <v>42</v>
      </c>
      <c r="E1779" s="2" t="s">
        <v>78</v>
      </c>
      <c r="F1779" s="2" t="s">
        <v>83</v>
      </c>
      <c r="G1779" s="2">
        <f t="shared" si="27"/>
        <v>0.1458064516129032</v>
      </c>
      <c r="H1779" s="5">
        <v>4.5199999999999996</v>
      </c>
      <c r="I1779" s="2">
        <v>25</v>
      </c>
      <c r="J1779" s="12">
        <f>I1779/Pondération!$H$110</f>
        <v>3.2258064516129031E-2</v>
      </c>
    </row>
    <row r="1780" spans="1:10" x14ac:dyDescent="0.25">
      <c r="A1780" s="2" t="s">
        <v>77</v>
      </c>
      <c r="B1780" s="2">
        <v>2015</v>
      </c>
      <c r="C1780" s="2" t="s">
        <v>76</v>
      </c>
      <c r="D1780" s="2" t="s">
        <v>42</v>
      </c>
      <c r="E1780" s="2" t="s">
        <v>78</v>
      </c>
      <c r="F1780" s="2" t="s">
        <v>83</v>
      </c>
      <c r="G1780" s="2">
        <f t="shared" si="27"/>
        <v>0.17290322580645159</v>
      </c>
      <c r="H1780" s="5">
        <v>4.32258064516129</v>
      </c>
      <c r="I1780" s="2">
        <v>31</v>
      </c>
      <c r="J1780" s="12">
        <f>I1780/Pondération!$H$110</f>
        <v>0.04</v>
      </c>
    </row>
    <row r="1781" spans="1:10" x14ac:dyDescent="0.25">
      <c r="A1781" s="2" t="s">
        <v>77</v>
      </c>
      <c r="B1781" s="2">
        <v>2015</v>
      </c>
      <c r="C1781" s="2" t="s">
        <v>7</v>
      </c>
      <c r="D1781" s="2" t="s">
        <v>42</v>
      </c>
      <c r="E1781" s="2" t="s">
        <v>78</v>
      </c>
      <c r="F1781" s="2" t="s">
        <v>83</v>
      </c>
      <c r="G1781" s="2">
        <f t="shared" si="27"/>
        <v>0.3038709677419355</v>
      </c>
      <c r="H1781" s="5">
        <v>4.5288461538461542</v>
      </c>
      <c r="I1781" s="2">
        <v>52</v>
      </c>
      <c r="J1781" s="12">
        <f>I1781/Pondération!$H$110</f>
        <v>6.7096774193548384E-2</v>
      </c>
    </row>
    <row r="1782" spans="1:10" x14ac:dyDescent="0.25">
      <c r="A1782" s="2" t="s">
        <v>77</v>
      </c>
      <c r="B1782" s="2">
        <v>2015</v>
      </c>
      <c r="C1782" s="2" t="s">
        <v>11</v>
      </c>
      <c r="D1782" s="2" t="s">
        <v>42</v>
      </c>
      <c r="E1782" s="2" t="s">
        <v>78</v>
      </c>
      <c r="F1782" s="2" t="s">
        <v>83</v>
      </c>
      <c r="G1782" s="2">
        <f t="shared" si="27"/>
        <v>1.8058064516129033</v>
      </c>
      <c r="H1782" s="5">
        <v>4.5</v>
      </c>
      <c r="I1782" s="2">
        <v>311</v>
      </c>
      <c r="J1782" s="12">
        <f>I1782/Pondération!$H$110</f>
        <v>0.40129032258064518</v>
      </c>
    </row>
    <row r="1783" spans="1:10" x14ac:dyDescent="0.25">
      <c r="A1783" s="2" t="s">
        <v>77</v>
      </c>
      <c r="B1783" s="2">
        <v>2015</v>
      </c>
      <c r="C1783" s="2" t="s">
        <v>12</v>
      </c>
      <c r="D1783" s="2" t="s">
        <v>42</v>
      </c>
      <c r="E1783" s="2" t="s">
        <v>78</v>
      </c>
      <c r="F1783" s="2" t="s">
        <v>83</v>
      </c>
      <c r="G1783" s="2">
        <f t="shared" si="27"/>
        <v>0.37612903225806454</v>
      </c>
      <c r="H1783" s="5">
        <v>4.416666666666667</v>
      </c>
      <c r="I1783" s="2">
        <v>66</v>
      </c>
      <c r="J1783" s="12">
        <f>I1783/Pondération!$H$110</f>
        <v>8.5161290322580643E-2</v>
      </c>
    </row>
    <row r="1784" spans="1:10" x14ac:dyDescent="0.25">
      <c r="A1784" s="2" t="s">
        <v>77</v>
      </c>
      <c r="B1784" s="2">
        <v>2015</v>
      </c>
      <c r="C1784" s="2" t="s">
        <v>13</v>
      </c>
      <c r="D1784" s="2" t="s">
        <v>42</v>
      </c>
      <c r="E1784" s="2" t="s">
        <v>78</v>
      </c>
      <c r="F1784" s="2" t="s">
        <v>83</v>
      </c>
      <c r="G1784" s="2">
        <f t="shared" si="27"/>
        <v>0.44193548387096776</v>
      </c>
      <c r="H1784" s="5">
        <v>4.4480519480519485</v>
      </c>
      <c r="I1784" s="2">
        <v>77</v>
      </c>
      <c r="J1784" s="12">
        <f>I1784/Pondération!$H$110</f>
        <v>9.9354838709677415E-2</v>
      </c>
    </row>
    <row r="1785" spans="1:10" x14ac:dyDescent="0.25">
      <c r="A1785" s="2" t="s">
        <v>77</v>
      </c>
      <c r="B1785" s="2">
        <v>2015</v>
      </c>
      <c r="C1785" s="2" t="s">
        <v>14</v>
      </c>
      <c r="D1785" s="2" t="s">
        <v>42</v>
      </c>
      <c r="E1785" s="2" t="s">
        <v>78</v>
      </c>
      <c r="F1785" s="2" t="s">
        <v>83</v>
      </c>
      <c r="G1785" s="2">
        <f t="shared" si="27"/>
        <v>0.37870967741935485</v>
      </c>
      <c r="H1785" s="5">
        <v>4.4469696969696972</v>
      </c>
      <c r="I1785" s="2">
        <v>66</v>
      </c>
      <c r="J1785" s="12">
        <f>I1785/Pondération!$H$110</f>
        <v>8.5161290322580643E-2</v>
      </c>
    </row>
    <row r="1786" spans="1:10" x14ac:dyDescent="0.25">
      <c r="A1786" s="2" t="s">
        <v>77</v>
      </c>
      <c r="B1786" s="2">
        <v>2015</v>
      </c>
      <c r="C1786" s="2" t="s">
        <v>15</v>
      </c>
      <c r="D1786" s="2" t="s">
        <v>42</v>
      </c>
      <c r="E1786" s="2" t="s">
        <v>78</v>
      </c>
      <c r="F1786" s="2" t="s">
        <v>83</v>
      </c>
      <c r="G1786" s="2">
        <f t="shared" si="27"/>
        <v>0.26</v>
      </c>
      <c r="H1786" s="5">
        <v>4.4777777777777779</v>
      </c>
      <c r="I1786" s="2">
        <v>45</v>
      </c>
      <c r="J1786" s="12">
        <f>I1786/Pondération!$H$110</f>
        <v>5.8064516129032261E-2</v>
      </c>
    </row>
    <row r="1787" spans="1:10" x14ac:dyDescent="0.25">
      <c r="A1787" s="2" t="s">
        <v>77</v>
      </c>
      <c r="B1787" s="2">
        <v>2015</v>
      </c>
      <c r="C1787" s="2" t="s">
        <v>16</v>
      </c>
      <c r="D1787" s="2" t="s">
        <v>42</v>
      </c>
      <c r="E1787" s="2" t="s">
        <v>78</v>
      </c>
      <c r="F1787" s="2" t="s">
        <v>83</v>
      </c>
      <c r="G1787" s="2">
        <f t="shared" si="27"/>
        <v>0.26451612903225807</v>
      </c>
      <c r="H1787" s="5">
        <v>4.4565217391304346</v>
      </c>
      <c r="I1787" s="2">
        <v>46</v>
      </c>
      <c r="J1787" s="12">
        <f>I1787/Pondération!$H$110</f>
        <v>5.9354838709677421E-2</v>
      </c>
    </row>
    <row r="1788" spans="1:10" x14ac:dyDescent="0.25">
      <c r="A1788" s="2" t="s">
        <v>77</v>
      </c>
      <c r="B1788" s="2">
        <v>2015</v>
      </c>
      <c r="C1788" s="2" t="s">
        <v>17</v>
      </c>
      <c r="D1788" s="2" t="s">
        <v>42</v>
      </c>
      <c r="E1788" s="2" t="s">
        <v>78</v>
      </c>
      <c r="F1788" s="2" t="s">
        <v>83</v>
      </c>
      <c r="G1788" s="2">
        <f t="shared" si="27"/>
        <v>0.14838709677419354</v>
      </c>
      <c r="H1788" s="5">
        <v>4.4230769230769234</v>
      </c>
      <c r="I1788" s="2">
        <v>26</v>
      </c>
      <c r="J1788" s="12">
        <f>I1788/Pondération!$H$110</f>
        <v>3.3548387096774192E-2</v>
      </c>
    </row>
    <row r="1789" spans="1:10" x14ac:dyDescent="0.25">
      <c r="A1789" s="2" t="s">
        <v>77</v>
      </c>
      <c r="B1789" s="2">
        <v>2016</v>
      </c>
      <c r="C1789" s="2" t="s">
        <v>18</v>
      </c>
      <c r="D1789" s="2" t="s">
        <v>42</v>
      </c>
      <c r="E1789" s="2" t="s">
        <v>78</v>
      </c>
      <c r="F1789" s="2" t="s">
        <v>83</v>
      </c>
      <c r="G1789" s="2">
        <f t="shared" si="27"/>
        <v>8.1655480984340043E-2</v>
      </c>
      <c r="H1789" s="5">
        <v>4.5625</v>
      </c>
      <c r="I1789" s="2">
        <v>16</v>
      </c>
      <c r="J1789" s="12">
        <f>I1789/Pondération!$G$110</f>
        <v>1.7897091722595078E-2</v>
      </c>
    </row>
    <row r="1790" spans="1:10" x14ac:dyDescent="0.25">
      <c r="A1790" s="2" t="s">
        <v>77</v>
      </c>
      <c r="B1790" s="2">
        <v>2016</v>
      </c>
      <c r="C1790" s="2" t="s">
        <v>19</v>
      </c>
      <c r="D1790" s="2" t="s">
        <v>42</v>
      </c>
      <c r="E1790" s="2" t="s">
        <v>78</v>
      </c>
      <c r="F1790" s="2" t="s">
        <v>83</v>
      </c>
      <c r="G1790" s="2">
        <f t="shared" si="27"/>
        <v>0.16331096196868009</v>
      </c>
      <c r="H1790" s="5">
        <v>4.4242424242424239</v>
      </c>
      <c r="I1790" s="2">
        <v>33</v>
      </c>
      <c r="J1790" s="12">
        <f>I1790/Pondération!$G$110</f>
        <v>3.6912751677852351E-2</v>
      </c>
    </row>
    <row r="1791" spans="1:10" x14ac:dyDescent="0.25">
      <c r="A1791" s="2" t="s">
        <v>77</v>
      </c>
      <c r="B1791" s="2">
        <v>2016</v>
      </c>
      <c r="C1791" s="2" t="s">
        <v>20</v>
      </c>
      <c r="D1791" s="2" t="s">
        <v>42</v>
      </c>
      <c r="E1791" s="2" t="s">
        <v>78</v>
      </c>
      <c r="F1791" s="2" t="s">
        <v>83</v>
      </c>
      <c r="G1791" s="2">
        <f t="shared" si="27"/>
        <v>0.30089485458612975</v>
      </c>
      <c r="H1791" s="5">
        <v>4.4833333333333334</v>
      </c>
      <c r="I1791" s="2">
        <v>60</v>
      </c>
      <c r="J1791" s="12">
        <f>I1791/Pondération!$G$110</f>
        <v>6.7114093959731544E-2</v>
      </c>
    </row>
    <row r="1792" spans="1:10" x14ac:dyDescent="0.25">
      <c r="A1792" s="2" t="s">
        <v>77</v>
      </c>
      <c r="B1792" s="2">
        <v>2016</v>
      </c>
      <c r="C1792" s="2" t="s">
        <v>21</v>
      </c>
      <c r="D1792" s="2" t="s">
        <v>42</v>
      </c>
      <c r="E1792" s="2" t="s">
        <v>78</v>
      </c>
      <c r="F1792" s="2" t="s">
        <v>83</v>
      </c>
      <c r="G1792" s="2">
        <f t="shared" si="27"/>
        <v>0.36241610738255031</v>
      </c>
      <c r="H1792" s="5">
        <v>4.4383561643835616</v>
      </c>
      <c r="I1792" s="2">
        <v>73</v>
      </c>
      <c r="J1792" s="12">
        <f>I1792/Pondération!$G$110</f>
        <v>8.1655480984340043E-2</v>
      </c>
    </row>
    <row r="1793" spans="1:10" x14ac:dyDescent="0.25">
      <c r="A1793" s="2" t="s">
        <v>77</v>
      </c>
      <c r="B1793" s="2">
        <v>2016</v>
      </c>
      <c r="C1793" s="2" t="s">
        <v>22</v>
      </c>
      <c r="D1793" s="2" t="s">
        <v>42</v>
      </c>
      <c r="E1793" s="2" t="s">
        <v>78</v>
      </c>
      <c r="F1793" s="2" t="s">
        <v>83</v>
      </c>
      <c r="G1793" s="2">
        <f t="shared" si="27"/>
        <v>0.2857941834451902</v>
      </c>
      <c r="H1793" s="5">
        <v>4.4824561403508776</v>
      </c>
      <c r="I1793" s="2">
        <v>57</v>
      </c>
      <c r="J1793" s="12">
        <f>I1793/Pondération!$G$110</f>
        <v>6.3758389261744972E-2</v>
      </c>
    </row>
    <row r="1794" spans="1:10" x14ac:dyDescent="0.25">
      <c r="A1794" s="2" t="s">
        <v>77</v>
      </c>
      <c r="B1794" s="2">
        <v>2016</v>
      </c>
      <c r="C1794" s="2" t="s">
        <v>23</v>
      </c>
      <c r="D1794" s="2" t="s">
        <v>42</v>
      </c>
      <c r="E1794" s="2" t="s">
        <v>78</v>
      </c>
      <c r="F1794" s="2" t="s">
        <v>83</v>
      </c>
      <c r="G1794" s="2">
        <f t="shared" ref="G1794:G1857" si="28">H1794*J1794</f>
        <v>0.31767337807606261</v>
      </c>
      <c r="H1794" s="5">
        <v>4.3692307692307688</v>
      </c>
      <c r="I1794" s="2">
        <v>65</v>
      </c>
      <c r="J1794" s="12">
        <f>I1794/Pondération!$G$110</f>
        <v>7.2706935123042507E-2</v>
      </c>
    </row>
    <row r="1795" spans="1:10" x14ac:dyDescent="0.25">
      <c r="A1795" s="2" t="s">
        <v>77</v>
      </c>
      <c r="B1795" s="2">
        <v>2016</v>
      </c>
      <c r="C1795" s="2" t="s">
        <v>24</v>
      </c>
      <c r="D1795" s="2" t="s">
        <v>42</v>
      </c>
      <c r="E1795" s="2" t="s">
        <v>78</v>
      </c>
      <c r="F1795" s="2" t="s">
        <v>83</v>
      </c>
      <c r="G1795" s="2">
        <f t="shared" si="28"/>
        <v>0.39597315436241609</v>
      </c>
      <c r="H1795" s="5">
        <v>4.481012658227848</v>
      </c>
      <c r="I1795" s="2">
        <v>79</v>
      </c>
      <c r="J1795" s="12">
        <f>I1795/Pondération!$G$110</f>
        <v>8.8366890380313201E-2</v>
      </c>
    </row>
    <row r="1796" spans="1:10" x14ac:dyDescent="0.25">
      <c r="A1796" s="2" t="s">
        <v>77</v>
      </c>
      <c r="B1796" s="2">
        <v>2016</v>
      </c>
      <c r="C1796" s="2" t="s">
        <v>25</v>
      </c>
      <c r="D1796" s="2" t="s">
        <v>42</v>
      </c>
      <c r="E1796" s="2" t="s">
        <v>78</v>
      </c>
      <c r="F1796" s="2" t="s">
        <v>83</v>
      </c>
      <c r="G1796" s="2">
        <f t="shared" si="28"/>
        <v>1.1185682326621922</v>
      </c>
      <c r="H1796" s="5">
        <v>4.4247787610619467</v>
      </c>
      <c r="I1796" s="2">
        <v>226</v>
      </c>
      <c r="J1796" s="12">
        <f>I1796/Pondération!$G$110</f>
        <v>0.25279642058165547</v>
      </c>
    </row>
    <row r="1797" spans="1:10" x14ac:dyDescent="0.25">
      <c r="A1797" s="2" t="s">
        <v>77</v>
      </c>
      <c r="B1797" s="2">
        <v>2016</v>
      </c>
      <c r="C1797" s="2" t="s">
        <v>26</v>
      </c>
      <c r="D1797" s="2" t="s">
        <v>42</v>
      </c>
      <c r="E1797" s="2" t="s">
        <v>78</v>
      </c>
      <c r="F1797" s="2" t="s">
        <v>83</v>
      </c>
      <c r="G1797" s="2">
        <f t="shared" si="28"/>
        <v>0.51957494407158833</v>
      </c>
      <c r="H1797" s="5">
        <v>4.382075471698113</v>
      </c>
      <c r="I1797" s="2">
        <v>106</v>
      </c>
      <c r="J1797" s="12">
        <f>I1797/Pondération!$G$110</f>
        <v>0.11856823266219239</v>
      </c>
    </row>
    <row r="1798" spans="1:10" x14ac:dyDescent="0.25">
      <c r="A1798" s="2" t="s">
        <v>77</v>
      </c>
      <c r="B1798" s="2">
        <v>2016</v>
      </c>
      <c r="C1798" s="2" t="s">
        <v>27</v>
      </c>
      <c r="D1798" s="2" t="s">
        <v>42</v>
      </c>
      <c r="E1798" s="2" t="s">
        <v>78</v>
      </c>
      <c r="F1798" s="2" t="s">
        <v>83</v>
      </c>
      <c r="G1798" s="2">
        <f t="shared" si="28"/>
        <v>0.37807606263982102</v>
      </c>
      <c r="H1798" s="5">
        <v>4.3896103896103895</v>
      </c>
      <c r="I1798" s="2">
        <v>77</v>
      </c>
      <c r="J1798" s="12">
        <f>I1798/Pondération!$G$110</f>
        <v>8.612975391498881E-2</v>
      </c>
    </row>
    <row r="1799" spans="1:10" x14ac:dyDescent="0.25">
      <c r="A1799" s="2" t="s">
        <v>77</v>
      </c>
      <c r="B1799" s="2">
        <v>2016</v>
      </c>
      <c r="C1799" s="2" t="s">
        <v>28</v>
      </c>
      <c r="D1799" s="2" t="s">
        <v>42</v>
      </c>
      <c r="E1799" s="2" t="s">
        <v>78</v>
      </c>
      <c r="F1799" s="2" t="s">
        <v>83</v>
      </c>
      <c r="G1799" s="2">
        <f t="shared" si="28"/>
        <v>0.31655480984340045</v>
      </c>
      <c r="H1799" s="5">
        <v>4.421875</v>
      </c>
      <c r="I1799" s="2">
        <v>64</v>
      </c>
      <c r="J1799" s="12">
        <f>I1799/Pondération!$G$110</f>
        <v>7.1588366890380312E-2</v>
      </c>
    </row>
    <row r="1800" spans="1:10" x14ac:dyDescent="0.25">
      <c r="A1800" s="2" t="s">
        <v>77</v>
      </c>
      <c r="B1800" s="2">
        <v>2016</v>
      </c>
      <c r="C1800" s="2" t="s">
        <v>29</v>
      </c>
      <c r="D1800" s="2" t="s">
        <v>42</v>
      </c>
      <c r="E1800" s="2" t="s">
        <v>78</v>
      </c>
      <c r="F1800" s="2" t="s">
        <v>83</v>
      </c>
      <c r="G1800" s="2">
        <f t="shared" si="28"/>
        <v>0.18512304250559286</v>
      </c>
      <c r="H1800" s="5">
        <v>4.3552631578947372</v>
      </c>
      <c r="I1800" s="2">
        <v>38</v>
      </c>
      <c r="J1800" s="12">
        <f>I1800/Pondération!$G$110</f>
        <v>4.2505592841163314E-2</v>
      </c>
    </row>
    <row r="1801" spans="1:10" x14ac:dyDescent="0.25">
      <c r="A1801" s="2" t="s">
        <v>77</v>
      </c>
      <c r="B1801" s="2">
        <v>2017</v>
      </c>
      <c r="C1801" s="2" t="s">
        <v>30</v>
      </c>
      <c r="D1801" s="2" t="s">
        <v>42</v>
      </c>
      <c r="E1801" s="2" t="s">
        <v>78</v>
      </c>
      <c r="F1801" s="2" t="s">
        <v>83</v>
      </c>
      <c r="G1801" s="2">
        <f t="shared" si="28"/>
        <v>0.543193717277487</v>
      </c>
      <c r="H1801" s="5">
        <v>4.4148936170212769</v>
      </c>
      <c r="I1801" s="2">
        <v>47</v>
      </c>
      <c r="J1801" s="12">
        <f>I1801/Pondération!$F$110</f>
        <v>0.12303664921465969</v>
      </c>
    </row>
    <row r="1802" spans="1:10" x14ac:dyDescent="0.25">
      <c r="A1802" s="2" t="s">
        <v>77</v>
      </c>
      <c r="B1802" s="2">
        <v>2017</v>
      </c>
      <c r="C1802" s="2" t="s">
        <v>31</v>
      </c>
      <c r="D1802" s="2" t="s">
        <v>42</v>
      </c>
      <c r="E1802" s="2" t="s">
        <v>78</v>
      </c>
      <c r="F1802" s="2" t="s">
        <v>83</v>
      </c>
      <c r="G1802" s="2">
        <f t="shared" si="28"/>
        <v>0.73952879581151831</v>
      </c>
      <c r="H1802" s="5">
        <v>4.3461538461538458</v>
      </c>
      <c r="I1802" s="2">
        <v>65</v>
      </c>
      <c r="J1802" s="12">
        <f>I1802/Pondération!$F$110</f>
        <v>0.17015706806282724</v>
      </c>
    </row>
    <row r="1803" spans="1:10" x14ac:dyDescent="0.25">
      <c r="A1803" s="2" t="s">
        <v>77</v>
      </c>
      <c r="B1803" s="2">
        <v>2017</v>
      </c>
      <c r="C1803" s="2" t="s">
        <v>32</v>
      </c>
      <c r="D1803" s="2" t="s">
        <v>42</v>
      </c>
      <c r="E1803" s="2" t="s">
        <v>78</v>
      </c>
      <c r="F1803" s="2" t="s">
        <v>83</v>
      </c>
      <c r="G1803" s="2">
        <f t="shared" si="28"/>
        <v>0.77356020942408377</v>
      </c>
      <c r="H1803" s="5">
        <v>4.41044776119403</v>
      </c>
      <c r="I1803" s="2">
        <v>67</v>
      </c>
      <c r="J1803" s="12">
        <f>I1803/Pondération!$F$110</f>
        <v>0.17539267015706805</v>
      </c>
    </row>
    <row r="1804" spans="1:10" x14ac:dyDescent="0.25">
      <c r="A1804" s="2" t="s">
        <v>77</v>
      </c>
      <c r="B1804" s="2">
        <v>2017</v>
      </c>
      <c r="C1804" s="2" t="s">
        <v>33</v>
      </c>
      <c r="D1804" s="2" t="s">
        <v>42</v>
      </c>
      <c r="E1804" s="2" t="s">
        <v>78</v>
      </c>
      <c r="F1804" s="2" t="s">
        <v>83</v>
      </c>
      <c r="G1804" s="2">
        <f t="shared" si="28"/>
        <v>0.83507853403141363</v>
      </c>
      <c r="H1804" s="5">
        <v>4.4305555555555554</v>
      </c>
      <c r="I1804" s="2">
        <v>72</v>
      </c>
      <c r="J1804" s="12">
        <f>I1804/Pondération!$F$110</f>
        <v>0.18848167539267016</v>
      </c>
    </row>
    <row r="1805" spans="1:10" x14ac:dyDescent="0.25">
      <c r="A1805" s="2" t="s">
        <v>77</v>
      </c>
      <c r="B1805" s="2">
        <v>2017</v>
      </c>
      <c r="C1805" s="2" t="s">
        <v>34</v>
      </c>
      <c r="D1805" s="2" t="s">
        <v>42</v>
      </c>
      <c r="E1805" s="2" t="s">
        <v>78</v>
      </c>
      <c r="F1805" s="2" t="s">
        <v>83</v>
      </c>
      <c r="G1805" s="2">
        <f t="shared" si="28"/>
        <v>0.91230366492146597</v>
      </c>
      <c r="H1805" s="5">
        <v>4.3562500000000002</v>
      </c>
      <c r="I1805" s="2">
        <v>80</v>
      </c>
      <c r="J1805" s="12">
        <f>I1805/Pondération!$F$110</f>
        <v>0.20942408376963351</v>
      </c>
    </row>
    <row r="1806" spans="1:10" x14ac:dyDescent="0.25">
      <c r="A1806" s="2" t="s">
        <v>77</v>
      </c>
      <c r="B1806" s="2">
        <v>2017</v>
      </c>
      <c r="C1806" s="2" t="s">
        <v>80</v>
      </c>
      <c r="D1806" s="2" t="s">
        <v>42</v>
      </c>
      <c r="E1806" s="2" t="s">
        <v>78</v>
      </c>
      <c r="F1806" s="2" t="s">
        <v>83</v>
      </c>
      <c r="G1806" s="2">
        <f t="shared" si="28"/>
        <v>0.59031413612565453</v>
      </c>
      <c r="H1806" s="5">
        <v>4.4215686274509807</v>
      </c>
      <c r="I1806" s="2">
        <v>51</v>
      </c>
      <c r="J1806" s="12">
        <f>I1806/Pondération!$F$110</f>
        <v>0.13350785340314136</v>
      </c>
    </row>
    <row r="1807" spans="1:10" x14ac:dyDescent="0.25">
      <c r="A1807" s="2" t="s">
        <v>77</v>
      </c>
      <c r="B1807" s="2">
        <v>2013</v>
      </c>
      <c r="C1807" s="2" t="s">
        <v>49</v>
      </c>
      <c r="D1807" s="2" t="s">
        <v>42</v>
      </c>
      <c r="E1807" s="2" t="s">
        <v>78</v>
      </c>
      <c r="F1807" s="2" t="s">
        <v>84</v>
      </c>
      <c r="G1807" s="2">
        <f t="shared" si="28"/>
        <v>0.2857142857142857</v>
      </c>
      <c r="H1807" s="5">
        <v>4</v>
      </c>
      <c r="I1807" s="2">
        <v>1</v>
      </c>
      <c r="J1807" s="12">
        <f>I1807/Pondération!$J$111</f>
        <v>7.1428571428571425E-2</v>
      </c>
    </row>
    <row r="1808" spans="1:10" x14ac:dyDescent="0.25">
      <c r="A1808" s="2" t="s">
        <v>77</v>
      </c>
      <c r="B1808" s="2">
        <v>2013</v>
      </c>
      <c r="C1808" s="2" t="s">
        <v>52</v>
      </c>
      <c r="D1808" s="2" t="s">
        <v>42</v>
      </c>
      <c r="E1808" s="2" t="s">
        <v>78</v>
      </c>
      <c r="F1808" s="2" t="s">
        <v>84</v>
      </c>
      <c r="G1808" s="2">
        <f t="shared" si="28"/>
        <v>0.67857142857142849</v>
      </c>
      <c r="H1808" s="5">
        <v>4.75</v>
      </c>
      <c r="I1808" s="2">
        <v>2</v>
      </c>
      <c r="J1808" s="12">
        <f>I1808/Pondération!$J$111</f>
        <v>0.14285714285714285</v>
      </c>
    </row>
    <row r="1809" spans="1:10" x14ac:dyDescent="0.25">
      <c r="A1809" s="2" t="s">
        <v>77</v>
      </c>
      <c r="B1809" s="2">
        <v>2013</v>
      </c>
      <c r="C1809" s="2" t="s">
        <v>55</v>
      </c>
      <c r="D1809" s="2" t="s">
        <v>42</v>
      </c>
      <c r="E1809" s="2" t="s">
        <v>78</v>
      </c>
      <c r="F1809" s="2" t="s">
        <v>84</v>
      </c>
      <c r="G1809" s="2">
        <f t="shared" si="28"/>
        <v>0.67857142857142849</v>
      </c>
      <c r="H1809" s="5">
        <v>4.75</v>
      </c>
      <c r="I1809" s="2">
        <v>2</v>
      </c>
      <c r="J1809" s="12">
        <f>I1809/Pondération!$J$111</f>
        <v>0.14285714285714285</v>
      </c>
    </row>
    <row r="1810" spans="1:10" x14ac:dyDescent="0.25">
      <c r="A1810" s="2" t="s">
        <v>77</v>
      </c>
      <c r="B1810" s="2">
        <v>2013</v>
      </c>
      <c r="C1810" s="2" t="s">
        <v>56</v>
      </c>
      <c r="D1810" s="2" t="s">
        <v>42</v>
      </c>
      <c r="E1810" s="2" t="s">
        <v>78</v>
      </c>
      <c r="F1810" s="2" t="s">
        <v>84</v>
      </c>
      <c r="G1810" s="2">
        <f t="shared" si="28"/>
        <v>0.3214285714285714</v>
      </c>
      <c r="H1810" s="5">
        <v>4.5</v>
      </c>
      <c r="I1810" s="2">
        <v>1</v>
      </c>
      <c r="J1810" s="12">
        <f>I1810/Pondération!$J$111</f>
        <v>7.1428571428571425E-2</v>
      </c>
    </row>
    <row r="1811" spans="1:10" x14ac:dyDescent="0.25">
      <c r="A1811" s="2" t="s">
        <v>77</v>
      </c>
      <c r="B1811" s="2">
        <v>2013</v>
      </c>
      <c r="C1811" s="2" t="s">
        <v>58</v>
      </c>
      <c r="D1811" s="2" t="s">
        <v>42</v>
      </c>
      <c r="E1811" s="2" t="s">
        <v>78</v>
      </c>
      <c r="F1811" s="2" t="s">
        <v>84</v>
      </c>
      <c r="G1811" s="2">
        <f t="shared" si="28"/>
        <v>0.3214285714285714</v>
      </c>
      <c r="H1811" s="5">
        <v>4.5</v>
      </c>
      <c r="I1811" s="2">
        <v>1</v>
      </c>
      <c r="J1811" s="12">
        <f>I1811/Pondération!$J$111</f>
        <v>7.1428571428571425E-2</v>
      </c>
    </row>
    <row r="1812" spans="1:10" x14ac:dyDescent="0.25">
      <c r="A1812" s="2" t="s">
        <v>77</v>
      </c>
      <c r="B1812" s="2">
        <v>2013</v>
      </c>
      <c r="C1812" s="2" t="s">
        <v>59</v>
      </c>
      <c r="D1812" s="2" t="s">
        <v>42</v>
      </c>
      <c r="E1812" s="2" t="s">
        <v>78</v>
      </c>
      <c r="F1812" s="2" t="s">
        <v>84</v>
      </c>
      <c r="G1812" s="2">
        <f t="shared" si="28"/>
        <v>0.25</v>
      </c>
      <c r="H1812" s="5">
        <v>3.5</v>
      </c>
      <c r="I1812" s="2">
        <v>1</v>
      </c>
      <c r="J1812" s="12">
        <f>I1812/Pondération!$J$111</f>
        <v>7.1428571428571425E-2</v>
      </c>
    </row>
    <row r="1813" spans="1:10" x14ac:dyDescent="0.25">
      <c r="A1813" s="2" t="s">
        <v>77</v>
      </c>
      <c r="B1813" s="2">
        <v>2013</v>
      </c>
      <c r="C1813" s="2" t="s">
        <v>60</v>
      </c>
      <c r="D1813" s="2" t="s">
        <v>42</v>
      </c>
      <c r="E1813" s="2" t="s">
        <v>78</v>
      </c>
      <c r="F1813" s="2" t="s">
        <v>84</v>
      </c>
      <c r="G1813" s="2">
        <f t="shared" si="28"/>
        <v>2.0357142857142856</v>
      </c>
      <c r="H1813" s="5">
        <v>4.75</v>
      </c>
      <c r="I1813" s="2">
        <v>6</v>
      </c>
      <c r="J1813" s="12">
        <f>I1813/Pondération!$J$111</f>
        <v>0.42857142857142855</v>
      </c>
    </row>
    <row r="1814" spans="1:10" x14ac:dyDescent="0.25">
      <c r="A1814" s="2" t="s">
        <v>77</v>
      </c>
      <c r="B1814" s="2">
        <v>2014</v>
      </c>
      <c r="C1814" s="2" t="s">
        <v>61</v>
      </c>
      <c r="D1814" s="2" t="s">
        <v>42</v>
      </c>
      <c r="E1814" s="2" t="s">
        <v>78</v>
      </c>
      <c r="F1814" s="2" t="s">
        <v>84</v>
      </c>
      <c r="G1814" s="2">
        <f t="shared" si="28"/>
        <v>9.375E-2</v>
      </c>
      <c r="H1814" s="5">
        <v>4.5</v>
      </c>
      <c r="I1814" s="2">
        <v>1</v>
      </c>
      <c r="J1814" s="12">
        <f>I1814/Pondération!$I$111</f>
        <v>2.0833333333333332E-2</v>
      </c>
    </row>
    <row r="1815" spans="1:10" x14ac:dyDescent="0.25">
      <c r="A1815" s="2" t="s">
        <v>77</v>
      </c>
      <c r="B1815" s="2">
        <v>2014</v>
      </c>
      <c r="C1815" s="2" t="s">
        <v>62</v>
      </c>
      <c r="D1815" s="2" t="s">
        <v>42</v>
      </c>
      <c r="E1815" s="2" t="s">
        <v>78</v>
      </c>
      <c r="F1815" s="2" t="s">
        <v>84</v>
      </c>
      <c r="G1815" s="2">
        <f t="shared" si="28"/>
        <v>0.10416666666666666</v>
      </c>
      <c r="H1815" s="5">
        <v>5</v>
      </c>
      <c r="I1815" s="2">
        <v>1</v>
      </c>
      <c r="J1815" s="12">
        <f>I1815/Pondération!$I$111</f>
        <v>2.0833333333333332E-2</v>
      </c>
    </row>
    <row r="1816" spans="1:10" x14ac:dyDescent="0.25">
      <c r="A1816" s="2" t="s">
        <v>77</v>
      </c>
      <c r="B1816" s="2">
        <v>2014</v>
      </c>
      <c r="C1816" s="2" t="s">
        <v>63</v>
      </c>
      <c r="D1816" s="2" t="s">
        <v>42</v>
      </c>
      <c r="E1816" s="2" t="s">
        <v>78</v>
      </c>
      <c r="F1816" s="2" t="s">
        <v>84</v>
      </c>
      <c r="G1816" s="2">
        <f t="shared" si="28"/>
        <v>0.10416666666666666</v>
      </c>
      <c r="H1816" s="5">
        <v>5</v>
      </c>
      <c r="I1816" s="2">
        <v>1</v>
      </c>
      <c r="J1816" s="12">
        <f>I1816/Pondération!$I$111</f>
        <v>2.0833333333333332E-2</v>
      </c>
    </row>
    <row r="1817" spans="1:10" x14ac:dyDescent="0.25">
      <c r="A1817" s="2" t="s">
        <v>77</v>
      </c>
      <c r="B1817" s="2">
        <v>2014</v>
      </c>
      <c r="C1817" s="2" t="s">
        <v>64</v>
      </c>
      <c r="D1817" s="2" t="s">
        <v>42</v>
      </c>
      <c r="E1817" s="2" t="s">
        <v>78</v>
      </c>
      <c r="F1817" s="2" t="s">
        <v>84</v>
      </c>
      <c r="G1817" s="2">
        <f t="shared" si="28"/>
        <v>0.28125</v>
      </c>
      <c r="H1817" s="5">
        <v>4.5</v>
      </c>
      <c r="I1817" s="2">
        <v>3</v>
      </c>
      <c r="J1817" s="12">
        <f>I1817/Pondération!$I$111</f>
        <v>6.25E-2</v>
      </c>
    </row>
    <row r="1818" spans="1:10" x14ac:dyDescent="0.25">
      <c r="A1818" s="2" t="s">
        <v>77</v>
      </c>
      <c r="B1818" s="2">
        <v>2014</v>
      </c>
      <c r="C1818" s="2" t="s">
        <v>65</v>
      </c>
      <c r="D1818" s="2" t="s">
        <v>42</v>
      </c>
      <c r="E1818" s="2" t="s">
        <v>78</v>
      </c>
      <c r="F1818" s="2" t="s">
        <v>84</v>
      </c>
      <c r="G1818" s="2">
        <f t="shared" si="28"/>
        <v>0.26041666666666669</v>
      </c>
      <c r="H1818" s="5">
        <v>4.166666666666667</v>
      </c>
      <c r="I1818" s="2">
        <v>3</v>
      </c>
      <c r="J1818" s="12">
        <f>I1818/Pondération!$I$111</f>
        <v>6.25E-2</v>
      </c>
    </row>
    <row r="1819" spans="1:10" x14ac:dyDescent="0.25">
      <c r="A1819" s="2" t="s">
        <v>77</v>
      </c>
      <c r="B1819" s="2">
        <v>2014</v>
      </c>
      <c r="C1819" s="2" t="s">
        <v>66</v>
      </c>
      <c r="D1819" s="2" t="s">
        <v>42</v>
      </c>
      <c r="E1819" s="2" t="s">
        <v>78</v>
      </c>
      <c r="F1819" s="2" t="s">
        <v>84</v>
      </c>
      <c r="G1819" s="2">
        <f t="shared" si="28"/>
        <v>0.1875</v>
      </c>
      <c r="H1819" s="5">
        <v>4.5</v>
      </c>
      <c r="I1819" s="2">
        <v>2</v>
      </c>
      <c r="J1819" s="12">
        <f>I1819/Pondération!$I$111</f>
        <v>4.1666666666666664E-2</v>
      </c>
    </row>
    <row r="1820" spans="1:10" x14ac:dyDescent="0.25">
      <c r="A1820" s="2" t="s">
        <v>77</v>
      </c>
      <c r="B1820" s="2">
        <v>2014</v>
      </c>
      <c r="C1820" s="2" t="s">
        <v>67</v>
      </c>
      <c r="D1820" s="2" t="s">
        <v>42</v>
      </c>
      <c r="E1820" s="2" t="s">
        <v>78</v>
      </c>
      <c r="F1820" s="2" t="s">
        <v>84</v>
      </c>
      <c r="G1820" s="2">
        <f t="shared" si="28"/>
        <v>1.4375</v>
      </c>
      <c r="H1820" s="5">
        <v>4.3125</v>
      </c>
      <c r="I1820" s="2">
        <v>16</v>
      </c>
      <c r="J1820" s="12">
        <f>I1820/Pondération!$I$111</f>
        <v>0.33333333333333331</v>
      </c>
    </row>
    <row r="1821" spans="1:10" x14ac:dyDescent="0.25">
      <c r="A1821" s="2" t="s">
        <v>77</v>
      </c>
      <c r="B1821" s="2">
        <v>2014</v>
      </c>
      <c r="C1821" s="2" t="s">
        <v>68</v>
      </c>
      <c r="D1821" s="2" t="s">
        <v>42</v>
      </c>
      <c r="E1821" s="2" t="s">
        <v>78</v>
      </c>
      <c r="F1821" s="2" t="s">
        <v>84</v>
      </c>
      <c r="G1821" s="2">
        <f t="shared" si="28"/>
        <v>0.65625</v>
      </c>
      <c r="H1821" s="5">
        <v>4.5</v>
      </c>
      <c r="I1821" s="2">
        <v>7</v>
      </c>
      <c r="J1821" s="12">
        <f>I1821/Pondération!$I$111</f>
        <v>0.14583333333333334</v>
      </c>
    </row>
    <row r="1822" spans="1:10" x14ac:dyDescent="0.25">
      <c r="A1822" s="2" t="s">
        <v>77</v>
      </c>
      <c r="B1822" s="2">
        <v>2014</v>
      </c>
      <c r="C1822" s="2" t="s">
        <v>69</v>
      </c>
      <c r="D1822" s="2" t="s">
        <v>42</v>
      </c>
      <c r="E1822" s="2" t="s">
        <v>78</v>
      </c>
      <c r="F1822" s="2" t="s">
        <v>84</v>
      </c>
      <c r="G1822" s="2">
        <f t="shared" si="28"/>
        <v>0.28125</v>
      </c>
      <c r="H1822" s="5">
        <v>4.5</v>
      </c>
      <c r="I1822" s="2">
        <v>3</v>
      </c>
      <c r="J1822" s="12">
        <f>I1822/Pondération!$I$111</f>
        <v>6.25E-2</v>
      </c>
    </row>
    <row r="1823" spans="1:10" x14ac:dyDescent="0.25">
      <c r="A1823" s="2" t="s">
        <v>77</v>
      </c>
      <c r="B1823" s="2">
        <v>2014</v>
      </c>
      <c r="C1823" s="2" t="s">
        <v>70</v>
      </c>
      <c r="D1823" s="2" t="s">
        <v>42</v>
      </c>
      <c r="E1823" s="2" t="s">
        <v>78</v>
      </c>
      <c r="F1823" s="2" t="s">
        <v>84</v>
      </c>
      <c r="G1823" s="2">
        <f t="shared" si="28"/>
        <v>0.51041666666666674</v>
      </c>
      <c r="H1823" s="5">
        <v>4.9000000000000004</v>
      </c>
      <c r="I1823" s="2">
        <v>5</v>
      </c>
      <c r="J1823" s="12">
        <f>I1823/Pondération!$I$111</f>
        <v>0.10416666666666667</v>
      </c>
    </row>
    <row r="1824" spans="1:10" x14ac:dyDescent="0.25">
      <c r="A1824" s="2" t="s">
        <v>77</v>
      </c>
      <c r="B1824" s="2">
        <v>2014</v>
      </c>
      <c r="C1824" s="2" t="s">
        <v>71</v>
      </c>
      <c r="D1824" s="2" t="s">
        <v>42</v>
      </c>
      <c r="E1824" s="2" t="s">
        <v>78</v>
      </c>
      <c r="F1824" s="2" t="s">
        <v>84</v>
      </c>
      <c r="G1824" s="2">
        <f t="shared" si="28"/>
        <v>0.36458333333333331</v>
      </c>
      <c r="H1824" s="5">
        <v>4.375</v>
      </c>
      <c r="I1824" s="2">
        <v>4</v>
      </c>
      <c r="J1824" s="12">
        <f>I1824/Pondération!$I$111</f>
        <v>8.3333333333333329E-2</v>
      </c>
    </row>
    <row r="1825" spans="1:10" x14ac:dyDescent="0.25">
      <c r="A1825" s="2" t="s">
        <v>77</v>
      </c>
      <c r="B1825" s="2">
        <v>2014</v>
      </c>
      <c r="C1825" s="2" t="s">
        <v>72</v>
      </c>
      <c r="D1825" s="2" t="s">
        <v>42</v>
      </c>
      <c r="E1825" s="2" t="s">
        <v>78</v>
      </c>
      <c r="F1825" s="2" t="s">
        <v>84</v>
      </c>
      <c r="G1825" s="2">
        <f t="shared" si="28"/>
        <v>0.19791666666666666</v>
      </c>
      <c r="H1825" s="5">
        <v>4.75</v>
      </c>
      <c r="I1825" s="2">
        <v>2</v>
      </c>
      <c r="J1825" s="12">
        <f>I1825/Pondération!$I$111</f>
        <v>4.1666666666666664E-2</v>
      </c>
    </row>
    <row r="1826" spans="1:10" x14ac:dyDescent="0.25">
      <c r="A1826" s="2" t="s">
        <v>77</v>
      </c>
      <c r="B1826" s="2">
        <v>2015</v>
      </c>
      <c r="C1826" s="2" t="s">
        <v>73</v>
      </c>
      <c r="D1826" s="2" t="s">
        <v>42</v>
      </c>
      <c r="E1826" s="2" t="s">
        <v>78</v>
      </c>
      <c r="F1826" s="2" t="s">
        <v>84</v>
      </c>
      <c r="G1826" s="2">
        <f t="shared" si="28"/>
        <v>6.6985645933014357E-2</v>
      </c>
      <c r="H1826" s="5">
        <v>4.666666666666667</v>
      </c>
      <c r="I1826" s="2">
        <v>3</v>
      </c>
      <c r="J1826" s="12">
        <f>I1826/Pondération!$H$111</f>
        <v>1.4354066985645933E-2</v>
      </c>
    </row>
    <row r="1827" spans="1:10" x14ac:dyDescent="0.25">
      <c r="A1827" s="2" t="s">
        <v>77</v>
      </c>
      <c r="B1827" s="2">
        <v>2015</v>
      </c>
      <c r="C1827" s="2" t="s">
        <v>74</v>
      </c>
      <c r="D1827" s="2" t="s">
        <v>42</v>
      </c>
      <c r="E1827" s="2" t="s">
        <v>78</v>
      </c>
      <c r="F1827" s="2" t="s">
        <v>84</v>
      </c>
      <c r="G1827" s="2">
        <f t="shared" si="28"/>
        <v>0.17942583732057416</v>
      </c>
      <c r="H1827" s="5">
        <v>4.6875</v>
      </c>
      <c r="I1827" s="2">
        <v>8</v>
      </c>
      <c r="J1827" s="12">
        <f>I1827/Pondération!$H$111</f>
        <v>3.8277511961722487E-2</v>
      </c>
    </row>
    <row r="1828" spans="1:10" x14ac:dyDescent="0.25">
      <c r="A1828" s="2" t="s">
        <v>77</v>
      </c>
      <c r="B1828" s="2">
        <v>2015</v>
      </c>
      <c r="C1828" s="2" t="s">
        <v>75</v>
      </c>
      <c r="D1828" s="2" t="s">
        <v>42</v>
      </c>
      <c r="E1828" s="2" t="s">
        <v>78</v>
      </c>
      <c r="F1828" s="2" t="s">
        <v>84</v>
      </c>
      <c r="G1828" s="2">
        <f t="shared" si="28"/>
        <v>0.26555023923444976</v>
      </c>
      <c r="H1828" s="5">
        <v>4.625</v>
      </c>
      <c r="I1828" s="2">
        <v>12</v>
      </c>
      <c r="J1828" s="12">
        <f>I1828/Pondération!$H$111</f>
        <v>5.7416267942583733E-2</v>
      </c>
    </row>
    <row r="1829" spans="1:10" x14ac:dyDescent="0.25">
      <c r="A1829" s="2" t="s">
        <v>77</v>
      </c>
      <c r="B1829" s="2">
        <v>2015</v>
      </c>
      <c r="C1829" s="2" t="s">
        <v>76</v>
      </c>
      <c r="D1829" s="2" t="s">
        <v>42</v>
      </c>
      <c r="E1829" s="2" t="s">
        <v>78</v>
      </c>
      <c r="F1829" s="2" t="s">
        <v>84</v>
      </c>
      <c r="G1829" s="2">
        <f t="shared" si="28"/>
        <v>0.27272727272727276</v>
      </c>
      <c r="H1829" s="5">
        <v>4.384615384615385</v>
      </c>
      <c r="I1829" s="2">
        <v>13</v>
      </c>
      <c r="J1829" s="12">
        <f>I1829/Pondération!$H$111</f>
        <v>6.2200956937799042E-2</v>
      </c>
    </row>
    <row r="1830" spans="1:10" x14ac:dyDescent="0.25">
      <c r="A1830" s="2" t="s">
        <v>77</v>
      </c>
      <c r="B1830" s="2">
        <v>2015</v>
      </c>
      <c r="C1830" s="2" t="s">
        <v>7</v>
      </c>
      <c r="D1830" s="2" t="s">
        <v>42</v>
      </c>
      <c r="E1830" s="2" t="s">
        <v>78</v>
      </c>
      <c r="F1830" s="2" t="s">
        <v>84</v>
      </c>
      <c r="G1830" s="2">
        <f t="shared" si="28"/>
        <v>0.37559808612440188</v>
      </c>
      <c r="H1830" s="5">
        <v>4.617647058823529</v>
      </c>
      <c r="I1830" s="2">
        <v>17</v>
      </c>
      <c r="J1830" s="12">
        <f>I1830/Pondération!$H$111</f>
        <v>8.1339712918660281E-2</v>
      </c>
    </row>
    <row r="1831" spans="1:10" x14ac:dyDescent="0.25">
      <c r="A1831" s="2" t="s">
        <v>77</v>
      </c>
      <c r="B1831" s="2">
        <v>2015</v>
      </c>
      <c r="C1831" s="2" t="s">
        <v>11</v>
      </c>
      <c r="D1831" s="2" t="s">
        <v>42</v>
      </c>
      <c r="E1831" s="2" t="s">
        <v>78</v>
      </c>
      <c r="F1831" s="2" t="s">
        <v>84</v>
      </c>
      <c r="G1831" s="2">
        <f t="shared" si="28"/>
        <v>0.29425837320574166</v>
      </c>
      <c r="H1831" s="5">
        <v>4.3928571428571432</v>
      </c>
      <c r="I1831" s="2">
        <v>14</v>
      </c>
      <c r="J1831" s="12">
        <f>I1831/Pondération!$H$111</f>
        <v>6.6985645933014357E-2</v>
      </c>
    </row>
    <row r="1832" spans="1:10" x14ac:dyDescent="0.25">
      <c r="A1832" s="2" t="s">
        <v>77</v>
      </c>
      <c r="B1832" s="2">
        <v>2015</v>
      </c>
      <c r="C1832" s="2" t="s">
        <v>12</v>
      </c>
      <c r="D1832" s="2" t="s">
        <v>42</v>
      </c>
      <c r="E1832" s="2" t="s">
        <v>78</v>
      </c>
      <c r="F1832" s="2" t="s">
        <v>84</v>
      </c>
      <c r="G1832" s="2">
        <f t="shared" si="28"/>
        <v>0.62679425837320579</v>
      </c>
      <c r="H1832" s="5">
        <v>4.6785714285714288</v>
      </c>
      <c r="I1832" s="2">
        <v>28</v>
      </c>
      <c r="J1832" s="12">
        <f>I1832/Pondération!$H$111</f>
        <v>0.13397129186602871</v>
      </c>
    </row>
    <row r="1833" spans="1:10" x14ac:dyDescent="0.25">
      <c r="A1833" s="2" t="s">
        <v>77</v>
      </c>
      <c r="B1833" s="2">
        <v>2015</v>
      </c>
      <c r="C1833" s="2" t="s">
        <v>13</v>
      </c>
      <c r="D1833" s="2" t="s">
        <v>42</v>
      </c>
      <c r="E1833" s="2" t="s">
        <v>78</v>
      </c>
      <c r="F1833" s="2" t="s">
        <v>84</v>
      </c>
      <c r="G1833" s="2">
        <f t="shared" si="28"/>
        <v>0.80143540669856461</v>
      </c>
      <c r="H1833" s="5">
        <v>4.6527777777777777</v>
      </c>
      <c r="I1833" s="2">
        <v>36</v>
      </c>
      <c r="J1833" s="12">
        <f>I1833/Pondération!$H$111</f>
        <v>0.17224880382775121</v>
      </c>
    </row>
    <row r="1834" spans="1:10" x14ac:dyDescent="0.25">
      <c r="A1834" s="2" t="s">
        <v>77</v>
      </c>
      <c r="B1834" s="2">
        <v>2015</v>
      </c>
      <c r="C1834" s="2" t="s">
        <v>14</v>
      </c>
      <c r="D1834" s="2" t="s">
        <v>42</v>
      </c>
      <c r="E1834" s="2" t="s">
        <v>78</v>
      </c>
      <c r="F1834" s="2" t="s">
        <v>84</v>
      </c>
      <c r="G1834" s="2">
        <f t="shared" si="28"/>
        <v>0.57416267942583732</v>
      </c>
      <c r="H1834" s="5">
        <v>4.8</v>
      </c>
      <c r="I1834" s="2">
        <v>25</v>
      </c>
      <c r="J1834" s="12">
        <f>I1834/Pondération!$H$111</f>
        <v>0.11961722488038277</v>
      </c>
    </row>
    <row r="1835" spans="1:10" x14ac:dyDescent="0.25">
      <c r="A1835" s="2" t="s">
        <v>77</v>
      </c>
      <c r="B1835" s="2">
        <v>2015</v>
      </c>
      <c r="C1835" s="2" t="s">
        <v>15</v>
      </c>
      <c r="D1835" s="2" t="s">
        <v>42</v>
      </c>
      <c r="E1835" s="2" t="s">
        <v>78</v>
      </c>
      <c r="F1835" s="2" t="s">
        <v>84</v>
      </c>
      <c r="G1835" s="2">
        <f t="shared" si="28"/>
        <v>0.59090909090909094</v>
      </c>
      <c r="H1835" s="5">
        <v>4.4107142857142856</v>
      </c>
      <c r="I1835" s="2">
        <v>28</v>
      </c>
      <c r="J1835" s="12">
        <f>I1835/Pondération!$H$111</f>
        <v>0.13397129186602871</v>
      </c>
    </row>
    <row r="1836" spans="1:10" x14ac:dyDescent="0.25">
      <c r="A1836" s="2" t="s">
        <v>77</v>
      </c>
      <c r="B1836" s="2">
        <v>2015</v>
      </c>
      <c r="C1836" s="2" t="s">
        <v>16</v>
      </c>
      <c r="D1836" s="2" t="s">
        <v>42</v>
      </c>
      <c r="E1836" s="2" t="s">
        <v>78</v>
      </c>
      <c r="F1836" s="2" t="s">
        <v>84</v>
      </c>
      <c r="G1836" s="2">
        <f t="shared" si="28"/>
        <v>0.23923444976076555</v>
      </c>
      <c r="H1836" s="5">
        <v>4.5454545454545459</v>
      </c>
      <c r="I1836" s="2">
        <v>11</v>
      </c>
      <c r="J1836" s="12">
        <f>I1836/Pondération!$H$111</f>
        <v>5.2631578947368418E-2</v>
      </c>
    </row>
    <row r="1837" spans="1:10" x14ac:dyDescent="0.25">
      <c r="A1837" s="2" t="s">
        <v>77</v>
      </c>
      <c r="B1837" s="2">
        <v>2015</v>
      </c>
      <c r="C1837" s="2" t="s">
        <v>17</v>
      </c>
      <c r="D1837" s="2" t="s">
        <v>42</v>
      </c>
      <c r="E1837" s="2" t="s">
        <v>78</v>
      </c>
      <c r="F1837" s="2" t="s">
        <v>84</v>
      </c>
      <c r="G1837" s="2">
        <f t="shared" si="28"/>
        <v>0.32057416267942584</v>
      </c>
      <c r="H1837" s="5">
        <v>4.7857142857142856</v>
      </c>
      <c r="I1837" s="2">
        <v>14</v>
      </c>
      <c r="J1837" s="12">
        <f>I1837/Pondération!$H$111</f>
        <v>6.6985645933014357E-2</v>
      </c>
    </row>
    <row r="1838" spans="1:10" x14ac:dyDescent="0.25">
      <c r="A1838" s="2" t="s">
        <v>77</v>
      </c>
      <c r="B1838" s="2">
        <v>2016</v>
      </c>
      <c r="C1838" s="2" t="s">
        <v>18</v>
      </c>
      <c r="D1838" s="2" t="s">
        <v>42</v>
      </c>
      <c r="E1838" s="2" t="s">
        <v>78</v>
      </c>
      <c r="F1838" s="2" t="s">
        <v>84</v>
      </c>
      <c r="G1838" s="2">
        <f t="shared" si="28"/>
        <v>0.31545741324921139</v>
      </c>
      <c r="H1838" s="5">
        <v>4.5454545454545459</v>
      </c>
      <c r="I1838" s="2">
        <v>22</v>
      </c>
      <c r="J1838" s="12">
        <f>I1838/Pondération!$G$111</f>
        <v>6.9400630914826497E-2</v>
      </c>
    </row>
    <row r="1839" spans="1:10" x14ac:dyDescent="0.25">
      <c r="A1839" s="2" t="s">
        <v>77</v>
      </c>
      <c r="B1839" s="2">
        <v>2016</v>
      </c>
      <c r="C1839" s="2" t="s">
        <v>19</v>
      </c>
      <c r="D1839" s="2" t="s">
        <v>42</v>
      </c>
      <c r="E1839" s="2" t="s">
        <v>78</v>
      </c>
      <c r="F1839" s="2" t="s">
        <v>84</v>
      </c>
      <c r="G1839" s="2">
        <f t="shared" si="28"/>
        <v>0.23028391167192427</v>
      </c>
      <c r="H1839" s="5">
        <v>4.5625</v>
      </c>
      <c r="I1839" s="2">
        <v>16</v>
      </c>
      <c r="J1839" s="12">
        <f>I1839/Pondération!$G$111</f>
        <v>5.0473186119873815E-2</v>
      </c>
    </row>
    <row r="1840" spans="1:10" x14ac:dyDescent="0.25">
      <c r="A1840" s="2" t="s">
        <v>77</v>
      </c>
      <c r="B1840" s="2">
        <v>2016</v>
      </c>
      <c r="C1840" s="2" t="s">
        <v>20</v>
      </c>
      <c r="D1840" s="2" t="s">
        <v>42</v>
      </c>
      <c r="E1840" s="2" t="s">
        <v>78</v>
      </c>
      <c r="F1840" s="2" t="s">
        <v>84</v>
      </c>
      <c r="G1840" s="2">
        <f t="shared" si="28"/>
        <v>0.38012618296529971</v>
      </c>
      <c r="H1840" s="5">
        <v>4.634615384615385</v>
      </c>
      <c r="I1840" s="2">
        <v>26</v>
      </c>
      <c r="J1840" s="12">
        <f>I1840/Pondération!$G$111</f>
        <v>8.2018927444794956E-2</v>
      </c>
    </row>
    <row r="1841" spans="1:10" x14ac:dyDescent="0.25">
      <c r="A1841" s="2" t="s">
        <v>77</v>
      </c>
      <c r="B1841" s="2">
        <v>2016</v>
      </c>
      <c r="C1841" s="2" t="s">
        <v>21</v>
      </c>
      <c r="D1841" s="2" t="s">
        <v>42</v>
      </c>
      <c r="E1841" s="2" t="s">
        <v>78</v>
      </c>
      <c r="F1841" s="2" t="s">
        <v>84</v>
      </c>
      <c r="G1841" s="2">
        <f t="shared" si="28"/>
        <v>0.46529968454258674</v>
      </c>
      <c r="H1841" s="5">
        <v>4.758064516129032</v>
      </c>
      <c r="I1841" s="2">
        <v>31</v>
      </c>
      <c r="J1841" s="12">
        <f>I1841/Pondération!$G$111</f>
        <v>9.7791798107255523E-2</v>
      </c>
    </row>
    <row r="1842" spans="1:10" x14ac:dyDescent="0.25">
      <c r="A1842" s="2" t="s">
        <v>77</v>
      </c>
      <c r="B1842" s="2">
        <v>2016</v>
      </c>
      <c r="C1842" s="2" t="s">
        <v>22</v>
      </c>
      <c r="D1842" s="2" t="s">
        <v>42</v>
      </c>
      <c r="E1842" s="2" t="s">
        <v>78</v>
      </c>
      <c r="F1842" s="2" t="s">
        <v>84</v>
      </c>
      <c r="G1842" s="2">
        <f t="shared" si="28"/>
        <v>0.38012618296529971</v>
      </c>
      <c r="H1842" s="5">
        <v>4.82</v>
      </c>
      <c r="I1842" s="2">
        <v>25</v>
      </c>
      <c r="J1842" s="12">
        <f>I1842/Pondération!$G$111</f>
        <v>7.8864353312302835E-2</v>
      </c>
    </row>
    <row r="1843" spans="1:10" x14ac:dyDescent="0.25">
      <c r="A1843" s="2" t="s">
        <v>77</v>
      </c>
      <c r="B1843" s="2">
        <v>2016</v>
      </c>
      <c r="C1843" s="2" t="s">
        <v>23</v>
      </c>
      <c r="D1843" s="2" t="s">
        <v>42</v>
      </c>
      <c r="E1843" s="2" t="s">
        <v>78</v>
      </c>
      <c r="F1843" s="2" t="s">
        <v>84</v>
      </c>
      <c r="G1843" s="2">
        <f t="shared" si="28"/>
        <v>0.4542586750788643</v>
      </c>
      <c r="H1843" s="5">
        <v>4.8</v>
      </c>
      <c r="I1843" s="2">
        <v>30</v>
      </c>
      <c r="J1843" s="12">
        <f>I1843/Pondération!$G$111</f>
        <v>9.4637223974763401E-2</v>
      </c>
    </row>
    <row r="1844" spans="1:10" x14ac:dyDescent="0.25">
      <c r="A1844" s="2" t="s">
        <v>77</v>
      </c>
      <c r="B1844" s="2">
        <v>2016</v>
      </c>
      <c r="C1844" s="2" t="s">
        <v>24</v>
      </c>
      <c r="D1844" s="2" t="s">
        <v>42</v>
      </c>
      <c r="E1844" s="2" t="s">
        <v>78</v>
      </c>
      <c r="F1844" s="2" t="s">
        <v>84</v>
      </c>
      <c r="G1844" s="2">
        <f t="shared" si="28"/>
        <v>0.56466876971608826</v>
      </c>
      <c r="H1844" s="5">
        <v>4.5897435897435894</v>
      </c>
      <c r="I1844" s="2">
        <v>39</v>
      </c>
      <c r="J1844" s="12">
        <f>I1844/Pondération!$G$111</f>
        <v>0.12302839116719243</v>
      </c>
    </row>
    <row r="1845" spans="1:10" x14ac:dyDescent="0.25">
      <c r="A1845" s="2" t="s">
        <v>77</v>
      </c>
      <c r="B1845" s="2">
        <v>2016</v>
      </c>
      <c r="C1845" s="2" t="s">
        <v>25</v>
      </c>
      <c r="D1845" s="2" t="s">
        <v>42</v>
      </c>
      <c r="E1845" s="2" t="s">
        <v>78</v>
      </c>
      <c r="F1845" s="2" t="s">
        <v>84</v>
      </c>
      <c r="G1845" s="2">
        <f t="shared" si="28"/>
        <v>0.39905362776025244</v>
      </c>
      <c r="H1845" s="5">
        <v>4.5178571428571432</v>
      </c>
      <c r="I1845" s="2">
        <v>28</v>
      </c>
      <c r="J1845" s="12">
        <f>I1845/Pondération!$G$111</f>
        <v>8.8328075709779186E-2</v>
      </c>
    </row>
    <row r="1846" spans="1:10" x14ac:dyDescent="0.25">
      <c r="A1846" s="2" t="s">
        <v>77</v>
      </c>
      <c r="B1846" s="2">
        <v>2016</v>
      </c>
      <c r="C1846" s="2" t="s">
        <v>26</v>
      </c>
      <c r="D1846" s="2" t="s">
        <v>42</v>
      </c>
      <c r="E1846" s="2" t="s">
        <v>78</v>
      </c>
      <c r="F1846" s="2" t="s">
        <v>84</v>
      </c>
      <c r="G1846" s="2">
        <f t="shared" si="28"/>
        <v>0.39905362776025233</v>
      </c>
      <c r="H1846" s="5">
        <v>4.6851851851851851</v>
      </c>
      <c r="I1846" s="2">
        <v>27</v>
      </c>
      <c r="J1846" s="12">
        <f>I1846/Pondération!$G$111</f>
        <v>8.5173501577287064E-2</v>
      </c>
    </row>
    <row r="1847" spans="1:10" x14ac:dyDescent="0.25">
      <c r="A1847" s="2" t="s">
        <v>77</v>
      </c>
      <c r="B1847" s="2">
        <v>2016</v>
      </c>
      <c r="C1847" s="2" t="s">
        <v>27</v>
      </c>
      <c r="D1847" s="2" t="s">
        <v>42</v>
      </c>
      <c r="E1847" s="2" t="s">
        <v>78</v>
      </c>
      <c r="F1847" s="2" t="s">
        <v>84</v>
      </c>
      <c r="G1847" s="2">
        <f t="shared" si="28"/>
        <v>0.39589905362776023</v>
      </c>
      <c r="H1847" s="5">
        <v>4.6481481481481479</v>
      </c>
      <c r="I1847" s="2">
        <v>27</v>
      </c>
      <c r="J1847" s="12">
        <f>I1847/Pondération!$G$111</f>
        <v>8.5173501577287064E-2</v>
      </c>
    </row>
    <row r="1848" spans="1:10" x14ac:dyDescent="0.25">
      <c r="A1848" s="2" t="s">
        <v>77</v>
      </c>
      <c r="B1848" s="2">
        <v>2016</v>
      </c>
      <c r="C1848" s="2" t="s">
        <v>28</v>
      </c>
      <c r="D1848" s="2" t="s">
        <v>42</v>
      </c>
      <c r="E1848" s="2" t="s">
        <v>78</v>
      </c>
      <c r="F1848" s="2" t="s">
        <v>84</v>
      </c>
      <c r="G1848" s="2">
        <f t="shared" si="28"/>
        <v>0.39432176656151419</v>
      </c>
      <c r="H1848" s="5">
        <v>4.6296296296296298</v>
      </c>
      <c r="I1848" s="2">
        <v>27</v>
      </c>
      <c r="J1848" s="12">
        <f>I1848/Pondération!$G$111</f>
        <v>8.5173501577287064E-2</v>
      </c>
    </row>
    <row r="1849" spans="1:10" x14ac:dyDescent="0.25">
      <c r="A1849" s="2" t="s">
        <v>77</v>
      </c>
      <c r="B1849" s="2">
        <v>2016</v>
      </c>
      <c r="C1849" s="2" t="s">
        <v>29</v>
      </c>
      <c r="D1849" s="2" t="s">
        <v>42</v>
      </c>
      <c r="E1849" s="2" t="s">
        <v>78</v>
      </c>
      <c r="F1849" s="2" t="s">
        <v>84</v>
      </c>
      <c r="G1849" s="2">
        <f t="shared" si="28"/>
        <v>0.28391167192429023</v>
      </c>
      <c r="H1849" s="5">
        <v>4.7368421052631575</v>
      </c>
      <c r="I1849" s="2">
        <v>19</v>
      </c>
      <c r="J1849" s="12">
        <f>I1849/Pondération!$G$111</f>
        <v>5.993690851735016E-2</v>
      </c>
    </row>
    <row r="1850" spans="1:10" x14ac:dyDescent="0.25">
      <c r="A1850" s="2" t="s">
        <v>77</v>
      </c>
      <c r="B1850" s="2">
        <v>2017</v>
      </c>
      <c r="C1850" s="2" t="s">
        <v>30</v>
      </c>
      <c r="D1850" s="2" t="s">
        <v>42</v>
      </c>
      <c r="E1850" s="2" t="s">
        <v>78</v>
      </c>
      <c r="F1850" s="2" t="s">
        <v>84</v>
      </c>
      <c r="G1850" s="2">
        <f t="shared" si="28"/>
        <v>0.69918699186991873</v>
      </c>
      <c r="H1850" s="5">
        <v>4.5263157894736841</v>
      </c>
      <c r="I1850" s="2">
        <v>19</v>
      </c>
      <c r="J1850" s="12">
        <f>I1850/Pondération!$F$111</f>
        <v>0.15447154471544716</v>
      </c>
    </row>
    <row r="1851" spans="1:10" x14ac:dyDescent="0.25">
      <c r="A1851" s="2" t="s">
        <v>77</v>
      </c>
      <c r="B1851" s="2">
        <v>2017</v>
      </c>
      <c r="C1851" s="2" t="s">
        <v>31</v>
      </c>
      <c r="D1851" s="2" t="s">
        <v>42</v>
      </c>
      <c r="E1851" s="2" t="s">
        <v>78</v>
      </c>
      <c r="F1851" s="2" t="s">
        <v>84</v>
      </c>
      <c r="G1851" s="2">
        <f t="shared" si="28"/>
        <v>0.78048780487804881</v>
      </c>
      <c r="H1851" s="5">
        <v>4.5714285714285712</v>
      </c>
      <c r="I1851" s="2">
        <v>21</v>
      </c>
      <c r="J1851" s="12">
        <f>I1851/Pondération!$F$111</f>
        <v>0.17073170731707318</v>
      </c>
    </row>
    <row r="1852" spans="1:10" x14ac:dyDescent="0.25">
      <c r="A1852" s="2" t="s">
        <v>77</v>
      </c>
      <c r="B1852" s="2">
        <v>2017</v>
      </c>
      <c r="C1852" s="2" t="s">
        <v>32</v>
      </c>
      <c r="D1852" s="2" t="s">
        <v>42</v>
      </c>
      <c r="E1852" s="2" t="s">
        <v>78</v>
      </c>
      <c r="F1852" s="2" t="s">
        <v>84</v>
      </c>
      <c r="G1852" s="2">
        <f t="shared" si="28"/>
        <v>0.91869918699186981</v>
      </c>
      <c r="H1852" s="5">
        <v>4.5199999999999996</v>
      </c>
      <c r="I1852" s="2">
        <v>25</v>
      </c>
      <c r="J1852" s="12">
        <f>I1852/Pondération!$F$111</f>
        <v>0.2032520325203252</v>
      </c>
    </row>
    <row r="1853" spans="1:10" x14ac:dyDescent="0.25">
      <c r="A1853" s="2" t="s">
        <v>77</v>
      </c>
      <c r="B1853" s="2">
        <v>2017</v>
      </c>
      <c r="C1853" s="2" t="s">
        <v>33</v>
      </c>
      <c r="D1853" s="2" t="s">
        <v>42</v>
      </c>
      <c r="E1853" s="2" t="s">
        <v>78</v>
      </c>
      <c r="F1853" s="2" t="s">
        <v>84</v>
      </c>
      <c r="G1853" s="2">
        <f t="shared" si="28"/>
        <v>0.87398373983739841</v>
      </c>
      <c r="H1853" s="5">
        <v>4.479166666666667</v>
      </c>
      <c r="I1853" s="2">
        <v>24</v>
      </c>
      <c r="J1853" s="12">
        <f>I1853/Pondération!$F$111</f>
        <v>0.1951219512195122</v>
      </c>
    </row>
    <row r="1854" spans="1:10" x14ac:dyDescent="0.25">
      <c r="A1854" s="2" t="s">
        <v>77</v>
      </c>
      <c r="B1854" s="2">
        <v>2017</v>
      </c>
      <c r="C1854" s="2" t="s">
        <v>34</v>
      </c>
      <c r="D1854" s="2" t="s">
        <v>42</v>
      </c>
      <c r="E1854" s="2" t="s">
        <v>78</v>
      </c>
      <c r="F1854" s="2" t="s">
        <v>84</v>
      </c>
      <c r="G1854" s="2">
        <f t="shared" si="28"/>
        <v>1.0691056910569106</v>
      </c>
      <c r="H1854" s="5">
        <v>4.5344827586206895</v>
      </c>
      <c r="I1854" s="2">
        <v>29</v>
      </c>
      <c r="J1854" s="12">
        <f>I1854/Pondération!$F$111</f>
        <v>0.23577235772357724</v>
      </c>
    </row>
    <row r="1855" spans="1:10" x14ac:dyDescent="0.25">
      <c r="A1855" s="2" t="s">
        <v>77</v>
      </c>
      <c r="B1855" s="2">
        <v>2017</v>
      </c>
      <c r="C1855" s="2" t="s">
        <v>80</v>
      </c>
      <c r="D1855" s="2" t="s">
        <v>42</v>
      </c>
      <c r="E1855" s="2" t="s">
        <v>78</v>
      </c>
      <c r="F1855" s="2" t="s">
        <v>84</v>
      </c>
      <c r="G1855" s="2">
        <f t="shared" si="28"/>
        <v>0.18292682926829268</v>
      </c>
      <c r="H1855" s="5">
        <v>4.5</v>
      </c>
      <c r="I1855" s="2">
        <v>5</v>
      </c>
      <c r="J1855" s="12">
        <f>I1855/Pondération!$F$111</f>
        <v>4.065040650406504E-2</v>
      </c>
    </row>
    <row r="1856" spans="1:10" x14ac:dyDescent="0.25">
      <c r="A1856" s="2" t="s">
        <v>77</v>
      </c>
      <c r="B1856" s="2">
        <v>2013</v>
      </c>
      <c r="C1856" s="2" t="s">
        <v>49</v>
      </c>
      <c r="D1856" s="2" t="s">
        <v>43</v>
      </c>
      <c r="E1856" s="2" t="s">
        <v>78</v>
      </c>
      <c r="F1856" s="2" t="s">
        <v>79</v>
      </c>
      <c r="G1856" s="2">
        <f t="shared" si="28"/>
        <v>0.10598065083553208</v>
      </c>
      <c r="H1856" s="5">
        <v>4.4629629629629628</v>
      </c>
      <c r="I1856" s="2">
        <v>27</v>
      </c>
      <c r="J1856" s="12">
        <f>I1856/Pondération!$J$121</f>
        <v>2.3746701846965697E-2</v>
      </c>
    </row>
    <row r="1857" spans="1:10" x14ac:dyDescent="0.25">
      <c r="A1857" s="2" t="s">
        <v>77</v>
      </c>
      <c r="B1857" s="2">
        <v>2013</v>
      </c>
      <c r="C1857" s="2" t="s">
        <v>50</v>
      </c>
      <c r="D1857" s="2" t="s">
        <v>43</v>
      </c>
      <c r="E1857" s="2" t="s">
        <v>78</v>
      </c>
      <c r="F1857" s="2" t="s">
        <v>79</v>
      </c>
      <c r="G1857" s="2">
        <f t="shared" si="28"/>
        <v>8.707124010554089E-2</v>
      </c>
      <c r="H1857" s="5">
        <v>4.5</v>
      </c>
      <c r="I1857" s="2">
        <v>22</v>
      </c>
      <c r="J1857" s="12">
        <f>I1857/Pondération!$J$121</f>
        <v>1.9349164467897976E-2</v>
      </c>
    </row>
    <row r="1858" spans="1:10" x14ac:dyDescent="0.25">
      <c r="A1858" s="2" t="s">
        <v>77</v>
      </c>
      <c r="B1858" s="2">
        <v>2013</v>
      </c>
      <c r="C1858" s="2" t="s">
        <v>51</v>
      </c>
      <c r="D1858" s="2" t="s">
        <v>43</v>
      </c>
      <c r="E1858" s="2" t="s">
        <v>78</v>
      </c>
      <c r="F1858" s="2" t="s">
        <v>79</v>
      </c>
      <c r="G1858" s="2">
        <f t="shared" ref="G1858:G1921" si="29">H1858*J1858</f>
        <v>0.12137203166226912</v>
      </c>
      <c r="H1858" s="5">
        <v>4.4516129032258061</v>
      </c>
      <c r="I1858" s="2">
        <v>31</v>
      </c>
      <c r="J1858" s="12">
        <f>I1858/Pondération!$J$121</f>
        <v>2.7264731750219876E-2</v>
      </c>
    </row>
    <row r="1859" spans="1:10" x14ac:dyDescent="0.25">
      <c r="A1859" s="2" t="s">
        <v>77</v>
      </c>
      <c r="B1859" s="2">
        <v>2013</v>
      </c>
      <c r="C1859" s="2" t="s">
        <v>52</v>
      </c>
      <c r="D1859" s="2" t="s">
        <v>43</v>
      </c>
      <c r="E1859" s="2" t="s">
        <v>78</v>
      </c>
      <c r="F1859" s="2" t="s">
        <v>79</v>
      </c>
      <c r="G1859" s="2">
        <f t="shared" si="29"/>
        <v>0.24538258575197888</v>
      </c>
      <c r="H1859" s="5">
        <v>4.5</v>
      </c>
      <c r="I1859" s="2">
        <v>62</v>
      </c>
      <c r="J1859" s="12">
        <f>I1859/Pondération!$J$121</f>
        <v>5.4529463500439752E-2</v>
      </c>
    </row>
    <row r="1860" spans="1:10" x14ac:dyDescent="0.25">
      <c r="A1860" s="2" t="s">
        <v>77</v>
      </c>
      <c r="B1860" s="2">
        <v>2013</v>
      </c>
      <c r="C1860" s="2" t="s">
        <v>53</v>
      </c>
      <c r="D1860" s="2" t="s">
        <v>43</v>
      </c>
      <c r="E1860" s="2" t="s">
        <v>78</v>
      </c>
      <c r="F1860" s="2" t="s">
        <v>79</v>
      </c>
      <c r="G1860" s="2">
        <f t="shared" si="29"/>
        <v>0.5</v>
      </c>
      <c r="H1860" s="5">
        <v>4.44140625</v>
      </c>
      <c r="I1860" s="2">
        <v>128</v>
      </c>
      <c r="J1860" s="12">
        <f>I1860/Pondération!$J$121</f>
        <v>0.11257695690413369</v>
      </c>
    </row>
    <row r="1861" spans="1:10" x14ac:dyDescent="0.25">
      <c r="A1861" s="2" t="s">
        <v>77</v>
      </c>
      <c r="B1861" s="2">
        <v>2013</v>
      </c>
      <c r="C1861" s="2" t="s">
        <v>54</v>
      </c>
      <c r="D1861" s="2" t="s">
        <v>43</v>
      </c>
      <c r="E1861" s="2" t="s">
        <v>78</v>
      </c>
      <c r="F1861" s="2" t="s">
        <v>79</v>
      </c>
      <c r="G1861" s="2">
        <f t="shared" si="29"/>
        <v>0.31354441512752862</v>
      </c>
      <c r="H1861" s="5">
        <v>4.4562499999999998</v>
      </c>
      <c r="I1861" s="2">
        <v>80</v>
      </c>
      <c r="J1861" s="12">
        <f>I1861/Pondération!$J$121</f>
        <v>7.036059806508356E-2</v>
      </c>
    </row>
    <row r="1862" spans="1:10" x14ac:dyDescent="0.25">
      <c r="A1862" s="2" t="s">
        <v>77</v>
      </c>
      <c r="B1862" s="2">
        <v>2013</v>
      </c>
      <c r="C1862" s="2" t="s">
        <v>55</v>
      </c>
      <c r="D1862" s="2" t="s">
        <v>43</v>
      </c>
      <c r="E1862" s="2" t="s">
        <v>78</v>
      </c>
      <c r="F1862" s="2" t="s">
        <v>79</v>
      </c>
      <c r="G1862" s="2">
        <f t="shared" si="29"/>
        <v>0.59366754617414252</v>
      </c>
      <c r="H1862" s="5">
        <v>4.5</v>
      </c>
      <c r="I1862" s="2">
        <v>150</v>
      </c>
      <c r="J1862" s="12">
        <f>I1862/Pondération!$J$121</f>
        <v>0.13192612137203166</v>
      </c>
    </row>
    <row r="1863" spans="1:10" x14ac:dyDescent="0.25">
      <c r="A1863" s="2" t="s">
        <v>77</v>
      </c>
      <c r="B1863" s="2">
        <v>2013</v>
      </c>
      <c r="C1863" s="2" t="s">
        <v>56</v>
      </c>
      <c r="D1863" s="2" t="s">
        <v>43</v>
      </c>
      <c r="E1863" s="2" t="s">
        <v>78</v>
      </c>
      <c r="F1863" s="2" t="s">
        <v>79</v>
      </c>
      <c r="G1863" s="2">
        <f t="shared" si="29"/>
        <v>1.2761653474054531</v>
      </c>
      <c r="H1863" s="5">
        <v>4.492260061919505</v>
      </c>
      <c r="I1863" s="2">
        <v>323</v>
      </c>
      <c r="J1863" s="12">
        <f>I1863/Pondération!$J$121</f>
        <v>0.28408091468777485</v>
      </c>
    </row>
    <row r="1864" spans="1:10" x14ac:dyDescent="0.25">
      <c r="A1864" s="2" t="s">
        <v>77</v>
      </c>
      <c r="B1864" s="2">
        <v>2013</v>
      </c>
      <c r="C1864" s="2" t="s">
        <v>57</v>
      </c>
      <c r="D1864" s="2" t="s">
        <v>43</v>
      </c>
      <c r="E1864" s="2" t="s">
        <v>78</v>
      </c>
      <c r="F1864" s="2" t="s">
        <v>79</v>
      </c>
      <c r="G1864" s="2">
        <f t="shared" si="29"/>
        <v>0.67018469656992086</v>
      </c>
      <c r="H1864" s="5">
        <v>4.5088757396449708</v>
      </c>
      <c r="I1864" s="2">
        <v>169</v>
      </c>
      <c r="J1864" s="12">
        <f>I1864/Pondération!$J$121</f>
        <v>0.14863676341248899</v>
      </c>
    </row>
    <row r="1865" spans="1:10" x14ac:dyDescent="0.25">
      <c r="A1865" s="2" t="s">
        <v>77</v>
      </c>
      <c r="B1865" s="2">
        <v>2013</v>
      </c>
      <c r="C1865" s="2" t="s">
        <v>58</v>
      </c>
      <c r="D1865" s="2" t="s">
        <v>43</v>
      </c>
      <c r="E1865" s="2" t="s">
        <v>78</v>
      </c>
      <c r="F1865" s="2" t="s">
        <v>79</v>
      </c>
      <c r="G1865" s="2">
        <f t="shared" si="29"/>
        <v>0.31574318381706246</v>
      </c>
      <c r="H1865" s="5">
        <v>4.5443037974683547</v>
      </c>
      <c r="I1865" s="2">
        <v>79</v>
      </c>
      <c r="J1865" s="12">
        <f>I1865/Pondération!$J$121</f>
        <v>6.9481090589270003E-2</v>
      </c>
    </row>
    <row r="1866" spans="1:10" x14ac:dyDescent="0.25">
      <c r="A1866" s="2" t="s">
        <v>77</v>
      </c>
      <c r="B1866" s="2">
        <v>2013</v>
      </c>
      <c r="C1866" s="2" t="s">
        <v>59</v>
      </c>
      <c r="D1866" s="2" t="s">
        <v>43</v>
      </c>
      <c r="E1866" s="2" t="s">
        <v>78</v>
      </c>
      <c r="F1866" s="2" t="s">
        <v>79</v>
      </c>
      <c r="G1866" s="2">
        <f t="shared" si="29"/>
        <v>0.14379947229551454</v>
      </c>
      <c r="H1866" s="5">
        <v>4.4189189189189193</v>
      </c>
      <c r="I1866" s="2">
        <v>37</v>
      </c>
      <c r="J1866" s="12">
        <f>I1866/Pondération!$J$121</f>
        <v>3.2541776605101144E-2</v>
      </c>
    </row>
    <row r="1867" spans="1:10" x14ac:dyDescent="0.25">
      <c r="A1867" s="2" t="s">
        <v>77</v>
      </c>
      <c r="B1867" s="2">
        <v>2013</v>
      </c>
      <c r="C1867" s="2" t="s">
        <v>60</v>
      </c>
      <c r="D1867" s="2" t="s">
        <v>43</v>
      </c>
      <c r="E1867" s="2" t="s">
        <v>78</v>
      </c>
      <c r="F1867" s="2" t="s">
        <v>79</v>
      </c>
      <c r="G1867" s="2">
        <f t="shared" si="29"/>
        <v>0.11257695690413368</v>
      </c>
      <c r="H1867" s="5">
        <v>4.4137931034482758</v>
      </c>
      <c r="I1867" s="2">
        <v>29</v>
      </c>
      <c r="J1867" s="12">
        <f>I1867/Pondération!$J$121</f>
        <v>2.5505716798592787E-2</v>
      </c>
    </row>
    <row r="1868" spans="1:10" x14ac:dyDescent="0.25">
      <c r="A1868" s="2" t="s">
        <v>77</v>
      </c>
      <c r="B1868" s="2">
        <v>2014</v>
      </c>
      <c r="C1868" s="2" t="s">
        <v>61</v>
      </c>
      <c r="D1868" s="2" t="s">
        <v>43</v>
      </c>
      <c r="E1868" s="2" t="s">
        <v>78</v>
      </c>
      <c r="F1868" s="2" t="s">
        <v>79</v>
      </c>
      <c r="G1868" s="2">
        <f t="shared" si="29"/>
        <v>6.7415730337078636E-2</v>
      </c>
      <c r="H1868" s="5">
        <v>4.3043478260869561</v>
      </c>
      <c r="I1868" s="2">
        <v>46</v>
      </c>
      <c r="J1868" s="12">
        <f>I1868/Pondération!$I$121</f>
        <v>1.5662240381341504E-2</v>
      </c>
    </row>
    <row r="1869" spans="1:10" x14ac:dyDescent="0.25">
      <c r="A1869" s="2" t="s">
        <v>77</v>
      </c>
      <c r="B1869" s="2">
        <v>2014</v>
      </c>
      <c r="C1869" s="2" t="s">
        <v>62</v>
      </c>
      <c r="D1869" s="2" t="s">
        <v>43</v>
      </c>
      <c r="E1869" s="2" t="s">
        <v>78</v>
      </c>
      <c r="F1869" s="2" t="s">
        <v>79</v>
      </c>
      <c r="G1869" s="2">
        <f t="shared" si="29"/>
        <v>6.2648961525366031E-2</v>
      </c>
      <c r="H1869" s="5">
        <v>4.4878048780487809</v>
      </c>
      <c r="I1869" s="2">
        <v>41</v>
      </c>
      <c r="J1869" s="12">
        <f>I1869/Pondération!$I$121</f>
        <v>1.3959822948586994E-2</v>
      </c>
    </row>
    <row r="1870" spans="1:10" x14ac:dyDescent="0.25">
      <c r="A1870" s="2" t="s">
        <v>77</v>
      </c>
      <c r="B1870" s="2">
        <v>2014</v>
      </c>
      <c r="C1870" s="2" t="s">
        <v>63</v>
      </c>
      <c r="D1870" s="2" t="s">
        <v>43</v>
      </c>
      <c r="E1870" s="2" t="s">
        <v>78</v>
      </c>
      <c r="F1870" s="2" t="s">
        <v>79</v>
      </c>
      <c r="G1870" s="2">
        <f t="shared" si="29"/>
        <v>8.0354102826012935E-2</v>
      </c>
      <c r="H1870" s="5">
        <v>4.4528301886792452</v>
      </c>
      <c r="I1870" s="2">
        <v>53</v>
      </c>
      <c r="J1870" s="12">
        <f>I1870/Pondération!$I$121</f>
        <v>1.8045624787197821E-2</v>
      </c>
    </row>
    <row r="1871" spans="1:10" x14ac:dyDescent="0.25">
      <c r="A1871" s="2" t="s">
        <v>77</v>
      </c>
      <c r="B1871" s="2">
        <v>2014</v>
      </c>
      <c r="C1871" s="2" t="s">
        <v>64</v>
      </c>
      <c r="D1871" s="2" t="s">
        <v>43</v>
      </c>
      <c r="E1871" s="2" t="s">
        <v>78</v>
      </c>
      <c r="F1871" s="2" t="s">
        <v>79</v>
      </c>
      <c r="G1871" s="2">
        <f t="shared" si="29"/>
        <v>0.1651344909771876</v>
      </c>
      <c r="H1871" s="5">
        <v>4.5327102803738315</v>
      </c>
      <c r="I1871" s="2">
        <v>107</v>
      </c>
      <c r="J1871" s="12">
        <f>I1871/Pondération!$I$121</f>
        <v>3.6431733060946547E-2</v>
      </c>
    </row>
    <row r="1872" spans="1:10" x14ac:dyDescent="0.25">
      <c r="A1872" s="2" t="s">
        <v>77</v>
      </c>
      <c r="B1872" s="2">
        <v>2014</v>
      </c>
      <c r="C1872" s="2" t="s">
        <v>65</v>
      </c>
      <c r="D1872" s="2" t="s">
        <v>43</v>
      </c>
      <c r="E1872" s="2" t="s">
        <v>78</v>
      </c>
      <c r="F1872" s="2" t="s">
        <v>79</v>
      </c>
      <c r="G1872" s="2">
        <f t="shared" si="29"/>
        <v>0.24174327545114063</v>
      </c>
      <c r="H1872" s="5">
        <v>4.5222929936305736</v>
      </c>
      <c r="I1872" s="2">
        <v>157</v>
      </c>
      <c r="J1872" s="12">
        <f>I1872/Pondération!$I$121</f>
        <v>5.3455907388491659E-2</v>
      </c>
    </row>
    <row r="1873" spans="1:10" x14ac:dyDescent="0.25">
      <c r="A1873" s="2" t="s">
        <v>77</v>
      </c>
      <c r="B1873" s="2">
        <v>2014</v>
      </c>
      <c r="C1873" s="2" t="s">
        <v>66</v>
      </c>
      <c r="D1873" s="2" t="s">
        <v>43</v>
      </c>
      <c r="E1873" s="2" t="s">
        <v>78</v>
      </c>
      <c r="F1873" s="2" t="s">
        <v>79</v>
      </c>
      <c r="G1873" s="2">
        <f t="shared" si="29"/>
        <v>0.33197139938712972</v>
      </c>
      <c r="H1873" s="5">
        <v>4.4930875576036868</v>
      </c>
      <c r="I1873" s="2">
        <v>217</v>
      </c>
      <c r="J1873" s="12">
        <f>I1873/Pondération!$I$121</f>
        <v>7.3884916581545793E-2</v>
      </c>
    </row>
    <row r="1874" spans="1:10" x14ac:dyDescent="0.25">
      <c r="A1874" s="2" t="s">
        <v>77</v>
      </c>
      <c r="B1874" s="2">
        <v>2014</v>
      </c>
      <c r="C1874" s="2" t="s">
        <v>67</v>
      </c>
      <c r="D1874" s="2" t="s">
        <v>43</v>
      </c>
      <c r="E1874" s="2" t="s">
        <v>78</v>
      </c>
      <c r="F1874" s="2" t="s">
        <v>79</v>
      </c>
      <c r="G1874" s="2">
        <f t="shared" si="29"/>
        <v>0.72182499148791279</v>
      </c>
      <c r="H1874" s="5">
        <v>4.5299145299145298</v>
      </c>
      <c r="I1874" s="2">
        <v>468</v>
      </c>
      <c r="J1874" s="12">
        <f>I1874/Pondération!$I$121</f>
        <v>0.15934627170582227</v>
      </c>
    </row>
    <row r="1875" spans="1:10" x14ac:dyDescent="0.25">
      <c r="A1875" s="2" t="s">
        <v>77</v>
      </c>
      <c r="B1875" s="2">
        <v>2014</v>
      </c>
      <c r="C1875" s="2" t="s">
        <v>68</v>
      </c>
      <c r="D1875" s="2" t="s">
        <v>43</v>
      </c>
      <c r="E1875" s="2" t="s">
        <v>78</v>
      </c>
      <c r="F1875" s="2" t="s">
        <v>79</v>
      </c>
      <c r="G1875" s="2">
        <f t="shared" si="29"/>
        <v>1.445011916922029</v>
      </c>
      <c r="H1875" s="5">
        <v>4.4720758693361429</v>
      </c>
      <c r="I1875" s="2">
        <v>949</v>
      </c>
      <c r="J1875" s="12">
        <f>I1875/Pondération!$I$121</f>
        <v>0.32311882873680625</v>
      </c>
    </row>
    <row r="1876" spans="1:10" x14ac:dyDescent="0.25">
      <c r="A1876" s="2" t="s">
        <v>77</v>
      </c>
      <c r="B1876" s="2">
        <v>2014</v>
      </c>
      <c r="C1876" s="2" t="s">
        <v>69</v>
      </c>
      <c r="D1876" s="2" t="s">
        <v>43</v>
      </c>
      <c r="E1876" s="2" t="s">
        <v>78</v>
      </c>
      <c r="F1876" s="2" t="s">
        <v>79</v>
      </c>
      <c r="G1876" s="2">
        <f t="shared" si="29"/>
        <v>0.67739189649302001</v>
      </c>
      <c r="H1876" s="5">
        <v>4.4808558558558556</v>
      </c>
      <c r="I1876" s="2">
        <v>444</v>
      </c>
      <c r="J1876" s="12">
        <f>I1876/Pondération!$I$121</f>
        <v>0.15117466802860061</v>
      </c>
    </row>
    <row r="1877" spans="1:10" x14ac:dyDescent="0.25">
      <c r="A1877" s="2" t="s">
        <v>77</v>
      </c>
      <c r="B1877" s="2">
        <v>2014</v>
      </c>
      <c r="C1877" s="2" t="s">
        <v>70</v>
      </c>
      <c r="D1877" s="2" t="s">
        <v>43</v>
      </c>
      <c r="E1877" s="2" t="s">
        <v>78</v>
      </c>
      <c r="F1877" s="2" t="s">
        <v>79</v>
      </c>
      <c r="G1877" s="2">
        <f t="shared" si="29"/>
        <v>0.33503575076608783</v>
      </c>
      <c r="H1877" s="5">
        <v>4.4727272727272727</v>
      </c>
      <c r="I1877" s="2">
        <v>220</v>
      </c>
      <c r="J1877" s="12">
        <f>I1877/Pondération!$I$121</f>
        <v>7.4906367041198504E-2</v>
      </c>
    </row>
    <row r="1878" spans="1:10" x14ac:dyDescent="0.25">
      <c r="A1878" s="2" t="s">
        <v>77</v>
      </c>
      <c r="B1878" s="2">
        <v>2014</v>
      </c>
      <c r="C1878" s="2" t="s">
        <v>71</v>
      </c>
      <c r="D1878" s="2" t="s">
        <v>43</v>
      </c>
      <c r="E1878" s="2" t="s">
        <v>78</v>
      </c>
      <c r="F1878" s="2" t="s">
        <v>79</v>
      </c>
      <c r="G1878" s="2">
        <f t="shared" si="29"/>
        <v>0.23953013278855972</v>
      </c>
      <c r="H1878" s="5">
        <v>4.3968749999999996</v>
      </c>
      <c r="I1878" s="2">
        <v>160</v>
      </c>
      <c r="J1878" s="12">
        <f>I1878/Pondération!$I$121</f>
        <v>5.4477357848144364E-2</v>
      </c>
    </row>
    <row r="1879" spans="1:10" x14ac:dyDescent="0.25">
      <c r="A1879" s="2" t="s">
        <v>77</v>
      </c>
      <c r="B1879" s="2">
        <v>2014</v>
      </c>
      <c r="C1879" s="2" t="s">
        <v>72</v>
      </c>
      <c r="D1879" s="2" t="s">
        <v>43</v>
      </c>
      <c r="E1879" s="2" t="s">
        <v>78</v>
      </c>
      <c r="F1879" s="2" t="s">
        <v>79</v>
      </c>
      <c r="G1879" s="2">
        <f t="shared" si="29"/>
        <v>0.11304051753489956</v>
      </c>
      <c r="H1879" s="5">
        <v>4.4266666666666667</v>
      </c>
      <c r="I1879" s="2">
        <v>75</v>
      </c>
      <c r="J1879" s="12">
        <f>I1879/Pondération!$I$121</f>
        <v>2.5536261491317672E-2</v>
      </c>
    </row>
    <row r="1880" spans="1:10" x14ac:dyDescent="0.25">
      <c r="A1880" s="2" t="s">
        <v>77</v>
      </c>
      <c r="B1880" s="2">
        <v>2015</v>
      </c>
      <c r="C1880" s="2" t="s">
        <v>73</v>
      </c>
      <c r="D1880" s="2" t="s">
        <v>43</v>
      </c>
      <c r="E1880" s="2" t="s">
        <v>78</v>
      </c>
      <c r="F1880" s="2" t="s">
        <v>79</v>
      </c>
      <c r="G1880" s="2">
        <f t="shared" si="29"/>
        <v>4.2855202390654712E-2</v>
      </c>
      <c r="H1880" s="5">
        <v>4.3819444444444446</v>
      </c>
      <c r="I1880" s="2">
        <v>72</v>
      </c>
      <c r="J1880" s="12">
        <f>I1880/Pondération!$H$121</f>
        <v>9.7799511002444987E-3</v>
      </c>
    </row>
    <row r="1881" spans="1:10" x14ac:dyDescent="0.25">
      <c r="A1881" s="2" t="s">
        <v>77</v>
      </c>
      <c r="B1881" s="2">
        <v>2015</v>
      </c>
      <c r="C1881" s="2" t="s">
        <v>74</v>
      </c>
      <c r="D1881" s="2" t="s">
        <v>43</v>
      </c>
      <c r="E1881" s="2" t="s">
        <v>78</v>
      </c>
      <c r="F1881" s="2" t="s">
        <v>79</v>
      </c>
      <c r="G1881" s="2">
        <f t="shared" si="29"/>
        <v>7.1923390383048083E-2</v>
      </c>
      <c r="H1881" s="5">
        <v>4.4872881355932206</v>
      </c>
      <c r="I1881" s="2">
        <v>118</v>
      </c>
      <c r="J1881" s="12">
        <f>I1881/Pondération!$H$121</f>
        <v>1.6028253192067372E-2</v>
      </c>
    </row>
    <row r="1882" spans="1:10" x14ac:dyDescent="0.25">
      <c r="A1882" s="2" t="s">
        <v>77</v>
      </c>
      <c r="B1882" s="2">
        <v>2015</v>
      </c>
      <c r="C1882" s="2" t="s">
        <v>75</v>
      </c>
      <c r="D1882" s="2" t="s">
        <v>43</v>
      </c>
      <c r="E1882" s="2" t="s">
        <v>78</v>
      </c>
      <c r="F1882" s="2" t="s">
        <v>79</v>
      </c>
      <c r="G1882" s="2">
        <f t="shared" si="29"/>
        <v>9.3452866069002993E-2</v>
      </c>
      <c r="H1882" s="5">
        <v>4.4102564102564106</v>
      </c>
      <c r="I1882" s="2">
        <v>156</v>
      </c>
      <c r="J1882" s="12">
        <f>I1882/Pondération!$H$121</f>
        <v>2.1189894050529748E-2</v>
      </c>
    </row>
    <row r="1883" spans="1:10" x14ac:dyDescent="0.25">
      <c r="A1883" s="2" t="s">
        <v>77</v>
      </c>
      <c r="B1883" s="2">
        <v>2015</v>
      </c>
      <c r="C1883" s="2" t="s">
        <v>76</v>
      </c>
      <c r="D1883" s="2" t="s">
        <v>43</v>
      </c>
      <c r="E1883" s="2" t="s">
        <v>78</v>
      </c>
      <c r="F1883" s="2" t="s">
        <v>79</v>
      </c>
      <c r="G1883" s="2">
        <f t="shared" si="29"/>
        <v>0.18092909535452326</v>
      </c>
      <c r="H1883" s="5">
        <v>4.4400000000000004</v>
      </c>
      <c r="I1883" s="2">
        <v>300</v>
      </c>
      <c r="J1883" s="12">
        <f>I1883/Pondération!$H$121</f>
        <v>4.0749796251018745E-2</v>
      </c>
    </row>
    <row r="1884" spans="1:10" x14ac:dyDescent="0.25">
      <c r="A1884" s="2" t="s">
        <v>77</v>
      </c>
      <c r="B1884" s="2">
        <v>2015</v>
      </c>
      <c r="C1884" s="2" t="s">
        <v>7</v>
      </c>
      <c r="D1884" s="2" t="s">
        <v>43</v>
      </c>
      <c r="E1884" s="2" t="s">
        <v>78</v>
      </c>
      <c r="F1884" s="2" t="s">
        <v>79</v>
      </c>
      <c r="G1884" s="2">
        <f t="shared" si="29"/>
        <v>0.38291225210540614</v>
      </c>
      <c r="H1884" s="5">
        <v>4.4960127591706538</v>
      </c>
      <c r="I1884" s="2">
        <v>627</v>
      </c>
      <c r="J1884" s="12">
        <f>I1884/Pondération!$H$121</f>
        <v>8.5167074164629181E-2</v>
      </c>
    </row>
    <row r="1885" spans="1:10" x14ac:dyDescent="0.25">
      <c r="A1885" s="2" t="s">
        <v>77</v>
      </c>
      <c r="B1885" s="2">
        <v>2015</v>
      </c>
      <c r="C1885" s="2" t="s">
        <v>11</v>
      </c>
      <c r="D1885" s="2" t="s">
        <v>43</v>
      </c>
      <c r="E1885" s="2" t="s">
        <v>78</v>
      </c>
      <c r="F1885" s="2" t="s">
        <v>79</v>
      </c>
      <c r="G1885" s="2">
        <f t="shared" si="29"/>
        <v>0.34331703341483294</v>
      </c>
      <c r="H1885" s="5">
        <v>4.4655477031802118</v>
      </c>
      <c r="I1885" s="2">
        <v>566</v>
      </c>
      <c r="J1885" s="12">
        <f>I1885/Pondération!$H$121</f>
        <v>7.6881282260255368E-2</v>
      </c>
    </row>
    <row r="1886" spans="1:10" x14ac:dyDescent="0.25">
      <c r="A1886" s="2" t="s">
        <v>77</v>
      </c>
      <c r="B1886" s="2">
        <v>2015</v>
      </c>
      <c r="C1886" s="2" t="s">
        <v>12</v>
      </c>
      <c r="D1886" s="2" t="s">
        <v>43</v>
      </c>
      <c r="E1886" s="2" t="s">
        <v>78</v>
      </c>
      <c r="F1886" s="2" t="s">
        <v>79</v>
      </c>
      <c r="G1886" s="2">
        <f t="shared" si="29"/>
        <v>0.84297745177940786</v>
      </c>
      <c r="H1886" s="5">
        <v>4.4971014492753625</v>
      </c>
      <c r="I1886" s="2">
        <v>1380</v>
      </c>
      <c r="J1886" s="12">
        <f>I1886/Pondération!$H$121</f>
        <v>0.18744906275468623</v>
      </c>
    </row>
    <row r="1887" spans="1:10" x14ac:dyDescent="0.25">
      <c r="A1887" s="2" t="s">
        <v>77</v>
      </c>
      <c r="B1887" s="2">
        <v>2015</v>
      </c>
      <c r="C1887" s="2" t="s">
        <v>13</v>
      </c>
      <c r="D1887" s="2" t="s">
        <v>43</v>
      </c>
      <c r="E1887" s="2" t="s">
        <v>78</v>
      </c>
      <c r="F1887" s="2" t="s">
        <v>79</v>
      </c>
      <c r="G1887" s="2">
        <f t="shared" si="29"/>
        <v>1.4240016299918501</v>
      </c>
      <c r="H1887" s="5">
        <v>4.4763023057216058</v>
      </c>
      <c r="I1887" s="2">
        <v>2342</v>
      </c>
      <c r="J1887" s="12">
        <f>I1887/Pondération!$H$121</f>
        <v>0.31812007606628634</v>
      </c>
    </row>
    <row r="1888" spans="1:10" x14ac:dyDescent="0.25">
      <c r="A1888" s="2" t="s">
        <v>77</v>
      </c>
      <c r="B1888" s="2">
        <v>2015</v>
      </c>
      <c r="C1888" s="2" t="s">
        <v>14</v>
      </c>
      <c r="D1888" s="2" t="s">
        <v>43</v>
      </c>
      <c r="E1888" s="2" t="s">
        <v>78</v>
      </c>
      <c r="F1888" s="2" t="s">
        <v>79</v>
      </c>
      <c r="G1888" s="2">
        <f t="shared" si="29"/>
        <v>0.56981798424341212</v>
      </c>
      <c r="H1888" s="5">
        <v>4.4818376068376065</v>
      </c>
      <c r="I1888" s="2">
        <v>936</v>
      </c>
      <c r="J1888" s="12">
        <f>I1888/Pondération!$H$121</f>
        <v>0.12713936430317849</v>
      </c>
    </row>
    <row r="1889" spans="1:10" x14ac:dyDescent="0.25">
      <c r="A1889" s="2" t="s">
        <v>77</v>
      </c>
      <c r="B1889" s="2">
        <v>2015</v>
      </c>
      <c r="C1889" s="2" t="s">
        <v>15</v>
      </c>
      <c r="D1889" s="2" t="s">
        <v>43</v>
      </c>
      <c r="E1889" s="2" t="s">
        <v>78</v>
      </c>
      <c r="F1889" s="2" t="s">
        <v>79</v>
      </c>
      <c r="G1889" s="2">
        <f t="shared" si="29"/>
        <v>0.23872588970388484</v>
      </c>
      <c r="H1889" s="5">
        <v>4.4720101781170483</v>
      </c>
      <c r="I1889" s="2">
        <v>393</v>
      </c>
      <c r="J1889" s="12">
        <f>I1889/Pondération!$H$121</f>
        <v>5.3382233088834559E-2</v>
      </c>
    </row>
    <row r="1890" spans="1:10" x14ac:dyDescent="0.25">
      <c r="A1890" s="2" t="s">
        <v>77</v>
      </c>
      <c r="B1890" s="2">
        <v>2015</v>
      </c>
      <c r="C1890" s="2" t="s">
        <v>16</v>
      </c>
      <c r="D1890" s="2" t="s">
        <v>43</v>
      </c>
      <c r="E1890" s="2" t="s">
        <v>78</v>
      </c>
      <c r="F1890" s="2" t="s">
        <v>79</v>
      </c>
      <c r="G1890" s="2">
        <f t="shared" si="29"/>
        <v>0.19505569138820975</v>
      </c>
      <c r="H1890" s="5">
        <v>4.4458204334365323</v>
      </c>
      <c r="I1890" s="2">
        <v>323</v>
      </c>
      <c r="J1890" s="12">
        <f>I1890/Pondération!$H$121</f>
        <v>4.3873947296930185E-2</v>
      </c>
    </row>
    <row r="1891" spans="1:10" x14ac:dyDescent="0.25">
      <c r="A1891" s="2" t="s">
        <v>77</v>
      </c>
      <c r="B1891" s="2">
        <v>2015</v>
      </c>
      <c r="C1891" s="2" t="s">
        <v>17</v>
      </c>
      <c r="D1891" s="2" t="s">
        <v>43</v>
      </c>
      <c r="E1891" s="2" t="s">
        <v>78</v>
      </c>
      <c r="F1891" s="2" t="s">
        <v>79</v>
      </c>
      <c r="G1891" s="2">
        <f t="shared" si="29"/>
        <v>9.026079869600652E-2</v>
      </c>
      <c r="H1891" s="5">
        <v>4.4597315436241614</v>
      </c>
      <c r="I1891" s="2">
        <v>149</v>
      </c>
      <c r="J1891" s="12">
        <f>I1891/Pondération!$H$121</f>
        <v>2.0239065471339308E-2</v>
      </c>
    </row>
    <row r="1892" spans="1:10" x14ac:dyDescent="0.25">
      <c r="A1892" s="2" t="s">
        <v>77</v>
      </c>
      <c r="B1892" s="2">
        <v>2016</v>
      </c>
      <c r="C1892" s="2" t="s">
        <v>18</v>
      </c>
      <c r="D1892" s="2" t="s">
        <v>43</v>
      </c>
      <c r="E1892" s="2" t="s">
        <v>78</v>
      </c>
      <c r="F1892" s="2" t="s">
        <v>79</v>
      </c>
      <c r="G1892" s="2">
        <f t="shared" si="29"/>
        <v>6.4705882352941169E-2</v>
      </c>
      <c r="H1892" s="5">
        <v>4.4135802469135799</v>
      </c>
      <c r="I1892" s="2">
        <v>162</v>
      </c>
      <c r="J1892" s="12">
        <f>I1892/Pondération!$G$121</f>
        <v>1.4660633484162897E-2</v>
      </c>
    </row>
    <row r="1893" spans="1:10" x14ac:dyDescent="0.25">
      <c r="A1893" s="2" t="s">
        <v>77</v>
      </c>
      <c r="B1893" s="2">
        <v>2016</v>
      </c>
      <c r="C1893" s="2" t="s">
        <v>19</v>
      </c>
      <c r="D1893" s="2" t="s">
        <v>43</v>
      </c>
      <c r="E1893" s="2" t="s">
        <v>78</v>
      </c>
      <c r="F1893" s="2" t="s">
        <v>79</v>
      </c>
      <c r="G1893" s="2">
        <f t="shared" si="29"/>
        <v>0.10036199095022624</v>
      </c>
      <c r="H1893" s="5">
        <v>4.4183266932270913</v>
      </c>
      <c r="I1893" s="2">
        <v>251</v>
      </c>
      <c r="J1893" s="12">
        <f>I1893/Pondération!$G$121</f>
        <v>2.2714932126696834E-2</v>
      </c>
    </row>
    <row r="1894" spans="1:10" x14ac:dyDescent="0.25">
      <c r="A1894" s="2" t="s">
        <v>77</v>
      </c>
      <c r="B1894" s="2">
        <v>2016</v>
      </c>
      <c r="C1894" s="2" t="s">
        <v>20</v>
      </c>
      <c r="D1894" s="2" t="s">
        <v>43</v>
      </c>
      <c r="E1894" s="2" t="s">
        <v>78</v>
      </c>
      <c r="F1894" s="2" t="s">
        <v>79</v>
      </c>
      <c r="G1894" s="2">
        <f t="shared" si="29"/>
        <v>0.1202262443438914</v>
      </c>
      <c r="H1894" s="5">
        <v>4.5033898305084747</v>
      </c>
      <c r="I1894" s="2">
        <v>295</v>
      </c>
      <c r="J1894" s="12">
        <f>I1894/Pondération!$G$121</f>
        <v>2.6696832579185519E-2</v>
      </c>
    </row>
    <row r="1895" spans="1:10" x14ac:dyDescent="0.25">
      <c r="A1895" s="2" t="s">
        <v>77</v>
      </c>
      <c r="B1895" s="2">
        <v>2016</v>
      </c>
      <c r="C1895" s="2" t="s">
        <v>21</v>
      </c>
      <c r="D1895" s="2" t="s">
        <v>43</v>
      </c>
      <c r="E1895" s="2" t="s">
        <v>78</v>
      </c>
      <c r="F1895" s="2" t="s">
        <v>79</v>
      </c>
      <c r="G1895" s="2">
        <f t="shared" si="29"/>
        <v>0.29995475113122172</v>
      </c>
      <c r="H1895" s="5">
        <v>4.4911924119241196</v>
      </c>
      <c r="I1895" s="2">
        <v>738</v>
      </c>
      <c r="J1895" s="12">
        <f>I1895/Pondération!$G$121</f>
        <v>6.6787330316742083E-2</v>
      </c>
    </row>
    <row r="1896" spans="1:10" x14ac:dyDescent="0.25">
      <c r="A1896" s="2" t="s">
        <v>77</v>
      </c>
      <c r="B1896" s="2">
        <v>2016</v>
      </c>
      <c r="C1896" s="2" t="s">
        <v>22</v>
      </c>
      <c r="D1896" s="2" t="s">
        <v>43</v>
      </c>
      <c r="E1896" s="2" t="s">
        <v>78</v>
      </c>
      <c r="F1896" s="2" t="s">
        <v>79</v>
      </c>
      <c r="G1896" s="2">
        <f t="shared" si="29"/>
        <v>0.32601809954751132</v>
      </c>
      <c r="H1896" s="5">
        <v>4.4640644361833957</v>
      </c>
      <c r="I1896" s="2">
        <v>807</v>
      </c>
      <c r="J1896" s="12">
        <f>I1896/Pondération!$G$121</f>
        <v>7.3031674208144798E-2</v>
      </c>
    </row>
    <row r="1897" spans="1:10" x14ac:dyDescent="0.25">
      <c r="A1897" s="2" t="s">
        <v>77</v>
      </c>
      <c r="B1897" s="2">
        <v>2016</v>
      </c>
      <c r="C1897" s="2" t="s">
        <v>23</v>
      </c>
      <c r="D1897" s="2" t="s">
        <v>43</v>
      </c>
      <c r="E1897" s="2" t="s">
        <v>78</v>
      </c>
      <c r="F1897" s="2" t="s">
        <v>79</v>
      </c>
      <c r="G1897" s="2">
        <f t="shared" si="29"/>
        <v>0.28144796380090498</v>
      </c>
      <c r="H1897" s="5">
        <v>4.5072463768115938</v>
      </c>
      <c r="I1897" s="2">
        <v>690</v>
      </c>
      <c r="J1897" s="12">
        <f>I1897/Pondération!$G$121</f>
        <v>6.244343891402715E-2</v>
      </c>
    </row>
    <row r="1898" spans="1:10" x14ac:dyDescent="0.25">
      <c r="A1898" s="2" t="s">
        <v>77</v>
      </c>
      <c r="B1898" s="2">
        <v>2016</v>
      </c>
      <c r="C1898" s="2" t="s">
        <v>24</v>
      </c>
      <c r="D1898" s="2" t="s">
        <v>43</v>
      </c>
      <c r="E1898" s="2" t="s">
        <v>78</v>
      </c>
      <c r="F1898" s="2" t="s">
        <v>79</v>
      </c>
      <c r="G1898" s="2">
        <f t="shared" si="29"/>
        <v>0.7928054298642534</v>
      </c>
      <c r="H1898" s="5">
        <v>4.4742083758937694</v>
      </c>
      <c r="I1898" s="2">
        <v>1958</v>
      </c>
      <c r="J1898" s="12">
        <f>I1898/Pondération!$G$121</f>
        <v>0.1771945701357466</v>
      </c>
    </row>
    <row r="1899" spans="1:10" x14ac:dyDescent="0.25">
      <c r="A1899" s="2" t="s">
        <v>77</v>
      </c>
      <c r="B1899" s="2">
        <v>2016</v>
      </c>
      <c r="C1899" s="2" t="s">
        <v>25</v>
      </c>
      <c r="D1899" s="2" t="s">
        <v>43</v>
      </c>
      <c r="E1899" s="2" t="s">
        <v>78</v>
      </c>
      <c r="F1899" s="2" t="s">
        <v>79</v>
      </c>
      <c r="G1899" s="2">
        <f t="shared" si="29"/>
        <v>1.4690045248868779</v>
      </c>
      <c r="H1899" s="5">
        <v>4.460703489969772</v>
      </c>
      <c r="I1899" s="2">
        <v>3639</v>
      </c>
      <c r="J1899" s="12">
        <f>I1899/Pondération!$G$121</f>
        <v>0.32932126696832581</v>
      </c>
    </row>
    <row r="1900" spans="1:10" x14ac:dyDescent="0.25">
      <c r="A1900" s="2" t="s">
        <v>77</v>
      </c>
      <c r="B1900" s="2">
        <v>2016</v>
      </c>
      <c r="C1900" s="2" t="s">
        <v>26</v>
      </c>
      <c r="D1900" s="2" t="s">
        <v>43</v>
      </c>
      <c r="E1900" s="2" t="s">
        <v>78</v>
      </c>
      <c r="F1900" s="2" t="s">
        <v>79</v>
      </c>
      <c r="G1900" s="2">
        <f t="shared" si="29"/>
        <v>0.54981900452488686</v>
      </c>
      <c r="H1900" s="5">
        <v>4.493713017751479</v>
      </c>
      <c r="I1900" s="2">
        <v>1352</v>
      </c>
      <c r="J1900" s="12">
        <f>I1900/Pondération!$G$121</f>
        <v>0.12235294117647059</v>
      </c>
    </row>
    <row r="1901" spans="1:10" x14ac:dyDescent="0.25">
      <c r="A1901" s="2" t="s">
        <v>77</v>
      </c>
      <c r="B1901" s="2">
        <v>2016</v>
      </c>
      <c r="C1901" s="2" t="s">
        <v>27</v>
      </c>
      <c r="D1901" s="2" t="s">
        <v>43</v>
      </c>
      <c r="E1901" s="2" t="s">
        <v>78</v>
      </c>
      <c r="F1901" s="2" t="s">
        <v>79</v>
      </c>
      <c r="G1901" s="2">
        <f t="shared" si="29"/>
        <v>0.24791855203619909</v>
      </c>
      <c r="H1901" s="5">
        <v>4.4763071895424833</v>
      </c>
      <c r="I1901" s="2">
        <v>612</v>
      </c>
      <c r="J1901" s="12">
        <f>I1901/Pondération!$G$121</f>
        <v>5.5384615384615386E-2</v>
      </c>
    </row>
    <row r="1902" spans="1:10" x14ac:dyDescent="0.25">
      <c r="A1902" s="2" t="s">
        <v>77</v>
      </c>
      <c r="B1902" s="2">
        <v>2016</v>
      </c>
      <c r="C1902" s="2" t="s">
        <v>28</v>
      </c>
      <c r="D1902" s="2" t="s">
        <v>43</v>
      </c>
      <c r="E1902" s="2" t="s">
        <v>78</v>
      </c>
      <c r="F1902" s="2" t="s">
        <v>79</v>
      </c>
      <c r="G1902" s="2">
        <f t="shared" si="29"/>
        <v>0.13316742081447963</v>
      </c>
      <c r="H1902" s="5">
        <v>4.4726443768996962</v>
      </c>
      <c r="I1902" s="2">
        <v>329</v>
      </c>
      <c r="J1902" s="12">
        <f>I1902/Pondération!$G$121</f>
        <v>2.9773755656108597E-2</v>
      </c>
    </row>
    <row r="1903" spans="1:10" x14ac:dyDescent="0.25">
      <c r="A1903" s="2" t="s">
        <v>77</v>
      </c>
      <c r="B1903" s="2">
        <v>2016</v>
      </c>
      <c r="C1903" s="2" t="s">
        <v>29</v>
      </c>
      <c r="D1903" s="2" t="s">
        <v>43</v>
      </c>
      <c r="E1903" s="2" t="s">
        <v>78</v>
      </c>
      <c r="F1903" s="2" t="s">
        <v>79</v>
      </c>
      <c r="G1903" s="2">
        <f t="shared" si="29"/>
        <v>8.6923076923076936E-2</v>
      </c>
      <c r="H1903" s="5">
        <v>4.4262672811059911</v>
      </c>
      <c r="I1903" s="2">
        <v>217</v>
      </c>
      <c r="J1903" s="12">
        <f>I1903/Pondération!$G$121</f>
        <v>1.9638009049773756E-2</v>
      </c>
    </row>
    <row r="1904" spans="1:10" x14ac:dyDescent="0.25">
      <c r="A1904" s="2" t="s">
        <v>77</v>
      </c>
      <c r="B1904" s="2">
        <v>2017</v>
      </c>
      <c r="C1904" s="2" t="s">
        <v>30</v>
      </c>
      <c r="D1904" s="2" t="s">
        <v>43</v>
      </c>
      <c r="E1904" s="2" t="s">
        <v>78</v>
      </c>
      <c r="F1904" s="2" t="s">
        <v>79</v>
      </c>
      <c r="G1904" s="2">
        <f t="shared" si="29"/>
        <v>0.2999084249084249</v>
      </c>
      <c r="H1904" s="5">
        <v>4.4457013574660635</v>
      </c>
      <c r="I1904" s="2">
        <v>221</v>
      </c>
      <c r="J1904" s="12">
        <f>I1904/Pondération!$F$121</f>
        <v>6.7460317460317457E-2</v>
      </c>
    </row>
    <row r="1905" spans="1:10" x14ac:dyDescent="0.25">
      <c r="A1905" s="2" t="s">
        <v>77</v>
      </c>
      <c r="B1905" s="2">
        <v>2017</v>
      </c>
      <c r="C1905" s="2" t="s">
        <v>31</v>
      </c>
      <c r="D1905" s="2" t="s">
        <v>43</v>
      </c>
      <c r="E1905" s="2" t="s">
        <v>78</v>
      </c>
      <c r="F1905" s="2" t="s">
        <v>79</v>
      </c>
      <c r="G1905" s="2">
        <f t="shared" si="29"/>
        <v>0.42567155067155066</v>
      </c>
      <c r="H1905" s="5">
        <v>4.4695512820512819</v>
      </c>
      <c r="I1905" s="2">
        <v>312</v>
      </c>
      <c r="J1905" s="12">
        <f>I1905/Pondération!$F$121</f>
        <v>9.5238095238095233E-2</v>
      </c>
    </row>
    <row r="1906" spans="1:10" x14ac:dyDescent="0.25">
      <c r="A1906" s="2" t="s">
        <v>77</v>
      </c>
      <c r="B1906" s="2">
        <v>2017</v>
      </c>
      <c r="C1906" s="2" t="s">
        <v>32</v>
      </c>
      <c r="D1906" s="2" t="s">
        <v>43</v>
      </c>
      <c r="E1906" s="2" t="s">
        <v>78</v>
      </c>
      <c r="F1906" s="2" t="s">
        <v>79</v>
      </c>
      <c r="G1906" s="2">
        <f t="shared" si="29"/>
        <v>0.41300366300366298</v>
      </c>
      <c r="H1906" s="5">
        <v>4.4360655737704917</v>
      </c>
      <c r="I1906" s="2">
        <v>305</v>
      </c>
      <c r="J1906" s="12">
        <f>I1906/Pondération!$F$121</f>
        <v>9.3101343101343104E-2</v>
      </c>
    </row>
    <row r="1907" spans="1:10" x14ac:dyDescent="0.25">
      <c r="A1907" s="2" t="s">
        <v>77</v>
      </c>
      <c r="B1907" s="2">
        <v>2017</v>
      </c>
      <c r="C1907" s="2" t="s">
        <v>33</v>
      </c>
      <c r="D1907" s="2" t="s">
        <v>43</v>
      </c>
      <c r="E1907" s="2" t="s">
        <v>78</v>
      </c>
      <c r="F1907" s="2" t="s">
        <v>79</v>
      </c>
      <c r="G1907" s="2">
        <f t="shared" si="29"/>
        <v>1.3862942612942615</v>
      </c>
      <c r="H1907" s="5">
        <v>4.4787968441814598</v>
      </c>
      <c r="I1907" s="2">
        <v>1014</v>
      </c>
      <c r="J1907" s="12">
        <f>I1907/Pondération!$F$121</f>
        <v>0.30952380952380953</v>
      </c>
    </row>
    <row r="1908" spans="1:10" x14ac:dyDescent="0.25">
      <c r="A1908" s="2" t="s">
        <v>77</v>
      </c>
      <c r="B1908" s="2">
        <v>2017</v>
      </c>
      <c r="C1908" s="2" t="s">
        <v>34</v>
      </c>
      <c r="D1908" s="2" t="s">
        <v>43</v>
      </c>
      <c r="E1908" s="2" t="s">
        <v>78</v>
      </c>
      <c r="F1908" s="2" t="s">
        <v>79</v>
      </c>
      <c r="G1908" s="2">
        <f t="shared" si="29"/>
        <v>1.248015873015873</v>
      </c>
      <c r="H1908" s="5">
        <v>4.4683060109289618</v>
      </c>
      <c r="I1908" s="2">
        <v>915</v>
      </c>
      <c r="J1908" s="12">
        <f>I1908/Pondération!$F$121</f>
        <v>0.27930402930402931</v>
      </c>
    </row>
    <row r="1909" spans="1:10" x14ac:dyDescent="0.25">
      <c r="A1909" s="2" t="s">
        <v>77</v>
      </c>
      <c r="B1909" s="2">
        <v>2017</v>
      </c>
      <c r="C1909" s="2" t="s">
        <v>80</v>
      </c>
      <c r="D1909" s="2" t="s">
        <v>43</v>
      </c>
      <c r="E1909" s="2" t="s">
        <v>78</v>
      </c>
      <c r="F1909" s="2" t="s">
        <v>79</v>
      </c>
      <c r="G1909" s="2">
        <f t="shared" si="29"/>
        <v>0.69078144078144077</v>
      </c>
      <c r="H1909" s="5">
        <v>4.4459724950884087</v>
      </c>
      <c r="I1909" s="2">
        <v>509</v>
      </c>
      <c r="J1909" s="12">
        <f>I1909/Pondération!$F$121</f>
        <v>0.15537240537240538</v>
      </c>
    </row>
    <row r="1910" spans="1:10" x14ac:dyDescent="0.25">
      <c r="A1910" s="2" t="s">
        <v>77</v>
      </c>
      <c r="B1910" s="2">
        <v>2013</v>
      </c>
      <c r="C1910" s="2" t="s">
        <v>49</v>
      </c>
      <c r="D1910" s="2" t="s">
        <v>43</v>
      </c>
      <c r="E1910" s="2" t="s">
        <v>78</v>
      </c>
      <c r="F1910" s="2" t="s">
        <v>81</v>
      </c>
      <c r="G1910" s="2">
        <f t="shared" si="29"/>
        <v>0.17314487632508835</v>
      </c>
      <c r="H1910" s="5">
        <v>4.9000000000000004</v>
      </c>
      <c r="I1910" s="2">
        <v>10</v>
      </c>
      <c r="J1910" s="12">
        <f>I1910/Pondération!$J$122</f>
        <v>3.5335689045936397E-2</v>
      </c>
    </row>
    <row r="1911" spans="1:10" x14ac:dyDescent="0.25">
      <c r="A1911" s="2" t="s">
        <v>77</v>
      </c>
      <c r="B1911" s="2">
        <v>2013</v>
      </c>
      <c r="C1911" s="2" t="s">
        <v>50</v>
      </c>
      <c r="D1911" s="2" t="s">
        <v>43</v>
      </c>
      <c r="E1911" s="2" t="s">
        <v>78</v>
      </c>
      <c r="F1911" s="2" t="s">
        <v>81</v>
      </c>
      <c r="G1911" s="2">
        <f t="shared" si="29"/>
        <v>0.24734982332155481</v>
      </c>
      <c r="H1911" s="5">
        <v>4.666666666666667</v>
      </c>
      <c r="I1911" s="2">
        <v>15</v>
      </c>
      <c r="J1911" s="12">
        <f>I1911/Pondération!$J$122</f>
        <v>5.3003533568904596E-2</v>
      </c>
    </row>
    <row r="1912" spans="1:10" x14ac:dyDescent="0.25">
      <c r="A1912" s="2" t="s">
        <v>77</v>
      </c>
      <c r="B1912" s="2">
        <v>2013</v>
      </c>
      <c r="C1912" s="2" t="s">
        <v>51</v>
      </c>
      <c r="D1912" s="2" t="s">
        <v>43</v>
      </c>
      <c r="E1912" s="2" t="s">
        <v>78</v>
      </c>
      <c r="F1912" s="2" t="s">
        <v>81</v>
      </c>
      <c r="G1912" s="2">
        <f t="shared" si="29"/>
        <v>0.1448763250883392</v>
      </c>
      <c r="H1912" s="5">
        <v>4.5555555555555554</v>
      </c>
      <c r="I1912" s="2">
        <v>9</v>
      </c>
      <c r="J1912" s="12">
        <f>I1912/Pondération!$J$122</f>
        <v>3.1802120141342753E-2</v>
      </c>
    </row>
    <row r="1913" spans="1:10" x14ac:dyDescent="0.25">
      <c r="A1913" s="2" t="s">
        <v>77</v>
      </c>
      <c r="B1913" s="2">
        <v>2013</v>
      </c>
      <c r="C1913" s="2" t="s">
        <v>52</v>
      </c>
      <c r="D1913" s="2" t="s">
        <v>43</v>
      </c>
      <c r="E1913" s="2" t="s">
        <v>78</v>
      </c>
      <c r="F1913" s="2" t="s">
        <v>81</v>
      </c>
      <c r="G1913" s="2">
        <f t="shared" si="29"/>
        <v>0.17844522968197879</v>
      </c>
      <c r="H1913" s="5">
        <v>4.208333333333333</v>
      </c>
      <c r="I1913" s="2">
        <v>12</v>
      </c>
      <c r="J1913" s="12">
        <f>I1913/Pondération!$J$122</f>
        <v>4.2402826855123678E-2</v>
      </c>
    </row>
    <row r="1914" spans="1:10" x14ac:dyDescent="0.25">
      <c r="A1914" s="2" t="s">
        <v>77</v>
      </c>
      <c r="B1914" s="2">
        <v>2013</v>
      </c>
      <c r="C1914" s="2" t="s">
        <v>53</v>
      </c>
      <c r="D1914" s="2" t="s">
        <v>43</v>
      </c>
      <c r="E1914" s="2" t="s">
        <v>78</v>
      </c>
      <c r="F1914" s="2" t="s">
        <v>81</v>
      </c>
      <c r="G1914" s="2">
        <f t="shared" si="29"/>
        <v>0.47349823321554774</v>
      </c>
      <c r="H1914" s="5">
        <v>4.4666666666666668</v>
      </c>
      <c r="I1914" s="2">
        <v>30</v>
      </c>
      <c r="J1914" s="12">
        <f>I1914/Pondération!$J$122</f>
        <v>0.10600706713780919</v>
      </c>
    </row>
    <row r="1915" spans="1:10" x14ac:dyDescent="0.25">
      <c r="A1915" s="2" t="s">
        <v>77</v>
      </c>
      <c r="B1915" s="2">
        <v>2013</v>
      </c>
      <c r="C1915" s="2" t="s">
        <v>54</v>
      </c>
      <c r="D1915" s="2" t="s">
        <v>43</v>
      </c>
      <c r="E1915" s="2" t="s">
        <v>78</v>
      </c>
      <c r="F1915" s="2" t="s">
        <v>81</v>
      </c>
      <c r="G1915" s="2">
        <f t="shared" si="29"/>
        <v>0.2614840989399293</v>
      </c>
      <c r="H1915" s="5">
        <v>4.3529411764705879</v>
      </c>
      <c r="I1915" s="2">
        <v>17</v>
      </c>
      <c r="J1915" s="12">
        <f>I1915/Pondération!$J$122</f>
        <v>6.0070671378091869E-2</v>
      </c>
    </row>
    <row r="1916" spans="1:10" x14ac:dyDescent="0.25">
      <c r="A1916" s="2" t="s">
        <v>77</v>
      </c>
      <c r="B1916" s="2">
        <v>2013</v>
      </c>
      <c r="C1916" s="2" t="s">
        <v>55</v>
      </c>
      <c r="D1916" s="2" t="s">
        <v>43</v>
      </c>
      <c r="E1916" s="2" t="s">
        <v>78</v>
      </c>
      <c r="F1916" s="2" t="s">
        <v>81</v>
      </c>
      <c r="G1916" s="2">
        <f t="shared" si="29"/>
        <v>0.48763250883392223</v>
      </c>
      <c r="H1916" s="5">
        <v>4.3125</v>
      </c>
      <c r="I1916" s="2">
        <v>32</v>
      </c>
      <c r="J1916" s="12">
        <f>I1916/Pondération!$J$122</f>
        <v>0.11307420494699646</v>
      </c>
    </row>
    <row r="1917" spans="1:10" x14ac:dyDescent="0.25">
      <c r="A1917" s="2" t="s">
        <v>77</v>
      </c>
      <c r="B1917" s="2">
        <v>2013</v>
      </c>
      <c r="C1917" s="2" t="s">
        <v>56</v>
      </c>
      <c r="D1917" s="2" t="s">
        <v>43</v>
      </c>
      <c r="E1917" s="2" t="s">
        <v>78</v>
      </c>
      <c r="F1917" s="2" t="s">
        <v>81</v>
      </c>
      <c r="G1917" s="2">
        <f t="shared" si="29"/>
        <v>1.0600706713780919</v>
      </c>
      <c r="H1917" s="5">
        <v>4.2857142857142856</v>
      </c>
      <c r="I1917" s="2">
        <v>70</v>
      </c>
      <c r="J1917" s="12">
        <f>I1917/Pondération!$J$122</f>
        <v>0.24734982332155478</v>
      </c>
    </row>
    <row r="1918" spans="1:10" x14ac:dyDescent="0.25">
      <c r="A1918" s="2" t="s">
        <v>77</v>
      </c>
      <c r="B1918" s="2">
        <v>2013</v>
      </c>
      <c r="C1918" s="2" t="s">
        <v>57</v>
      </c>
      <c r="D1918" s="2" t="s">
        <v>43</v>
      </c>
      <c r="E1918" s="2" t="s">
        <v>78</v>
      </c>
      <c r="F1918" s="2" t="s">
        <v>81</v>
      </c>
      <c r="G1918" s="2">
        <f t="shared" si="29"/>
        <v>0.58833922261484106</v>
      </c>
      <c r="H1918" s="5">
        <v>4.3815789473684212</v>
      </c>
      <c r="I1918" s="2">
        <v>38</v>
      </c>
      <c r="J1918" s="12">
        <f>I1918/Pondération!$J$122</f>
        <v>0.13427561837455831</v>
      </c>
    </row>
    <row r="1919" spans="1:10" x14ac:dyDescent="0.25">
      <c r="A1919" s="2" t="s">
        <v>77</v>
      </c>
      <c r="B1919" s="2">
        <v>2013</v>
      </c>
      <c r="C1919" s="2" t="s">
        <v>58</v>
      </c>
      <c r="D1919" s="2" t="s">
        <v>43</v>
      </c>
      <c r="E1919" s="2" t="s">
        <v>78</v>
      </c>
      <c r="F1919" s="2" t="s">
        <v>81</v>
      </c>
      <c r="G1919" s="2">
        <f t="shared" si="29"/>
        <v>0.27738515901060068</v>
      </c>
      <c r="H1919" s="5">
        <v>4.3611111111111107</v>
      </c>
      <c r="I1919" s="2">
        <v>18</v>
      </c>
      <c r="J1919" s="12">
        <f>I1919/Pondération!$J$122</f>
        <v>6.3604240282685506E-2</v>
      </c>
    </row>
    <row r="1920" spans="1:10" x14ac:dyDescent="0.25">
      <c r="A1920" s="2" t="s">
        <v>77</v>
      </c>
      <c r="B1920" s="2">
        <v>2013</v>
      </c>
      <c r="C1920" s="2" t="s">
        <v>59</v>
      </c>
      <c r="D1920" s="2" t="s">
        <v>43</v>
      </c>
      <c r="E1920" s="2" t="s">
        <v>78</v>
      </c>
      <c r="F1920" s="2" t="s">
        <v>81</v>
      </c>
      <c r="G1920" s="2">
        <f t="shared" si="29"/>
        <v>0.23144876325088337</v>
      </c>
      <c r="H1920" s="5">
        <v>4.3666666666666663</v>
      </c>
      <c r="I1920" s="2">
        <v>15</v>
      </c>
      <c r="J1920" s="12">
        <f>I1920/Pondération!$J$122</f>
        <v>5.3003533568904596E-2</v>
      </c>
    </row>
    <row r="1921" spans="1:10" x14ac:dyDescent="0.25">
      <c r="A1921" s="2" t="s">
        <v>77</v>
      </c>
      <c r="B1921" s="2">
        <v>2013</v>
      </c>
      <c r="C1921" s="2" t="s">
        <v>60</v>
      </c>
      <c r="D1921" s="2" t="s">
        <v>43</v>
      </c>
      <c r="E1921" s="2" t="s">
        <v>78</v>
      </c>
      <c r="F1921" s="2" t="s">
        <v>81</v>
      </c>
      <c r="G1921" s="2">
        <f t="shared" si="29"/>
        <v>0.27031802120141341</v>
      </c>
      <c r="H1921" s="5">
        <v>4.5</v>
      </c>
      <c r="I1921" s="2">
        <v>17</v>
      </c>
      <c r="J1921" s="12">
        <f>I1921/Pondération!$J$122</f>
        <v>6.0070671378091869E-2</v>
      </c>
    </row>
    <row r="1922" spans="1:10" x14ac:dyDescent="0.25">
      <c r="A1922" s="2" t="s">
        <v>77</v>
      </c>
      <c r="B1922" s="2">
        <v>2014</v>
      </c>
      <c r="C1922" s="2" t="s">
        <v>61</v>
      </c>
      <c r="D1922" s="2" t="s">
        <v>43</v>
      </c>
      <c r="E1922" s="2" t="s">
        <v>78</v>
      </c>
      <c r="F1922" s="2" t="s">
        <v>81</v>
      </c>
      <c r="G1922" s="2">
        <f t="shared" ref="G1922:G1985" si="30">H1922*J1922</f>
        <v>0.12126865671641791</v>
      </c>
      <c r="H1922" s="5">
        <v>4.4318181818181817</v>
      </c>
      <c r="I1922" s="2">
        <v>22</v>
      </c>
      <c r="J1922" s="12">
        <f>I1922/Pondération!$I$122</f>
        <v>2.736318407960199E-2</v>
      </c>
    </row>
    <row r="1923" spans="1:10" x14ac:dyDescent="0.25">
      <c r="A1923" s="2" t="s">
        <v>77</v>
      </c>
      <c r="B1923" s="2">
        <v>2014</v>
      </c>
      <c r="C1923" s="2" t="s">
        <v>62</v>
      </c>
      <c r="D1923" s="2" t="s">
        <v>43</v>
      </c>
      <c r="E1923" s="2" t="s">
        <v>78</v>
      </c>
      <c r="F1923" s="2" t="s">
        <v>81</v>
      </c>
      <c r="G1923" s="2">
        <f t="shared" si="30"/>
        <v>0.11940298507462685</v>
      </c>
      <c r="H1923" s="5">
        <v>4.5714285714285712</v>
      </c>
      <c r="I1923" s="2">
        <v>21</v>
      </c>
      <c r="J1923" s="12">
        <f>I1923/Pondération!$I$122</f>
        <v>2.6119402985074626E-2</v>
      </c>
    </row>
    <row r="1924" spans="1:10" x14ac:dyDescent="0.25">
      <c r="A1924" s="2" t="s">
        <v>77</v>
      </c>
      <c r="B1924" s="2">
        <v>2014</v>
      </c>
      <c r="C1924" s="2" t="s">
        <v>63</v>
      </c>
      <c r="D1924" s="2" t="s">
        <v>43</v>
      </c>
      <c r="E1924" s="2" t="s">
        <v>78</v>
      </c>
      <c r="F1924" s="2" t="s">
        <v>81</v>
      </c>
      <c r="G1924" s="2">
        <f t="shared" si="30"/>
        <v>0.1287313432835821</v>
      </c>
      <c r="H1924" s="5">
        <v>4.5</v>
      </c>
      <c r="I1924" s="2">
        <v>23</v>
      </c>
      <c r="J1924" s="12">
        <f>I1924/Pondération!$I$122</f>
        <v>2.8606965174129355E-2</v>
      </c>
    </row>
    <row r="1925" spans="1:10" x14ac:dyDescent="0.25">
      <c r="A1925" s="2" t="s">
        <v>77</v>
      </c>
      <c r="B1925" s="2">
        <v>2014</v>
      </c>
      <c r="C1925" s="2" t="s">
        <v>64</v>
      </c>
      <c r="D1925" s="2" t="s">
        <v>43</v>
      </c>
      <c r="E1925" s="2" t="s">
        <v>78</v>
      </c>
      <c r="F1925" s="2" t="s">
        <v>81</v>
      </c>
      <c r="G1925" s="2">
        <f t="shared" si="30"/>
        <v>0.18656716417910449</v>
      </c>
      <c r="H1925" s="5">
        <v>4.2857142857142856</v>
      </c>
      <c r="I1925" s="2">
        <v>35</v>
      </c>
      <c r="J1925" s="12">
        <f>I1925/Pondération!$I$122</f>
        <v>4.3532338308457715E-2</v>
      </c>
    </row>
    <row r="1926" spans="1:10" x14ac:dyDescent="0.25">
      <c r="A1926" s="2" t="s">
        <v>77</v>
      </c>
      <c r="B1926" s="2">
        <v>2014</v>
      </c>
      <c r="C1926" s="2" t="s">
        <v>65</v>
      </c>
      <c r="D1926" s="2" t="s">
        <v>43</v>
      </c>
      <c r="E1926" s="2" t="s">
        <v>78</v>
      </c>
      <c r="F1926" s="2" t="s">
        <v>81</v>
      </c>
      <c r="G1926" s="2">
        <f t="shared" si="30"/>
        <v>0.27052238805970147</v>
      </c>
      <c r="H1926" s="5">
        <v>4.3499999999999996</v>
      </c>
      <c r="I1926" s="2">
        <v>50</v>
      </c>
      <c r="J1926" s="12">
        <f>I1926/Pondération!$I$122</f>
        <v>6.2189054726368161E-2</v>
      </c>
    </row>
    <row r="1927" spans="1:10" x14ac:dyDescent="0.25">
      <c r="A1927" s="2" t="s">
        <v>77</v>
      </c>
      <c r="B1927" s="2">
        <v>2014</v>
      </c>
      <c r="C1927" s="2" t="s">
        <v>66</v>
      </c>
      <c r="D1927" s="2" t="s">
        <v>43</v>
      </c>
      <c r="E1927" s="2" t="s">
        <v>78</v>
      </c>
      <c r="F1927" s="2" t="s">
        <v>81</v>
      </c>
      <c r="G1927" s="2">
        <f t="shared" si="30"/>
        <v>0.20211442786069653</v>
      </c>
      <c r="H1927" s="5">
        <v>4.3918918918918921</v>
      </c>
      <c r="I1927" s="2">
        <v>37</v>
      </c>
      <c r="J1927" s="12">
        <f>I1927/Pondération!$I$122</f>
        <v>4.6019900497512436E-2</v>
      </c>
    </row>
    <row r="1928" spans="1:10" x14ac:dyDescent="0.25">
      <c r="A1928" s="2" t="s">
        <v>77</v>
      </c>
      <c r="B1928" s="2">
        <v>2014</v>
      </c>
      <c r="C1928" s="2" t="s">
        <v>67</v>
      </c>
      <c r="D1928" s="2" t="s">
        <v>43</v>
      </c>
      <c r="E1928" s="2" t="s">
        <v>78</v>
      </c>
      <c r="F1928" s="2" t="s">
        <v>81</v>
      </c>
      <c r="G1928" s="2">
        <f t="shared" si="30"/>
        <v>0.57960199004975121</v>
      </c>
      <c r="H1928" s="5">
        <v>4.3551401869158877</v>
      </c>
      <c r="I1928" s="2">
        <v>107</v>
      </c>
      <c r="J1928" s="12">
        <f>I1928/Pondération!$I$122</f>
        <v>0.13308457711442787</v>
      </c>
    </row>
    <row r="1929" spans="1:10" x14ac:dyDescent="0.25">
      <c r="A1929" s="2" t="s">
        <v>77</v>
      </c>
      <c r="B1929" s="2">
        <v>2014</v>
      </c>
      <c r="C1929" s="2" t="s">
        <v>68</v>
      </c>
      <c r="D1929" s="2" t="s">
        <v>43</v>
      </c>
      <c r="E1929" s="2" t="s">
        <v>78</v>
      </c>
      <c r="F1929" s="2" t="s">
        <v>81</v>
      </c>
      <c r="G1929" s="2">
        <f t="shared" si="30"/>
        <v>1.2667910447761193</v>
      </c>
      <c r="H1929" s="5">
        <v>4.3712446351931327</v>
      </c>
      <c r="I1929" s="2">
        <v>233</v>
      </c>
      <c r="J1929" s="12">
        <f>I1929/Pondération!$I$122</f>
        <v>0.28980099502487561</v>
      </c>
    </row>
    <row r="1930" spans="1:10" x14ac:dyDescent="0.25">
      <c r="A1930" s="2" t="s">
        <v>77</v>
      </c>
      <c r="B1930" s="2">
        <v>2014</v>
      </c>
      <c r="C1930" s="2" t="s">
        <v>69</v>
      </c>
      <c r="D1930" s="2" t="s">
        <v>43</v>
      </c>
      <c r="E1930" s="2" t="s">
        <v>78</v>
      </c>
      <c r="F1930" s="2" t="s">
        <v>81</v>
      </c>
      <c r="G1930" s="2">
        <f t="shared" si="30"/>
        <v>0.60074626865671643</v>
      </c>
      <c r="H1930" s="5">
        <v>4.431192660550459</v>
      </c>
      <c r="I1930" s="2">
        <v>109</v>
      </c>
      <c r="J1930" s="12">
        <f>I1930/Pondération!$I$122</f>
        <v>0.13557213930348258</v>
      </c>
    </row>
    <row r="1931" spans="1:10" x14ac:dyDescent="0.25">
      <c r="A1931" s="2" t="s">
        <v>77</v>
      </c>
      <c r="B1931" s="2">
        <v>2014</v>
      </c>
      <c r="C1931" s="2" t="s">
        <v>70</v>
      </c>
      <c r="D1931" s="2" t="s">
        <v>43</v>
      </c>
      <c r="E1931" s="2" t="s">
        <v>78</v>
      </c>
      <c r="F1931" s="2" t="s">
        <v>81</v>
      </c>
      <c r="G1931" s="2">
        <f t="shared" si="30"/>
        <v>0.34888059701492535</v>
      </c>
      <c r="H1931" s="5">
        <v>4.3828125</v>
      </c>
      <c r="I1931" s="2">
        <v>64</v>
      </c>
      <c r="J1931" s="12">
        <f>I1931/Pondération!$I$122</f>
        <v>7.9601990049751242E-2</v>
      </c>
    </row>
    <row r="1932" spans="1:10" x14ac:dyDescent="0.25">
      <c r="A1932" s="2" t="s">
        <v>77</v>
      </c>
      <c r="B1932" s="2">
        <v>2014</v>
      </c>
      <c r="C1932" s="2" t="s">
        <v>71</v>
      </c>
      <c r="D1932" s="2" t="s">
        <v>43</v>
      </c>
      <c r="E1932" s="2" t="s">
        <v>78</v>
      </c>
      <c r="F1932" s="2" t="s">
        <v>81</v>
      </c>
      <c r="G1932" s="2">
        <f t="shared" si="30"/>
        <v>0.30907960199004969</v>
      </c>
      <c r="H1932" s="5">
        <v>4.3596491228070171</v>
      </c>
      <c r="I1932" s="2">
        <v>57</v>
      </c>
      <c r="J1932" s="12">
        <f>I1932/Pondération!$I$122</f>
        <v>7.0895522388059698E-2</v>
      </c>
    </row>
    <row r="1933" spans="1:10" x14ac:dyDescent="0.25">
      <c r="A1933" s="2" t="s">
        <v>77</v>
      </c>
      <c r="B1933" s="2">
        <v>2014</v>
      </c>
      <c r="C1933" s="2" t="s">
        <v>72</v>
      </c>
      <c r="D1933" s="2" t="s">
        <v>43</v>
      </c>
      <c r="E1933" s="2" t="s">
        <v>78</v>
      </c>
      <c r="F1933" s="2" t="s">
        <v>81</v>
      </c>
      <c r="G1933" s="2">
        <f t="shared" si="30"/>
        <v>0.2611940298507463</v>
      </c>
      <c r="H1933" s="5">
        <v>4.5652173913043477</v>
      </c>
      <c r="I1933" s="2">
        <v>46</v>
      </c>
      <c r="J1933" s="12">
        <f>I1933/Pondération!$I$122</f>
        <v>5.721393034825871E-2</v>
      </c>
    </row>
    <row r="1934" spans="1:10" x14ac:dyDescent="0.25">
      <c r="A1934" s="2" t="s">
        <v>77</v>
      </c>
      <c r="B1934" s="2">
        <v>2015</v>
      </c>
      <c r="C1934" s="2" t="s">
        <v>73</v>
      </c>
      <c r="D1934" s="2" t="s">
        <v>43</v>
      </c>
      <c r="E1934" s="2" t="s">
        <v>78</v>
      </c>
      <c r="F1934" s="2" t="s">
        <v>81</v>
      </c>
      <c r="G1934" s="2">
        <f t="shared" si="30"/>
        <v>0.11895161290322581</v>
      </c>
      <c r="H1934" s="5">
        <v>4.290909090909091</v>
      </c>
      <c r="I1934" s="2">
        <v>55</v>
      </c>
      <c r="J1934" s="12">
        <f>I1934/Pondération!$H$122</f>
        <v>2.7721774193548387E-2</v>
      </c>
    </row>
    <row r="1935" spans="1:10" x14ac:dyDescent="0.25">
      <c r="A1935" s="2" t="s">
        <v>77</v>
      </c>
      <c r="B1935" s="2">
        <v>2015</v>
      </c>
      <c r="C1935" s="2" t="s">
        <v>74</v>
      </c>
      <c r="D1935" s="2" t="s">
        <v>43</v>
      </c>
      <c r="E1935" s="2" t="s">
        <v>78</v>
      </c>
      <c r="F1935" s="2" t="s">
        <v>81</v>
      </c>
      <c r="G1935" s="2">
        <f t="shared" si="30"/>
        <v>0.16078629032258066</v>
      </c>
      <c r="H1935" s="5">
        <v>4.3698630136986303</v>
      </c>
      <c r="I1935" s="2">
        <v>73</v>
      </c>
      <c r="J1935" s="12">
        <f>I1935/Pondération!$H$122</f>
        <v>3.6794354838709679E-2</v>
      </c>
    </row>
    <row r="1936" spans="1:10" x14ac:dyDescent="0.25">
      <c r="A1936" s="2" t="s">
        <v>77</v>
      </c>
      <c r="B1936" s="2">
        <v>2015</v>
      </c>
      <c r="C1936" s="2" t="s">
        <v>75</v>
      </c>
      <c r="D1936" s="2" t="s">
        <v>43</v>
      </c>
      <c r="E1936" s="2" t="s">
        <v>78</v>
      </c>
      <c r="F1936" s="2" t="s">
        <v>81</v>
      </c>
      <c r="G1936" s="2">
        <f t="shared" si="30"/>
        <v>0.19002016129032259</v>
      </c>
      <c r="H1936" s="5">
        <v>4.333333333333333</v>
      </c>
      <c r="I1936" s="2">
        <v>87</v>
      </c>
      <c r="J1936" s="12">
        <f>I1936/Pondération!$H$122</f>
        <v>4.3850806451612906E-2</v>
      </c>
    </row>
    <row r="1937" spans="1:10" x14ac:dyDescent="0.25">
      <c r="A1937" s="2" t="s">
        <v>77</v>
      </c>
      <c r="B1937" s="2">
        <v>2015</v>
      </c>
      <c r="C1937" s="2" t="s">
        <v>76</v>
      </c>
      <c r="D1937" s="2" t="s">
        <v>43</v>
      </c>
      <c r="E1937" s="2" t="s">
        <v>78</v>
      </c>
      <c r="F1937" s="2" t="s">
        <v>81</v>
      </c>
      <c r="G1937" s="2">
        <f t="shared" si="30"/>
        <v>0.21421370967741934</v>
      </c>
      <c r="H1937" s="5">
        <v>4.3367346938775508</v>
      </c>
      <c r="I1937" s="2">
        <v>98</v>
      </c>
      <c r="J1937" s="12">
        <f>I1937/Pondération!$H$122</f>
        <v>4.9395161290322578E-2</v>
      </c>
    </row>
    <row r="1938" spans="1:10" x14ac:dyDescent="0.25">
      <c r="A1938" s="2" t="s">
        <v>77</v>
      </c>
      <c r="B1938" s="2">
        <v>2015</v>
      </c>
      <c r="C1938" s="2" t="s">
        <v>7</v>
      </c>
      <c r="D1938" s="2" t="s">
        <v>43</v>
      </c>
      <c r="E1938" s="2" t="s">
        <v>78</v>
      </c>
      <c r="F1938" s="2" t="s">
        <v>81</v>
      </c>
      <c r="G1938" s="2">
        <f t="shared" si="30"/>
        <v>0.29712701612903225</v>
      </c>
      <c r="H1938" s="5">
        <v>4.3345588235294121</v>
      </c>
      <c r="I1938" s="2">
        <v>136</v>
      </c>
      <c r="J1938" s="12">
        <f>I1938/Pondération!$H$122</f>
        <v>6.8548387096774188E-2</v>
      </c>
    </row>
    <row r="1939" spans="1:10" x14ac:dyDescent="0.25">
      <c r="A1939" s="2" t="s">
        <v>77</v>
      </c>
      <c r="B1939" s="2">
        <v>2015</v>
      </c>
      <c r="C1939" s="2" t="s">
        <v>11</v>
      </c>
      <c r="D1939" s="2" t="s">
        <v>43</v>
      </c>
      <c r="E1939" s="2" t="s">
        <v>78</v>
      </c>
      <c r="F1939" s="2" t="s">
        <v>81</v>
      </c>
      <c r="G1939" s="2">
        <f t="shared" si="30"/>
        <v>0.28049395161290325</v>
      </c>
      <c r="H1939" s="5">
        <v>4.2480916030534353</v>
      </c>
      <c r="I1939" s="2">
        <v>131</v>
      </c>
      <c r="J1939" s="12">
        <f>I1939/Pondération!$H$122</f>
        <v>6.602822580645161E-2</v>
      </c>
    </row>
    <row r="1940" spans="1:10" x14ac:dyDescent="0.25">
      <c r="A1940" s="2" t="s">
        <v>77</v>
      </c>
      <c r="B1940" s="2">
        <v>2015</v>
      </c>
      <c r="C1940" s="2" t="s">
        <v>12</v>
      </c>
      <c r="D1940" s="2" t="s">
        <v>43</v>
      </c>
      <c r="E1940" s="2" t="s">
        <v>78</v>
      </c>
      <c r="F1940" s="2" t="s">
        <v>81</v>
      </c>
      <c r="G1940" s="2">
        <f t="shared" si="30"/>
        <v>0.65473790322580638</v>
      </c>
      <c r="H1940" s="5">
        <v>4.2730263157894735</v>
      </c>
      <c r="I1940" s="2">
        <v>304</v>
      </c>
      <c r="J1940" s="12">
        <f>I1940/Pondération!$H$122</f>
        <v>0.15322580645161291</v>
      </c>
    </row>
    <row r="1941" spans="1:10" x14ac:dyDescent="0.25">
      <c r="A1941" s="2" t="s">
        <v>77</v>
      </c>
      <c r="B1941" s="2">
        <v>2015</v>
      </c>
      <c r="C1941" s="2" t="s">
        <v>13</v>
      </c>
      <c r="D1941" s="2" t="s">
        <v>43</v>
      </c>
      <c r="E1941" s="2" t="s">
        <v>78</v>
      </c>
      <c r="F1941" s="2" t="s">
        <v>81</v>
      </c>
      <c r="G1941" s="2">
        <f t="shared" si="30"/>
        <v>0.977570564516129</v>
      </c>
      <c r="H1941" s="5">
        <v>4.3486547085201792</v>
      </c>
      <c r="I1941" s="2">
        <v>446</v>
      </c>
      <c r="J1941" s="12">
        <f>I1941/Pondération!$H$122</f>
        <v>0.22479838709677419</v>
      </c>
    </row>
    <row r="1942" spans="1:10" x14ac:dyDescent="0.25">
      <c r="A1942" s="2" t="s">
        <v>77</v>
      </c>
      <c r="B1942" s="2">
        <v>2015</v>
      </c>
      <c r="C1942" s="2" t="s">
        <v>14</v>
      </c>
      <c r="D1942" s="2" t="s">
        <v>43</v>
      </c>
      <c r="E1942" s="2" t="s">
        <v>78</v>
      </c>
      <c r="F1942" s="2" t="s">
        <v>81</v>
      </c>
      <c r="G1942" s="2">
        <f t="shared" si="30"/>
        <v>0.46219758064516125</v>
      </c>
      <c r="H1942" s="5">
        <v>4.4086538461538458</v>
      </c>
      <c r="I1942" s="2">
        <v>208</v>
      </c>
      <c r="J1942" s="12">
        <f>I1942/Pondération!$H$122</f>
        <v>0.10483870967741936</v>
      </c>
    </row>
    <row r="1943" spans="1:10" x14ac:dyDescent="0.25">
      <c r="A1943" s="2" t="s">
        <v>77</v>
      </c>
      <c r="B1943" s="2">
        <v>2015</v>
      </c>
      <c r="C1943" s="2" t="s">
        <v>15</v>
      </c>
      <c r="D1943" s="2" t="s">
        <v>43</v>
      </c>
      <c r="E1943" s="2" t="s">
        <v>78</v>
      </c>
      <c r="F1943" s="2" t="s">
        <v>81</v>
      </c>
      <c r="G1943" s="2">
        <f t="shared" si="30"/>
        <v>0.45010080645161288</v>
      </c>
      <c r="H1943" s="5">
        <v>4.5561224489795915</v>
      </c>
      <c r="I1943" s="2">
        <v>196</v>
      </c>
      <c r="J1943" s="12">
        <f>I1943/Pondération!$H$122</f>
        <v>9.8790322580645157E-2</v>
      </c>
    </row>
    <row r="1944" spans="1:10" x14ac:dyDescent="0.25">
      <c r="A1944" s="2" t="s">
        <v>77</v>
      </c>
      <c r="B1944" s="2">
        <v>2015</v>
      </c>
      <c r="C1944" s="2" t="s">
        <v>16</v>
      </c>
      <c r="D1944" s="2" t="s">
        <v>43</v>
      </c>
      <c r="E1944" s="2" t="s">
        <v>78</v>
      </c>
      <c r="F1944" s="2" t="s">
        <v>81</v>
      </c>
      <c r="G1944" s="2">
        <f t="shared" si="30"/>
        <v>0.23739919354838712</v>
      </c>
      <c r="H1944" s="5">
        <v>4.5288461538461542</v>
      </c>
      <c r="I1944" s="2">
        <v>104</v>
      </c>
      <c r="J1944" s="12">
        <f>I1944/Pondération!$H$122</f>
        <v>5.2419354838709679E-2</v>
      </c>
    </row>
    <row r="1945" spans="1:10" x14ac:dyDescent="0.25">
      <c r="A1945" s="2" t="s">
        <v>77</v>
      </c>
      <c r="B1945" s="2">
        <v>2015</v>
      </c>
      <c r="C1945" s="2" t="s">
        <v>17</v>
      </c>
      <c r="D1945" s="2" t="s">
        <v>43</v>
      </c>
      <c r="E1945" s="2" t="s">
        <v>78</v>
      </c>
      <c r="F1945" s="2" t="s">
        <v>81</v>
      </c>
      <c r="G1945" s="2">
        <f t="shared" si="30"/>
        <v>0.3364415322580645</v>
      </c>
      <c r="H1945" s="5">
        <v>4.5719178082191778</v>
      </c>
      <c r="I1945" s="2">
        <v>146</v>
      </c>
      <c r="J1945" s="12">
        <f>I1945/Pondération!$H$122</f>
        <v>7.3588709677419359E-2</v>
      </c>
    </row>
    <row r="1946" spans="1:10" x14ac:dyDescent="0.25">
      <c r="A1946" s="2" t="s">
        <v>77</v>
      </c>
      <c r="B1946" s="2">
        <v>2016</v>
      </c>
      <c r="C1946" s="2" t="s">
        <v>18</v>
      </c>
      <c r="D1946" s="2" t="s">
        <v>43</v>
      </c>
      <c r="E1946" s="2" t="s">
        <v>78</v>
      </c>
      <c r="F1946" s="2" t="s">
        <v>81</v>
      </c>
      <c r="G1946" s="2">
        <f t="shared" si="30"/>
        <v>0.15472719700124948</v>
      </c>
      <c r="H1946" s="5">
        <v>4.5864197530864201</v>
      </c>
      <c r="I1946" s="2">
        <v>162</v>
      </c>
      <c r="J1946" s="12">
        <f>I1946/Pondération!$G$122</f>
        <v>3.3735943356934611E-2</v>
      </c>
    </row>
    <row r="1947" spans="1:10" x14ac:dyDescent="0.25">
      <c r="A1947" s="2" t="s">
        <v>77</v>
      </c>
      <c r="B1947" s="2">
        <v>2016</v>
      </c>
      <c r="C1947" s="2" t="s">
        <v>19</v>
      </c>
      <c r="D1947" s="2" t="s">
        <v>43</v>
      </c>
      <c r="E1947" s="2" t="s">
        <v>78</v>
      </c>
      <c r="F1947" s="2" t="s">
        <v>81</v>
      </c>
      <c r="G1947" s="2">
        <f t="shared" si="30"/>
        <v>0.22792586422324032</v>
      </c>
      <c r="H1947" s="5">
        <v>4.5604166666666668</v>
      </c>
      <c r="I1947" s="2">
        <v>240</v>
      </c>
      <c r="J1947" s="12">
        <f>I1947/Pondération!$G$122</f>
        <v>4.9979175343606831E-2</v>
      </c>
    </row>
    <row r="1948" spans="1:10" x14ac:dyDescent="0.25">
      <c r="A1948" s="2" t="s">
        <v>77</v>
      </c>
      <c r="B1948" s="2">
        <v>2016</v>
      </c>
      <c r="C1948" s="2" t="s">
        <v>20</v>
      </c>
      <c r="D1948" s="2" t="s">
        <v>43</v>
      </c>
      <c r="E1948" s="2" t="s">
        <v>78</v>
      </c>
      <c r="F1948" s="2" t="s">
        <v>81</v>
      </c>
      <c r="G1948" s="2">
        <f t="shared" si="30"/>
        <v>0.27374010828821321</v>
      </c>
      <c r="H1948" s="5">
        <v>4.5801393728222992</v>
      </c>
      <c r="I1948" s="2">
        <v>287</v>
      </c>
      <c r="J1948" s="12">
        <f>I1948/Pondération!$G$122</f>
        <v>5.9766763848396499E-2</v>
      </c>
    </row>
    <row r="1949" spans="1:10" x14ac:dyDescent="0.25">
      <c r="A1949" s="2" t="s">
        <v>77</v>
      </c>
      <c r="B1949" s="2">
        <v>2016</v>
      </c>
      <c r="C1949" s="2" t="s">
        <v>21</v>
      </c>
      <c r="D1949" s="2" t="s">
        <v>43</v>
      </c>
      <c r="E1949" s="2" t="s">
        <v>78</v>
      </c>
      <c r="F1949" s="2" t="s">
        <v>81</v>
      </c>
      <c r="G1949" s="2">
        <f t="shared" si="30"/>
        <v>0.38057059558517287</v>
      </c>
      <c r="H1949" s="5">
        <v>4.5573566084788029</v>
      </c>
      <c r="I1949" s="2">
        <v>401</v>
      </c>
      <c r="J1949" s="12">
        <f>I1949/Pondération!$G$122</f>
        <v>8.3506872136609747E-2</v>
      </c>
    </row>
    <row r="1950" spans="1:10" x14ac:dyDescent="0.25">
      <c r="A1950" s="2" t="s">
        <v>77</v>
      </c>
      <c r="B1950" s="2">
        <v>2016</v>
      </c>
      <c r="C1950" s="2" t="s">
        <v>22</v>
      </c>
      <c r="D1950" s="2" t="s">
        <v>43</v>
      </c>
      <c r="E1950" s="2" t="s">
        <v>78</v>
      </c>
      <c r="F1950" s="2" t="s">
        <v>81</v>
      </c>
      <c r="G1950" s="2">
        <f t="shared" si="30"/>
        <v>0.34246147438567265</v>
      </c>
      <c r="H1950" s="5">
        <v>4.6323943661971834</v>
      </c>
      <c r="I1950" s="2">
        <v>355</v>
      </c>
      <c r="J1950" s="12">
        <f>I1950/Pondération!$G$122</f>
        <v>7.3927530195751767E-2</v>
      </c>
    </row>
    <row r="1951" spans="1:10" x14ac:dyDescent="0.25">
      <c r="A1951" s="2" t="s">
        <v>77</v>
      </c>
      <c r="B1951" s="2">
        <v>2016</v>
      </c>
      <c r="C1951" s="2" t="s">
        <v>23</v>
      </c>
      <c r="D1951" s="2" t="s">
        <v>43</v>
      </c>
      <c r="E1951" s="2" t="s">
        <v>78</v>
      </c>
      <c r="F1951" s="2" t="s">
        <v>81</v>
      </c>
      <c r="G1951" s="2">
        <f t="shared" si="30"/>
        <v>0.28071636817992501</v>
      </c>
      <c r="H1951" s="5">
        <v>4.4933333333333332</v>
      </c>
      <c r="I1951" s="2">
        <v>300</v>
      </c>
      <c r="J1951" s="12">
        <f>I1951/Pondération!$G$122</f>
        <v>6.2473969179508537E-2</v>
      </c>
    </row>
    <row r="1952" spans="1:10" x14ac:dyDescent="0.25">
      <c r="A1952" s="2" t="s">
        <v>77</v>
      </c>
      <c r="B1952" s="2">
        <v>2016</v>
      </c>
      <c r="C1952" s="2" t="s">
        <v>24</v>
      </c>
      <c r="D1952" s="2" t="s">
        <v>43</v>
      </c>
      <c r="E1952" s="2" t="s">
        <v>78</v>
      </c>
      <c r="F1952" s="2" t="s">
        <v>81</v>
      </c>
      <c r="G1952" s="2">
        <f t="shared" si="30"/>
        <v>0.53009162848812996</v>
      </c>
      <c r="H1952" s="5">
        <v>4.3963730569948183</v>
      </c>
      <c r="I1952" s="2">
        <v>579</v>
      </c>
      <c r="J1952" s="12">
        <f>I1952/Pondération!$G$122</f>
        <v>0.12057476051645148</v>
      </c>
    </row>
    <row r="1953" spans="1:10" x14ac:dyDescent="0.25">
      <c r="A1953" s="2" t="s">
        <v>77</v>
      </c>
      <c r="B1953" s="2">
        <v>2016</v>
      </c>
      <c r="C1953" s="2" t="s">
        <v>25</v>
      </c>
      <c r="D1953" s="2" t="s">
        <v>43</v>
      </c>
      <c r="E1953" s="2" t="s">
        <v>78</v>
      </c>
      <c r="F1953" s="2" t="s">
        <v>81</v>
      </c>
      <c r="G1953" s="2">
        <f t="shared" si="30"/>
        <v>1.0261349437734277</v>
      </c>
      <c r="H1953" s="5">
        <v>4.4431920649233545</v>
      </c>
      <c r="I1953" s="2">
        <v>1109</v>
      </c>
      <c r="J1953" s="12">
        <f>I1953/Pondération!$G$122</f>
        <v>0.23094543940024989</v>
      </c>
    </row>
    <row r="1954" spans="1:10" x14ac:dyDescent="0.25">
      <c r="A1954" s="2" t="s">
        <v>77</v>
      </c>
      <c r="B1954" s="2">
        <v>2016</v>
      </c>
      <c r="C1954" s="2" t="s">
        <v>26</v>
      </c>
      <c r="D1954" s="2" t="s">
        <v>43</v>
      </c>
      <c r="E1954" s="2" t="s">
        <v>78</v>
      </c>
      <c r="F1954" s="2" t="s">
        <v>81</v>
      </c>
      <c r="G1954" s="2">
        <f t="shared" si="30"/>
        <v>0.36172428154935443</v>
      </c>
      <c r="H1954" s="5">
        <v>4.4883720930232558</v>
      </c>
      <c r="I1954" s="2">
        <v>387</v>
      </c>
      <c r="J1954" s="12">
        <f>I1954/Pondération!$G$122</f>
        <v>8.0591420241566014E-2</v>
      </c>
    </row>
    <row r="1955" spans="1:10" x14ac:dyDescent="0.25">
      <c r="A1955" s="2" t="s">
        <v>77</v>
      </c>
      <c r="B1955" s="2">
        <v>2016</v>
      </c>
      <c r="C1955" s="2" t="s">
        <v>27</v>
      </c>
      <c r="D1955" s="2" t="s">
        <v>43</v>
      </c>
      <c r="E1955" s="2" t="s">
        <v>78</v>
      </c>
      <c r="F1955" s="2" t="s">
        <v>81</v>
      </c>
      <c r="G1955" s="2">
        <f t="shared" si="30"/>
        <v>0.32288629737609331</v>
      </c>
      <c r="H1955" s="5">
        <v>4.5872781065088759</v>
      </c>
      <c r="I1955" s="2">
        <v>338</v>
      </c>
      <c r="J1955" s="12">
        <f>I1955/Pondération!$G$122</f>
        <v>7.0387338608912955E-2</v>
      </c>
    </row>
    <row r="1956" spans="1:10" x14ac:dyDescent="0.25">
      <c r="A1956" s="2" t="s">
        <v>77</v>
      </c>
      <c r="B1956" s="2">
        <v>2016</v>
      </c>
      <c r="C1956" s="2" t="s">
        <v>28</v>
      </c>
      <c r="D1956" s="2" t="s">
        <v>43</v>
      </c>
      <c r="E1956" s="2" t="s">
        <v>78</v>
      </c>
      <c r="F1956" s="2" t="s">
        <v>81</v>
      </c>
      <c r="G1956" s="2">
        <f t="shared" si="30"/>
        <v>0.34485630987088717</v>
      </c>
      <c r="H1956" s="5">
        <v>4.6779661016949152</v>
      </c>
      <c r="I1956" s="2">
        <v>354</v>
      </c>
      <c r="J1956" s="12">
        <f>I1956/Pondération!$G$122</f>
        <v>7.3719283631820079E-2</v>
      </c>
    </row>
    <row r="1957" spans="1:10" x14ac:dyDescent="0.25">
      <c r="A1957" s="2" t="s">
        <v>77</v>
      </c>
      <c r="B1957" s="2">
        <v>2016</v>
      </c>
      <c r="C1957" s="2" t="s">
        <v>29</v>
      </c>
      <c r="D1957" s="2" t="s">
        <v>43</v>
      </c>
      <c r="E1957" s="2" t="s">
        <v>78</v>
      </c>
      <c r="F1957" s="2" t="s">
        <v>81</v>
      </c>
      <c r="G1957" s="2">
        <f t="shared" si="30"/>
        <v>0.2791545189504373</v>
      </c>
      <c r="H1957" s="5">
        <v>4.6224137931034486</v>
      </c>
      <c r="I1957" s="2">
        <v>290</v>
      </c>
      <c r="J1957" s="12">
        <f>I1957/Pondération!$G$122</f>
        <v>6.0391503540191585E-2</v>
      </c>
    </row>
    <row r="1958" spans="1:10" x14ac:dyDescent="0.25">
      <c r="A1958" s="2" t="s">
        <v>77</v>
      </c>
      <c r="B1958" s="2">
        <v>2017</v>
      </c>
      <c r="C1958" s="2" t="s">
        <v>30</v>
      </c>
      <c r="D1958" s="2" t="s">
        <v>43</v>
      </c>
      <c r="E1958" s="2" t="s">
        <v>78</v>
      </c>
      <c r="F1958" s="2" t="s">
        <v>81</v>
      </c>
      <c r="G1958" s="2">
        <f t="shared" si="30"/>
        <v>0.55397849462365589</v>
      </c>
      <c r="H1958" s="5">
        <v>4.6330935251798557</v>
      </c>
      <c r="I1958" s="2">
        <v>278</v>
      </c>
      <c r="J1958" s="12">
        <f>I1958/Pondération!$F$122</f>
        <v>0.11956989247311828</v>
      </c>
    </row>
    <row r="1959" spans="1:10" x14ac:dyDescent="0.25">
      <c r="A1959" s="2" t="s">
        <v>77</v>
      </c>
      <c r="B1959" s="2">
        <v>2017</v>
      </c>
      <c r="C1959" s="2" t="s">
        <v>31</v>
      </c>
      <c r="D1959" s="2" t="s">
        <v>43</v>
      </c>
      <c r="E1959" s="2" t="s">
        <v>78</v>
      </c>
      <c r="F1959" s="2" t="s">
        <v>81</v>
      </c>
      <c r="G1959" s="2">
        <f t="shared" si="30"/>
        <v>0.78709677419354851</v>
      </c>
      <c r="H1959" s="5">
        <v>4.6923076923076925</v>
      </c>
      <c r="I1959" s="2">
        <v>390</v>
      </c>
      <c r="J1959" s="12">
        <f>I1959/Pondération!$F$122</f>
        <v>0.16774193548387098</v>
      </c>
    </row>
    <row r="1960" spans="1:10" x14ac:dyDescent="0.25">
      <c r="A1960" s="2" t="s">
        <v>77</v>
      </c>
      <c r="B1960" s="2">
        <v>2017</v>
      </c>
      <c r="C1960" s="2" t="s">
        <v>32</v>
      </c>
      <c r="D1960" s="2" t="s">
        <v>43</v>
      </c>
      <c r="E1960" s="2" t="s">
        <v>78</v>
      </c>
      <c r="F1960" s="2" t="s">
        <v>81</v>
      </c>
      <c r="G1960" s="2">
        <f t="shared" si="30"/>
        <v>0.91268817204301078</v>
      </c>
      <c r="H1960" s="5">
        <v>4.7260579064587978</v>
      </c>
      <c r="I1960" s="2">
        <v>449</v>
      </c>
      <c r="J1960" s="12">
        <f>I1960/Pondération!$F$122</f>
        <v>0.19311827956989247</v>
      </c>
    </row>
    <row r="1961" spans="1:10" x14ac:dyDescent="0.25">
      <c r="A1961" s="2" t="s">
        <v>77</v>
      </c>
      <c r="B1961" s="2">
        <v>2017</v>
      </c>
      <c r="C1961" s="2" t="s">
        <v>33</v>
      </c>
      <c r="D1961" s="2" t="s">
        <v>43</v>
      </c>
      <c r="E1961" s="2" t="s">
        <v>78</v>
      </c>
      <c r="F1961" s="2" t="s">
        <v>81</v>
      </c>
      <c r="G1961" s="2">
        <f t="shared" si="30"/>
        <v>1.1374193548387097</v>
      </c>
      <c r="H1961" s="5">
        <v>4.6888297872340425</v>
      </c>
      <c r="I1961" s="2">
        <v>564</v>
      </c>
      <c r="J1961" s="12">
        <f>I1961/Pondération!$F$122</f>
        <v>0.24258064516129033</v>
      </c>
    </row>
    <row r="1962" spans="1:10" x14ac:dyDescent="0.25">
      <c r="A1962" s="2" t="s">
        <v>77</v>
      </c>
      <c r="B1962" s="2">
        <v>2017</v>
      </c>
      <c r="C1962" s="2" t="s">
        <v>34</v>
      </c>
      <c r="D1962" s="2" t="s">
        <v>43</v>
      </c>
      <c r="E1962" s="2" t="s">
        <v>78</v>
      </c>
      <c r="F1962" s="2" t="s">
        <v>81</v>
      </c>
      <c r="G1962" s="2">
        <f t="shared" si="30"/>
        <v>0.92430107526881711</v>
      </c>
      <c r="H1962" s="5">
        <v>4.6515151515151514</v>
      </c>
      <c r="I1962" s="2">
        <v>462</v>
      </c>
      <c r="J1962" s="12">
        <f>I1962/Pondération!$F$122</f>
        <v>0.19870967741935483</v>
      </c>
    </row>
    <row r="1963" spans="1:10" x14ac:dyDescent="0.25">
      <c r="A1963" s="2" t="s">
        <v>77</v>
      </c>
      <c r="B1963" s="2">
        <v>2017</v>
      </c>
      <c r="C1963" s="2" t="s">
        <v>80</v>
      </c>
      <c r="D1963" s="2" t="s">
        <v>43</v>
      </c>
      <c r="E1963" s="2" t="s">
        <v>78</v>
      </c>
      <c r="F1963" s="2" t="s">
        <v>81</v>
      </c>
      <c r="G1963" s="2">
        <f t="shared" si="30"/>
        <v>0.35677419354838708</v>
      </c>
      <c r="H1963" s="5">
        <v>4.5576923076923075</v>
      </c>
      <c r="I1963" s="2">
        <v>182</v>
      </c>
      <c r="J1963" s="12">
        <f>I1963/Pondération!$F$122</f>
        <v>7.8279569892473116E-2</v>
      </c>
    </row>
    <row r="1964" spans="1:10" x14ac:dyDescent="0.25">
      <c r="A1964" s="2" t="s">
        <v>77</v>
      </c>
      <c r="B1964" s="2">
        <v>2013</v>
      </c>
      <c r="C1964" s="2" t="s">
        <v>49</v>
      </c>
      <c r="D1964" s="2" t="s">
        <v>43</v>
      </c>
      <c r="E1964" s="2" t="s">
        <v>78</v>
      </c>
      <c r="F1964" s="2" t="s">
        <v>83</v>
      </c>
      <c r="G1964" s="2">
        <f t="shared" si="30"/>
        <v>5.4216867469879519E-2</v>
      </c>
      <c r="H1964" s="5">
        <v>4.5</v>
      </c>
      <c r="I1964" s="2">
        <v>2</v>
      </c>
      <c r="J1964" s="12">
        <f>I1964/Pondération!$J$123</f>
        <v>1.2048192771084338E-2</v>
      </c>
    </row>
    <row r="1965" spans="1:10" x14ac:dyDescent="0.25">
      <c r="A1965" s="2" t="s">
        <v>77</v>
      </c>
      <c r="B1965" s="2">
        <v>2013</v>
      </c>
      <c r="C1965" s="2" t="s">
        <v>50</v>
      </c>
      <c r="D1965" s="2" t="s">
        <v>43</v>
      </c>
      <c r="E1965" s="2" t="s">
        <v>78</v>
      </c>
      <c r="F1965" s="2" t="s">
        <v>83</v>
      </c>
      <c r="G1965" s="2">
        <f t="shared" si="30"/>
        <v>0.10843373493975904</v>
      </c>
      <c r="H1965" s="5">
        <v>4.5</v>
      </c>
      <c r="I1965" s="2">
        <v>4</v>
      </c>
      <c r="J1965" s="12">
        <f>I1965/Pondération!$J$123</f>
        <v>2.4096385542168676E-2</v>
      </c>
    </row>
    <row r="1966" spans="1:10" x14ac:dyDescent="0.25">
      <c r="A1966" s="2" t="s">
        <v>77</v>
      </c>
      <c r="B1966" s="2">
        <v>2013</v>
      </c>
      <c r="C1966" s="2" t="s">
        <v>51</v>
      </c>
      <c r="D1966" s="2" t="s">
        <v>43</v>
      </c>
      <c r="E1966" s="2" t="s">
        <v>78</v>
      </c>
      <c r="F1966" s="2" t="s">
        <v>83</v>
      </c>
      <c r="G1966" s="2">
        <f t="shared" si="30"/>
        <v>0.16265060240963855</v>
      </c>
      <c r="H1966" s="5">
        <v>4.5</v>
      </c>
      <c r="I1966" s="2">
        <v>6</v>
      </c>
      <c r="J1966" s="12">
        <f>I1966/Pondération!$J$123</f>
        <v>3.614457831325301E-2</v>
      </c>
    </row>
    <row r="1967" spans="1:10" x14ac:dyDescent="0.25">
      <c r="A1967" s="2" t="s">
        <v>77</v>
      </c>
      <c r="B1967" s="2">
        <v>2013</v>
      </c>
      <c r="C1967" s="2" t="s">
        <v>52</v>
      </c>
      <c r="D1967" s="2" t="s">
        <v>43</v>
      </c>
      <c r="E1967" s="2" t="s">
        <v>78</v>
      </c>
      <c r="F1967" s="2" t="s">
        <v>83</v>
      </c>
      <c r="G1967" s="2">
        <f t="shared" si="30"/>
        <v>0.16566265060240962</v>
      </c>
      <c r="H1967" s="5">
        <v>4.583333333333333</v>
      </c>
      <c r="I1967" s="2">
        <v>6</v>
      </c>
      <c r="J1967" s="12">
        <f>I1967/Pondération!$J$123</f>
        <v>3.614457831325301E-2</v>
      </c>
    </row>
    <row r="1968" spans="1:10" x14ac:dyDescent="0.25">
      <c r="A1968" s="2" t="s">
        <v>77</v>
      </c>
      <c r="B1968" s="2">
        <v>2013</v>
      </c>
      <c r="C1968" s="2" t="s">
        <v>53</v>
      </c>
      <c r="D1968" s="2" t="s">
        <v>43</v>
      </c>
      <c r="E1968" s="2" t="s">
        <v>78</v>
      </c>
      <c r="F1968" s="2" t="s">
        <v>83</v>
      </c>
      <c r="G1968" s="2">
        <f t="shared" si="30"/>
        <v>0.44277108433734935</v>
      </c>
      <c r="H1968" s="5">
        <v>4.3235294117647056</v>
      </c>
      <c r="I1968" s="2">
        <v>17</v>
      </c>
      <c r="J1968" s="12">
        <f>I1968/Pondération!$J$123</f>
        <v>0.10240963855421686</v>
      </c>
    </row>
    <row r="1969" spans="1:10" x14ac:dyDescent="0.25">
      <c r="A1969" s="2" t="s">
        <v>77</v>
      </c>
      <c r="B1969" s="2">
        <v>2013</v>
      </c>
      <c r="C1969" s="2" t="s">
        <v>54</v>
      </c>
      <c r="D1969" s="2" t="s">
        <v>43</v>
      </c>
      <c r="E1969" s="2" t="s">
        <v>78</v>
      </c>
      <c r="F1969" s="2" t="s">
        <v>83</v>
      </c>
      <c r="G1969" s="2">
        <f t="shared" si="30"/>
        <v>0.18674698795180722</v>
      </c>
      <c r="H1969" s="5">
        <v>4.4285714285714288</v>
      </c>
      <c r="I1969" s="2">
        <v>7</v>
      </c>
      <c r="J1969" s="12">
        <f>I1969/Pondération!$J$123</f>
        <v>4.2168674698795178E-2</v>
      </c>
    </row>
    <row r="1970" spans="1:10" x14ac:dyDescent="0.25">
      <c r="A1970" s="2" t="s">
        <v>77</v>
      </c>
      <c r="B1970" s="2">
        <v>2013</v>
      </c>
      <c r="C1970" s="2" t="s">
        <v>55</v>
      </c>
      <c r="D1970" s="2" t="s">
        <v>43</v>
      </c>
      <c r="E1970" s="2" t="s">
        <v>78</v>
      </c>
      <c r="F1970" s="2" t="s">
        <v>83</v>
      </c>
      <c r="G1970" s="2">
        <f t="shared" si="30"/>
        <v>0.51506024096385539</v>
      </c>
      <c r="H1970" s="5">
        <v>4.5</v>
      </c>
      <c r="I1970" s="2">
        <v>19</v>
      </c>
      <c r="J1970" s="12">
        <f>I1970/Pondération!$J$123</f>
        <v>0.1144578313253012</v>
      </c>
    </row>
    <row r="1971" spans="1:10" x14ac:dyDescent="0.25">
      <c r="A1971" s="2" t="s">
        <v>77</v>
      </c>
      <c r="B1971" s="2">
        <v>2013</v>
      </c>
      <c r="C1971" s="2" t="s">
        <v>56</v>
      </c>
      <c r="D1971" s="2" t="s">
        <v>43</v>
      </c>
      <c r="E1971" s="2" t="s">
        <v>78</v>
      </c>
      <c r="F1971" s="2" t="s">
        <v>83</v>
      </c>
      <c r="G1971" s="2">
        <f t="shared" si="30"/>
        <v>0.99698795180722888</v>
      </c>
      <c r="H1971" s="5">
        <v>4.4729729729729728</v>
      </c>
      <c r="I1971" s="2">
        <v>37</v>
      </c>
      <c r="J1971" s="12">
        <f>I1971/Pondération!$J$123</f>
        <v>0.22289156626506024</v>
      </c>
    </row>
    <row r="1972" spans="1:10" x14ac:dyDescent="0.25">
      <c r="A1972" s="2" t="s">
        <v>77</v>
      </c>
      <c r="B1972" s="2">
        <v>2013</v>
      </c>
      <c r="C1972" s="2" t="s">
        <v>57</v>
      </c>
      <c r="D1972" s="2" t="s">
        <v>43</v>
      </c>
      <c r="E1972" s="2" t="s">
        <v>78</v>
      </c>
      <c r="F1972" s="2" t="s">
        <v>83</v>
      </c>
      <c r="G1972" s="2">
        <f t="shared" si="30"/>
        <v>0.45783132530120479</v>
      </c>
      <c r="H1972" s="5">
        <v>4.4705882352941178</v>
      </c>
      <c r="I1972" s="2">
        <v>17</v>
      </c>
      <c r="J1972" s="12">
        <f>I1972/Pondération!$J$123</f>
        <v>0.10240963855421686</v>
      </c>
    </row>
    <row r="1973" spans="1:10" x14ac:dyDescent="0.25">
      <c r="A1973" s="2" t="s">
        <v>77</v>
      </c>
      <c r="B1973" s="2">
        <v>2013</v>
      </c>
      <c r="C1973" s="2" t="s">
        <v>58</v>
      </c>
      <c r="D1973" s="2" t="s">
        <v>43</v>
      </c>
      <c r="E1973" s="2" t="s">
        <v>78</v>
      </c>
      <c r="F1973" s="2" t="s">
        <v>83</v>
      </c>
      <c r="G1973" s="2">
        <f t="shared" si="30"/>
        <v>0.69578313253012058</v>
      </c>
      <c r="H1973" s="5">
        <v>4.4423076923076925</v>
      </c>
      <c r="I1973" s="2">
        <v>26</v>
      </c>
      <c r="J1973" s="12">
        <f>I1973/Pondération!$J$123</f>
        <v>0.15662650602409639</v>
      </c>
    </row>
    <row r="1974" spans="1:10" x14ac:dyDescent="0.25">
      <c r="A1974" s="2" t="s">
        <v>77</v>
      </c>
      <c r="B1974" s="2">
        <v>2013</v>
      </c>
      <c r="C1974" s="2" t="s">
        <v>59</v>
      </c>
      <c r="D1974" s="2" t="s">
        <v>43</v>
      </c>
      <c r="E1974" s="2" t="s">
        <v>78</v>
      </c>
      <c r="F1974" s="2" t="s">
        <v>83</v>
      </c>
      <c r="G1974" s="2">
        <f t="shared" si="30"/>
        <v>0.46686746987951805</v>
      </c>
      <c r="H1974" s="5">
        <v>4.3055555555555554</v>
      </c>
      <c r="I1974" s="2">
        <v>18</v>
      </c>
      <c r="J1974" s="12">
        <f>I1974/Pondération!$J$123</f>
        <v>0.10843373493975904</v>
      </c>
    </row>
    <row r="1975" spans="1:10" x14ac:dyDescent="0.25">
      <c r="A1975" s="2" t="s">
        <v>77</v>
      </c>
      <c r="B1975" s="2">
        <v>2013</v>
      </c>
      <c r="C1975" s="2" t="s">
        <v>60</v>
      </c>
      <c r="D1975" s="2" t="s">
        <v>43</v>
      </c>
      <c r="E1975" s="2" t="s">
        <v>78</v>
      </c>
      <c r="F1975" s="2" t="s">
        <v>83</v>
      </c>
      <c r="G1975" s="2">
        <f t="shared" si="30"/>
        <v>0.18975903614457829</v>
      </c>
      <c r="H1975" s="5">
        <v>4.5</v>
      </c>
      <c r="I1975" s="2">
        <v>7</v>
      </c>
      <c r="J1975" s="12">
        <f>I1975/Pondération!$J$123</f>
        <v>4.2168674698795178E-2</v>
      </c>
    </row>
    <row r="1976" spans="1:10" x14ac:dyDescent="0.25">
      <c r="A1976" s="2" t="s">
        <v>77</v>
      </c>
      <c r="B1976" s="2">
        <v>2014</v>
      </c>
      <c r="C1976" s="2" t="s">
        <v>61</v>
      </c>
      <c r="D1976" s="2" t="s">
        <v>43</v>
      </c>
      <c r="E1976" s="2" t="s">
        <v>78</v>
      </c>
      <c r="F1976" s="2" t="s">
        <v>83</v>
      </c>
      <c r="G1976" s="2">
        <f t="shared" si="30"/>
        <v>8.1567796610169496E-2</v>
      </c>
      <c r="H1976" s="5">
        <v>4.2777777777777777</v>
      </c>
      <c r="I1976" s="2">
        <v>9</v>
      </c>
      <c r="J1976" s="12">
        <f>I1976/Pondération!$I$123</f>
        <v>1.9067796610169493E-2</v>
      </c>
    </row>
    <row r="1977" spans="1:10" x14ac:dyDescent="0.25">
      <c r="A1977" s="2" t="s">
        <v>77</v>
      </c>
      <c r="B1977" s="2">
        <v>2014</v>
      </c>
      <c r="C1977" s="2" t="s">
        <v>62</v>
      </c>
      <c r="D1977" s="2" t="s">
        <v>43</v>
      </c>
      <c r="E1977" s="2" t="s">
        <v>78</v>
      </c>
      <c r="F1977" s="2" t="s">
        <v>83</v>
      </c>
      <c r="G1977" s="2">
        <f t="shared" si="30"/>
        <v>9.5338983050847453E-2</v>
      </c>
      <c r="H1977" s="5">
        <v>4.5</v>
      </c>
      <c r="I1977" s="2">
        <v>10</v>
      </c>
      <c r="J1977" s="12">
        <f>I1977/Pondération!$I$123</f>
        <v>2.1186440677966101E-2</v>
      </c>
    </row>
    <row r="1978" spans="1:10" x14ac:dyDescent="0.25">
      <c r="A1978" s="2" t="s">
        <v>77</v>
      </c>
      <c r="B1978" s="2">
        <v>2014</v>
      </c>
      <c r="C1978" s="2" t="s">
        <v>63</v>
      </c>
      <c r="D1978" s="2" t="s">
        <v>43</v>
      </c>
      <c r="E1978" s="2" t="s">
        <v>78</v>
      </c>
      <c r="F1978" s="2" t="s">
        <v>83</v>
      </c>
      <c r="G1978" s="2">
        <f t="shared" si="30"/>
        <v>0.11334745762711865</v>
      </c>
      <c r="H1978" s="5">
        <v>4.458333333333333</v>
      </c>
      <c r="I1978" s="2">
        <v>12</v>
      </c>
      <c r="J1978" s="12">
        <f>I1978/Pondération!$I$123</f>
        <v>2.5423728813559324E-2</v>
      </c>
    </row>
    <row r="1979" spans="1:10" x14ac:dyDescent="0.25">
      <c r="A1979" s="2" t="s">
        <v>77</v>
      </c>
      <c r="B1979" s="2">
        <v>2014</v>
      </c>
      <c r="C1979" s="2" t="s">
        <v>64</v>
      </c>
      <c r="D1979" s="2" t="s">
        <v>43</v>
      </c>
      <c r="E1979" s="2" t="s">
        <v>78</v>
      </c>
      <c r="F1979" s="2" t="s">
        <v>83</v>
      </c>
      <c r="G1979" s="2">
        <f t="shared" si="30"/>
        <v>0.15466101694915255</v>
      </c>
      <c r="H1979" s="5">
        <v>4.5625</v>
      </c>
      <c r="I1979" s="2">
        <v>16</v>
      </c>
      <c r="J1979" s="12">
        <f>I1979/Pondération!$I$123</f>
        <v>3.3898305084745763E-2</v>
      </c>
    </row>
    <row r="1980" spans="1:10" x14ac:dyDescent="0.25">
      <c r="A1980" s="2" t="s">
        <v>77</v>
      </c>
      <c r="B1980" s="2">
        <v>2014</v>
      </c>
      <c r="C1980" s="2" t="s">
        <v>65</v>
      </c>
      <c r="D1980" s="2" t="s">
        <v>43</v>
      </c>
      <c r="E1980" s="2" t="s">
        <v>78</v>
      </c>
      <c r="F1980" s="2" t="s">
        <v>83</v>
      </c>
      <c r="G1980" s="2">
        <f t="shared" si="30"/>
        <v>0.27330508474576271</v>
      </c>
      <c r="H1980" s="5">
        <v>4.4482758620689653</v>
      </c>
      <c r="I1980" s="2">
        <v>29</v>
      </c>
      <c r="J1980" s="12">
        <f>I1980/Pondération!$I$123</f>
        <v>6.1440677966101698E-2</v>
      </c>
    </row>
    <row r="1981" spans="1:10" x14ac:dyDescent="0.25">
      <c r="A1981" s="2" t="s">
        <v>77</v>
      </c>
      <c r="B1981" s="2">
        <v>2014</v>
      </c>
      <c r="C1981" s="2" t="s">
        <v>66</v>
      </c>
      <c r="D1981" s="2" t="s">
        <v>43</v>
      </c>
      <c r="E1981" s="2" t="s">
        <v>78</v>
      </c>
      <c r="F1981" s="2" t="s">
        <v>83</v>
      </c>
      <c r="G1981" s="2">
        <f t="shared" si="30"/>
        <v>0.23305084745762714</v>
      </c>
      <c r="H1981" s="5">
        <v>4.4000000000000004</v>
      </c>
      <c r="I1981" s="2">
        <v>25</v>
      </c>
      <c r="J1981" s="12">
        <f>I1981/Pondération!$I$123</f>
        <v>5.2966101694915252E-2</v>
      </c>
    </row>
    <row r="1982" spans="1:10" x14ac:dyDescent="0.25">
      <c r="A1982" s="2" t="s">
        <v>77</v>
      </c>
      <c r="B1982" s="2">
        <v>2014</v>
      </c>
      <c r="C1982" s="2" t="s">
        <v>67</v>
      </c>
      <c r="D1982" s="2" t="s">
        <v>43</v>
      </c>
      <c r="E1982" s="2" t="s">
        <v>78</v>
      </c>
      <c r="F1982" s="2" t="s">
        <v>83</v>
      </c>
      <c r="G1982" s="2">
        <f t="shared" si="30"/>
        <v>0.52118644067796616</v>
      </c>
      <c r="H1982" s="5">
        <v>4.3157894736842106</v>
      </c>
      <c r="I1982" s="2">
        <v>57</v>
      </c>
      <c r="J1982" s="12">
        <f>I1982/Pondération!$I$123</f>
        <v>0.12076271186440678</v>
      </c>
    </row>
    <row r="1983" spans="1:10" x14ac:dyDescent="0.25">
      <c r="A1983" s="2" t="s">
        <v>77</v>
      </c>
      <c r="B1983" s="2">
        <v>2014</v>
      </c>
      <c r="C1983" s="2" t="s">
        <v>68</v>
      </c>
      <c r="D1983" s="2" t="s">
        <v>43</v>
      </c>
      <c r="E1983" s="2" t="s">
        <v>78</v>
      </c>
      <c r="F1983" s="2" t="s">
        <v>83</v>
      </c>
      <c r="G1983" s="2">
        <f t="shared" si="30"/>
        <v>1.2733050847457628</v>
      </c>
      <c r="H1983" s="5">
        <v>4.4191176470588234</v>
      </c>
      <c r="I1983" s="2">
        <v>136</v>
      </c>
      <c r="J1983" s="12">
        <f>I1983/Pondération!$I$123</f>
        <v>0.28813559322033899</v>
      </c>
    </row>
    <row r="1984" spans="1:10" x14ac:dyDescent="0.25">
      <c r="A1984" s="2" t="s">
        <v>77</v>
      </c>
      <c r="B1984" s="2">
        <v>2014</v>
      </c>
      <c r="C1984" s="2" t="s">
        <v>69</v>
      </c>
      <c r="D1984" s="2" t="s">
        <v>43</v>
      </c>
      <c r="E1984" s="2" t="s">
        <v>78</v>
      </c>
      <c r="F1984" s="2" t="s">
        <v>83</v>
      </c>
      <c r="G1984" s="2">
        <f t="shared" si="30"/>
        <v>0.63771186440677963</v>
      </c>
      <c r="H1984" s="5">
        <v>4.36231884057971</v>
      </c>
      <c r="I1984" s="2">
        <v>69</v>
      </c>
      <c r="J1984" s="12">
        <f>I1984/Pondération!$I$123</f>
        <v>0.1461864406779661</v>
      </c>
    </row>
    <row r="1985" spans="1:10" x14ac:dyDescent="0.25">
      <c r="A1985" s="2" t="s">
        <v>77</v>
      </c>
      <c r="B1985" s="2">
        <v>2014</v>
      </c>
      <c r="C1985" s="2" t="s">
        <v>70</v>
      </c>
      <c r="D1985" s="2" t="s">
        <v>43</v>
      </c>
      <c r="E1985" s="2" t="s">
        <v>78</v>
      </c>
      <c r="F1985" s="2" t="s">
        <v>83</v>
      </c>
      <c r="G1985" s="2">
        <f t="shared" si="30"/>
        <v>0.33898305084745767</v>
      </c>
      <c r="H1985" s="5">
        <v>4.3243243243243246</v>
      </c>
      <c r="I1985" s="2">
        <v>37</v>
      </c>
      <c r="J1985" s="12">
        <f>I1985/Pondération!$I$123</f>
        <v>7.8389830508474576E-2</v>
      </c>
    </row>
    <row r="1986" spans="1:10" x14ac:dyDescent="0.25">
      <c r="A1986" s="2" t="s">
        <v>77</v>
      </c>
      <c r="B1986" s="2">
        <v>2014</v>
      </c>
      <c r="C1986" s="2" t="s">
        <v>71</v>
      </c>
      <c r="D1986" s="2" t="s">
        <v>43</v>
      </c>
      <c r="E1986" s="2" t="s">
        <v>78</v>
      </c>
      <c r="F1986" s="2" t="s">
        <v>83</v>
      </c>
      <c r="G1986" s="2">
        <f t="shared" ref="G1986:G2049" si="31">H1986*J1986</f>
        <v>0.40148305084745756</v>
      </c>
      <c r="H1986" s="5">
        <v>4.4069767441860463</v>
      </c>
      <c r="I1986" s="2">
        <v>43</v>
      </c>
      <c r="J1986" s="12">
        <f>I1986/Pondération!$I$123</f>
        <v>9.110169491525423E-2</v>
      </c>
    </row>
    <row r="1987" spans="1:10" x14ac:dyDescent="0.25">
      <c r="A1987" s="2" t="s">
        <v>77</v>
      </c>
      <c r="B1987" s="2">
        <v>2014</v>
      </c>
      <c r="C1987" s="2" t="s">
        <v>72</v>
      </c>
      <c r="D1987" s="2" t="s">
        <v>43</v>
      </c>
      <c r="E1987" s="2" t="s">
        <v>78</v>
      </c>
      <c r="F1987" s="2" t="s">
        <v>83</v>
      </c>
      <c r="G1987" s="2">
        <f t="shared" si="31"/>
        <v>0.27542372881355931</v>
      </c>
      <c r="H1987" s="5">
        <v>4.4827586206896548</v>
      </c>
      <c r="I1987" s="2">
        <v>29</v>
      </c>
      <c r="J1987" s="12">
        <f>I1987/Pondération!$I$123</f>
        <v>6.1440677966101698E-2</v>
      </c>
    </row>
    <row r="1988" spans="1:10" x14ac:dyDescent="0.25">
      <c r="A1988" s="2" t="s">
        <v>77</v>
      </c>
      <c r="B1988" s="2">
        <v>2015</v>
      </c>
      <c r="C1988" s="2" t="s">
        <v>73</v>
      </c>
      <c r="D1988" s="2" t="s">
        <v>43</v>
      </c>
      <c r="E1988" s="2" t="s">
        <v>78</v>
      </c>
      <c r="F1988" s="2" t="s">
        <v>83</v>
      </c>
      <c r="G1988" s="2">
        <f t="shared" si="31"/>
        <v>6.9940476190476192E-2</v>
      </c>
      <c r="H1988" s="5">
        <v>4.4761904761904763</v>
      </c>
      <c r="I1988" s="2">
        <v>21</v>
      </c>
      <c r="J1988" s="12">
        <f>I1988/Pondération!$H$123</f>
        <v>1.5625E-2</v>
      </c>
    </row>
    <row r="1989" spans="1:10" x14ac:dyDescent="0.25">
      <c r="A1989" s="2" t="s">
        <v>77</v>
      </c>
      <c r="B1989" s="2">
        <v>2015</v>
      </c>
      <c r="C1989" s="2" t="s">
        <v>74</v>
      </c>
      <c r="D1989" s="2" t="s">
        <v>43</v>
      </c>
      <c r="E1989" s="2" t="s">
        <v>78</v>
      </c>
      <c r="F1989" s="2" t="s">
        <v>83</v>
      </c>
      <c r="G1989" s="2">
        <f t="shared" si="31"/>
        <v>0.11867559523809523</v>
      </c>
      <c r="H1989" s="5">
        <v>4.5571428571428569</v>
      </c>
      <c r="I1989" s="2">
        <v>35</v>
      </c>
      <c r="J1989" s="12">
        <f>I1989/Pondération!$H$123</f>
        <v>2.6041666666666668E-2</v>
      </c>
    </row>
    <row r="1990" spans="1:10" x14ac:dyDescent="0.25">
      <c r="A1990" s="2" t="s">
        <v>77</v>
      </c>
      <c r="B1990" s="2">
        <v>2015</v>
      </c>
      <c r="C1990" s="2" t="s">
        <v>75</v>
      </c>
      <c r="D1990" s="2" t="s">
        <v>43</v>
      </c>
      <c r="E1990" s="2" t="s">
        <v>78</v>
      </c>
      <c r="F1990" s="2" t="s">
        <v>83</v>
      </c>
      <c r="G1990" s="2">
        <f t="shared" si="31"/>
        <v>7.6264880952380959E-2</v>
      </c>
      <c r="H1990" s="5">
        <v>4.4565217391304346</v>
      </c>
      <c r="I1990" s="2">
        <v>23</v>
      </c>
      <c r="J1990" s="12">
        <f>I1990/Pondération!$H$123</f>
        <v>1.711309523809524E-2</v>
      </c>
    </row>
    <row r="1991" spans="1:10" x14ac:dyDescent="0.25">
      <c r="A1991" s="2" t="s">
        <v>77</v>
      </c>
      <c r="B1991" s="2">
        <v>2015</v>
      </c>
      <c r="C1991" s="2" t="s">
        <v>76</v>
      </c>
      <c r="D1991" s="2" t="s">
        <v>43</v>
      </c>
      <c r="E1991" s="2" t="s">
        <v>78</v>
      </c>
      <c r="F1991" s="2" t="s">
        <v>83</v>
      </c>
      <c r="G1991" s="2">
        <f t="shared" si="31"/>
        <v>0.24069940476190477</v>
      </c>
      <c r="H1991" s="5">
        <v>4.556338028169014</v>
      </c>
      <c r="I1991" s="2">
        <v>71</v>
      </c>
      <c r="J1991" s="12">
        <f>I1991/Pondération!$H$123</f>
        <v>5.2827380952380952E-2</v>
      </c>
    </row>
    <row r="1992" spans="1:10" x14ac:dyDescent="0.25">
      <c r="A1992" s="2" t="s">
        <v>77</v>
      </c>
      <c r="B1992" s="2">
        <v>2015</v>
      </c>
      <c r="C1992" s="2" t="s">
        <v>7</v>
      </c>
      <c r="D1992" s="2" t="s">
        <v>43</v>
      </c>
      <c r="E1992" s="2" t="s">
        <v>78</v>
      </c>
      <c r="F1992" s="2" t="s">
        <v>83</v>
      </c>
      <c r="G1992" s="2">
        <f t="shared" si="31"/>
        <v>0.3950892857142857</v>
      </c>
      <c r="H1992" s="5">
        <v>4.4249999999999998</v>
      </c>
      <c r="I1992" s="2">
        <v>120</v>
      </c>
      <c r="J1992" s="12">
        <f>I1992/Pondération!$H$123</f>
        <v>8.9285714285714288E-2</v>
      </c>
    </row>
    <row r="1993" spans="1:10" x14ac:dyDescent="0.25">
      <c r="A1993" s="2" t="s">
        <v>77</v>
      </c>
      <c r="B1993" s="2">
        <v>2015</v>
      </c>
      <c r="C1993" s="2" t="s">
        <v>11</v>
      </c>
      <c r="D1993" s="2" t="s">
        <v>43</v>
      </c>
      <c r="E1993" s="2" t="s">
        <v>78</v>
      </c>
      <c r="F1993" s="2" t="s">
        <v>83</v>
      </c>
      <c r="G1993" s="2">
        <f t="shared" si="31"/>
        <v>0.31101190476190477</v>
      </c>
      <c r="H1993" s="5">
        <v>4.354166666666667</v>
      </c>
      <c r="I1993" s="2">
        <v>96</v>
      </c>
      <c r="J1993" s="12">
        <f>I1993/Pondération!$H$123</f>
        <v>7.1428571428571425E-2</v>
      </c>
    </row>
    <row r="1994" spans="1:10" x14ac:dyDescent="0.25">
      <c r="A1994" s="2" t="s">
        <v>77</v>
      </c>
      <c r="B1994" s="2">
        <v>2015</v>
      </c>
      <c r="C1994" s="2" t="s">
        <v>12</v>
      </c>
      <c r="D1994" s="2" t="s">
        <v>43</v>
      </c>
      <c r="E1994" s="2" t="s">
        <v>78</v>
      </c>
      <c r="F1994" s="2" t="s">
        <v>83</v>
      </c>
      <c r="G1994" s="2">
        <f t="shared" si="31"/>
        <v>0.73400297619047628</v>
      </c>
      <c r="H1994" s="5">
        <v>4.3458149779735686</v>
      </c>
      <c r="I1994" s="2">
        <v>227</v>
      </c>
      <c r="J1994" s="12">
        <f>I1994/Pondération!$H$123</f>
        <v>0.16889880952380953</v>
      </c>
    </row>
    <row r="1995" spans="1:10" x14ac:dyDescent="0.25">
      <c r="A1995" s="2" t="s">
        <v>77</v>
      </c>
      <c r="B1995" s="2">
        <v>2015</v>
      </c>
      <c r="C1995" s="2" t="s">
        <v>13</v>
      </c>
      <c r="D1995" s="2" t="s">
        <v>43</v>
      </c>
      <c r="E1995" s="2" t="s">
        <v>78</v>
      </c>
      <c r="F1995" s="2" t="s">
        <v>83</v>
      </c>
      <c r="G1995" s="2">
        <f t="shared" si="31"/>
        <v>1.0334821428571428</v>
      </c>
      <c r="H1995" s="5">
        <v>4.3271028037383177</v>
      </c>
      <c r="I1995" s="2">
        <v>321</v>
      </c>
      <c r="J1995" s="12">
        <f>I1995/Pondération!$H$123</f>
        <v>0.23883928571428573</v>
      </c>
    </row>
    <row r="1996" spans="1:10" x14ac:dyDescent="0.25">
      <c r="A1996" s="2" t="s">
        <v>77</v>
      </c>
      <c r="B1996" s="2">
        <v>2015</v>
      </c>
      <c r="C1996" s="2" t="s">
        <v>14</v>
      </c>
      <c r="D1996" s="2" t="s">
        <v>43</v>
      </c>
      <c r="E1996" s="2" t="s">
        <v>78</v>
      </c>
      <c r="F1996" s="2" t="s">
        <v>83</v>
      </c>
      <c r="G1996" s="2">
        <f t="shared" si="31"/>
        <v>0.59300595238095233</v>
      </c>
      <c r="H1996" s="5">
        <v>4.403314917127072</v>
      </c>
      <c r="I1996" s="2">
        <v>181</v>
      </c>
      <c r="J1996" s="12">
        <f>I1996/Pondération!$H$123</f>
        <v>0.13467261904761904</v>
      </c>
    </row>
    <row r="1997" spans="1:10" x14ac:dyDescent="0.25">
      <c r="A1997" s="2" t="s">
        <v>77</v>
      </c>
      <c r="B1997" s="2">
        <v>2015</v>
      </c>
      <c r="C1997" s="2" t="s">
        <v>15</v>
      </c>
      <c r="D1997" s="2" t="s">
        <v>43</v>
      </c>
      <c r="E1997" s="2" t="s">
        <v>78</v>
      </c>
      <c r="F1997" s="2" t="s">
        <v>83</v>
      </c>
      <c r="G1997" s="2">
        <f t="shared" si="31"/>
        <v>0.33705357142857145</v>
      </c>
      <c r="H1997" s="5">
        <v>4.3557692307692308</v>
      </c>
      <c r="I1997" s="2">
        <v>104</v>
      </c>
      <c r="J1997" s="12">
        <f>I1997/Pondération!$H$123</f>
        <v>7.7380952380952384E-2</v>
      </c>
    </row>
    <row r="1998" spans="1:10" x14ac:dyDescent="0.25">
      <c r="A1998" s="2" t="s">
        <v>77</v>
      </c>
      <c r="B1998" s="2">
        <v>2015</v>
      </c>
      <c r="C1998" s="2" t="s">
        <v>16</v>
      </c>
      <c r="D1998" s="2" t="s">
        <v>43</v>
      </c>
      <c r="E1998" s="2" t="s">
        <v>78</v>
      </c>
      <c r="F1998" s="2" t="s">
        <v>83</v>
      </c>
      <c r="G1998" s="2">
        <f t="shared" si="31"/>
        <v>0.19233630952380953</v>
      </c>
      <c r="H1998" s="5">
        <v>4.3813559322033901</v>
      </c>
      <c r="I1998" s="2">
        <v>59</v>
      </c>
      <c r="J1998" s="12">
        <f>I1998/Pondération!$H$123</f>
        <v>4.3898809523809521E-2</v>
      </c>
    </row>
    <row r="1999" spans="1:10" x14ac:dyDescent="0.25">
      <c r="A1999" s="2" t="s">
        <v>77</v>
      </c>
      <c r="B1999" s="2">
        <v>2015</v>
      </c>
      <c r="C1999" s="2" t="s">
        <v>17</v>
      </c>
      <c r="D1999" s="2" t="s">
        <v>43</v>
      </c>
      <c r="E1999" s="2" t="s">
        <v>78</v>
      </c>
      <c r="F1999" s="2" t="s">
        <v>83</v>
      </c>
      <c r="G1999" s="2">
        <f t="shared" si="31"/>
        <v>0.26897321428571425</v>
      </c>
      <c r="H1999" s="5">
        <v>4.2034883720930232</v>
      </c>
      <c r="I1999" s="2">
        <v>86</v>
      </c>
      <c r="J1999" s="12">
        <f>I1999/Pondération!$H$123</f>
        <v>6.3988095238095233E-2</v>
      </c>
    </row>
    <row r="2000" spans="1:10" x14ac:dyDescent="0.25">
      <c r="A2000" s="2" t="s">
        <v>77</v>
      </c>
      <c r="B2000" s="2">
        <v>2016</v>
      </c>
      <c r="C2000" s="2" t="s">
        <v>18</v>
      </c>
      <c r="D2000" s="2" t="s">
        <v>43</v>
      </c>
      <c r="E2000" s="2" t="s">
        <v>78</v>
      </c>
      <c r="F2000" s="2" t="s">
        <v>83</v>
      </c>
      <c r="G2000" s="2">
        <f t="shared" si="31"/>
        <v>0.17434869739478959</v>
      </c>
      <c r="H2000" s="5">
        <v>4.2233009708737868</v>
      </c>
      <c r="I2000" s="2">
        <v>103</v>
      </c>
      <c r="J2000" s="12">
        <f>I2000/Pondération!$G$123</f>
        <v>4.1282565130260518E-2</v>
      </c>
    </row>
    <row r="2001" spans="1:10" x14ac:dyDescent="0.25">
      <c r="A2001" s="2" t="s">
        <v>77</v>
      </c>
      <c r="B2001" s="2">
        <v>2016</v>
      </c>
      <c r="C2001" s="2" t="s">
        <v>19</v>
      </c>
      <c r="D2001" s="2" t="s">
        <v>43</v>
      </c>
      <c r="E2001" s="2" t="s">
        <v>78</v>
      </c>
      <c r="F2001" s="2" t="s">
        <v>83</v>
      </c>
      <c r="G2001" s="2">
        <f t="shared" si="31"/>
        <v>0.14208416833667337</v>
      </c>
      <c r="H2001" s="5">
        <v>4.3231707317073171</v>
      </c>
      <c r="I2001" s="2">
        <v>82</v>
      </c>
      <c r="J2001" s="12">
        <f>I2001/Pondération!$G$123</f>
        <v>3.2865731462925853E-2</v>
      </c>
    </row>
    <row r="2002" spans="1:10" x14ac:dyDescent="0.25">
      <c r="A2002" s="2" t="s">
        <v>77</v>
      </c>
      <c r="B2002" s="2">
        <v>2016</v>
      </c>
      <c r="C2002" s="2" t="s">
        <v>20</v>
      </c>
      <c r="D2002" s="2" t="s">
        <v>43</v>
      </c>
      <c r="E2002" s="2" t="s">
        <v>78</v>
      </c>
      <c r="F2002" s="2" t="s">
        <v>83</v>
      </c>
      <c r="G2002" s="2">
        <f t="shared" si="31"/>
        <v>0.20681362725450902</v>
      </c>
      <c r="H2002" s="5">
        <v>4.3728813559322033</v>
      </c>
      <c r="I2002" s="2">
        <v>118</v>
      </c>
      <c r="J2002" s="12">
        <f>I2002/Pondération!$G$123</f>
        <v>4.7294589178356716E-2</v>
      </c>
    </row>
    <row r="2003" spans="1:10" x14ac:dyDescent="0.25">
      <c r="A2003" s="2" t="s">
        <v>77</v>
      </c>
      <c r="B2003" s="2">
        <v>2016</v>
      </c>
      <c r="C2003" s="2" t="s">
        <v>21</v>
      </c>
      <c r="D2003" s="2" t="s">
        <v>43</v>
      </c>
      <c r="E2003" s="2" t="s">
        <v>78</v>
      </c>
      <c r="F2003" s="2" t="s">
        <v>83</v>
      </c>
      <c r="G2003" s="2">
        <f t="shared" si="31"/>
        <v>0.44368737474949899</v>
      </c>
      <c r="H2003" s="5">
        <v>4.5</v>
      </c>
      <c r="I2003" s="2">
        <v>246</v>
      </c>
      <c r="J2003" s="12">
        <f>I2003/Pondération!$G$123</f>
        <v>9.8597194388777551E-2</v>
      </c>
    </row>
    <row r="2004" spans="1:10" x14ac:dyDescent="0.25">
      <c r="A2004" s="2" t="s">
        <v>77</v>
      </c>
      <c r="B2004" s="2">
        <v>2016</v>
      </c>
      <c r="C2004" s="2" t="s">
        <v>22</v>
      </c>
      <c r="D2004" s="2" t="s">
        <v>43</v>
      </c>
      <c r="E2004" s="2" t="s">
        <v>78</v>
      </c>
      <c r="F2004" s="2" t="s">
        <v>83</v>
      </c>
      <c r="G2004" s="2">
        <f t="shared" si="31"/>
        <v>0.29238476953907816</v>
      </c>
      <c r="H2004" s="5">
        <v>4.3945783132530121</v>
      </c>
      <c r="I2004" s="2">
        <v>166</v>
      </c>
      <c r="J2004" s="12">
        <f>I2004/Pondération!$G$123</f>
        <v>6.6533066132264534E-2</v>
      </c>
    </row>
    <row r="2005" spans="1:10" x14ac:dyDescent="0.25">
      <c r="A2005" s="2" t="s">
        <v>77</v>
      </c>
      <c r="B2005" s="2">
        <v>2016</v>
      </c>
      <c r="C2005" s="2" t="s">
        <v>23</v>
      </c>
      <c r="D2005" s="2" t="s">
        <v>43</v>
      </c>
      <c r="E2005" s="2" t="s">
        <v>78</v>
      </c>
      <c r="F2005" s="2" t="s">
        <v>83</v>
      </c>
      <c r="G2005" s="2">
        <f t="shared" si="31"/>
        <v>0.30000000000000004</v>
      </c>
      <c r="H2005" s="5">
        <v>4.4029411764705886</v>
      </c>
      <c r="I2005" s="2">
        <v>170</v>
      </c>
      <c r="J2005" s="12">
        <f>I2005/Pondération!$G$123</f>
        <v>6.8136272545090179E-2</v>
      </c>
    </row>
    <row r="2006" spans="1:10" x14ac:dyDescent="0.25">
      <c r="A2006" s="2" t="s">
        <v>77</v>
      </c>
      <c r="B2006" s="2">
        <v>2016</v>
      </c>
      <c r="C2006" s="2" t="s">
        <v>24</v>
      </c>
      <c r="D2006" s="2" t="s">
        <v>43</v>
      </c>
      <c r="E2006" s="2" t="s">
        <v>78</v>
      </c>
      <c r="F2006" s="2" t="s">
        <v>83</v>
      </c>
      <c r="G2006" s="2">
        <f t="shared" si="31"/>
        <v>0.64809619238476945</v>
      </c>
      <c r="H2006" s="5">
        <v>4.3821138211382111</v>
      </c>
      <c r="I2006" s="2">
        <v>369</v>
      </c>
      <c r="J2006" s="12">
        <f>I2006/Pondération!$G$123</f>
        <v>0.14789579158316632</v>
      </c>
    </row>
    <row r="2007" spans="1:10" x14ac:dyDescent="0.25">
      <c r="A2007" s="2" t="s">
        <v>77</v>
      </c>
      <c r="B2007" s="2">
        <v>2016</v>
      </c>
      <c r="C2007" s="2" t="s">
        <v>25</v>
      </c>
      <c r="D2007" s="2" t="s">
        <v>43</v>
      </c>
      <c r="E2007" s="2" t="s">
        <v>78</v>
      </c>
      <c r="F2007" s="2" t="s">
        <v>83</v>
      </c>
      <c r="G2007" s="2">
        <f t="shared" si="31"/>
        <v>1.0238476953907814</v>
      </c>
      <c r="H2007" s="5">
        <v>4.3816466552315605</v>
      </c>
      <c r="I2007" s="2">
        <v>583</v>
      </c>
      <c r="J2007" s="12">
        <f>I2007/Pondération!$G$123</f>
        <v>0.23366733466933867</v>
      </c>
    </row>
    <row r="2008" spans="1:10" x14ac:dyDescent="0.25">
      <c r="A2008" s="2" t="s">
        <v>77</v>
      </c>
      <c r="B2008" s="2">
        <v>2016</v>
      </c>
      <c r="C2008" s="2" t="s">
        <v>26</v>
      </c>
      <c r="D2008" s="2" t="s">
        <v>43</v>
      </c>
      <c r="E2008" s="2" t="s">
        <v>78</v>
      </c>
      <c r="F2008" s="2" t="s">
        <v>83</v>
      </c>
      <c r="G2008" s="2">
        <f t="shared" si="31"/>
        <v>0.50541082164328655</v>
      </c>
      <c r="H2008" s="5">
        <v>4.4090909090909092</v>
      </c>
      <c r="I2008" s="2">
        <v>286</v>
      </c>
      <c r="J2008" s="12">
        <f>I2008/Pondération!$G$123</f>
        <v>0.11462925851703407</v>
      </c>
    </row>
    <row r="2009" spans="1:10" x14ac:dyDescent="0.25">
      <c r="A2009" s="2" t="s">
        <v>77</v>
      </c>
      <c r="B2009" s="2">
        <v>2016</v>
      </c>
      <c r="C2009" s="2" t="s">
        <v>27</v>
      </c>
      <c r="D2009" s="2" t="s">
        <v>43</v>
      </c>
      <c r="E2009" s="2" t="s">
        <v>78</v>
      </c>
      <c r="F2009" s="2" t="s">
        <v>83</v>
      </c>
      <c r="G2009" s="2">
        <f t="shared" si="31"/>
        <v>0.27555110220440882</v>
      </c>
      <c r="H2009" s="5">
        <v>4.4642857142857144</v>
      </c>
      <c r="I2009" s="2">
        <v>154</v>
      </c>
      <c r="J2009" s="12">
        <f>I2009/Pondération!$G$123</f>
        <v>6.1723446893787573E-2</v>
      </c>
    </row>
    <row r="2010" spans="1:10" x14ac:dyDescent="0.25">
      <c r="A2010" s="2" t="s">
        <v>77</v>
      </c>
      <c r="B2010" s="2">
        <v>2016</v>
      </c>
      <c r="C2010" s="2" t="s">
        <v>28</v>
      </c>
      <c r="D2010" s="2" t="s">
        <v>43</v>
      </c>
      <c r="E2010" s="2" t="s">
        <v>78</v>
      </c>
      <c r="F2010" s="2" t="s">
        <v>83</v>
      </c>
      <c r="G2010" s="2">
        <f t="shared" si="31"/>
        <v>0.22344689378757515</v>
      </c>
      <c r="H2010" s="5">
        <v>4.35546875</v>
      </c>
      <c r="I2010" s="2">
        <v>128</v>
      </c>
      <c r="J2010" s="12">
        <f>I2010/Pondération!$G$123</f>
        <v>5.1302605210420842E-2</v>
      </c>
    </row>
    <row r="2011" spans="1:10" x14ac:dyDescent="0.25">
      <c r="A2011" s="2" t="s">
        <v>77</v>
      </c>
      <c r="B2011" s="2">
        <v>2016</v>
      </c>
      <c r="C2011" s="2" t="s">
        <v>29</v>
      </c>
      <c r="D2011" s="2" t="s">
        <v>43</v>
      </c>
      <c r="E2011" s="2" t="s">
        <v>78</v>
      </c>
      <c r="F2011" s="2" t="s">
        <v>83</v>
      </c>
      <c r="G2011" s="2">
        <f t="shared" si="31"/>
        <v>0.15691382765531062</v>
      </c>
      <c r="H2011" s="5">
        <v>4.3499999999999996</v>
      </c>
      <c r="I2011" s="2">
        <v>90</v>
      </c>
      <c r="J2011" s="12">
        <f>I2011/Pondération!$G$123</f>
        <v>3.6072144288577156E-2</v>
      </c>
    </row>
    <row r="2012" spans="1:10" x14ac:dyDescent="0.25">
      <c r="A2012" s="2" t="s">
        <v>77</v>
      </c>
      <c r="B2012" s="2">
        <v>2017</v>
      </c>
      <c r="C2012" s="2" t="s">
        <v>30</v>
      </c>
      <c r="D2012" s="2" t="s">
        <v>43</v>
      </c>
      <c r="E2012" s="2" t="s">
        <v>78</v>
      </c>
      <c r="F2012" s="2" t="s">
        <v>83</v>
      </c>
      <c r="G2012" s="2">
        <f t="shared" si="31"/>
        <v>0.44658753709198812</v>
      </c>
      <c r="H2012" s="5">
        <v>4.36231884057971</v>
      </c>
      <c r="I2012" s="2">
        <v>69</v>
      </c>
      <c r="J2012" s="12">
        <f>I2012/Pondération!$F$123</f>
        <v>0.10237388724035608</v>
      </c>
    </row>
    <row r="2013" spans="1:10" x14ac:dyDescent="0.25">
      <c r="A2013" s="2" t="s">
        <v>77</v>
      </c>
      <c r="B2013" s="2">
        <v>2017</v>
      </c>
      <c r="C2013" s="2" t="s">
        <v>31</v>
      </c>
      <c r="D2013" s="2" t="s">
        <v>43</v>
      </c>
      <c r="E2013" s="2" t="s">
        <v>78</v>
      </c>
      <c r="F2013" s="2" t="s">
        <v>83</v>
      </c>
      <c r="G2013" s="2">
        <f t="shared" si="31"/>
        <v>0.42359050445103857</v>
      </c>
      <c r="H2013" s="5">
        <v>4.3257575757575761</v>
      </c>
      <c r="I2013" s="2">
        <v>66</v>
      </c>
      <c r="J2013" s="12">
        <f>I2013/Pondération!$F$123</f>
        <v>9.7922848664688422E-2</v>
      </c>
    </row>
    <row r="2014" spans="1:10" x14ac:dyDescent="0.25">
      <c r="A2014" s="2" t="s">
        <v>77</v>
      </c>
      <c r="B2014" s="2">
        <v>2017</v>
      </c>
      <c r="C2014" s="2" t="s">
        <v>32</v>
      </c>
      <c r="D2014" s="2" t="s">
        <v>43</v>
      </c>
      <c r="E2014" s="2" t="s">
        <v>78</v>
      </c>
      <c r="F2014" s="2" t="s">
        <v>83</v>
      </c>
      <c r="G2014" s="2">
        <f t="shared" si="31"/>
        <v>0.53041543026706228</v>
      </c>
      <c r="H2014" s="5">
        <v>4.4135802469135799</v>
      </c>
      <c r="I2014" s="2">
        <v>81</v>
      </c>
      <c r="J2014" s="12">
        <f>I2014/Pondération!$F$123</f>
        <v>0.12017804154302671</v>
      </c>
    </row>
    <row r="2015" spans="1:10" x14ac:dyDescent="0.25">
      <c r="A2015" s="2" t="s">
        <v>77</v>
      </c>
      <c r="B2015" s="2">
        <v>2017</v>
      </c>
      <c r="C2015" s="2" t="s">
        <v>33</v>
      </c>
      <c r="D2015" s="2" t="s">
        <v>43</v>
      </c>
      <c r="E2015" s="2" t="s">
        <v>78</v>
      </c>
      <c r="F2015" s="2" t="s">
        <v>83</v>
      </c>
      <c r="G2015" s="2">
        <f t="shared" si="31"/>
        <v>1.3249258160237389</v>
      </c>
      <c r="H2015" s="5">
        <v>4.4427860696517412</v>
      </c>
      <c r="I2015" s="2">
        <v>201</v>
      </c>
      <c r="J2015" s="12">
        <f>I2015/Pondération!$F$123</f>
        <v>0.29821958456973297</v>
      </c>
    </row>
    <row r="2016" spans="1:10" x14ac:dyDescent="0.25">
      <c r="A2016" s="2" t="s">
        <v>77</v>
      </c>
      <c r="B2016" s="2">
        <v>2017</v>
      </c>
      <c r="C2016" s="2" t="s">
        <v>34</v>
      </c>
      <c r="D2016" s="2" t="s">
        <v>43</v>
      </c>
      <c r="E2016" s="2" t="s">
        <v>78</v>
      </c>
      <c r="F2016" s="2" t="s">
        <v>83</v>
      </c>
      <c r="G2016" s="2">
        <f t="shared" si="31"/>
        <v>1.077893175074184</v>
      </c>
      <c r="H2016" s="5">
        <v>4.3244047619047619</v>
      </c>
      <c r="I2016" s="2">
        <v>168</v>
      </c>
      <c r="J2016" s="12">
        <f>I2016/Pondération!$F$123</f>
        <v>0.24925816023738873</v>
      </c>
    </row>
    <row r="2017" spans="1:10" x14ac:dyDescent="0.25">
      <c r="A2017" s="2" t="s">
        <v>77</v>
      </c>
      <c r="B2017" s="2">
        <v>2017</v>
      </c>
      <c r="C2017" s="2" t="s">
        <v>80</v>
      </c>
      <c r="D2017" s="2" t="s">
        <v>43</v>
      </c>
      <c r="E2017" s="2" t="s">
        <v>78</v>
      </c>
      <c r="F2017" s="2" t="s">
        <v>83</v>
      </c>
      <c r="G2017" s="2">
        <f t="shared" si="31"/>
        <v>0.57492581602373893</v>
      </c>
      <c r="H2017" s="5">
        <v>4.3539325842696632</v>
      </c>
      <c r="I2017" s="2">
        <v>89</v>
      </c>
      <c r="J2017" s="12">
        <f>I2017/Pondération!$F$123</f>
        <v>0.13204747774480713</v>
      </c>
    </row>
    <row r="2018" spans="1:10" x14ac:dyDescent="0.25">
      <c r="A2018" s="2" t="s">
        <v>77</v>
      </c>
      <c r="B2018" s="2">
        <v>2013</v>
      </c>
      <c r="C2018" s="2" t="s">
        <v>49</v>
      </c>
      <c r="D2018" s="2" t="s">
        <v>43</v>
      </c>
      <c r="E2018" s="2" t="s">
        <v>78</v>
      </c>
      <c r="F2018" s="2" t="s">
        <v>84</v>
      </c>
      <c r="G2018" s="2">
        <f t="shared" si="31"/>
        <v>9.5744680851063829E-2</v>
      </c>
      <c r="H2018" s="5">
        <v>4.5</v>
      </c>
      <c r="I2018" s="2">
        <v>2</v>
      </c>
      <c r="J2018" s="12">
        <f>I2018/Pondération!$J$124</f>
        <v>2.1276595744680851E-2</v>
      </c>
    </row>
    <row r="2019" spans="1:10" x14ac:dyDescent="0.25">
      <c r="A2019" s="2" t="s">
        <v>77</v>
      </c>
      <c r="B2019" s="2">
        <v>2013</v>
      </c>
      <c r="C2019" s="2" t="s">
        <v>50</v>
      </c>
      <c r="D2019" s="2" t="s">
        <v>43</v>
      </c>
      <c r="E2019" s="2" t="s">
        <v>78</v>
      </c>
      <c r="F2019" s="2" t="s">
        <v>84</v>
      </c>
      <c r="G2019" s="2">
        <f t="shared" si="31"/>
        <v>0.22872340425531915</v>
      </c>
      <c r="H2019" s="5">
        <v>4.3</v>
      </c>
      <c r="I2019" s="2">
        <v>5</v>
      </c>
      <c r="J2019" s="12">
        <f>I2019/Pondération!$J$124</f>
        <v>5.3191489361702128E-2</v>
      </c>
    </row>
    <row r="2020" spans="1:10" x14ac:dyDescent="0.25">
      <c r="A2020" s="2" t="s">
        <v>77</v>
      </c>
      <c r="B2020" s="2">
        <v>2013</v>
      </c>
      <c r="C2020" s="2" t="s">
        <v>51</v>
      </c>
      <c r="D2020" s="2" t="s">
        <v>43</v>
      </c>
      <c r="E2020" s="2" t="s">
        <v>78</v>
      </c>
      <c r="F2020" s="2" t="s">
        <v>84</v>
      </c>
      <c r="G2020" s="2">
        <f t="shared" si="31"/>
        <v>4.2553191489361701E-2</v>
      </c>
      <c r="H2020" s="5">
        <v>4</v>
      </c>
      <c r="I2020" s="2">
        <v>1</v>
      </c>
      <c r="J2020" s="12">
        <f>I2020/Pondération!$J$124</f>
        <v>1.0638297872340425E-2</v>
      </c>
    </row>
    <row r="2021" spans="1:10" x14ac:dyDescent="0.25">
      <c r="A2021" s="2" t="s">
        <v>77</v>
      </c>
      <c r="B2021" s="2">
        <v>2013</v>
      </c>
      <c r="C2021" s="2" t="s">
        <v>52</v>
      </c>
      <c r="D2021" s="2" t="s">
        <v>43</v>
      </c>
      <c r="E2021" s="2" t="s">
        <v>78</v>
      </c>
      <c r="F2021" s="2" t="s">
        <v>84</v>
      </c>
      <c r="G2021" s="2">
        <f t="shared" si="31"/>
        <v>0.17553191489361702</v>
      </c>
      <c r="H2021" s="5">
        <v>4.125</v>
      </c>
      <c r="I2021" s="2">
        <v>4</v>
      </c>
      <c r="J2021" s="12">
        <f>I2021/Pondération!$J$124</f>
        <v>4.2553191489361701E-2</v>
      </c>
    </row>
    <row r="2022" spans="1:10" x14ac:dyDescent="0.25">
      <c r="A2022" s="2" t="s">
        <v>77</v>
      </c>
      <c r="B2022" s="2">
        <v>2013</v>
      </c>
      <c r="C2022" s="2" t="s">
        <v>53</v>
      </c>
      <c r="D2022" s="2" t="s">
        <v>43</v>
      </c>
      <c r="E2022" s="2" t="s">
        <v>78</v>
      </c>
      <c r="F2022" s="2" t="s">
        <v>84</v>
      </c>
      <c r="G2022" s="2">
        <f t="shared" si="31"/>
        <v>0.30851063829787234</v>
      </c>
      <c r="H2022" s="5">
        <v>4.1428571428571432</v>
      </c>
      <c r="I2022" s="2">
        <v>7</v>
      </c>
      <c r="J2022" s="12">
        <f>I2022/Pondération!$J$124</f>
        <v>7.4468085106382975E-2</v>
      </c>
    </row>
    <row r="2023" spans="1:10" x14ac:dyDescent="0.25">
      <c r="A2023" s="2" t="s">
        <v>77</v>
      </c>
      <c r="B2023" s="2">
        <v>2013</v>
      </c>
      <c r="C2023" s="2" t="s">
        <v>54</v>
      </c>
      <c r="D2023" s="2" t="s">
        <v>43</v>
      </c>
      <c r="E2023" s="2" t="s">
        <v>78</v>
      </c>
      <c r="F2023" s="2" t="s">
        <v>84</v>
      </c>
      <c r="G2023" s="2">
        <f t="shared" si="31"/>
        <v>0.18617021276595744</v>
      </c>
      <c r="H2023" s="5">
        <v>4.375</v>
      </c>
      <c r="I2023" s="2">
        <v>4</v>
      </c>
      <c r="J2023" s="12">
        <f>I2023/Pondération!$J$124</f>
        <v>4.2553191489361701E-2</v>
      </c>
    </row>
    <row r="2024" spans="1:10" x14ac:dyDescent="0.25">
      <c r="A2024" s="2" t="s">
        <v>77</v>
      </c>
      <c r="B2024" s="2">
        <v>2013</v>
      </c>
      <c r="C2024" s="2" t="s">
        <v>55</v>
      </c>
      <c r="D2024" s="2" t="s">
        <v>43</v>
      </c>
      <c r="E2024" s="2" t="s">
        <v>78</v>
      </c>
      <c r="F2024" s="2" t="s">
        <v>84</v>
      </c>
      <c r="G2024" s="2">
        <f t="shared" si="31"/>
        <v>0.32978723404255317</v>
      </c>
      <c r="H2024" s="5">
        <v>4.4285714285714288</v>
      </c>
      <c r="I2024" s="2">
        <v>7</v>
      </c>
      <c r="J2024" s="12">
        <f>I2024/Pondération!$J$124</f>
        <v>7.4468085106382975E-2</v>
      </c>
    </row>
    <row r="2025" spans="1:10" x14ac:dyDescent="0.25">
      <c r="A2025" s="2" t="s">
        <v>77</v>
      </c>
      <c r="B2025" s="2">
        <v>2013</v>
      </c>
      <c r="C2025" s="2" t="s">
        <v>56</v>
      </c>
      <c r="D2025" s="2" t="s">
        <v>43</v>
      </c>
      <c r="E2025" s="2" t="s">
        <v>78</v>
      </c>
      <c r="F2025" s="2" t="s">
        <v>84</v>
      </c>
      <c r="G2025" s="2">
        <f t="shared" si="31"/>
        <v>1.1702127659574468</v>
      </c>
      <c r="H2025" s="5">
        <v>4.4000000000000004</v>
      </c>
      <c r="I2025" s="2">
        <v>25</v>
      </c>
      <c r="J2025" s="12">
        <f>I2025/Pondération!$J$124</f>
        <v>0.26595744680851063</v>
      </c>
    </row>
    <row r="2026" spans="1:10" x14ac:dyDescent="0.25">
      <c r="A2026" s="2" t="s">
        <v>77</v>
      </c>
      <c r="B2026" s="2">
        <v>2013</v>
      </c>
      <c r="C2026" s="2" t="s">
        <v>57</v>
      </c>
      <c r="D2026" s="2" t="s">
        <v>43</v>
      </c>
      <c r="E2026" s="2" t="s">
        <v>78</v>
      </c>
      <c r="F2026" s="2" t="s">
        <v>84</v>
      </c>
      <c r="G2026" s="2">
        <f t="shared" si="31"/>
        <v>0.27127659574468083</v>
      </c>
      <c r="H2026" s="5">
        <v>4.25</v>
      </c>
      <c r="I2026" s="2">
        <v>6</v>
      </c>
      <c r="J2026" s="12">
        <f>I2026/Pondération!$J$124</f>
        <v>6.3829787234042548E-2</v>
      </c>
    </row>
    <row r="2027" spans="1:10" x14ac:dyDescent="0.25">
      <c r="A2027" s="2" t="s">
        <v>77</v>
      </c>
      <c r="B2027" s="2">
        <v>2013</v>
      </c>
      <c r="C2027" s="2" t="s">
        <v>58</v>
      </c>
      <c r="D2027" s="2" t="s">
        <v>43</v>
      </c>
      <c r="E2027" s="2" t="s">
        <v>78</v>
      </c>
      <c r="F2027" s="2" t="s">
        <v>84</v>
      </c>
      <c r="G2027" s="2">
        <f t="shared" si="31"/>
        <v>0.43085106382978722</v>
      </c>
      <c r="H2027" s="5">
        <v>4.5</v>
      </c>
      <c r="I2027" s="2">
        <v>9</v>
      </c>
      <c r="J2027" s="12">
        <f>I2027/Pondération!$J$124</f>
        <v>9.5744680851063829E-2</v>
      </c>
    </row>
    <row r="2028" spans="1:10" x14ac:dyDescent="0.25">
      <c r="A2028" s="2" t="s">
        <v>77</v>
      </c>
      <c r="B2028" s="2">
        <v>2013</v>
      </c>
      <c r="C2028" s="2" t="s">
        <v>59</v>
      </c>
      <c r="D2028" s="2" t="s">
        <v>43</v>
      </c>
      <c r="E2028" s="2" t="s">
        <v>78</v>
      </c>
      <c r="F2028" s="2" t="s">
        <v>84</v>
      </c>
      <c r="G2028" s="2">
        <f t="shared" si="31"/>
        <v>0.63829787234042545</v>
      </c>
      <c r="H2028" s="5">
        <v>4.2857142857142856</v>
      </c>
      <c r="I2028" s="2">
        <v>14</v>
      </c>
      <c r="J2028" s="12">
        <f>I2028/Pondération!$J$124</f>
        <v>0.14893617021276595</v>
      </c>
    </row>
    <row r="2029" spans="1:10" x14ac:dyDescent="0.25">
      <c r="A2029" s="2" t="s">
        <v>77</v>
      </c>
      <c r="B2029" s="2">
        <v>2013</v>
      </c>
      <c r="C2029" s="2" t="s">
        <v>60</v>
      </c>
      <c r="D2029" s="2" t="s">
        <v>43</v>
      </c>
      <c r="E2029" s="2" t="s">
        <v>78</v>
      </c>
      <c r="F2029" s="2" t="s">
        <v>84</v>
      </c>
      <c r="G2029" s="2">
        <f t="shared" si="31"/>
        <v>0.44680851063829791</v>
      </c>
      <c r="H2029" s="5">
        <v>4.2</v>
      </c>
      <c r="I2029" s="2">
        <v>10</v>
      </c>
      <c r="J2029" s="12">
        <f>I2029/Pondération!$J$124</f>
        <v>0.10638297872340426</v>
      </c>
    </row>
    <row r="2030" spans="1:10" x14ac:dyDescent="0.25">
      <c r="A2030" s="2" t="s">
        <v>77</v>
      </c>
      <c r="B2030" s="2">
        <v>2014</v>
      </c>
      <c r="C2030" s="2" t="s">
        <v>61</v>
      </c>
      <c r="D2030" s="2" t="s">
        <v>43</v>
      </c>
      <c r="E2030" s="2" t="s">
        <v>78</v>
      </c>
      <c r="F2030" s="2" t="s">
        <v>84</v>
      </c>
      <c r="G2030" s="2">
        <f t="shared" si="31"/>
        <v>0.13184079601990051</v>
      </c>
      <c r="H2030" s="5">
        <v>4.416666666666667</v>
      </c>
      <c r="I2030" s="2">
        <v>6</v>
      </c>
      <c r="J2030" s="12">
        <f>I2030/Pondération!$I$124</f>
        <v>2.9850746268656716E-2</v>
      </c>
    </row>
    <row r="2031" spans="1:10" x14ac:dyDescent="0.25">
      <c r="A2031" s="2" t="s">
        <v>77</v>
      </c>
      <c r="B2031" s="2">
        <v>2014</v>
      </c>
      <c r="C2031" s="2" t="s">
        <v>62</v>
      </c>
      <c r="D2031" s="2" t="s">
        <v>43</v>
      </c>
      <c r="E2031" s="2" t="s">
        <v>78</v>
      </c>
      <c r="F2031" s="2" t="s">
        <v>84</v>
      </c>
      <c r="G2031" s="2">
        <f t="shared" si="31"/>
        <v>0.11194029850746269</v>
      </c>
      <c r="H2031" s="5">
        <v>4.5</v>
      </c>
      <c r="I2031" s="2">
        <v>5</v>
      </c>
      <c r="J2031" s="12">
        <f>I2031/Pondération!$I$124</f>
        <v>2.4875621890547265E-2</v>
      </c>
    </row>
    <row r="2032" spans="1:10" x14ac:dyDescent="0.25">
      <c r="A2032" s="2" t="s">
        <v>77</v>
      </c>
      <c r="B2032" s="2">
        <v>2014</v>
      </c>
      <c r="C2032" s="2" t="s">
        <v>63</v>
      </c>
      <c r="D2032" s="2" t="s">
        <v>43</v>
      </c>
      <c r="E2032" s="2" t="s">
        <v>78</v>
      </c>
      <c r="F2032" s="2" t="s">
        <v>84</v>
      </c>
      <c r="G2032" s="2">
        <f t="shared" si="31"/>
        <v>0.2338308457711443</v>
      </c>
      <c r="H2032" s="5">
        <v>4.7</v>
      </c>
      <c r="I2032" s="2">
        <v>10</v>
      </c>
      <c r="J2032" s="12">
        <f>I2032/Pondération!$I$124</f>
        <v>4.975124378109453E-2</v>
      </c>
    </row>
    <row r="2033" spans="1:10" x14ac:dyDescent="0.25">
      <c r="A2033" s="2" t="s">
        <v>77</v>
      </c>
      <c r="B2033" s="2">
        <v>2014</v>
      </c>
      <c r="C2033" s="2" t="s">
        <v>64</v>
      </c>
      <c r="D2033" s="2" t="s">
        <v>43</v>
      </c>
      <c r="E2033" s="2" t="s">
        <v>78</v>
      </c>
      <c r="F2033" s="2" t="s">
        <v>84</v>
      </c>
      <c r="G2033" s="2">
        <f t="shared" si="31"/>
        <v>0.11442786069651741</v>
      </c>
      <c r="H2033" s="5">
        <v>4.5999999999999996</v>
      </c>
      <c r="I2033" s="2">
        <v>5</v>
      </c>
      <c r="J2033" s="12">
        <f>I2033/Pondération!$I$124</f>
        <v>2.4875621890547265E-2</v>
      </c>
    </row>
    <row r="2034" spans="1:10" x14ac:dyDescent="0.25">
      <c r="A2034" s="2" t="s">
        <v>77</v>
      </c>
      <c r="B2034" s="2">
        <v>2014</v>
      </c>
      <c r="C2034" s="2" t="s">
        <v>65</v>
      </c>
      <c r="D2034" s="2" t="s">
        <v>43</v>
      </c>
      <c r="E2034" s="2" t="s">
        <v>78</v>
      </c>
      <c r="F2034" s="2" t="s">
        <v>84</v>
      </c>
      <c r="G2034" s="2">
        <f t="shared" si="31"/>
        <v>0.23631840796019901</v>
      </c>
      <c r="H2034" s="5">
        <v>4.3181818181818183</v>
      </c>
      <c r="I2034" s="2">
        <v>11</v>
      </c>
      <c r="J2034" s="12">
        <f>I2034/Pondération!$I$124</f>
        <v>5.4726368159203981E-2</v>
      </c>
    </row>
    <row r="2035" spans="1:10" x14ac:dyDescent="0.25">
      <c r="A2035" s="2" t="s">
        <v>77</v>
      </c>
      <c r="B2035" s="2">
        <v>2014</v>
      </c>
      <c r="C2035" s="2" t="s">
        <v>66</v>
      </c>
      <c r="D2035" s="2" t="s">
        <v>43</v>
      </c>
      <c r="E2035" s="2" t="s">
        <v>78</v>
      </c>
      <c r="F2035" s="2" t="s">
        <v>84</v>
      </c>
      <c r="G2035" s="2">
        <f t="shared" si="31"/>
        <v>0.33830845771144274</v>
      </c>
      <c r="H2035" s="5">
        <v>4.5333333333333332</v>
      </c>
      <c r="I2035" s="2">
        <v>15</v>
      </c>
      <c r="J2035" s="12">
        <f>I2035/Pondération!$I$124</f>
        <v>7.4626865671641784E-2</v>
      </c>
    </row>
    <row r="2036" spans="1:10" x14ac:dyDescent="0.25">
      <c r="A2036" s="2" t="s">
        <v>77</v>
      </c>
      <c r="B2036" s="2">
        <v>2014</v>
      </c>
      <c r="C2036" s="2" t="s">
        <v>67</v>
      </c>
      <c r="D2036" s="2" t="s">
        <v>43</v>
      </c>
      <c r="E2036" s="2" t="s">
        <v>78</v>
      </c>
      <c r="F2036" s="2" t="s">
        <v>84</v>
      </c>
      <c r="G2036" s="2">
        <f t="shared" si="31"/>
        <v>0.78358208955223874</v>
      </c>
      <c r="H2036" s="5">
        <v>4.375</v>
      </c>
      <c r="I2036" s="2">
        <v>36</v>
      </c>
      <c r="J2036" s="12">
        <f>I2036/Pondération!$I$124</f>
        <v>0.17910447761194029</v>
      </c>
    </row>
    <row r="2037" spans="1:10" x14ac:dyDescent="0.25">
      <c r="A2037" s="2" t="s">
        <v>77</v>
      </c>
      <c r="B2037" s="2">
        <v>2014</v>
      </c>
      <c r="C2037" s="2" t="s">
        <v>68</v>
      </c>
      <c r="D2037" s="2" t="s">
        <v>43</v>
      </c>
      <c r="E2037" s="2" t="s">
        <v>78</v>
      </c>
      <c r="F2037" s="2" t="s">
        <v>84</v>
      </c>
      <c r="G2037" s="2">
        <f t="shared" si="31"/>
        <v>0.70149253731343286</v>
      </c>
      <c r="H2037" s="5">
        <v>4.40625</v>
      </c>
      <c r="I2037" s="2">
        <v>32</v>
      </c>
      <c r="J2037" s="12">
        <f>I2037/Pondération!$I$124</f>
        <v>0.15920398009950248</v>
      </c>
    </row>
    <row r="2038" spans="1:10" x14ac:dyDescent="0.25">
      <c r="A2038" s="2" t="s">
        <v>77</v>
      </c>
      <c r="B2038" s="2">
        <v>2014</v>
      </c>
      <c r="C2038" s="2" t="s">
        <v>69</v>
      </c>
      <c r="D2038" s="2" t="s">
        <v>43</v>
      </c>
      <c r="E2038" s="2" t="s">
        <v>78</v>
      </c>
      <c r="F2038" s="2" t="s">
        <v>84</v>
      </c>
      <c r="G2038" s="2">
        <f t="shared" si="31"/>
        <v>0.52985074626865669</v>
      </c>
      <c r="H2038" s="5">
        <v>4.26</v>
      </c>
      <c r="I2038" s="2">
        <v>25</v>
      </c>
      <c r="J2038" s="12">
        <f>I2038/Pondération!$I$124</f>
        <v>0.12437810945273632</v>
      </c>
    </row>
    <row r="2039" spans="1:10" x14ac:dyDescent="0.25">
      <c r="A2039" s="2" t="s">
        <v>77</v>
      </c>
      <c r="B2039" s="2">
        <v>2014</v>
      </c>
      <c r="C2039" s="2" t="s">
        <v>70</v>
      </c>
      <c r="D2039" s="2" t="s">
        <v>43</v>
      </c>
      <c r="E2039" s="2" t="s">
        <v>78</v>
      </c>
      <c r="F2039" s="2" t="s">
        <v>84</v>
      </c>
      <c r="G2039" s="2">
        <f t="shared" si="31"/>
        <v>0.42786069651741293</v>
      </c>
      <c r="H2039" s="5">
        <v>4.5263157894736841</v>
      </c>
      <c r="I2039" s="2">
        <v>19</v>
      </c>
      <c r="J2039" s="12">
        <f>I2039/Pondération!$I$124</f>
        <v>9.4527363184079602E-2</v>
      </c>
    </row>
    <row r="2040" spans="1:10" x14ac:dyDescent="0.25">
      <c r="A2040" s="2" t="s">
        <v>77</v>
      </c>
      <c r="B2040" s="2">
        <v>2014</v>
      </c>
      <c r="C2040" s="2" t="s">
        <v>71</v>
      </c>
      <c r="D2040" s="2" t="s">
        <v>43</v>
      </c>
      <c r="E2040" s="2" t="s">
        <v>78</v>
      </c>
      <c r="F2040" s="2" t="s">
        <v>84</v>
      </c>
      <c r="G2040" s="2">
        <f t="shared" si="31"/>
        <v>0.55472636815920395</v>
      </c>
      <c r="H2040" s="5">
        <v>4.645833333333333</v>
      </c>
      <c r="I2040" s="2">
        <v>24</v>
      </c>
      <c r="J2040" s="12">
        <f>I2040/Pondération!$I$124</f>
        <v>0.11940298507462686</v>
      </c>
    </row>
    <row r="2041" spans="1:10" x14ac:dyDescent="0.25">
      <c r="A2041" s="2" t="s">
        <v>77</v>
      </c>
      <c r="B2041" s="2">
        <v>2014</v>
      </c>
      <c r="C2041" s="2" t="s">
        <v>72</v>
      </c>
      <c r="D2041" s="2" t="s">
        <v>43</v>
      </c>
      <c r="E2041" s="2" t="s">
        <v>78</v>
      </c>
      <c r="F2041" s="2" t="s">
        <v>84</v>
      </c>
      <c r="G2041" s="2">
        <f t="shared" si="31"/>
        <v>0.27611940298507459</v>
      </c>
      <c r="H2041" s="5">
        <v>4.2692307692307692</v>
      </c>
      <c r="I2041" s="2">
        <v>13</v>
      </c>
      <c r="J2041" s="12">
        <f>I2041/Pondération!$I$124</f>
        <v>6.4676616915422883E-2</v>
      </c>
    </row>
    <row r="2042" spans="1:10" x14ac:dyDescent="0.25">
      <c r="A2042" s="2" t="s">
        <v>77</v>
      </c>
      <c r="B2042" s="2">
        <v>2015</v>
      </c>
      <c r="C2042" s="2" t="s">
        <v>73</v>
      </c>
      <c r="D2042" s="2" t="s">
        <v>43</v>
      </c>
      <c r="E2042" s="2" t="s">
        <v>78</v>
      </c>
      <c r="F2042" s="2" t="s">
        <v>84</v>
      </c>
      <c r="G2042" s="2">
        <f t="shared" si="31"/>
        <v>0.20116618075801748</v>
      </c>
      <c r="H2042" s="5">
        <v>4.4516129032258061</v>
      </c>
      <c r="I2042" s="2">
        <v>31</v>
      </c>
      <c r="J2042" s="12">
        <f>I2042/Pondération!$H$124</f>
        <v>4.5189504373177841E-2</v>
      </c>
    </row>
    <row r="2043" spans="1:10" x14ac:dyDescent="0.25">
      <c r="A2043" s="2" t="s">
        <v>77</v>
      </c>
      <c r="B2043" s="2">
        <v>2015</v>
      </c>
      <c r="C2043" s="2" t="s">
        <v>74</v>
      </c>
      <c r="D2043" s="2" t="s">
        <v>43</v>
      </c>
      <c r="E2043" s="2" t="s">
        <v>78</v>
      </c>
      <c r="F2043" s="2" t="s">
        <v>84</v>
      </c>
      <c r="G2043" s="2">
        <f t="shared" si="31"/>
        <v>0.21720116618075802</v>
      </c>
      <c r="H2043" s="5">
        <v>4.2571428571428571</v>
      </c>
      <c r="I2043" s="2">
        <v>35</v>
      </c>
      <c r="J2043" s="12">
        <f>I2043/Pondération!$H$124</f>
        <v>5.1020408163265307E-2</v>
      </c>
    </row>
    <row r="2044" spans="1:10" x14ac:dyDescent="0.25">
      <c r="A2044" s="2" t="s">
        <v>77</v>
      </c>
      <c r="B2044" s="2">
        <v>2015</v>
      </c>
      <c r="C2044" s="2" t="s">
        <v>75</v>
      </c>
      <c r="D2044" s="2" t="s">
        <v>43</v>
      </c>
      <c r="E2044" s="2" t="s">
        <v>78</v>
      </c>
      <c r="F2044" s="2" t="s">
        <v>84</v>
      </c>
      <c r="G2044" s="2">
        <f t="shared" si="31"/>
        <v>0.22667638483965014</v>
      </c>
      <c r="H2044" s="5">
        <v>4.5735294117647056</v>
      </c>
      <c r="I2044" s="2">
        <v>34</v>
      </c>
      <c r="J2044" s="12">
        <f>I2044/Pondération!$H$124</f>
        <v>4.9562682215743441E-2</v>
      </c>
    </row>
    <row r="2045" spans="1:10" x14ac:dyDescent="0.25">
      <c r="A2045" s="2" t="s">
        <v>77</v>
      </c>
      <c r="B2045" s="2">
        <v>2015</v>
      </c>
      <c r="C2045" s="2" t="s">
        <v>76</v>
      </c>
      <c r="D2045" s="2" t="s">
        <v>43</v>
      </c>
      <c r="E2045" s="2" t="s">
        <v>78</v>
      </c>
      <c r="F2045" s="2" t="s">
        <v>84</v>
      </c>
      <c r="G2045" s="2">
        <f t="shared" si="31"/>
        <v>0.20408163265306123</v>
      </c>
      <c r="H2045" s="5">
        <v>4.5161290322580649</v>
      </c>
      <c r="I2045" s="2">
        <v>31</v>
      </c>
      <c r="J2045" s="12">
        <f>I2045/Pondération!$H$124</f>
        <v>4.5189504373177841E-2</v>
      </c>
    </row>
    <row r="2046" spans="1:10" x14ac:dyDescent="0.25">
      <c r="A2046" s="2" t="s">
        <v>77</v>
      </c>
      <c r="B2046" s="2">
        <v>2015</v>
      </c>
      <c r="C2046" s="2" t="s">
        <v>7</v>
      </c>
      <c r="D2046" s="2" t="s">
        <v>43</v>
      </c>
      <c r="E2046" s="2" t="s">
        <v>78</v>
      </c>
      <c r="F2046" s="2" t="s">
        <v>84</v>
      </c>
      <c r="G2046" s="2">
        <f t="shared" si="31"/>
        <v>0.42638483965014579</v>
      </c>
      <c r="H2046" s="5">
        <v>4.5</v>
      </c>
      <c r="I2046" s="2">
        <v>65</v>
      </c>
      <c r="J2046" s="12">
        <f>I2046/Pondération!$H$124</f>
        <v>9.4752186588921289E-2</v>
      </c>
    </row>
    <row r="2047" spans="1:10" x14ac:dyDescent="0.25">
      <c r="A2047" s="2" t="s">
        <v>77</v>
      </c>
      <c r="B2047" s="2">
        <v>2015</v>
      </c>
      <c r="C2047" s="2" t="s">
        <v>11</v>
      </c>
      <c r="D2047" s="2" t="s">
        <v>43</v>
      </c>
      <c r="E2047" s="2" t="s">
        <v>78</v>
      </c>
      <c r="F2047" s="2" t="s">
        <v>84</v>
      </c>
      <c r="G2047" s="2">
        <f t="shared" si="31"/>
        <v>0.32798833819241985</v>
      </c>
      <c r="H2047" s="5">
        <v>4.5</v>
      </c>
      <c r="I2047" s="2">
        <v>50</v>
      </c>
      <c r="J2047" s="12">
        <f>I2047/Pondération!$H$124</f>
        <v>7.2886297376093298E-2</v>
      </c>
    </row>
    <row r="2048" spans="1:10" x14ac:dyDescent="0.25">
      <c r="A2048" s="2" t="s">
        <v>77</v>
      </c>
      <c r="B2048" s="2">
        <v>2015</v>
      </c>
      <c r="C2048" s="2" t="s">
        <v>12</v>
      </c>
      <c r="D2048" s="2" t="s">
        <v>43</v>
      </c>
      <c r="E2048" s="2" t="s">
        <v>78</v>
      </c>
      <c r="F2048" s="2" t="s">
        <v>84</v>
      </c>
      <c r="G2048" s="2">
        <f t="shared" si="31"/>
        <v>0.5291545189504373</v>
      </c>
      <c r="H2048" s="5">
        <v>4.5374999999999996</v>
      </c>
      <c r="I2048" s="2">
        <v>80</v>
      </c>
      <c r="J2048" s="12">
        <f>I2048/Pondération!$H$124</f>
        <v>0.11661807580174927</v>
      </c>
    </row>
    <row r="2049" spans="1:10" x14ac:dyDescent="0.25">
      <c r="A2049" s="2" t="s">
        <v>77</v>
      </c>
      <c r="B2049" s="2">
        <v>2015</v>
      </c>
      <c r="C2049" s="2" t="s">
        <v>13</v>
      </c>
      <c r="D2049" s="2" t="s">
        <v>43</v>
      </c>
      <c r="E2049" s="2" t="s">
        <v>78</v>
      </c>
      <c r="F2049" s="2" t="s">
        <v>84</v>
      </c>
      <c r="G2049" s="2">
        <f t="shared" si="31"/>
        <v>0.91618075801749266</v>
      </c>
      <c r="H2049" s="5">
        <v>4.457446808510638</v>
      </c>
      <c r="I2049" s="2">
        <v>141</v>
      </c>
      <c r="J2049" s="12">
        <f>I2049/Pondération!$H$124</f>
        <v>0.20553935860058309</v>
      </c>
    </row>
    <row r="2050" spans="1:10" x14ac:dyDescent="0.25">
      <c r="A2050" s="2" t="s">
        <v>77</v>
      </c>
      <c r="B2050" s="2">
        <v>2015</v>
      </c>
      <c r="C2050" s="2" t="s">
        <v>14</v>
      </c>
      <c r="D2050" s="2" t="s">
        <v>43</v>
      </c>
      <c r="E2050" s="2" t="s">
        <v>78</v>
      </c>
      <c r="F2050" s="2" t="s">
        <v>84</v>
      </c>
      <c r="G2050" s="2">
        <f t="shared" ref="G2050:G2113" si="32">H2050*J2050</f>
        <v>0.3432944606413994</v>
      </c>
      <c r="H2050" s="5">
        <v>4.4433962264150946</v>
      </c>
      <c r="I2050" s="2">
        <v>53</v>
      </c>
      <c r="J2050" s="12">
        <f>I2050/Pondération!$H$124</f>
        <v>7.7259475218658891E-2</v>
      </c>
    </row>
    <row r="2051" spans="1:10" x14ac:dyDescent="0.25">
      <c r="A2051" s="2" t="s">
        <v>77</v>
      </c>
      <c r="B2051" s="2">
        <v>2015</v>
      </c>
      <c r="C2051" s="2" t="s">
        <v>15</v>
      </c>
      <c r="D2051" s="2" t="s">
        <v>43</v>
      </c>
      <c r="E2051" s="2" t="s">
        <v>78</v>
      </c>
      <c r="F2051" s="2" t="s">
        <v>84</v>
      </c>
      <c r="G2051" s="2">
        <f t="shared" si="32"/>
        <v>0.41107871720116623</v>
      </c>
      <c r="H2051" s="5">
        <v>4.4761904761904763</v>
      </c>
      <c r="I2051" s="2">
        <v>63</v>
      </c>
      <c r="J2051" s="12">
        <f>I2051/Pondération!$H$124</f>
        <v>9.1836734693877556E-2</v>
      </c>
    </row>
    <row r="2052" spans="1:10" x14ac:dyDescent="0.25">
      <c r="A2052" s="2" t="s">
        <v>77</v>
      </c>
      <c r="B2052" s="2">
        <v>2015</v>
      </c>
      <c r="C2052" s="2" t="s">
        <v>16</v>
      </c>
      <c r="D2052" s="2" t="s">
        <v>43</v>
      </c>
      <c r="E2052" s="2" t="s">
        <v>78</v>
      </c>
      <c r="F2052" s="2" t="s">
        <v>84</v>
      </c>
      <c r="G2052" s="2">
        <f t="shared" si="32"/>
        <v>0.29008746355685128</v>
      </c>
      <c r="H2052" s="5">
        <v>4.5227272727272725</v>
      </c>
      <c r="I2052" s="2">
        <v>44</v>
      </c>
      <c r="J2052" s="12">
        <f>I2052/Pondération!$H$124</f>
        <v>6.4139941690962099E-2</v>
      </c>
    </row>
    <row r="2053" spans="1:10" x14ac:dyDescent="0.25">
      <c r="A2053" s="2" t="s">
        <v>77</v>
      </c>
      <c r="B2053" s="2">
        <v>2015</v>
      </c>
      <c r="C2053" s="2" t="s">
        <v>17</v>
      </c>
      <c r="D2053" s="2" t="s">
        <v>43</v>
      </c>
      <c r="E2053" s="2" t="s">
        <v>78</v>
      </c>
      <c r="F2053" s="2" t="s">
        <v>84</v>
      </c>
      <c r="G2053" s="2">
        <f t="shared" si="32"/>
        <v>0.3790087463556851</v>
      </c>
      <c r="H2053" s="5">
        <v>4.406779661016949</v>
      </c>
      <c r="I2053" s="2">
        <v>59</v>
      </c>
      <c r="J2053" s="12">
        <f>I2053/Pondération!$H$124</f>
        <v>8.600583090379009E-2</v>
      </c>
    </row>
    <row r="2054" spans="1:10" x14ac:dyDescent="0.25">
      <c r="A2054" s="2" t="s">
        <v>77</v>
      </c>
      <c r="B2054" s="2">
        <v>2016</v>
      </c>
      <c r="C2054" s="2" t="s">
        <v>18</v>
      </c>
      <c r="D2054" s="2" t="s">
        <v>43</v>
      </c>
      <c r="E2054" s="2" t="s">
        <v>78</v>
      </c>
      <c r="F2054" s="2" t="s">
        <v>84</v>
      </c>
      <c r="G2054" s="2">
        <f t="shared" si="32"/>
        <v>0.18298969072164947</v>
      </c>
      <c r="H2054" s="5">
        <v>4.4375</v>
      </c>
      <c r="I2054" s="2">
        <v>48</v>
      </c>
      <c r="J2054" s="12">
        <f>I2054/Pondération!$G$124</f>
        <v>4.1237113402061855E-2</v>
      </c>
    </row>
    <row r="2055" spans="1:10" x14ac:dyDescent="0.25">
      <c r="A2055" s="2" t="s">
        <v>77</v>
      </c>
      <c r="B2055" s="2">
        <v>2016</v>
      </c>
      <c r="C2055" s="2" t="s">
        <v>19</v>
      </c>
      <c r="D2055" s="2" t="s">
        <v>43</v>
      </c>
      <c r="E2055" s="2" t="s">
        <v>78</v>
      </c>
      <c r="F2055" s="2" t="s">
        <v>84</v>
      </c>
      <c r="G2055" s="2">
        <f t="shared" si="32"/>
        <v>0.27104810996563578</v>
      </c>
      <c r="H2055" s="5">
        <v>4.3819444444444446</v>
      </c>
      <c r="I2055" s="2">
        <v>72</v>
      </c>
      <c r="J2055" s="12">
        <f>I2055/Pondération!$G$124</f>
        <v>6.1855670103092786E-2</v>
      </c>
    </row>
    <row r="2056" spans="1:10" x14ac:dyDescent="0.25">
      <c r="A2056" s="2" t="s">
        <v>77</v>
      </c>
      <c r="B2056" s="2">
        <v>2016</v>
      </c>
      <c r="C2056" s="2" t="s">
        <v>20</v>
      </c>
      <c r="D2056" s="2" t="s">
        <v>43</v>
      </c>
      <c r="E2056" s="2" t="s">
        <v>78</v>
      </c>
      <c r="F2056" s="2" t="s">
        <v>84</v>
      </c>
      <c r="G2056" s="2">
        <f t="shared" si="32"/>
        <v>0.27577319587628862</v>
      </c>
      <c r="H2056" s="5">
        <v>4.52112676056338</v>
      </c>
      <c r="I2056" s="2">
        <v>71</v>
      </c>
      <c r="J2056" s="12">
        <f>I2056/Pondération!$G$124</f>
        <v>6.099656357388316E-2</v>
      </c>
    </row>
    <row r="2057" spans="1:10" x14ac:dyDescent="0.25">
      <c r="A2057" s="2" t="s">
        <v>77</v>
      </c>
      <c r="B2057" s="2">
        <v>2016</v>
      </c>
      <c r="C2057" s="2" t="s">
        <v>21</v>
      </c>
      <c r="D2057" s="2" t="s">
        <v>43</v>
      </c>
      <c r="E2057" s="2" t="s">
        <v>78</v>
      </c>
      <c r="F2057" s="2" t="s">
        <v>84</v>
      </c>
      <c r="G2057" s="2">
        <f t="shared" si="32"/>
        <v>0.31056701030927836</v>
      </c>
      <c r="H2057" s="5">
        <v>4.4629629629629628</v>
      </c>
      <c r="I2057" s="2">
        <v>81</v>
      </c>
      <c r="J2057" s="12">
        <f>I2057/Pondération!$G$124</f>
        <v>6.9587628865979384E-2</v>
      </c>
    </row>
    <row r="2058" spans="1:10" x14ac:dyDescent="0.25">
      <c r="A2058" s="2" t="s">
        <v>77</v>
      </c>
      <c r="B2058" s="2">
        <v>2016</v>
      </c>
      <c r="C2058" s="2" t="s">
        <v>22</v>
      </c>
      <c r="D2058" s="2" t="s">
        <v>43</v>
      </c>
      <c r="E2058" s="2" t="s">
        <v>78</v>
      </c>
      <c r="F2058" s="2" t="s">
        <v>84</v>
      </c>
      <c r="G2058" s="2">
        <f t="shared" si="32"/>
        <v>0.41494845360824745</v>
      </c>
      <c r="H2058" s="5">
        <v>4.4722222222222223</v>
      </c>
      <c r="I2058" s="2">
        <v>108</v>
      </c>
      <c r="J2058" s="12">
        <f>I2058/Pondération!$G$124</f>
        <v>9.2783505154639179E-2</v>
      </c>
    </row>
    <row r="2059" spans="1:10" x14ac:dyDescent="0.25">
      <c r="A2059" s="2" t="s">
        <v>77</v>
      </c>
      <c r="B2059" s="2">
        <v>2016</v>
      </c>
      <c r="C2059" s="2" t="s">
        <v>23</v>
      </c>
      <c r="D2059" s="2" t="s">
        <v>43</v>
      </c>
      <c r="E2059" s="2" t="s">
        <v>78</v>
      </c>
      <c r="F2059" s="2" t="s">
        <v>84</v>
      </c>
      <c r="G2059" s="2">
        <f t="shared" si="32"/>
        <v>0.29381443298969073</v>
      </c>
      <c r="H2059" s="5">
        <v>4.384615384615385</v>
      </c>
      <c r="I2059" s="2">
        <v>78</v>
      </c>
      <c r="J2059" s="12">
        <f>I2059/Pondération!$G$124</f>
        <v>6.7010309278350513E-2</v>
      </c>
    </row>
    <row r="2060" spans="1:10" x14ac:dyDescent="0.25">
      <c r="A2060" s="2" t="s">
        <v>77</v>
      </c>
      <c r="B2060" s="2">
        <v>2016</v>
      </c>
      <c r="C2060" s="2" t="s">
        <v>24</v>
      </c>
      <c r="D2060" s="2" t="s">
        <v>43</v>
      </c>
      <c r="E2060" s="2" t="s">
        <v>78</v>
      </c>
      <c r="F2060" s="2" t="s">
        <v>84</v>
      </c>
      <c r="G2060" s="2">
        <f t="shared" si="32"/>
        <v>0.42869415807560135</v>
      </c>
      <c r="H2060" s="5">
        <v>4.3771929824561404</v>
      </c>
      <c r="I2060" s="2">
        <v>114</v>
      </c>
      <c r="J2060" s="12">
        <f>I2060/Pondération!$G$124</f>
        <v>9.7938144329896906E-2</v>
      </c>
    </row>
    <row r="2061" spans="1:10" x14ac:dyDescent="0.25">
      <c r="A2061" s="2" t="s">
        <v>77</v>
      </c>
      <c r="B2061" s="2">
        <v>2016</v>
      </c>
      <c r="C2061" s="2" t="s">
        <v>25</v>
      </c>
      <c r="D2061" s="2" t="s">
        <v>43</v>
      </c>
      <c r="E2061" s="2" t="s">
        <v>78</v>
      </c>
      <c r="F2061" s="2" t="s">
        <v>84</v>
      </c>
      <c r="G2061" s="2">
        <f t="shared" si="32"/>
        <v>0.84407216494845361</v>
      </c>
      <c r="H2061" s="5">
        <v>4.4457013574660635</v>
      </c>
      <c r="I2061" s="2">
        <v>221</v>
      </c>
      <c r="J2061" s="12">
        <f>I2061/Pondération!$G$124</f>
        <v>0.18986254295532645</v>
      </c>
    </row>
    <row r="2062" spans="1:10" x14ac:dyDescent="0.25">
      <c r="A2062" s="2" t="s">
        <v>77</v>
      </c>
      <c r="B2062" s="2">
        <v>2016</v>
      </c>
      <c r="C2062" s="2" t="s">
        <v>26</v>
      </c>
      <c r="D2062" s="2" t="s">
        <v>43</v>
      </c>
      <c r="E2062" s="2" t="s">
        <v>78</v>
      </c>
      <c r="F2062" s="2" t="s">
        <v>84</v>
      </c>
      <c r="G2062" s="2">
        <f t="shared" si="32"/>
        <v>0.43298969072164945</v>
      </c>
      <c r="H2062" s="5">
        <v>4.3826086956521735</v>
      </c>
      <c r="I2062" s="2">
        <v>115</v>
      </c>
      <c r="J2062" s="12">
        <f>I2062/Pondération!$G$124</f>
        <v>9.8797250859106525E-2</v>
      </c>
    </row>
    <row r="2063" spans="1:10" x14ac:dyDescent="0.25">
      <c r="A2063" s="2" t="s">
        <v>77</v>
      </c>
      <c r="B2063" s="2">
        <v>2016</v>
      </c>
      <c r="C2063" s="2" t="s">
        <v>27</v>
      </c>
      <c r="D2063" s="2" t="s">
        <v>43</v>
      </c>
      <c r="E2063" s="2" t="s">
        <v>78</v>
      </c>
      <c r="F2063" s="2" t="s">
        <v>84</v>
      </c>
      <c r="G2063" s="2">
        <f t="shared" si="32"/>
        <v>0.36211340206185566</v>
      </c>
      <c r="H2063" s="5">
        <v>4.532258064516129</v>
      </c>
      <c r="I2063" s="2">
        <v>93</v>
      </c>
      <c r="J2063" s="12">
        <f>I2063/Pondération!$G$124</f>
        <v>7.9896907216494839E-2</v>
      </c>
    </row>
    <row r="2064" spans="1:10" x14ac:dyDescent="0.25">
      <c r="A2064" s="2" t="s">
        <v>77</v>
      </c>
      <c r="B2064" s="2">
        <v>2016</v>
      </c>
      <c r="C2064" s="2" t="s">
        <v>28</v>
      </c>
      <c r="D2064" s="2" t="s">
        <v>43</v>
      </c>
      <c r="E2064" s="2" t="s">
        <v>78</v>
      </c>
      <c r="F2064" s="2" t="s">
        <v>84</v>
      </c>
      <c r="G2064" s="2">
        <f t="shared" si="32"/>
        <v>0.31013745704467349</v>
      </c>
      <c r="H2064" s="5">
        <v>4.2976190476190474</v>
      </c>
      <c r="I2064" s="2">
        <v>84</v>
      </c>
      <c r="J2064" s="12">
        <f>I2064/Pondération!$G$124</f>
        <v>7.2164948453608241E-2</v>
      </c>
    </row>
    <row r="2065" spans="1:10" x14ac:dyDescent="0.25">
      <c r="A2065" s="2" t="s">
        <v>77</v>
      </c>
      <c r="B2065" s="2">
        <v>2016</v>
      </c>
      <c r="C2065" s="2" t="s">
        <v>29</v>
      </c>
      <c r="D2065" s="2" t="s">
        <v>43</v>
      </c>
      <c r="E2065" s="2" t="s">
        <v>78</v>
      </c>
      <c r="F2065" s="2" t="s">
        <v>84</v>
      </c>
      <c r="G2065" s="2">
        <f t="shared" si="32"/>
        <v>0.29596219931271478</v>
      </c>
      <c r="H2065" s="5">
        <v>4.3607594936708862</v>
      </c>
      <c r="I2065" s="2">
        <v>79</v>
      </c>
      <c r="J2065" s="12">
        <f>I2065/Pondération!$G$124</f>
        <v>6.7869415807560132E-2</v>
      </c>
    </row>
    <row r="2066" spans="1:10" x14ac:dyDescent="0.25">
      <c r="A2066" s="2" t="s">
        <v>77</v>
      </c>
      <c r="B2066" s="2">
        <v>2017</v>
      </c>
      <c r="C2066" s="2" t="s">
        <v>30</v>
      </c>
      <c r="D2066" s="2" t="s">
        <v>43</v>
      </c>
      <c r="E2066" s="2" t="s">
        <v>78</v>
      </c>
      <c r="F2066" s="2" t="s">
        <v>84</v>
      </c>
      <c r="G2066" s="2">
        <f t="shared" si="32"/>
        <v>0.65695067264573992</v>
      </c>
      <c r="H2066" s="5">
        <v>4.4393939393939394</v>
      </c>
      <c r="I2066" s="2">
        <v>66</v>
      </c>
      <c r="J2066" s="12">
        <f>I2066/Pondération!$F$124</f>
        <v>0.14798206278026907</v>
      </c>
    </row>
    <row r="2067" spans="1:10" x14ac:dyDescent="0.25">
      <c r="A2067" s="2" t="s">
        <v>77</v>
      </c>
      <c r="B2067" s="2">
        <v>2017</v>
      </c>
      <c r="C2067" s="2" t="s">
        <v>31</v>
      </c>
      <c r="D2067" s="2" t="s">
        <v>43</v>
      </c>
      <c r="E2067" s="2" t="s">
        <v>78</v>
      </c>
      <c r="F2067" s="2" t="s">
        <v>84</v>
      </c>
      <c r="G2067" s="2">
        <f t="shared" si="32"/>
        <v>0.82399103139013452</v>
      </c>
      <c r="H2067" s="5">
        <v>4.5370370370370372</v>
      </c>
      <c r="I2067" s="2">
        <v>81</v>
      </c>
      <c r="J2067" s="12">
        <f>I2067/Pondération!$F$124</f>
        <v>0.18161434977578475</v>
      </c>
    </row>
    <row r="2068" spans="1:10" x14ac:dyDescent="0.25">
      <c r="A2068" s="2" t="s">
        <v>77</v>
      </c>
      <c r="B2068" s="2">
        <v>2017</v>
      </c>
      <c r="C2068" s="2" t="s">
        <v>32</v>
      </c>
      <c r="D2068" s="2" t="s">
        <v>43</v>
      </c>
      <c r="E2068" s="2" t="s">
        <v>78</v>
      </c>
      <c r="F2068" s="2" t="s">
        <v>84</v>
      </c>
      <c r="G2068" s="2">
        <f t="shared" si="32"/>
        <v>0.89573991031390132</v>
      </c>
      <c r="H2068" s="5">
        <v>4.25</v>
      </c>
      <c r="I2068" s="2">
        <v>94</v>
      </c>
      <c r="J2068" s="12">
        <f>I2068/Pondération!$F$124</f>
        <v>0.21076233183856502</v>
      </c>
    </row>
    <row r="2069" spans="1:10" x14ac:dyDescent="0.25">
      <c r="A2069" s="2" t="s">
        <v>77</v>
      </c>
      <c r="B2069" s="2">
        <v>2017</v>
      </c>
      <c r="C2069" s="2" t="s">
        <v>33</v>
      </c>
      <c r="D2069" s="2" t="s">
        <v>43</v>
      </c>
      <c r="E2069" s="2" t="s">
        <v>78</v>
      </c>
      <c r="F2069" s="2" t="s">
        <v>84</v>
      </c>
      <c r="G2069" s="2">
        <f t="shared" si="32"/>
        <v>0.75336322869955163</v>
      </c>
      <c r="H2069" s="5">
        <v>4.4210526315789478</v>
      </c>
      <c r="I2069" s="2">
        <v>76</v>
      </c>
      <c r="J2069" s="12">
        <f>I2069/Pondération!$F$124</f>
        <v>0.17040358744394618</v>
      </c>
    </row>
    <row r="2070" spans="1:10" x14ac:dyDescent="0.25">
      <c r="A2070" s="2" t="s">
        <v>77</v>
      </c>
      <c r="B2070" s="2">
        <v>2017</v>
      </c>
      <c r="C2070" s="2" t="s">
        <v>34</v>
      </c>
      <c r="D2070" s="2" t="s">
        <v>43</v>
      </c>
      <c r="E2070" s="2" t="s">
        <v>78</v>
      </c>
      <c r="F2070" s="2" t="s">
        <v>84</v>
      </c>
      <c r="G2070" s="2">
        <f t="shared" si="32"/>
        <v>0.80044843049327352</v>
      </c>
      <c r="H2070" s="5">
        <v>4.4074074074074074</v>
      </c>
      <c r="I2070" s="2">
        <v>81</v>
      </c>
      <c r="J2070" s="12">
        <f>I2070/Pondération!$F$124</f>
        <v>0.18161434977578475</v>
      </c>
    </row>
    <row r="2071" spans="1:10" x14ac:dyDescent="0.25">
      <c r="A2071" s="2" t="s">
        <v>77</v>
      </c>
      <c r="B2071" s="2">
        <v>2017</v>
      </c>
      <c r="C2071" s="2" t="s">
        <v>80</v>
      </c>
      <c r="D2071" s="2" t="s">
        <v>43</v>
      </c>
      <c r="E2071" s="2" t="s">
        <v>78</v>
      </c>
      <c r="F2071" s="2" t="s">
        <v>84</v>
      </c>
      <c r="G2071" s="2">
        <f t="shared" si="32"/>
        <v>0.47757847533632292</v>
      </c>
      <c r="H2071" s="5">
        <v>4.4375</v>
      </c>
      <c r="I2071" s="2">
        <v>48</v>
      </c>
      <c r="J2071" s="12">
        <f>I2071/Pondération!$F$124</f>
        <v>0.10762331838565023</v>
      </c>
    </row>
    <row r="2072" spans="1:10" x14ac:dyDescent="0.25">
      <c r="A2072" s="2" t="s">
        <v>77</v>
      </c>
      <c r="B2072" s="2">
        <v>2013</v>
      </c>
      <c r="C2072" s="2" t="s">
        <v>49</v>
      </c>
      <c r="D2072" s="2" t="s">
        <v>44</v>
      </c>
      <c r="E2072" s="2" t="s">
        <v>78</v>
      </c>
      <c r="F2072" s="2" t="s">
        <v>79</v>
      </c>
      <c r="G2072" s="2">
        <f t="shared" si="32"/>
        <v>0.15909090909090912</v>
      </c>
      <c r="H2072" s="5">
        <v>4.3921568627450984</v>
      </c>
      <c r="I2072" s="2">
        <v>51</v>
      </c>
      <c r="J2072" s="12">
        <f>I2072/Pondération!$J$134</f>
        <v>3.6221590909090912E-2</v>
      </c>
    </row>
    <row r="2073" spans="1:10" x14ac:dyDescent="0.25">
      <c r="A2073" s="2" t="s">
        <v>77</v>
      </c>
      <c r="B2073" s="2">
        <v>2013</v>
      </c>
      <c r="C2073" s="2" t="s">
        <v>50</v>
      </c>
      <c r="D2073" s="2" t="s">
        <v>44</v>
      </c>
      <c r="E2073" s="2" t="s">
        <v>78</v>
      </c>
      <c r="F2073" s="2" t="s">
        <v>79</v>
      </c>
      <c r="G2073" s="2">
        <f t="shared" si="32"/>
        <v>0.10369318181818181</v>
      </c>
      <c r="H2073" s="5">
        <v>4.2941176470588234</v>
      </c>
      <c r="I2073" s="2">
        <v>34</v>
      </c>
      <c r="J2073" s="12">
        <f>I2073/Pondération!$J$134</f>
        <v>2.4147727272727272E-2</v>
      </c>
    </row>
    <row r="2074" spans="1:10" x14ac:dyDescent="0.25">
      <c r="A2074" s="2" t="s">
        <v>77</v>
      </c>
      <c r="B2074" s="2">
        <v>2013</v>
      </c>
      <c r="C2074" s="2" t="s">
        <v>51</v>
      </c>
      <c r="D2074" s="2" t="s">
        <v>44</v>
      </c>
      <c r="E2074" s="2" t="s">
        <v>78</v>
      </c>
      <c r="F2074" s="2" t="s">
        <v>79</v>
      </c>
      <c r="G2074" s="2">
        <f t="shared" si="32"/>
        <v>0.19247159090909091</v>
      </c>
      <c r="H2074" s="5">
        <v>4.1692307692307695</v>
      </c>
      <c r="I2074" s="2">
        <v>65</v>
      </c>
      <c r="J2074" s="12">
        <f>I2074/Pondération!$J$134</f>
        <v>4.6164772727272728E-2</v>
      </c>
    </row>
    <row r="2075" spans="1:10" x14ac:dyDescent="0.25">
      <c r="A2075" s="2" t="s">
        <v>77</v>
      </c>
      <c r="B2075" s="2">
        <v>2013</v>
      </c>
      <c r="C2075" s="2" t="s">
        <v>52</v>
      </c>
      <c r="D2075" s="2" t="s">
        <v>44</v>
      </c>
      <c r="E2075" s="2" t="s">
        <v>78</v>
      </c>
      <c r="F2075" s="2" t="s">
        <v>79</v>
      </c>
      <c r="G2075" s="2">
        <f t="shared" si="32"/>
        <v>0.27556818181818182</v>
      </c>
      <c r="H2075" s="5">
        <v>4.3111111111111109</v>
      </c>
      <c r="I2075" s="2">
        <v>90</v>
      </c>
      <c r="J2075" s="12">
        <f>I2075/Pondération!$J$134</f>
        <v>6.3920454545454544E-2</v>
      </c>
    </row>
    <row r="2076" spans="1:10" x14ac:dyDescent="0.25">
      <c r="A2076" s="2" t="s">
        <v>77</v>
      </c>
      <c r="B2076" s="2">
        <v>2013</v>
      </c>
      <c r="C2076" s="2" t="s">
        <v>53</v>
      </c>
      <c r="D2076" s="2" t="s">
        <v>44</v>
      </c>
      <c r="E2076" s="2" t="s">
        <v>78</v>
      </c>
      <c r="F2076" s="2" t="s">
        <v>79</v>
      </c>
      <c r="G2076" s="2">
        <f t="shared" si="32"/>
        <v>0.30646306818181818</v>
      </c>
      <c r="H2076" s="5">
        <v>4.2722772277227721</v>
      </c>
      <c r="I2076" s="2">
        <v>101</v>
      </c>
      <c r="J2076" s="12">
        <f>I2076/Pondération!$J$134</f>
        <v>7.1732954545454544E-2</v>
      </c>
    </row>
    <row r="2077" spans="1:10" x14ac:dyDescent="0.25">
      <c r="A2077" s="2" t="s">
        <v>77</v>
      </c>
      <c r="B2077" s="2">
        <v>2013</v>
      </c>
      <c r="C2077" s="2" t="s">
        <v>54</v>
      </c>
      <c r="D2077" s="2" t="s">
        <v>44</v>
      </c>
      <c r="E2077" s="2" t="s">
        <v>78</v>
      </c>
      <c r="F2077" s="2" t="s">
        <v>79</v>
      </c>
      <c r="G2077" s="2">
        <f t="shared" si="32"/>
        <v>0.24609375</v>
      </c>
      <c r="H2077" s="5">
        <v>4.4423076923076925</v>
      </c>
      <c r="I2077" s="2">
        <v>78</v>
      </c>
      <c r="J2077" s="12">
        <f>I2077/Pondération!$J$134</f>
        <v>5.5397727272727272E-2</v>
      </c>
    </row>
    <row r="2078" spans="1:10" x14ac:dyDescent="0.25">
      <c r="A2078" s="2" t="s">
        <v>77</v>
      </c>
      <c r="B2078" s="2">
        <v>2013</v>
      </c>
      <c r="C2078" s="2" t="s">
        <v>55</v>
      </c>
      <c r="D2078" s="2" t="s">
        <v>44</v>
      </c>
      <c r="E2078" s="2" t="s">
        <v>78</v>
      </c>
      <c r="F2078" s="2" t="s">
        <v>79</v>
      </c>
      <c r="G2078" s="2">
        <f t="shared" si="32"/>
        <v>0.62677556818181823</v>
      </c>
      <c r="H2078" s="5">
        <v>4.3905472636815919</v>
      </c>
      <c r="I2078" s="2">
        <v>201</v>
      </c>
      <c r="J2078" s="12">
        <f>I2078/Pondération!$J$134</f>
        <v>0.14275568181818182</v>
      </c>
    </row>
    <row r="2079" spans="1:10" x14ac:dyDescent="0.25">
      <c r="A2079" s="2" t="s">
        <v>77</v>
      </c>
      <c r="B2079" s="2">
        <v>2013</v>
      </c>
      <c r="C2079" s="2" t="s">
        <v>56</v>
      </c>
      <c r="D2079" s="2" t="s">
        <v>44</v>
      </c>
      <c r="E2079" s="2" t="s">
        <v>78</v>
      </c>
      <c r="F2079" s="2" t="s">
        <v>79</v>
      </c>
      <c r="G2079" s="2">
        <f t="shared" si="32"/>
        <v>1.2883522727272727</v>
      </c>
      <c r="H2079" s="5">
        <v>4.4029126213592233</v>
      </c>
      <c r="I2079" s="2">
        <v>412</v>
      </c>
      <c r="J2079" s="12">
        <f>I2079/Pondération!$J$134</f>
        <v>0.29261363636363635</v>
      </c>
    </row>
    <row r="2080" spans="1:10" x14ac:dyDescent="0.25">
      <c r="A2080" s="2" t="s">
        <v>77</v>
      </c>
      <c r="B2080" s="2">
        <v>2013</v>
      </c>
      <c r="C2080" s="2" t="s">
        <v>57</v>
      </c>
      <c r="D2080" s="2" t="s">
        <v>44</v>
      </c>
      <c r="E2080" s="2" t="s">
        <v>78</v>
      </c>
      <c r="F2080" s="2" t="s">
        <v>79</v>
      </c>
      <c r="G2080" s="2">
        <f t="shared" si="32"/>
        <v>0.53870738636363635</v>
      </c>
      <c r="H2080" s="5">
        <v>4.3843930635838149</v>
      </c>
      <c r="I2080" s="2">
        <v>173</v>
      </c>
      <c r="J2080" s="12">
        <f>I2080/Pondération!$J$134</f>
        <v>0.12286931818181818</v>
      </c>
    </row>
    <row r="2081" spans="1:10" x14ac:dyDescent="0.25">
      <c r="A2081" s="2" t="s">
        <v>77</v>
      </c>
      <c r="B2081" s="2">
        <v>2013</v>
      </c>
      <c r="C2081" s="2" t="s">
        <v>58</v>
      </c>
      <c r="D2081" s="2" t="s">
        <v>44</v>
      </c>
      <c r="E2081" s="2" t="s">
        <v>78</v>
      </c>
      <c r="F2081" s="2" t="s">
        <v>79</v>
      </c>
      <c r="G2081" s="2">
        <f t="shared" si="32"/>
        <v>0.29119318181818182</v>
      </c>
      <c r="H2081" s="5">
        <v>4.3617021276595747</v>
      </c>
      <c r="I2081" s="2">
        <v>94</v>
      </c>
      <c r="J2081" s="12">
        <f>I2081/Pondération!$J$134</f>
        <v>6.6761363636363633E-2</v>
      </c>
    </row>
    <row r="2082" spans="1:10" x14ac:dyDescent="0.25">
      <c r="A2082" s="2" t="s">
        <v>77</v>
      </c>
      <c r="B2082" s="2">
        <v>2013</v>
      </c>
      <c r="C2082" s="2" t="s">
        <v>59</v>
      </c>
      <c r="D2082" s="2" t="s">
        <v>44</v>
      </c>
      <c r="E2082" s="2" t="s">
        <v>78</v>
      </c>
      <c r="F2082" s="2" t="s">
        <v>79</v>
      </c>
      <c r="G2082" s="2">
        <f t="shared" si="32"/>
        <v>0.17897727272727273</v>
      </c>
      <c r="H2082" s="5">
        <v>4.4210526315789478</v>
      </c>
      <c r="I2082" s="2">
        <v>57</v>
      </c>
      <c r="J2082" s="12">
        <f>I2082/Pondération!$J$134</f>
        <v>4.0482954545454544E-2</v>
      </c>
    </row>
    <row r="2083" spans="1:10" x14ac:dyDescent="0.25">
      <c r="A2083" s="2" t="s">
        <v>77</v>
      </c>
      <c r="B2083" s="2">
        <v>2013</v>
      </c>
      <c r="C2083" s="2" t="s">
        <v>60</v>
      </c>
      <c r="D2083" s="2" t="s">
        <v>44</v>
      </c>
      <c r="E2083" s="2" t="s">
        <v>78</v>
      </c>
      <c r="F2083" s="2" t="s">
        <v>79</v>
      </c>
      <c r="G2083" s="2">
        <f t="shared" si="32"/>
        <v>0.15767045454545456</v>
      </c>
      <c r="H2083" s="5">
        <v>4.2692307692307692</v>
      </c>
      <c r="I2083" s="2">
        <v>52</v>
      </c>
      <c r="J2083" s="12">
        <f>I2083/Pondération!$J$134</f>
        <v>3.6931818181818184E-2</v>
      </c>
    </row>
    <row r="2084" spans="1:10" x14ac:dyDescent="0.25">
      <c r="A2084" s="2" t="s">
        <v>77</v>
      </c>
      <c r="B2084" s="2">
        <v>2014</v>
      </c>
      <c r="C2084" s="2" t="s">
        <v>61</v>
      </c>
      <c r="D2084" s="2" t="s">
        <v>44</v>
      </c>
      <c r="E2084" s="2" t="s">
        <v>78</v>
      </c>
      <c r="F2084" s="2" t="s">
        <v>79</v>
      </c>
      <c r="G2084" s="2">
        <f t="shared" si="32"/>
        <v>7.9423328964613363E-2</v>
      </c>
      <c r="H2084" s="5">
        <v>4.3285714285714283</v>
      </c>
      <c r="I2084" s="2">
        <v>70</v>
      </c>
      <c r="J2084" s="12">
        <f>I2084/Pondération!$I$134</f>
        <v>1.834862385321101E-2</v>
      </c>
    </row>
    <row r="2085" spans="1:10" x14ac:dyDescent="0.25">
      <c r="A2085" s="2" t="s">
        <v>77</v>
      </c>
      <c r="B2085" s="2">
        <v>2014</v>
      </c>
      <c r="C2085" s="2" t="s">
        <v>62</v>
      </c>
      <c r="D2085" s="2" t="s">
        <v>44</v>
      </c>
      <c r="E2085" s="2" t="s">
        <v>78</v>
      </c>
      <c r="F2085" s="2" t="s">
        <v>79</v>
      </c>
      <c r="G2085" s="2">
        <f t="shared" si="32"/>
        <v>9.397116644823067E-2</v>
      </c>
      <c r="H2085" s="5">
        <v>4.3192771084337354</v>
      </c>
      <c r="I2085" s="2">
        <v>83</v>
      </c>
      <c r="J2085" s="12">
        <f>I2085/Pondération!$I$134</f>
        <v>2.1756225425950196E-2</v>
      </c>
    </row>
    <row r="2086" spans="1:10" x14ac:dyDescent="0.25">
      <c r="A2086" s="2" t="s">
        <v>77</v>
      </c>
      <c r="B2086" s="2">
        <v>2014</v>
      </c>
      <c r="C2086" s="2" t="s">
        <v>63</v>
      </c>
      <c r="D2086" s="2" t="s">
        <v>44</v>
      </c>
      <c r="E2086" s="2" t="s">
        <v>78</v>
      </c>
      <c r="F2086" s="2" t="s">
        <v>79</v>
      </c>
      <c r="G2086" s="2">
        <f t="shared" si="32"/>
        <v>0.13381389252948886</v>
      </c>
      <c r="H2086" s="5">
        <v>4.3632478632478628</v>
      </c>
      <c r="I2086" s="2">
        <v>117</v>
      </c>
      <c r="J2086" s="12">
        <f>I2086/Pondération!$I$134</f>
        <v>3.0668414154652688E-2</v>
      </c>
    </row>
    <row r="2087" spans="1:10" x14ac:dyDescent="0.25">
      <c r="A2087" s="2" t="s">
        <v>77</v>
      </c>
      <c r="B2087" s="2">
        <v>2014</v>
      </c>
      <c r="C2087" s="2" t="s">
        <v>64</v>
      </c>
      <c r="D2087" s="2" t="s">
        <v>44</v>
      </c>
      <c r="E2087" s="2" t="s">
        <v>78</v>
      </c>
      <c r="F2087" s="2" t="s">
        <v>79</v>
      </c>
      <c r="G2087" s="2">
        <f t="shared" si="32"/>
        <v>0.14823066841415464</v>
      </c>
      <c r="H2087" s="5">
        <v>4.3167938931297707</v>
      </c>
      <c r="I2087" s="2">
        <v>131</v>
      </c>
      <c r="J2087" s="12">
        <f>I2087/Pondération!$I$134</f>
        <v>3.4338138925294887E-2</v>
      </c>
    </row>
    <row r="2088" spans="1:10" x14ac:dyDescent="0.25">
      <c r="A2088" s="2" t="s">
        <v>77</v>
      </c>
      <c r="B2088" s="2">
        <v>2014</v>
      </c>
      <c r="C2088" s="2" t="s">
        <v>65</v>
      </c>
      <c r="D2088" s="2" t="s">
        <v>44</v>
      </c>
      <c r="E2088" s="2" t="s">
        <v>78</v>
      </c>
      <c r="F2088" s="2" t="s">
        <v>79</v>
      </c>
      <c r="G2088" s="2">
        <f t="shared" si="32"/>
        <v>0.28794233289646137</v>
      </c>
      <c r="H2088" s="5">
        <v>4.4654471544715451</v>
      </c>
      <c r="I2088" s="2">
        <v>246</v>
      </c>
      <c r="J2088" s="12">
        <f>I2088/Pondération!$I$134</f>
        <v>6.4482306684141552E-2</v>
      </c>
    </row>
    <row r="2089" spans="1:10" x14ac:dyDescent="0.25">
      <c r="A2089" s="2" t="s">
        <v>77</v>
      </c>
      <c r="B2089" s="2">
        <v>2014</v>
      </c>
      <c r="C2089" s="2" t="s">
        <v>66</v>
      </c>
      <c r="D2089" s="2" t="s">
        <v>44</v>
      </c>
      <c r="E2089" s="2" t="s">
        <v>78</v>
      </c>
      <c r="F2089" s="2" t="s">
        <v>79</v>
      </c>
      <c r="G2089" s="2">
        <f t="shared" si="32"/>
        <v>0.29357798165137611</v>
      </c>
      <c r="H2089" s="5">
        <v>4.4621513944223103</v>
      </c>
      <c r="I2089" s="2">
        <v>251</v>
      </c>
      <c r="J2089" s="12">
        <f>I2089/Pondération!$I$134</f>
        <v>6.579292267365662E-2</v>
      </c>
    </row>
    <row r="2090" spans="1:10" x14ac:dyDescent="0.25">
      <c r="A2090" s="2" t="s">
        <v>77</v>
      </c>
      <c r="B2090" s="2">
        <v>2014</v>
      </c>
      <c r="C2090" s="2" t="s">
        <v>67</v>
      </c>
      <c r="D2090" s="2" t="s">
        <v>44</v>
      </c>
      <c r="E2090" s="2" t="s">
        <v>78</v>
      </c>
      <c r="F2090" s="2" t="s">
        <v>79</v>
      </c>
      <c r="G2090" s="2">
        <f t="shared" si="32"/>
        <v>0.62726081258191346</v>
      </c>
      <c r="H2090" s="5">
        <v>4.4562383612662941</v>
      </c>
      <c r="I2090" s="2">
        <v>537</v>
      </c>
      <c r="J2090" s="12">
        <f>I2090/Pondération!$I$134</f>
        <v>0.14076015727391875</v>
      </c>
    </row>
    <row r="2091" spans="1:10" x14ac:dyDescent="0.25">
      <c r="A2091" s="2" t="s">
        <v>77</v>
      </c>
      <c r="B2091" s="2">
        <v>2014</v>
      </c>
      <c r="C2091" s="2" t="s">
        <v>68</v>
      </c>
      <c r="D2091" s="2" t="s">
        <v>44</v>
      </c>
      <c r="E2091" s="2" t="s">
        <v>78</v>
      </c>
      <c r="F2091" s="2" t="s">
        <v>79</v>
      </c>
      <c r="G2091" s="2">
        <f t="shared" si="32"/>
        <v>1.5347313237221496</v>
      </c>
      <c r="H2091" s="5">
        <v>4.4660564454614802</v>
      </c>
      <c r="I2091" s="2">
        <v>1311</v>
      </c>
      <c r="J2091" s="12">
        <f>I2091/Pondération!$I$134</f>
        <v>0.3436435124508519</v>
      </c>
    </row>
    <row r="2092" spans="1:10" x14ac:dyDescent="0.25">
      <c r="A2092" s="2" t="s">
        <v>77</v>
      </c>
      <c r="B2092" s="2">
        <v>2014</v>
      </c>
      <c r="C2092" s="2" t="s">
        <v>69</v>
      </c>
      <c r="D2092" s="2" t="s">
        <v>44</v>
      </c>
      <c r="E2092" s="2" t="s">
        <v>78</v>
      </c>
      <c r="F2092" s="2" t="s">
        <v>79</v>
      </c>
      <c r="G2092" s="2">
        <f t="shared" si="32"/>
        <v>0.63145478374836173</v>
      </c>
      <c r="H2092" s="5">
        <v>4.4364640883977904</v>
      </c>
      <c r="I2092" s="2">
        <v>543</v>
      </c>
      <c r="J2092" s="12">
        <f>I2092/Pondération!$I$134</f>
        <v>0.14233289646133682</v>
      </c>
    </row>
    <row r="2093" spans="1:10" x14ac:dyDescent="0.25">
      <c r="A2093" s="2" t="s">
        <v>77</v>
      </c>
      <c r="B2093" s="2">
        <v>2014</v>
      </c>
      <c r="C2093" s="2" t="s">
        <v>70</v>
      </c>
      <c r="D2093" s="2" t="s">
        <v>44</v>
      </c>
      <c r="E2093" s="2" t="s">
        <v>78</v>
      </c>
      <c r="F2093" s="2" t="s">
        <v>79</v>
      </c>
      <c r="G2093" s="2">
        <f t="shared" si="32"/>
        <v>0.27195281782437747</v>
      </c>
      <c r="H2093" s="5">
        <v>4.433760683760684</v>
      </c>
      <c r="I2093" s="2">
        <v>234</v>
      </c>
      <c r="J2093" s="12">
        <f>I2093/Pondération!$I$134</f>
        <v>6.1336828309305376E-2</v>
      </c>
    </row>
    <row r="2094" spans="1:10" x14ac:dyDescent="0.25">
      <c r="A2094" s="2" t="s">
        <v>77</v>
      </c>
      <c r="B2094" s="2">
        <v>2014</v>
      </c>
      <c r="C2094" s="2" t="s">
        <v>71</v>
      </c>
      <c r="D2094" s="2" t="s">
        <v>44</v>
      </c>
      <c r="E2094" s="2" t="s">
        <v>78</v>
      </c>
      <c r="F2094" s="2" t="s">
        <v>79</v>
      </c>
      <c r="G2094" s="2">
        <f t="shared" si="32"/>
        <v>0.18781127129750982</v>
      </c>
      <c r="H2094" s="5">
        <v>4.4228395061728394</v>
      </c>
      <c r="I2094" s="2">
        <v>162</v>
      </c>
      <c r="J2094" s="12">
        <f>I2094/Pondération!$I$134</f>
        <v>4.2463958060288333E-2</v>
      </c>
    </row>
    <row r="2095" spans="1:10" x14ac:dyDescent="0.25">
      <c r="A2095" s="2" t="s">
        <v>77</v>
      </c>
      <c r="B2095" s="2">
        <v>2014</v>
      </c>
      <c r="C2095" s="2" t="s">
        <v>72</v>
      </c>
      <c r="D2095" s="2" t="s">
        <v>44</v>
      </c>
      <c r="E2095" s="2" t="s">
        <v>78</v>
      </c>
      <c r="F2095" s="2" t="s">
        <v>79</v>
      </c>
      <c r="G2095" s="2">
        <f t="shared" si="32"/>
        <v>0.14927916120576673</v>
      </c>
      <c r="H2095" s="5">
        <v>4.3807692307692312</v>
      </c>
      <c r="I2095" s="2">
        <v>130</v>
      </c>
      <c r="J2095" s="12">
        <f>I2095/Pondération!$I$134</f>
        <v>3.4076015727391877E-2</v>
      </c>
    </row>
    <row r="2096" spans="1:10" x14ac:dyDescent="0.25">
      <c r="A2096" s="2" t="s">
        <v>77</v>
      </c>
      <c r="B2096" s="2">
        <v>2015</v>
      </c>
      <c r="C2096" s="2" t="s">
        <v>73</v>
      </c>
      <c r="D2096" s="2" t="s">
        <v>44</v>
      </c>
      <c r="E2096" s="2" t="s">
        <v>78</v>
      </c>
      <c r="F2096" s="2" t="s">
        <v>79</v>
      </c>
      <c r="G2096" s="2">
        <f t="shared" si="32"/>
        <v>9.8323874884518936E-2</v>
      </c>
      <c r="H2096" s="5">
        <v>4.3567251461988308</v>
      </c>
      <c r="I2096" s="2">
        <v>171</v>
      </c>
      <c r="J2096" s="12">
        <f>I2096/Pondération!$H$134</f>
        <v>2.2568298798996963E-2</v>
      </c>
    </row>
    <row r="2097" spans="1:10" x14ac:dyDescent="0.25">
      <c r="A2097" s="2" t="s">
        <v>77</v>
      </c>
      <c r="B2097" s="2">
        <v>2015</v>
      </c>
      <c r="C2097" s="2" t="s">
        <v>74</v>
      </c>
      <c r="D2097" s="2" t="s">
        <v>44</v>
      </c>
      <c r="E2097" s="2" t="s">
        <v>78</v>
      </c>
      <c r="F2097" s="2" t="s">
        <v>79</v>
      </c>
      <c r="G2097" s="2">
        <f t="shared" si="32"/>
        <v>0.14649597466015571</v>
      </c>
      <c r="H2097" s="5">
        <v>4.3023255813953485</v>
      </c>
      <c r="I2097" s="2">
        <v>258</v>
      </c>
      <c r="J2097" s="12">
        <f>I2097/Pondération!$H$134</f>
        <v>3.405041573181998E-2</v>
      </c>
    </row>
    <row r="2098" spans="1:10" x14ac:dyDescent="0.25">
      <c r="A2098" s="2" t="s">
        <v>77</v>
      </c>
      <c r="B2098" s="2">
        <v>2015</v>
      </c>
      <c r="C2098" s="2" t="s">
        <v>75</v>
      </c>
      <c r="D2098" s="2" t="s">
        <v>44</v>
      </c>
      <c r="E2098" s="2" t="s">
        <v>78</v>
      </c>
      <c r="F2098" s="2" t="s">
        <v>79</v>
      </c>
      <c r="G2098" s="2">
        <f t="shared" si="32"/>
        <v>0.12419163257225814</v>
      </c>
      <c r="H2098" s="5">
        <v>4.4178403755868541</v>
      </c>
      <c r="I2098" s="2">
        <v>213</v>
      </c>
      <c r="J2098" s="12">
        <f>I2098/Pondération!$H$134</f>
        <v>2.8111389732083939E-2</v>
      </c>
    </row>
    <row r="2099" spans="1:10" x14ac:dyDescent="0.25">
      <c r="A2099" s="2" t="s">
        <v>77</v>
      </c>
      <c r="B2099" s="2">
        <v>2015</v>
      </c>
      <c r="C2099" s="2" t="s">
        <v>76</v>
      </c>
      <c r="D2099" s="2" t="s">
        <v>44</v>
      </c>
      <c r="E2099" s="2" t="s">
        <v>78</v>
      </c>
      <c r="F2099" s="2" t="s">
        <v>79</v>
      </c>
      <c r="G2099" s="2">
        <f t="shared" si="32"/>
        <v>0.17704896396990893</v>
      </c>
      <c r="H2099" s="5">
        <v>4.4273927392739276</v>
      </c>
      <c r="I2099" s="2">
        <v>303</v>
      </c>
      <c r="J2099" s="12">
        <f>I2099/Pondération!$H$134</f>
        <v>3.9989441731556025E-2</v>
      </c>
    </row>
    <row r="2100" spans="1:10" x14ac:dyDescent="0.25">
      <c r="A2100" s="2" t="s">
        <v>77</v>
      </c>
      <c r="B2100" s="2">
        <v>2015</v>
      </c>
      <c r="C2100" s="2" t="s">
        <v>7</v>
      </c>
      <c r="D2100" s="2" t="s">
        <v>44</v>
      </c>
      <c r="E2100" s="2" t="s">
        <v>78</v>
      </c>
      <c r="F2100" s="2" t="s">
        <v>79</v>
      </c>
      <c r="G2100" s="2">
        <f t="shared" si="32"/>
        <v>0.35225023096212216</v>
      </c>
      <c r="H2100" s="5">
        <v>4.4781879194630871</v>
      </c>
      <c r="I2100" s="2">
        <v>596</v>
      </c>
      <c r="J2100" s="12">
        <f>I2100/Pondération!$H$134</f>
        <v>7.8659099907615146E-2</v>
      </c>
    </row>
    <row r="2101" spans="1:10" x14ac:dyDescent="0.25">
      <c r="A2101" s="2" t="s">
        <v>77</v>
      </c>
      <c r="B2101" s="2">
        <v>2015</v>
      </c>
      <c r="C2101" s="2" t="s">
        <v>11</v>
      </c>
      <c r="D2101" s="2" t="s">
        <v>44</v>
      </c>
      <c r="E2101" s="2" t="s">
        <v>78</v>
      </c>
      <c r="F2101" s="2" t="s">
        <v>79</v>
      </c>
      <c r="G2101" s="2">
        <f t="shared" si="32"/>
        <v>0.30632176323083016</v>
      </c>
      <c r="H2101" s="5">
        <v>4.4463601532567054</v>
      </c>
      <c r="I2101" s="2">
        <v>522</v>
      </c>
      <c r="J2101" s="12">
        <f>I2101/Pondération!$H$134</f>
        <v>6.8892701596938097E-2</v>
      </c>
    </row>
    <row r="2102" spans="1:10" x14ac:dyDescent="0.25">
      <c r="A2102" s="2" t="s">
        <v>77</v>
      </c>
      <c r="B2102" s="2">
        <v>2015</v>
      </c>
      <c r="C2102" s="2" t="s">
        <v>12</v>
      </c>
      <c r="D2102" s="2" t="s">
        <v>44</v>
      </c>
      <c r="E2102" s="2" t="s">
        <v>78</v>
      </c>
      <c r="F2102" s="2" t="s">
        <v>79</v>
      </c>
      <c r="G2102" s="2">
        <f t="shared" si="32"/>
        <v>0.8218292200079188</v>
      </c>
      <c r="H2102" s="5">
        <v>4.4606017191977081</v>
      </c>
      <c r="I2102" s="2">
        <v>1396</v>
      </c>
      <c r="J2102" s="12">
        <f>I2102/Pondération!$H$134</f>
        <v>0.18424178434736704</v>
      </c>
    </row>
    <row r="2103" spans="1:10" x14ac:dyDescent="0.25">
      <c r="A2103" s="2" t="s">
        <v>77</v>
      </c>
      <c r="B2103" s="2">
        <v>2015</v>
      </c>
      <c r="C2103" s="2" t="s">
        <v>13</v>
      </c>
      <c r="D2103" s="2" t="s">
        <v>44</v>
      </c>
      <c r="E2103" s="2" t="s">
        <v>78</v>
      </c>
      <c r="F2103" s="2" t="s">
        <v>79</v>
      </c>
      <c r="G2103" s="2">
        <f t="shared" si="32"/>
        <v>1.4527517487132111</v>
      </c>
      <c r="H2103" s="5">
        <v>4.4655172413793105</v>
      </c>
      <c r="I2103" s="2">
        <v>2465</v>
      </c>
      <c r="J2103" s="12">
        <f>I2103/Pondération!$H$134</f>
        <v>0.32532664642998549</v>
      </c>
    </row>
    <row r="2104" spans="1:10" x14ac:dyDescent="0.25">
      <c r="A2104" s="2" t="s">
        <v>77</v>
      </c>
      <c r="B2104" s="2">
        <v>2015</v>
      </c>
      <c r="C2104" s="2" t="s">
        <v>14</v>
      </c>
      <c r="D2104" s="2" t="s">
        <v>44</v>
      </c>
      <c r="E2104" s="2" t="s">
        <v>78</v>
      </c>
      <c r="F2104" s="2" t="s">
        <v>79</v>
      </c>
      <c r="G2104" s="2">
        <f t="shared" si="32"/>
        <v>0.51148211693282297</v>
      </c>
      <c r="H2104" s="5">
        <v>4.4342105263157894</v>
      </c>
      <c r="I2104" s="2">
        <v>874</v>
      </c>
      <c r="J2104" s="12">
        <f>I2104/Pondération!$H$134</f>
        <v>0.11534908275042893</v>
      </c>
    </row>
    <row r="2105" spans="1:10" x14ac:dyDescent="0.25">
      <c r="A2105" s="2" t="s">
        <v>77</v>
      </c>
      <c r="B2105" s="2">
        <v>2015</v>
      </c>
      <c r="C2105" s="2" t="s">
        <v>15</v>
      </c>
      <c r="D2105" s="2" t="s">
        <v>44</v>
      </c>
      <c r="E2105" s="2" t="s">
        <v>78</v>
      </c>
      <c r="F2105" s="2" t="s">
        <v>79</v>
      </c>
      <c r="G2105" s="2">
        <f t="shared" si="32"/>
        <v>0.21842417843473672</v>
      </c>
      <c r="H2105" s="5">
        <v>4.3783068783068781</v>
      </c>
      <c r="I2105" s="2">
        <v>378</v>
      </c>
      <c r="J2105" s="12">
        <f>I2105/Pondération!$H$134</f>
        <v>4.9887818397782766E-2</v>
      </c>
    </row>
    <row r="2106" spans="1:10" x14ac:dyDescent="0.25">
      <c r="A2106" s="2" t="s">
        <v>77</v>
      </c>
      <c r="B2106" s="2">
        <v>2015</v>
      </c>
      <c r="C2106" s="2" t="s">
        <v>16</v>
      </c>
      <c r="D2106" s="2" t="s">
        <v>44</v>
      </c>
      <c r="E2106" s="2" t="s">
        <v>78</v>
      </c>
      <c r="F2106" s="2" t="s">
        <v>79</v>
      </c>
      <c r="G2106" s="2">
        <f t="shared" si="32"/>
        <v>0.11290748317275967</v>
      </c>
      <c r="H2106" s="5">
        <v>4.3207070707070709</v>
      </c>
      <c r="I2106" s="2">
        <v>198</v>
      </c>
      <c r="J2106" s="12">
        <f>I2106/Pondération!$H$134</f>
        <v>2.6131714398838591E-2</v>
      </c>
    </row>
    <row r="2107" spans="1:10" x14ac:dyDescent="0.25">
      <c r="A2107" s="2" t="s">
        <v>77</v>
      </c>
      <c r="B2107" s="2">
        <v>2015</v>
      </c>
      <c r="C2107" s="2" t="s">
        <v>17</v>
      </c>
      <c r="D2107" s="2" t="s">
        <v>44</v>
      </c>
      <c r="E2107" s="2" t="s">
        <v>78</v>
      </c>
      <c r="F2107" s="2" t="s">
        <v>79</v>
      </c>
      <c r="G2107" s="2">
        <f t="shared" si="32"/>
        <v>0.1156130394615283</v>
      </c>
      <c r="H2107" s="5">
        <v>4.3152709359605907</v>
      </c>
      <c r="I2107" s="2">
        <v>203</v>
      </c>
      <c r="J2107" s="12">
        <f>I2107/Pondération!$H$134</f>
        <v>2.6791606176587039E-2</v>
      </c>
    </row>
    <row r="2108" spans="1:10" x14ac:dyDescent="0.25">
      <c r="A2108" s="2" t="s">
        <v>77</v>
      </c>
      <c r="B2108" s="2">
        <v>2016</v>
      </c>
      <c r="C2108" s="2" t="s">
        <v>18</v>
      </c>
      <c r="D2108" s="2" t="s">
        <v>44</v>
      </c>
      <c r="E2108" s="2" t="s">
        <v>78</v>
      </c>
      <c r="F2108" s="2" t="s">
        <v>79</v>
      </c>
      <c r="G2108" s="2">
        <f t="shared" si="32"/>
        <v>0.11365190630877073</v>
      </c>
      <c r="H2108" s="5">
        <v>4.3306188925081432</v>
      </c>
      <c r="I2108" s="2">
        <v>307</v>
      </c>
      <c r="J2108" s="12">
        <f>I2108/Pondération!$G$134</f>
        <v>2.624380235937767E-2</v>
      </c>
    </row>
    <row r="2109" spans="1:10" x14ac:dyDescent="0.25">
      <c r="A2109" s="2" t="s">
        <v>77</v>
      </c>
      <c r="B2109" s="2">
        <v>2016</v>
      </c>
      <c r="C2109" s="2" t="s">
        <v>19</v>
      </c>
      <c r="D2109" s="2" t="s">
        <v>44</v>
      </c>
      <c r="E2109" s="2" t="s">
        <v>78</v>
      </c>
      <c r="F2109" s="2" t="s">
        <v>79</v>
      </c>
      <c r="G2109" s="2">
        <f t="shared" si="32"/>
        <v>0.14318686955035051</v>
      </c>
      <c r="H2109" s="5">
        <v>4.361979166666667</v>
      </c>
      <c r="I2109" s="2">
        <v>384</v>
      </c>
      <c r="J2109" s="12">
        <f>I2109/Pondération!$G$134</f>
        <v>3.2826124123781844E-2</v>
      </c>
    </row>
    <row r="2110" spans="1:10" x14ac:dyDescent="0.25">
      <c r="A2110" s="2" t="s">
        <v>77</v>
      </c>
      <c r="B2110" s="2">
        <v>2016</v>
      </c>
      <c r="C2110" s="2" t="s">
        <v>20</v>
      </c>
      <c r="D2110" s="2" t="s">
        <v>44</v>
      </c>
      <c r="E2110" s="2" t="s">
        <v>78</v>
      </c>
      <c r="F2110" s="2" t="s">
        <v>79</v>
      </c>
      <c r="G2110" s="2">
        <f t="shared" si="32"/>
        <v>0.18387758591212172</v>
      </c>
      <c r="H2110" s="5">
        <v>4.4077868852459012</v>
      </c>
      <c r="I2110" s="2">
        <v>488</v>
      </c>
      <c r="J2110" s="12">
        <f>I2110/Pondération!$G$134</f>
        <v>4.1716532740639425E-2</v>
      </c>
    </row>
    <row r="2111" spans="1:10" x14ac:dyDescent="0.25">
      <c r="A2111" s="2" t="s">
        <v>77</v>
      </c>
      <c r="B2111" s="2">
        <v>2016</v>
      </c>
      <c r="C2111" s="2" t="s">
        <v>21</v>
      </c>
      <c r="D2111" s="2" t="s">
        <v>44</v>
      </c>
      <c r="E2111" s="2" t="s">
        <v>78</v>
      </c>
      <c r="F2111" s="2" t="s">
        <v>79</v>
      </c>
      <c r="G2111" s="2">
        <f t="shared" si="32"/>
        <v>0.21811420755684732</v>
      </c>
      <c r="H2111" s="5">
        <v>4.4220103986135184</v>
      </c>
      <c r="I2111" s="2">
        <v>577</v>
      </c>
      <c r="J2111" s="12">
        <f>I2111/Pondération!$G$134</f>
        <v>4.9324670883911778E-2</v>
      </c>
    </row>
    <row r="2112" spans="1:10" x14ac:dyDescent="0.25">
      <c r="A2112" s="2" t="s">
        <v>77</v>
      </c>
      <c r="B2112" s="2">
        <v>2016</v>
      </c>
      <c r="C2112" s="2" t="s">
        <v>22</v>
      </c>
      <c r="D2112" s="2" t="s">
        <v>44</v>
      </c>
      <c r="E2112" s="2" t="s">
        <v>78</v>
      </c>
      <c r="F2112" s="2" t="s">
        <v>79</v>
      </c>
      <c r="G2112" s="2">
        <f t="shared" si="32"/>
        <v>0.27555992477346558</v>
      </c>
      <c r="H2112" s="5">
        <v>4.4585062240663902</v>
      </c>
      <c r="I2112" s="2">
        <v>723</v>
      </c>
      <c r="J2112" s="12">
        <f>I2112/Pondération!$G$134</f>
        <v>6.1805436826808002E-2</v>
      </c>
    </row>
    <row r="2113" spans="1:10" x14ac:dyDescent="0.25">
      <c r="A2113" s="2" t="s">
        <v>77</v>
      </c>
      <c r="B2113" s="2">
        <v>2016</v>
      </c>
      <c r="C2113" s="2" t="s">
        <v>23</v>
      </c>
      <c r="D2113" s="2" t="s">
        <v>44</v>
      </c>
      <c r="E2113" s="2" t="s">
        <v>78</v>
      </c>
      <c r="F2113" s="2" t="s">
        <v>79</v>
      </c>
      <c r="G2113" s="2">
        <f t="shared" si="32"/>
        <v>0.31013848521114723</v>
      </c>
      <c r="H2113" s="5">
        <v>4.4790123456790125</v>
      </c>
      <c r="I2113" s="2">
        <v>810</v>
      </c>
      <c r="J2113" s="12">
        <f>I2113/Pondération!$G$134</f>
        <v>6.9242605573602331E-2</v>
      </c>
    </row>
    <row r="2114" spans="1:10" x14ac:dyDescent="0.25">
      <c r="A2114" s="2" t="s">
        <v>77</v>
      </c>
      <c r="B2114" s="2">
        <v>2016</v>
      </c>
      <c r="C2114" s="2" t="s">
        <v>24</v>
      </c>
      <c r="D2114" s="2" t="s">
        <v>44</v>
      </c>
      <c r="E2114" s="2" t="s">
        <v>78</v>
      </c>
      <c r="F2114" s="2" t="s">
        <v>79</v>
      </c>
      <c r="G2114" s="2">
        <f t="shared" ref="G2114:G2177" si="33">H2114*J2114</f>
        <v>0.8006496837066166</v>
      </c>
      <c r="H2114" s="5">
        <v>4.4663805436337629</v>
      </c>
      <c r="I2114" s="2">
        <v>2097</v>
      </c>
      <c r="J2114" s="12">
        <f>I2114/Pondération!$G$134</f>
        <v>0.17926141220721492</v>
      </c>
    </row>
    <row r="2115" spans="1:10" x14ac:dyDescent="0.25">
      <c r="A2115" s="2" t="s">
        <v>77</v>
      </c>
      <c r="B2115" s="2">
        <v>2016</v>
      </c>
      <c r="C2115" s="2" t="s">
        <v>25</v>
      </c>
      <c r="D2115" s="2" t="s">
        <v>44</v>
      </c>
      <c r="E2115" s="2" t="s">
        <v>78</v>
      </c>
      <c r="F2115" s="2" t="s">
        <v>79</v>
      </c>
      <c r="G2115" s="2">
        <f t="shared" si="33"/>
        <v>1.5082920157291844</v>
      </c>
      <c r="H2115" s="5">
        <v>4.4634454844421958</v>
      </c>
      <c r="I2115" s="2">
        <v>3953</v>
      </c>
      <c r="J2115" s="12">
        <f>I2115/Pondération!$G$134</f>
        <v>0.33792101213882714</v>
      </c>
    </row>
    <row r="2116" spans="1:10" x14ac:dyDescent="0.25">
      <c r="A2116" s="2" t="s">
        <v>77</v>
      </c>
      <c r="B2116" s="2">
        <v>2016</v>
      </c>
      <c r="C2116" s="2" t="s">
        <v>26</v>
      </c>
      <c r="D2116" s="2" t="s">
        <v>44</v>
      </c>
      <c r="E2116" s="2" t="s">
        <v>78</v>
      </c>
      <c r="F2116" s="2" t="s">
        <v>79</v>
      </c>
      <c r="G2116" s="2">
        <f t="shared" si="33"/>
        <v>0.49341767823559579</v>
      </c>
      <c r="H2116" s="5">
        <v>4.4537037037037033</v>
      </c>
      <c r="I2116" s="2">
        <v>1296</v>
      </c>
      <c r="J2116" s="12">
        <f>I2116/Pondération!$G$134</f>
        <v>0.11078816891776372</v>
      </c>
    </row>
    <row r="2117" spans="1:10" x14ac:dyDescent="0.25">
      <c r="A2117" s="2" t="s">
        <v>77</v>
      </c>
      <c r="B2117" s="2">
        <v>2016</v>
      </c>
      <c r="C2117" s="2" t="s">
        <v>27</v>
      </c>
      <c r="D2117" s="2" t="s">
        <v>44</v>
      </c>
      <c r="E2117" s="2" t="s">
        <v>78</v>
      </c>
      <c r="F2117" s="2" t="s">
        <v>79</v>
      </c>
      <c r="G2117" s="2">
        <f t="shared" si="33"/>
        <v>0.19811078816891775</v>
      </c>
      <c r="H2117" s="5">
        <v>4.3809073724007561</v>
      </c>
      <c r="I2117" s="2">
        <v>529</v>
      </c>
      <c r="J2117" s="12">
        <f>I2117/Pondération!$G$134</f>
        <v>4.5221405368439049E-2</v>
      </c>
    </row>
    <row r="2118" spans="1:10" x14ac:dyDescent="0.25">
      <c r="A2118" s="2" t="s">
        <v>77</v>
      </c>
      <c r="B2118" s="2">
        <v>2016</v>
      </c>
      <c r="C2118" s="2" t="s">
        <v>28</v>
      </c>
      <c r="D2118" s="2" t="s">
        <v>44</v>
      </c>
      <c r="E2118" s="2" t="s">
        <v>78</v>
      </c>
      <c r="F2118" s="2" t="s">
        <v>79</v>
      </c>
      <c r="G2118" s="2">
        <f t="shared" si="33"/>
        <v>0.12130278680116259</v>
      </c>
      <c r="H2118" s="5">
        <v>4.3796296296296298</v>
      </c>
      <c r="I2118" s="2">
        <v>324</v>
      </c>
      <c r="J2118" s="12">
        <f>I2118/Pondération!$G$134</f>
        <v>2.769704222944093E-2</v>
      </c>
    </row>
    <row r="2119" spans="1:10" x14ac:dyDescent="0.25">
      <c r="A2119" s="2" t="s">
        <v>77</v>
      </c>
      <c r="B2119" s="2">
        <v>2016</v>
      </c>
      <c r="C2119" s="2" t="s">
        <v>29</v>
      </c>
      <c r="D2119" s="2" t="s">
        <v>44</v>
      </c>
      <c r="E2119" s="2" t="s">
        <v>78</v>
      </c>
      <c r="F2119" s="2" t="s">
        <v>79</v>
      </c>
      <c r="G2119" s="2">
        <f t="shared" si="33"/>
        <v>7.9329799965806136E-2</v>
      </c>
      <c r="H2119" s="5">
        <v>4.4190476190476193</v>
      </c>
      <c r="I2119" s="2">
        <v>210</v>
      </c>
      <c r="J2119" s="12">
        <f>I2119/Pondération!$G$134</f>
        <v>1.7951786630193197E-2</v>
      </c>
    </row>
    <row r="2120" spans="1:10" x14ac:dyDescent="0.25">
      <c r="A2120" s="2" t="s">
        <v>77</v>
      </c>
      <c r="B2120" s="2">
        <v>2017</v>
      </c>
      <c r="C2120" s="2" t="s">
        <v>30</v>
      </c>
      <c r="D2120" s="2" t="s">
        <v>44</v>
      </c>
      <c r="E2120" s="2" t="s">
        <v>78</v>
      </c>
      <c r="F2120" s="2" t="s">
        <v>79</v>
      </c>
      <c r="G2120" s="2">
        <f t="shared" si="33"/>
        <v>0.42881355932203385</v>
      </c>
      <c r="H2120" s="5">
        <v>4.4034810126582276</v>
      </c>
      <c r="I2120" s="2">
        <v>316</v>
      </c>
      <c r="J2120" s="12">
        <f>I2120/Pondération!$F$134</f>
        <v>9.738058551617873E-2</v>
      </c>
    </row>
    <row r="2121" spans="1:10" x14ac:dyDescent="0.25">
      <c r="A2121" s="2" t="s">
        <v>77</v>
      </c>
      <c r="B2121" s="2">
        <v>2017</v>
      </c>
      <c r="C2121" s="2" t="s">
        <v>31</v>
      </c>
      <c r="D2121" s="2" t="s">
        <v>44</v>
      </c>
      <c r="E2121" s="2" t="s">
        <v>78</v>
      </c>
      <c r="F2121" s="2" t="s">
        <v>79</v>
      </c>
      <c r="G2121" s="2">
        <f t="shared" si="33"/>
        <v>0.65269645608628657</v>
      </c>
      <c r="H2121" s="5">
        <v>4.4124999999999996</v>
      </c>
      <c r="I2121" s="2">
        <v>480</v>
      </c>
      <c r="J2121" s="12">
        <f>I2121/Pondération!$F$134</f>
        <v>0.14791987673343607</v>
      </c>
    </row>
    <row r="2122" spans="1:10" x14ac:dyDescent="0.25">
      <c r="A2122" s="2" t="s">
        <v>77</v>
      </c>
      <c r="B2122" s="2">
        <v>2017</v>
      </c>
      <c r="C2122" s="2" t="s">
        <v>32</v>
      </c>
      <c r="D2122" s="2" t="s">
        <v>44</v>
      </c>
      <c r="E2122" s="2" t="s">
        <v>78</v>
      </c>
      <c r="F2122" s="2" t="s">
        <v>79</v>
      </c>
      <c r="G2122" s="2">
        <f t="shared" si="33"/>
        <v>0.53374422187981518</v>
      </c>
      <c r="H2122" s="5">
        <v>4.3848101265822788</v>
      </c>
      <c r="I2122" s="2">
        <v>395</v>
      </c>
      <c r="J2122" s="12">
        <f>I2122/Pondération!$F$134</f>
        <v>0.12172573189522343</v>
      </c>
    </row>
    <row r="2123" spans="1:10" x14ac:dyDescent="0.25">
      <c r="A2123" s="2" t="s">
        <v>77</v>
      </c>
      <c r="B2123" s="2">
        <v>2017</v>
      </c>
      <c r="C2123" s="2" t="s">
        <v>33</v>
      </c>
      <c r="D2123" s="2" t="s">
        <v>44</v>
      </c>
      <c r="E2123" s="2" t="s">
        <v>78</v>
      </c>
      <c r="F2123" s="2" t="s">
        <v>79</v>
      </c>
      <c r="G2123" s="2">
        <f t="shared" si="33"/>
        <v>1.0795069337442218</v>
      </c>
      <c r="H2123" s="5">
        <v>4.395232120451694</v>
      </c>
      <c r="I2123" s="2">
        <v>797</v>
      </c>
      <c r="J2123" s="12">
        <f>I2123/Pondération!$F$134</f>
        <v>0.24560862865947611</v>
      </c>
    </row>
    <row r="2124" spans="1:10" x14ac:dyDescent="0.25">
      <c r="A2124" s="2" t="s">
        <v>77</v>
      </c>
      <c r="B2124" s="2">
        <v>2017</v>
      </c>
      <c r="C2124" s="2" t="s">
        <v>34</v>
      </c>
      <c r="D2124" s="2" t="s">
        <v>44</v>
      </c>
      <c r="E2124" s="2" t="s">
        <v>78</v>
      </c>
      <c r="F2124" s="2" t="s">
        <v>79</v>
      </c>
      <c r="G2124" s="2">
        <f t="shared" si="33"/>
        <v>1.0303543913713407</v>
      </c>
      <c r="H2124" s="5">
        <v>4.4402390438247012</v>
      </c>
      <c r="I2124" s="2">
        <v>753</v>
      </c>
      <c r="J2124" s="12">
        <f>I2124/Pondération!$F$134</f>
        <v>0.23204930662557782</v>
      </c>
    </row>
    <row r="2125" spans="1:10" x14ac:dyDescent="0.25">
      <c r="A2125" s="2" t="s">
        <v>77</v>
      </c>
      <c r="B2125" s="2">
        <v>2017</v>
      </c>
      <c r="C2125" s="2" t="s">
        <v>80</v>
      </c>
      <c r="D2125" s="2" t="s">
        <v>44</v>
      </c>
      <c r="E2125" s="2" t="s">
        <v>78</v>
      </c>
      <c r="F2125" s="2" t="s">
        <v>79</v>
      </c>
      <c r="G2125" s="2">
        <f t="shared" si="33"/>
        <v>0.6932203389830508</v>
      </c>
      <c r="H2125" s="5">
        <v>4.4632936507936511</v>
      </c>
      <c r="I2125" s="2">
        <v>504</v>
      </c>
      <c r="J2125" s="12">
        <f>I2125/Pondération!$F$134</f>
        <v>0.15531587057010784</v>
      </c>
    </row>
    <row r="2126" spans="1:10" x14ac:dyDescent="0.25">
      <c r="A2126" s="2" t="s">
        <v>77</v>
      </c>
      <c r="B2126" s="2">
        <v>2013</v>
      </c>
      <c r="C2126" s="2" t="s">
        <v>49</v>
      </c>
      <c r="D2126" s="2" t="s">
        <v>44</v>
      </c>
      <c r="E2126" s="2" t="s">
        <v>78</v>
      </c>
      <c r="F2126" s="2" t="s">
        <v>81</v>
      </c>
      <c r="G2126" s="2">
        <f t="shared" si="33"/>
        <v>0.20394736842105263</v>
      </c>
      <c r="H2126" s="5">
        <v>3.875</v>
      </c>
      <c r="I2126" s="2">
        <v>16</v>
      </c>
      <c r="J2126" s="12">
        <f>I2126/Pondération!$J$135</f>
        <v>5.2631578947368418E-2</v>
      </c>
    </row>
    <row r="2127" spans="1:10" x14ac:dyDescent="0.25">
      <c r="A2127" s="2" t="s">
        <v>77</v>
      </c>
      <c r="B2127" s="2">
        <v>2013</v>
      </c>
      <c r="C2127" s="2" t="s">
        <v>50</v>
      </c>
      <c r="D2127" s="2" t="s">
        <v>44</v>
      </c>
      <c r="E2127" s="2" t="s">
        <v>78</v>
      </c>
      <c r="F2127" s="2" t="s">
        <v>81</v>
      </c>
      <c r="G2127" s="2">
        <f t="shared" si="33"/>
        <v>7.2368421052631568E-2</v>
      </c>
      <c r="H2127" s="5">
        <v>3.6666666666666665</v>
      </c>
      <c r="I2127" s="2">
        <v>6</v>
      </c>
      <c r="J2127" s="12">
        <f>I2127/Pondération!$J$135</f>
        <v>1.9736842105263157E-2</v>
      </c>
    </row>
    <row r="2128" spans="1:10" x14ac:dyDescent="0.25">
      <c r="A2128" s="2" t="s">
        <v>77</v>
      </c>
      <c r="B2128" s="2">
        <v>2013</v>
      </c>
      <c r="C2128" s="2" t="s">
        <v>51</v>
      </c>
      <c r="D2128" s="2" t="s">
        <v>44</v>
      </c>
      <c r="E2128" s="2" t="s">
        <v>78</v>
      </c>
      <c r="F2128" s="2" t="s">
        <v>81</v>
      </c>
      <c r="G2128" s="2">
        <f t="shared" si="33"/>
        <v>0.18585526315789472</v>
      </c>
      <c r="H2128" s="5">
        <v>4.3461538461538458</v>
      </c>
      <c r="I2128" s="2">
        <v>13</v>
      </c>
      <c r="J2128" s="12">
        <f>I2128/Pondération!$J$135</f>
        <v>4.2763157894736843E-2</v>
      </c>
    </row>
    <row r="2129" spans="1:10" x14ac:dyDescent="0.25">
      <c r="A2129" s="2" t="s">
        <v>77</v>
      </c>
      <c r="B2129" s="2">
        <v>2013</v>
      </c>
      <c r="C2129" s="2" t="s">
        <v>52</v>
      </c>
      <c r="D2129" s="2" t="s">
        <v>44</v>
      </c>
      <c r="E2129" s="2" t="s">
        <v>78</v>
      </c>
      <c r="F2129" s="2" t="s">
        <v>81</v>
      </c>
      <c r="G2129" s="2">
        <f t="shared" si="33"/>
        <v>0.13980263157894737</v>
      </c>
      <c r="H2129" s="5">
        <v>3.8636363636363638</v>
      </c>
      <c r="I2129" s="2">
        <v>11</v>
      </c>
      <c r="J2129" s="12">
        <f>I2129/Pondération!$J$135</f>
        <v>3.6184210526315791E-2</v>
      </c>
    </row>
    <row r="2130" spans="1:10" x14ac:dyDescent="0.25">
      <c r="A2130" s="2" t="s">
        <v>77</v>
      </c>
      <c r="B2130" s="2">
        <v>2013</v>
      </c>
      <c r="C2130" s="2" t="s">
        <v>53</v>
      </c>
      <c r="D2130" s="2" t="s">
        <v>44</v>
      </c>
      <c r="E2130" s="2" t="s">
        <v>78</v>
      </c>
      <c r="F2130" s="2" t="s">
        <v>81</v>
      </c>
      <c r="G2130" s="2">
        <f t="shared" si="33"/>
        <v>0.45230263157894735</v>
      </c>
      <c r="H2130" s="5">
        <v>4.0441176470588234</v>
      </c>
      <c r="I2130" s="2">
        <v>34</v>
      </c>
      <c r="J2130" s="12">
        <f>I2130/Pondération!$J$135</f>
        <v>0.1118421052631579</v>
      </c>
    </row>
    <row r="2131" spans="1:10" x14ac:dyDescent="0.25">
      <c r="A2131" s="2" t="s">
        <v>77</v>
      </c>
      <c r="B2131" s="2">
        <v>2013</v>
      </c>
      <c r="C2131" s="2" t="s">
        <v>54</v>
      </c>
      <c r="D2131" s="2" t="s">
        <v>44</v>
      </c>
      <c r="E2131" s="2" t="s">
        <v>78</v>
      </c>
      <c r="F2131" s="2" t="s">
        <v>81</v>
      </c>
      <c r="G2131" s="2">
        <f t="shared" si="33"/>
        <v>0.31414473684210525</v>
      </c>
      <c r="H2131" s="5">
        <v>4.3409090909090908</v>
      </c>
      <c r="I2131" s="2">
        <v>22</v>
      </c>
      <c r="J2131" s="12">
        <f>I2131/Pondération!$J$135</f>
        <v>7.2368421052631582E-2</v>
      </c>
    </row>
    <row r="2132" spans="1:10" x14ac:dyDescent="0.25">
      <c r="A2132" s="2" t="s">
        <v>77</v>
      </c>
      <c r="B2132" s="2">
        <v>2013</v>
      </c>
      <c r="C2132" s="2" t="s">
        <v>55</v>
      </c>
      <c r="D2132" s="2" t="s">
        <v>44</v>
      </c>
      <c r="E2132" s="2" t="s">
        <v>78</v>
      </c>
      <c r="F2132" s="2" t="s">
        <v>81</v>
      </c>
      <c r="G2132" s="2">
        <f t="shared" si="33"/>
        <v>0.53618421052631582</v>
      </c>
      <c r="H2132" s="5">
        <v>4.0750000000000002</v>
      </c>
      <c r="I2132" s="2">
        <v>40</v>
      </c>
      <c r="J2132" s="12">
        <f>I2132/Pondération!$J$135</f>
        <v>0.13157894736842105</v>
      </c>
    </row>
    <row r="2133" spans="1:10" x14ac:dyDescent="0.25">
      <c r="A2133" s="2" t="s">
        <v>77</v>
      </c>
      <c r="B2133" s="2">
        <v>2013</v>
      </c>
      <c r="C2133" s="2" t="s">
        <v>56</v>
      </c>
      <c r="D2133" s="2" t="s">
        <v>44</v>
      </c>
      <c r="E2133" s="2" t="s">
        <v>78</v>
      </c>
      <c r="F2133" s="2" t="s">
        <v>81</v>
      </c>
      <c r="G2133" s="2">
        <f t="shared" si="33"/>
        <v>1.1036184210526316</v>
      </c>
      <c r="H2133" s="5">
        <v>4.0914634146341466</v>
      </c>
      <c r="I2133" s="2">
        <v>82</v>
      </c>
      <c r="J2133" s="12">
        <f>I2133/Pondération!$J$135</f>
        <v>0.26973684210526316</v>
      </c>
    </row>
    <row r="2134" spans="1:10" x14ac:dyDescent="0.25">
      <c r="A2134" s="2" t="s">
        <v>77</v>
      </c>
      <c r="B2134" s="2">
        <v>2013</v>
      </c>
      <c r="C2134" s="2" t="s">
        <v>57</v>
      </c>
      <c r="D2134" s="2" t="s">
        <v>44</v>
      </c>
      <c r="E2134" s="2" t="s">
        <v>78</v>
      </c>
      <c r="F2134" s="2" t="s">
        <v>81</v>
      </c>
      <c r="G2134" s="2">
        <f t="shared" si="33"/>
        <v>0.39309210526315791</v>
      </c>
      <c r="H2134" s="5">
        <v>4.1206896551724137</v>
      </c>
      <c r="I2134" s="2">
        <v>29</v>
      </c>
      <c r="J2134" s="12">
        <f>I2134/Pondération!$J$135</f>
        <v>9.5394736842105268E-2</v>
      </c>
    </row>
    <row r="2135" spans="1:10" x14ac:dyDescent="0.25">
      <c r="A2135" s="2" t="s">
        <v>77</v>
      </c>
      <c r="B2135" s="2">
        <v>2013</v>
      </c>
      <c r="C2135" s="2" t="s">
        <v>58</v>
      </c>
      <c r="D2135" s="2" t="s">
        <v>44</v>
      </c>
      <c r="E2135" s="2" t="s">
        <v>78</v>
      </c>
      <c r="F2135" s="2" t="s">
        <v>81</v>
      </c>
      <c r="G2135" s="2">
        <f t="shared" si="33"/>
        <v>0.29934210526315791</v>
      </c>
      <c r="H2135" s="5">
        <v>4.1363636363636367</v>
      </c>
      <c r="I2135" s="2">
        <v>22</v>
      </c>
      <c r="J2135" s="12">
        <f>I2135/Pondération!$J$135</f>
        <v>7.2368421052631582E-2</v>
      </c>
    </row>
    <row r="2136" spans="1:10" x14ac:dyDescent="0.25">
      <c r="A2136" s="2" t="s">
        <v>77</v>
      </c>
      <c r="B2136" s="2">
        <v>2013</v>
      </c>
      <c r="C2136" s="2" t="s">
        <v>59</v>
      </c>
      <c r="D2136" s="2" t="s">
        <v>44</v>
      </c>
      <c r="E2136" s="2" t="s">
        <v>78</v>
      </c>
      <c r="F2136" s="2" t="s">
        <v>81</v>
      </c>
      <c r="G2136" s="2">
        <f t="shared" si="33"/>
        <v>0.17434210526315788</v>
      </c>
      <c r="H2136" s="5">
        <v>4.0769230769230766</v>
      </c>
      <c r="I2136" s="2">
        <v>13</v>
      </c>
      <c r="J2136" s="12">
        <f>I2136/Pondération!$J$135</f>
        <v>4.2763157894736843E-2</v>
      </c>
    </row>
    <row r="2137" spans="1:10" x14ac:dyDescent="0.25">
      <c r="A2137" s="2" t="s">
        <v>77</v>
      </c>
      <c r="B2137" s="2">
        <v>2013</v>
      </c>
      <c r="C2137" s="2" t="s">
        <v>60</v>
      </c>
      <c r="D2137" s="2" t="s">
        <v>44</v>
      </c>
      <c r="E2137" s="2" t="s">
        <v>78</v>
      </c>
      <c r="F2137" s="2" t="s">
        <v>81</v>
      </c>
      <c r="G2137" s="2">
        <f t="shared" si="33"/>
        <v>0.1957236842105263</v>
      </c>
      <c r="H2137" s="5">
        <v>3.71875</v>
      </c>
      <c r="I2137" s="2">
        <v>16</v>
      </c>
      <c r="J2137" s="12">
        <f>I2137/Pondération!$J$135</f>
        <v>5.2631578947368418E-2</v>
      </c>
    </row>
    <row r="2138" spans="1:10" x14ac:dyDescent="0.25">
      <c r="A2138" s="2" t="s">
        <v>77</v>
      </c>
      <c r="B2138" s="2">
        <v>2014</v>
      </c>
      <c r="C2138" s="2" t="s">
        <v>61</v>
      </c>
      <c r="D2138" s="2" t="s">
        <v>44</v>
      </c>
      <c r="E2138" s="2" t="s">
        <v>78</v>
      </c>
      <c r="F2138" s="2" t="s">
        <v>81</v>
      </c>
      <c r="G2138" s="2">
        <f t="shared" si="33"/>
        <v>8.8095238095238101E-2</v>
      </c>
      <c r="H2138" s="5">
        <v>3.8947368421052633</v>
      </c>
      <c r="I2138" s="2">
        <v>19</v>
      </c>
      <c r="J2138" s="12">
        <f>I2138/Pondération!$I$135</f>
        <v>2.2619047619047618E-2</v>
      </c>
    </row>
    <row r="2139" spans="1:10" x14ac:dyDescent="0.25">
      <c r="A2139" s="2" t="s">
        <v>77</v>
      </c>
      <c r="B2139" s="2">
        <v>2014</v>
      </c>
      <c r="C2139" s="2" t="s">
        <v>62</v>
      </c>
      <c r="D2139" s="2" t="s">
        <v>44</v>
      </c>
      <c r="E2139" s="2" t="s">
        <v>78</v>
      </c>
      <c r="F2139" s="2" t="s">
        <v>81</v>
      </c>
      <c r="G2139" s="2">
        <f t="shared" si="33"/>
        <v>8.2738095238095236E-2</v>
      </c>
      <c r="H2139" s="5">
        <v>3.8611111111111112</v>
      </c>
      <c r="I2139" s="2">
        <v>18</v>
      </c>
      <c r="J2139" s="12">
        <f>I2139/Pondération!$I$135</f>
        <v>2.1428571428571429E-2</v>
      </c>
    </row>
    <row r="2140" spans="1:10" x14ac:dyDescent="0.25">
      <c r="A2140" s="2" t="s">
        <v>77</v>
      </c>
      <c r="B2140" s="2">
        <v>2014</v>
      </c>
      <c r="C2140" s="2" t="s">
        <v>63</v>
      </c>
      <c r="D2140" s="2" t="s">
        <v>44</v>
      </c>
      <c r="E2140" s="2" t="s">
        <v>78</v>
      </c>
      <c r="F2140" s="2" t="s">
        <v>81</v>
      </c>
      <c r="G2140" s="2">
        <f t="shared" si="33"/>
        <v>9.1071428571428567E-2</v>
      </c>
      <c r="H2140" s="5">
        <v>3.8250000000000002</v>
      </c>
      <c r="I2140" s="2">
        <v>20</v>
      </c>
      <c r="J2140" s="12">
        <f>I2140/Pondération!$I$135</f>
        <v>2.3809523809523808E-2</v>
      </c>
    </row>
    <row r="2141" spans="1:10" x14ac:dyDescent="0.25">
      <c r="A2141" s="2" t="s">
        <v>77</v>
      </c>
      <c r="B2141" s="2">
        <v>2014</v>
      </c>
      <c r="C2141" s="2" t="s">
        <v>64</v>
      </c>
      <c r="D2141" s="2" t="s">
        <v>44</v>
      </c>
      <c r="E2141" s="2" t="s">
        <v>78</v>
      </c>
      <c r="F2141" s="2" t="s">
        <v>81</v>
      </c>
      <c r="G2141" s="2">
        <f t="shared" si="33"/>
        <v>0.1</v>
      </c>
      <c r="H2141" s="5">
        <v>4</v>
      </c>
      <c r="I2141" s="2">
        <v>21</v>
      </c>
      <c r="J2141" s="12">
        <f>I2141/Pondération!$I$135</f>
        <v>2.5000000000000001E-2</v>
      </c>
    </row>
    <row r="2142" spans="1:10" x14ac:dyDescent="0.25">
      <c r="A2142" s="2" t="s">
        <v>77</v>
      </c>
      <c r="B2142" s="2">
        <v>2014</v>
      </c>
      <c r="C2142" s="2" t="s">
        <v>65</v>
      </c>
      <c r="D2142" s="2" t="s">
        <v>44</v>
      </c>
      <c r="E2142" s="2" t="s">
        <v>78</v>
      </c>
      <c r="F2142" s="2" t="s">
        <v>81</v>
      </c>
      <c r="G2142" s="2">
        <f t="shared" si="33"/>
        <v>0.24940476190476191</v>
      </c>
      <c r="H2142" s="5">
        <v>4.1900000000000004</v>
      </c>
      <c r="I2142" s="2">
        <v>50</v>
      </c>
      <c r="J2142" s="12">
        <f>I2142/Pondération!$I$135</f>
        <v>5.9523809523809521E-2</v>
      </c>
    </row>
    <row r="2143" spans="1:10" x14ac:dyDescent="0.25">
      <c r="A2143" s="2" t="s">
        <v>77</v>
      </c>
      <c r="B2143" s="2">
        <v>2014</v>
      </c>
      <c r="C2143" s="2" t="s">
        <v>66</v>
      </c>
      <c r="D2143" s="2" t="s">
        <v>44</v>
      </c>
      <c r="E2143" s="2" t="s">
        <v>78</v>
      </c>
      <c r="F2143" s="2" t="s">
        <v>81</v>
      </c>
      <c r="G2143" s="2">
        <f t="shared" si="33"/>
        <v>0.21071428571428572</v>
      </c>
      <c r="H2143" s="5">
        <v>4.0227272727272725</v>
      </c>
      <c r="I2143" s="2">
        <v>44</v>
      </c>
      <c r="J2143" s="12">
        <f>I2143/Pondération!$I$135</f>
        <v>5.2380952380952382E-2</v>
      </c>
    </row>
    <row r="2144" spans="1:10" x14ac:dyDescent="0.25">
      <c r="A2144" s="2" t="s">
        <v>77</v>
      </c>
      <c r="B2144" s="2">
        <v>2014</v>
      </c>
      <c r="C2144" s="2" t="s">
        <v>67</v>
      </c>
      <c r="D2144" s="2" t="s">
        <v>44</v>
      </c>
      <c r="E2144" s="2" t="s">
        <v>78</v>
      </c>
      <c r="F2144" s="2" t="s">
        <v>81</v>
      </c>
      <c r="G2144" s="2">
        <f t="shared" si="33"/>
        <v>0.51666666666666672</v>
      </c>
      <c r="H2144" s="5">
        <v>4.1730769230769234</v>
      </c>
      <c r="I2144" s="2">
        <v>104</v>
      </c>
      <c r="J2144" s="12">
        <f>I2144/Pondération!$I$135</f>
        <v>0.12380952380952381</v>
      </c>
    </row>
    <row r="2145" spans="1:10" x14ac:dyDescent="0.25">
      <c r="A2145" s="2" t="s">
        <v>77</v>
      </c>
      <c r="B2145" s="2">
        <v>2014</v>
      </c>
      <c r="C2145" s="2" t="s">
        <v>68</v>
      </c>
      <c r="D2145" s="2" t="s">
        <v>44</v>
      </c>
      <c r="E2145" s="2" t="s">
        <v>78</v>
      </c>
      <c r="F2145" s="2" t="s">
        <v>81</v>
      </c>
      <c r="G2145" s="2">
        <f t="shared" si="33"/>
        <v>1.3363095238095239</v>
      </c>
      <c r="H2145" s="5">
        <v>4.3007662835249043</v>
      </c>
      <c r="I2145" s="2">
        <v>261</v>
      </c>
      <c r="J2145" s="12">
        <f>I2145/Pondération!$I$135</f>
        <v>0.31071428571428572</v>
      </c>
    </row>
    <row r="2146" spans="1:10" x14ac:dyDescent="0.25">
      <c r="A2146" s="2" t="s">
        <v>77</v>
      </c>
      <c r="B2146" s="2">
        <v>2014</v>
      </c>
      <c r="C2146" s="2" t="s">
        <v>69</v>
      </c>
      <c r="D2146" s="2" t="s">
        <v>44</v>
      </c>
      <c r="E2146" s="2" t="s">
        <v>78</v>
      </c>
      <c r="F2146" s="2" t="s">
        <v>81</v>
      </c>
      <c r="G2146" s="2">
        <f t="shared" si="33"/>
        <v>0.62857142857142856</v>
      </c>
      <c r="H2146" s="5">
        <v>4.2240000000000002</v>
      </c>
      <c r="I2146" s="2">
        <v>125</v>
      </c>
      <c r="J2146" s="12">
        <f>I2146/Pondération!$I$135</f>
        <v>0.14880952380952381</v>
      </c>
    </row>
    <row r="2147" spans="1:10" x14ac:dyDescent="0.25">
      <c r="A2147" s="2" t="s">
        <v>77</v>
      </c>
      <c r="B2147" s="2">
        <v>2014</v>
      </c>
      <c r="C2147" s="2" t="s">
        <v>70</v>
      </c>
      <c r="D2147" s="2" t="s">
        <v>44</v>
      </c>
      <c r="E2147" s="2" t="s">
        <v>78</v>
      </c>
      <c r="F2147" s="2" t="s">
        <v>81</v>
      </c>
      <c r="G2147" s="2">
        <f t="shared" si="33"/>
        <v>0.26130952380952382</v>
      </c>
      <c r="H2147" s="5">
        <v>4.2211538461538458</v>
      </c>
      <c r="I2147" s="2">
        <v>52</v>
      </c>
      <c r="J2147" s="12">
        <f>I2147/Pondération!$I$135</f>
        <v>6.1904761904761907E-2</v>
      </c>
    </row>
    <row r="2148" spans="1:10" x14ac:dyDescent="0.25">
      <c r="A2148" s="2" t="s">
        <v>77</v>
      </c>
      <c r="B2148" s="2">
        <v>2014</v>
      </c>
      <c r="C2148" s="2" t="s">
        <v>71</v>
      </c>
      <c r="D2148" s="2" t="s">
        <v>44</v>
      </c>
      <c r="E2148" s="2" t="s">
        <v>78</v>
      </c>
      <c r="F2148" s="2" t="s">
        <v>81</v>
      </c>
      <c r="G2148" s="2">
        <f t="shared" si="33"/>
        <v>0.37797619047619047</v>
      </c>
      <c r="H2148" s="5">
        <v>4.1776315789473681</v>
      </c>
      <c r="I2148" s="2">
        <v>76</v>
      </c>
      <c r="J2148" s="12">
        <f>I2148/Pondération!$I$135</f>
        <v>9.0476190476190474E-2</v>
      </c>
    </row>
    <row r="2149" spans="1:10" x14ac:dyDescent="0.25">
      <c r="A2149" s="2" t="s">
        <v>77</v>
      </c>
      <c r="B2149" s="2">
        <v>2014</v>
      </c>
      <c r="C2149" s="2" t="s">
        <v>72</v>
      </c>
      <c r="D2149" s="2" t="s">
        <v>44</v>
      </c>
      <c r="E2149" s="2" t="s">
        <v>78</v>
      </c>
      <c r="F2149" s="2" t="s">
        <v>81</v>
      </c>
      <c r="G2149" s="2">
        <f t="shared" si="33"/>
        <v>0.25654761904761902</v>
      </c>
      <c r="H2149" s="5">
        <v>4.3099999999999996</v>
      </c>
      <c r="I2149" s="2">
        <v>50</v>
      </c>
      <c r="J2149" s="12">
        <f>I2149/Pondération!$I$135</f>
        <v>5.9523809523809521E-2</v>
      </c>
    </row>
    <row r="2150" spans="1:10" x14ac:dyDescent="0.25">
      <c r="A2150" s="2" t="s">
        <v>77</v>
      </c>
      <c r="B2150" s="2">
        <v>2015</v>
      </c>
      <c r="C2150" s="2" t="s">
        <v>73</v>
      </c>
      <c r="D2150" s="2" t="s">
        <v>44</v>
      </c>
      <c r="E2150" s="2" t="s">
        <v>78</v>
      </c>
      <c r="F2150" s="2" t="s">
        <v>81</v>
      </c>
      <c r="G2150" s="2">
        <f t="shared" si="33"/>
        <v>9.4490091831802805E-2</v>
      </c>
      <c r="H2150" s="5">
        <v>4.1595744680851068</v>
      </c>
      <c r="I2150" s="2">
        <v>47</v>
      </c>
      <c r="J2150" s="12">
        <f>I2150/Pondération!$H$135</f>
        <v>2.2716288061865635E-2</v>
      </c>
    </row>
    <row r="2151" spans="1:10" x14ac:dyDescent="0.25">
      <c r="A2151" s="2" t="s">
        <v>77</v>
      </c>
      <c r="B2151" s="2">
        <v>2015</v>
      </c>
      <c r="C2151" s="2" t="s">
        <v>74</v>
      </c>
      <c r="D2151" s="2" t="s">
        <v>44</v>
      </c>
      <c r="E2151" s="2" t="s">
        <v>78</v>
      </c>
      <c r="F2151" s="2" t="s">
        <v>81</v>
      </c>
      <c r="G2151" s="2">
        <f t="shared" si="33"/>
        <v>9.2798453359110689E-2</v>
      </c>
      <c r="H2151" s="5">
        <v>4.1739130434782608</v>
      </c>
      <c r="I2151" s="2">
        <v>46</v>
      </c>
      <c r="J2151" s="12">
        <f>I2151/Pondération!$H$135</f>
        <v>2.2232962783953602E-2</v>
      </c>
    </row>
    <row r="2152" spans="1:10" x14ac:dyDescent="0.25">
      <c r="A2152" s="2" t="s">
        <v>77</v>
      </c>
      <c r="B2152" s="2">
        <v>2015</v>
      </c>
      <c r="C2152" s="2" t="s">
        <v>75</v>
      </c>
      <c r="D2152" s="2" t="s">
        <v>44</v>
      </c>
      <c r="E2152" s="2" t="s">
        <v>78</v>
      </c>
      <c r="F2152" s="2" t="s">
        <v>81</v>
      </c>
      <c r="G2152" s="2">
        <f t="shared" si="33"/>
        <v>0.10536491058482358</v>
      </c>
      <c r="H2152" s="5">
        <v>4.1923076923076925</v>
      </c>
      <c r="I2152" s="2">
        <v>52</v>
      </c>
      <c r="J2152" s="12">
        <f>I2152/Pondération!$H$135</f>
        <v>2.5132914451425809E-2</v>
      </c>
    </row>
    <row r="2153" spans="1:10" x14ac:dyDescent="0.25">
      <c r="A2153" s="2" t="s">
        <v>77</v>
      </c>
      <c r="B2153" s="2">
        <v>2015</v>
      </c>
      <c r="C2153" s="2" t="s">
        <v>76</v>
      </c>
      <c r="D2153" s="2" t="s">
        <v>44</v>
      </c>
      <c r="E2153" s="2" t="s">
        <v>78</v>
      </c>
      <c r="F2153" s="2" t="s">
        <v>81</v>
      </c>
      <c r="G2153" s="2">
        <f t="shared" si="33"/>
        <v>0.18656355727404542</v>
      </c>
      <c r="H2153" s="5">
        <v>4.2417582417582418</v>
      </c>
      <c r="I2153" s="2">
        <v>91</v>
      </c>
      <c r="J2153" s="12">
        <f>I2153/Pondération!$H$135</f>
        <v>4.3982600289995163E-2</v>
      </c>
    </row>
    <row r="2154" spans="1:10" x14ac:dyDescent="0.25">
      <c r="A2154" s="2" t="s">
        <v>77</v>
      </c>
      <c r="B2154" s="2">
        <v>2015</v>
      </c>
      <c r="C2154" s="2" t="s">
        <v>7</v>
      </c>
      <c r="D2154" s="2" t="s">
        <v>44</v>
      </c>
      <c r="E2154" s="2" t="s">
        <v>78</v>
      </c>
      <c r="F2154" s="2" t="s">
        <v>81</v>
      </c>
      <c r="G2154" s="2">
        <f t="shared" si="33"/>
        <v>0.33156114064765591</v>
      </c>
      <c r="H2154" s="5">
        <v>4.369426751592357</v>
      </c>
      <c r="I2154" s="2">
        <v>157</v>
      </c>
      <c r="J2154" s="12">
        <f>I2154/Pondération!$H$135</f>
        <v>7.5882068632189464E-2</v>
      </c>
    </row>
    <row r="2155" spans="1:10" x14ac:dyDescent="0.25">
      <c r="A2155" s="2" t="s">
        <v>77</v>
      </c>
      <c r="B2155" s="2">
        <v>2015</v>
      </c>
      <c r="C2155" s="2" t="s">
        <v>11</v>
      </c>
      <c r="D2155" s="2" t="s">
        <v>44</v>
      </c>
      <c r="E2155" s="2" t="s">
        <v>78</v>
      </c>
      <c r="F2155" s="2" t="s">
        <v>81</v>
      </c>
      <c r="G2155" s="2">
        <f t="shared" si="33"/>
        <v>0.27138714354760751</v>
      </c>
      <c r="H2155" s="5">
        <v>4.3527131782945734</v>
      </c>
      <c r="I2155" s="2">
        <v>129</v>
      </c>
      <c r="J2155" s="12">
        <f>I2155/Pondération!$H$135</f>
        <v>6.2348960850652488E-2</v>
      </c>
    </row>
    <row r="2156" spans="1:10" x14ac:dyDescent="0.25">
      <c r="A2156" s="2" t="s">
        <v>77</v>
      </c>
      <c r="B2156" s="2">
        <v>2015</v>
      </c>
      <c r="C2156" s="2" t="s">
        <v>12</v>
      </c>
      <c r="D2156" s="2" t="s">
        <v>44</v>
      </c>
      <c r="E2156" s="2" t="s">
        <v>78</v>
      </c>
      <c r="F2156" s="2" t="s">
        <v>81</v>
      </c>
      <c r="G2156" s="2">
        <f t="shared" si="33"/>
        <v>0.652730787820203</v>
      </c>
      <c r="H2156" s="5">
        <v>4.3564516129032258</v>
      </c>
      <c r="I2156" s="2">
        <v>310</v>
      </c>
      <c r="J2156" s="12">
        <f>I2156/Pondération!$H$135</f>
        <v>0.1498308361527308</v>
      </c>
    </row>
    <row r="2157" spans="1:10" x14ac:dyDescent="0.25">
      <c r="A2157" s="2" t="s">
        <v>77</v>
      </c>
      <c r="B2157" s="2">
        <v>2015</v>
      </c>
      <c r="C2157" s="2" t="s">
        <v>13</v>
      </c>
      <c r="D2157" s="2" t="s">
        <v>44</v>
      </c>
      <c r="E2157" s="2" t="s">
        <v>78</v>
      </c>
      <c r="F2157" s="2" t="s">
        <v>81</v>
      </c>
      <c r="G2157" s="2">
        <f t="shared" si="33"/>
        <v>1.0205413243112615</v>
      </c>
      <c r="H2157" s="5">
        <v>4.35360824742268</v>
      </c>
      <c r="I2157" s="2">
        <v>485</v>
      </c>
      <c r="J2157" s="12">
        <f>I2157/Pondération!$H$135</f>
        <v>0.23441275978733689</v>
      </c>
    </row>
    <row r="2158" spans="1:10" x14ac:dyDescent="0.25">
      <c r="A2158" s="2" t="s">
        <v>77</v>
      </c>
      <c r="B2158" s="2">
        <v>2015</v>
      </c>
      <c r="C2158" s="2" t="s">
        <v>14</v>
      </c>
      <c r="D2158" s="2" t="s">
        <v>44</v>
      </c>
      <c r="E2158" s="2" t="s">
        <v>78</v>
      </c>
      <c r="F2158" s="2" t="s">
        <v>81</v>
      </c>
      <c r="G2158" s="2">
        <f t="shared" si="33"/>
        <v>0.49999999999999994</v>
      </c>
      <c r="H2158" s="5">
        <v>4.3466386554621845</v>
      </c>
      <c r="I2158" s="2">
        <v>238</v>
      </c>
      <c r="J2158" s="12">
        <f>I2158/Pondération!$H$135</f>
        <v>0.11503141614306428</v>
      </c>
    </row>
    <row r="2159" spans="1:10" x14ac:dyDescent="0.25">
      <c r="A2159" s="2" t="s">
        <v>77</v>
      </c>
      <c r="B2159" s="2">
        <v>2015</v>
      </c>
      <c r="C2159" s="2" t="s">
        <v>15</v>
      </c>
      <c r="D2159" s="2" t="s">
        <v>44</v>
      </c>
      <c r="E2159" s="2" t="s">
        <v>78</v>
      </c>
      <c r="F2159" s="2" t="s">
        <v>81</v>
      </c>
      <c r="G2159" s="2">
        <f t="shared" si="33"/>
        <v>0.32696955050749155</v>
      </c>
      <c r="H2159" s="5">
        <v>4.4506578947368425</v>
      </c>
      <c r="I2159" s="2">
        <v>152</v>
      </c>
      <c r="J2159" s="12">
        <f>I2159/Pondération!$H$135</f>
        <v>7.3465442242629284E-2</v>
      </c>
    </row>
    <row r="2160" spans="1:10" x14ac:dyDescent="0.25">
      <c r="A2160" s="2" t="s">
        <v>77</v>
      </c>
      <c r="B2160" s="2">
        <v>2015</v>
      </c>
      <c r="C2160" s="2" t="s">
        <v>16</v>
      </c>
      <c r="D2160" s="2" t="s">
        <v>44</v>
      </c>
      <c r="E2160" s="2" t="s">
        <v>78</v>
      </c>
      <c r="F2160" s="2" t="s">
        <v>81</v>
      </c>
      <c r="G2160" s="2">
        <f t="shared" si="33"/>
        <v>0.39028516191396811</v>
      </c>
      <c r="H2160" s="5">
        <v>4.5621468926553677</v>
      </c>
      <c r="I2160" s="2">
        <v>177</v>
      </c>
      <c r="J2160" s="12">
        <f>I2160/Pondération!$H$135</f>
        <v>8.554857419043016E-2</v>
      </c>
    </row>
    <row r="2161" spans="1:10" x14ac:dyDescent="0.25">
      <c r="A2161" s="2" t="s">
        <v>77</v>
      </c>
      <c r="B2161" s="2">
        <v>2015</v>
      </c>
      <c r="C2161" s="2" t="s">
        <v>17</v>
      </c>
      <c r="D2161" s="2" t="s">
        <v>44</v>
      </c>
      <c r="E2161" s="2" t="s">
        <v>78</v>
      </c>
      <c r="F2161" s="2" t="s">
        <v>81</v>
      </c>
      <c r="G2161" s="2">
        <f t="shared" si="33"/>
        <v>0.40164330594490094</v>
      </c>
      <c r="H2161" s="5">
        <v>4.4918918918918918</v>
      </c>
      <c r="I2161" s="2">
        <v>185</v>
      </c>
      <c r="J2161" s="12">
        <f>I2161/Pondération!$H$135</f>
        <v>8.9415176413726441E-2</v>
      </c>
    </row>
    <row r="2162" spans="1:10" x14ac:dyDescent="0.25">
      <c r="A2162" s="2" t="s">
        <v>77</v>
      </c>
      <c r="B2162" s="2">
        <v>2016</v>
      </c>
      <c r="C2162" s="2" t="s">
        <v>18</v>
      </c>
      <c r="D2162" s="2" t="s">
        <v>44</v>
      </c>
      <c r="E2162" s="2" t="s">
        <v>78</v>
      </c>
      <c r="F2162" s="2" t="s">
        <v>81</v>
      </c>
      <c r="G2162" s="2">
        <f t="shared" si="33"/>
        <v>0.13982414754449923</v>
      </c>
      <c r="H2162" s="5">
        <v>4.4353741496598635</v>
      </c>
      <c r="I2162" s="2">
        <v>147</v>
      </c>
      <c r="J2162" s="12">
        <f>I2162/Pondération!$G$135</f>
        <v>3.152476946171992E-2</v>
      </c>
    </row>
    <row r="2163" spans="1:10" x14ac:dyDescent="0.25">
      <c r="A2163" s="2" t="s">
        <v>77</v>
      </c>
      <c r="B2163" s="2">
        <v>2016</v>
      </c>
      <c r="C2163" s="2" t="s">
        <v>19</v>
      </c>
      <c r="D2163" s="2" t="s">
        <v>44</v>
      </c>
      <c r="E2163" s="2" t="s">
        <v>78</v>
      </c>
      <c r="F2163" s="2" t="s">
        <v>81</v>
      </c>
      <c r="G2163" s="2">
        <f t="shared" si="33"/>
        <v>0.22710701265279862</v>
      </c>
      <c r="H2163" s="5">
        <v>4.4872881355932206</v>
      </c>
      <c r="I2163" s="2">
        <v>236</v>
      </c>
      <c r="J2163" s="12">
        <f>I2163/Pondération!$G$135</f>
        <v>5.0611194509972118E-2</v>
      </c>
    </row>
    <row r="2164" spans="1:10" x14ac:dyDescent="0.25">
      <c r="A2164" s="2" t="s">
        <v>77</v>
      </c>
      <c r="B2164" s="2">
        <v>2016</v>
      </c>
      <c r="C2164" s="2" t="s">
        <v>20</v>
      </c>
      <c r="D2164" s="2" t="s">
        <v>44</v>
      </c>
      <c r="E2164" s="2" t="s">
        <v>78</v>
      </c>
      <c r="F2164" s="2" t="s">
        <v>81</v>
      </c>
      <c r="G2164" s="2">
        <f t="shared" si="33"/>
        <v>0.23171777825434273</v>
      </c>
      <c r="H2164" s="5">
        <v>4.4465020576131691</v>
      </c>
      <c r="I2164" s="2">
        <v>243</v>
      </c>
      <c r="J2164" s="12">
        <f>I2164/Pondération!$G$135</f>
        <v>5.2112374008149262E-2</v>
      </c>
    </row>
    <row r="2165" spans="1:10" x14ac:dyDescent="0.25">
      <c r="A2165" s="2" t="s">
        <v>77</v>
      </c>
      <c r="B2165" s="2">
        <v>2016</v>
      </c>
      <c r="C2165" s="2" t="s">
        <v>21</v>
      </c>
      <c r="D2165" s="2" t="s">
        <v>44</v>
      </c>
      <c r="E2165" s="2" t="s">
        <v>78</v>
      </c>
      <c r="F2165" s="2" t="s">
        <v>81</v>
      </c>
      <c r="G2165" s="2">
        <f t="shared" si="33"/>
        <v>0.27310744156122668</v>
      </c>
      <c r="H2165" s="5">
        <v>4.5159574468085104</v>
      </c>
      <c r="I2165" s="2">
        <v>282</v>
      </c>
      <c r="J2165" s="12">
        <f>I2165/Pondération!$G$135</f>
        <v>6.0476088355136182E-2</v>
      </c>
    </row>
    <row r="2166" spans="1:10" x14ac:dyDescent="0.25">
      <c r="A2166" s="2" t="s">
        <v>77</v>
      </c>
      <c r="B2166" s="2">
        <v>2016</v>
      </c>
      <c r="C2166" s="2" t="s">
        <v>22</v>
      </c>
      <c r="D2166" s="2" t="s">
        <v>44</v>
      </c>
      <c r="E2166" s="2" t="s">
        <v>78</v>
      </c>
      <c r="F2166" s="2" t="s">
        <v>81</v>
      </c>
      <c r="G2166" s="2">
        <f t="shared" si="33"/>
        <v>0.30366716705983277</v>
      </c>
      <c r="H2166" s="5">
        <v>4.5239616613418532</v>
      </c>
      <c r="I2166" s="2">
        <v>313</v>
      </c>
      <c r="J2166" s="12">
        <f>I2166/Pondération!$G$135</f>
        <v>6.7124168989920657E-2</v>
      </c>
    </row>
    <row r="2167" spans="1:10" x14ac:dyDescent="0.25">
      <c r="A2167" s="2" t="s">
        <v>77</v>
      </c>
      <c r="B2167" s="2">
        <v>2016</v>
      </c>
      <c r="C2167" s="2" t="s">
        <v>23</v>
      </c>
      <c r="D2167" s="2" t="s">
        <v>44</v>
      </c>
      <c r="E2167" s="2" t="s">
        <v>78</v>
      </c>
      <c r="F2167" s="2" t="s">
        <v>81</v>
      </c>
      <c r="G2167" s="2">
        <f t="shared" si="33"/>
        <v>0.3061333905211237</v>
      </c>
      <c r="H2167" s="5">
        <v>4.5031545741324921</v>
      </c>
      <c r="I2167" s="2">
        <v>317</v>
      </c>
      <c r="J2167" s="12">
        <f>I2167/Pondération!$G$135</f>
        <v>6.7981985846021872E-2</v>
      </c>
    </row>
    <row r="2168" spans="1:10" x14ac:dyDescent="0.25">
      <c r="A2168" s="2" t="s">
        <v>77</v>
      </c>
      <c r="B2168" s="2">
        <v>2016</v>
      </c>
      <c r="C2168" s="2" t="s">
        <v>24</v>
      </c>
      <c r="D2168" s="2" t="s">
        <v>44</v>
      </c>
      <c r="E2168" s="2" t="s">
        <v>78</v>
      </c>
      <c r="F2168" s="2" t="s">
        <v>81</v>
      </c>
      <c r="G2168" s="2">
        <f t="shared" si="33"/>
        <v>0.58170705554364133</v>
      </c>
      <c r="H2168" s="5">
        <v>4.4540229885057467</v>
      </c>
      <c r="I2168" s="2">
        <v>609</v>
      </c>
      <c r="J2168" s="12">
        <f>I2168/Pondération!$G$135</f>
        <v>0.1306026163414111</v>
      </c>
    </row>
    <row r="2169" spans="1:10" x14ac:dyDescent="0.25">
      <c r="A2169" s="2" t="s">
        <v>77</v>
      </c>
      <c r="B2169" s="2">
        <v>2016</v>
      </c>
      <c r="C2169" s="2" t="s">
        <v>25</v>
      </c>
      <c r="D2169" s="2" t="s">
        <v>44</v>
      </c>
      <c r="E2169" s="2" t="s">
        <v>78</v>
      </c>
      <c r="F2169" s="2" t="s">
        <v>81</v>
      </c>
      <c r="G2169" s="2">
        <f t="shared" si="33"/>
        <v>1.1286725284151835</v>
      </c>
      <c r="H2169" s="5">
        <v>4.4791489361702128</v>
      </c>
      <c r="I2169" s="2">
        <v>1175</v>
      </c>
      <c r="J2169" s="12">
        <f>I2169/Pondération!$G$135</f>
        <v>0.25198370147973409</v>
      </c>
    </row>
    <row r="2170" spans="1:10" x14ac:dyDescent="0.25">
      <c r="A2170" s="2" t="s">
        <v>77</v>
      </c>
      <c r="B2170" s="2">
        <v>2016</v>
      </c>
      <c r="C2170" s="2" t="s">
        <v>26</v>
      </c>
      <c r="D2170" s="2" t="s">
        <v>44</v>
      </c>
      <c r="E2170" s="2" t="s">
        <v>78</v>
      </c>
      <c r="F2170" s="2" t="s">
        <v>81</v>
      </c>
      <c r="G2170" s="2">
        <f t="shared" si="33"/>
        <v>0.38022732146686683</v>
      </c>
      <c r="H2170" s="5">
        <v>4.4772727272727275</v>
      </c>
      <c r="I2170" s="2">
        <v>396</v>
      </c>
      <c r="J2170" s="12">
        <f>I2170/Pondération!$G$135</f>
        <v>8.4923868754021012E-2</v>
      </c>
    </row>
    <row r="2171" spans="1:10" x14ac:dyDescent="0.25">
      <c r="A2171" s="2" t="s">
        <v>77</v>
      </c>
      <c r="B2171" s="2">
        <v>2016</v>
      </c>
      <c r="C2171" s="2" t="s">
        <v>27</v>
      </c>
      <c r="D2171" s="2" t="s">
        <v>44</v>
      </c>
      <c r="E2171" s="2" t="s">
        <v>78</v>
      </c>
      <c r="F2171" s="2" t="s">
        <v>81</v>
      </c>
      <c r="G2171" s="2">
        <f t="shared" si="33"/>
        <v>0.32629208663950249</v>
      </c>
      <c r="H2171" s="5">
        <v>4.5417910447761196</v>
      </c>
      <c r="I2171" s="2">
        <v>335</v>
      </c>
      <c r="J2171" s="12">
        <f>I2171/Pondération!$G$135</f>
        <v>7.1842161698477375E-2</v>
      </c>
    </row>
    <row r="2172" spans="1:10" x14ac:dyDescent="0.25">
      <c r="A2172" s="2" t="s">
        <v>77</v>
      </c>
      <c r="B2172" s="2">
        <v>2016</v>
      </c>
      <c r="C2172" s="2" t="s">
        <v>28</v>
      </c>
      <c r="D2172" s="2" t="s">
        <v>44</v>
      </c>
      <c r="E2172" s="2" t="s">
        <v>78</v>
      </c>
      <c r="F2172" s="2" t="s">
        <v>81</v>
      </c>
      <c r="G2172" s="2">
        <f t="shared" si="33"/>
        <v>0.32661376796054042</v>
      </c>
      <c r="H2172" s="5">
        <v>4.4794117647058824</v>
      </c>
      <c r="I2172" s="2">
        <v>340</v>
      </c>
      <c r="J2172" s="12">
        <f>I2172/Pondération!$G$135</f>
        <v>7.2914432768603904E-2</v>
      </c>
    </row>
    <row r="2173" spans="1:10" x14ac:dyDescent="0.25">
      <c r="A2173" s="2" t="s">
        <v>77</v>
      </c>
      <c r="B2173" s="2">
        <v>2016</v>
      </c>
      <c r="C2173" s="2" t="s">
        <v>29</v>
      </c>
      <c r="D2173" s="2" t="s">
        <v>44</v>
      </c>
      <c r="E2173" s="2" t="s">
        <v>78</v>
      </c>
      <c r="F2173" s="2" t="s">
        <v>81</v>
      </c>
      <c r="G2173" s="2">
        <f t="shared" si="33"/>
        <v>0.2629208663950246</v>
      </c>
      <c r="H2173" s="5">
        <v>4.5407407407407403</v>
      </c>
      <c r="I2173" s="2">
        <v>270</v>
      </c>
      <c r="J2173" s="12">
        <f>I2173/Pondération!$G$135</f>
        <v>5.7902637786832509E-2</v>
      </c>
    </row>
    <row r="2174" spans="1:10" x14ac:dyDescent="0.25">
      <c r="A2174" s="2" t="s">
        <v>77</v>
      </c>
      <c r="B2174" s="2">
        <v>2017</v>
      </c>
      <c r="C2174" s="2" t="s">
        <v>30</v>
      </c>
      <c r="D2174" s="2" t="s">
        <v>44</v>
      </c>
      <c r="E2174" s="2" t="s">
        <v>78</v>
      </c>
      <c r="F2174" s="2" t="s">
        <v>81</v>
      </c>
      <c r="G2174" s="2">
        <f t="shared" si="33"/>
        <v>0.69016747703943815</v>
      </c>
      <c r="H2174" s="5">
        <v>4.5462633451957295</v>
      </c>
      <c r="I2174" s="2">
        <v>281</v>
      </c>
      <c r="J2174" s="12">
        <f>I2174/Pondération!$F$135</f>
        <v>0.15180983252296057</v>
      </c>
    </row>
    <row r="2175" spans="1:10" x14ac:dyDescent="0.25">
      <c r="A2175" s="2" t="s">
        <v>77</v>
      </c>
      <c r="B2175" s="2">
        <v>2017</v>
      </c>
      <c r="C2175" s="2" t="s">
        <v>31</v>
      </c>
      <c r="D2175" s="2" t="s">
        <v>44</v>
      </c>
      <c r="E2175" s="2" t="s">
        <v>78</v>
      </c>
      <c r="F2175" s="2" t="s">
        <v>81</v>
      </c>
      <c r="G2175" s="2">
        <f t="shared" si="33"/>
        <v>0.85008103727714746</v>
      </c>
      <c r="H2175" s="5">
        <v>4.6415929203539825</v>
      </c>
      <c r="I2175" s="2">
        <v>339</v>
      </c>
      <c r="J2175" s="12">
        <f>I2175/Pondération!$F$135</f>
        <v>0.18314424635332252</v>
      </c>
    </row>
    <row r="2176" spans="1:10" x14ac:dyDescent="0.25">
      <c r="A2176" s="2" t="s">
        <v>77</v>
      </c>
      <c r="B2176" s="2">
        <v>2017</v>
      </c>
      <c r="C2176" s="2" t="s">
        <v>32</v>
      </c>
      <c r="D2176" s="2" t="s">
        <v>44</v>
      </c>
      <c r="E2176" s="2" t="s">
        <v>78</v>
      </c>
      <c r="F2176" s="2" t="s">
        <v>81</v>
      </c>
      <c r="G2176" s="2">
        <f t="shared" si="33"/>
        <v>0.71177741761210156</v>
      </c>
      <c r="H2176" s="5">
        <v>4.5119863013698627</v>
      </c>
      <c r="I2176" s="2">
        <v>292</v>
      </c>
      <c r="J2176" s="12">
        <f>I2176/Pondération!$F$135</f>
        <v>0.157752566180443</v>
      </c>
    </row>
    <row r="2177" spans="1:10" x14ac:dyDescent="0.25">
      <c r="A2177" s="2" t="s">
        <v>77</v>
      </c>
      <c r="B2177" s="2">
        <v>2017</v>
      </c>
      <c r="C2177" s="2" t="s">
        <v>33</v>
      </c>
      <c r="D2177" s="2" t="s">
        <v>44</v>
      </c>
      <c r="E2177" s="2" t="s">
        <v>78</v>
      </c>
      <c r="F2177" s="2" t="s">
        <v>81</v>
      </c>
      <c r="G2177" s="2">
        <f t="shared" si="33"/>
        <v>0.88951917882225828</v>
      </c>
      <c r="H2177" s="5">
        <v>4.4380053908355794</v>
      </c>
      <c r="I2177" s="2">
        <v>371</v>
      </c>
      <c r="J2177" s="12">
        <f>I2177/Pondération!$F$135</f>
        <v>0.20043219881145327</v>
      </c>
    </row>
    <row r="2178" spans="1:10" x14ac:dyDescent="0.25">
      <c r="A2178" s="2" t="s">
        <v>77</v>
      </c>
      <c r="B2178" s="2">
        <v>2017</v>
      </c>
      <c r="C2178" s="2" t="s">
        <v>34</v>
      </c>
      <c r="D2178" s="2" t="s">
        <v>44</v>
      </c>
      <c r="E2178" s="2" t="s">
        <v>78</v>
      </c>
      <c r="F2178" s="2" t="s">
        <v>81</v>
      </c>
      <c r="G2178" s="2">
        <f t="shared" ref="G2178:G2241" si="34">H2178*J2178</f>
        <v>0.89870340356564027</v>
      </c>
      <c r="H2178" s="5">
        <v>4.4597855227882039</v>
      </c>
      <c r="I2178" s="2">
        <v>373</v>
      </c>
      <c r="J2178" s="12">
        <f>I2178/Pondération!$F$135</f>
        <v>0.20151269584008644</v>
      </c>
    </row>
    <row r="2179" spans="1:10" x14ac:dyDescent="0.25">
      <c r="A2179" s="2" t="s">
        <v>77</v>
      </c>
      <c r="B2179" s="2">
        <v>2017</v>
      </c>
      <c r="C2179" s="2" t="s">
        <v>80</v>
      </c>
      <c r="D2179" s="2" t="s">
        <v>44</v>
      </c>
      <c r="E2179" s="2" t="s">
        <v>78</v>
      </c>
      <c r="F2179" s="2" t="s">
        <v>81</v>
      </c>
      <c r="G2179" s="2">
        <f t="shared" si="34"/>
        <v>0.47839005942733653</v>
      </c>
      <c r="H2179" s="5">
        <v>4.5410256410256409</v>
      </c>
      <c r="I2179" s="2">
        <v>195</v>
      </c>
      <c r="J2179" s="12">
        <f>I2179/Pondération!$F$135</f>
        <v>0.1053484602917342</v>
      </c>
    </row>
    <row r="2180" spans="1:10" x14ac:dyDescent="0.25">
      <c r="A2180" s="2" t="s">
        <v>77</v>
      </c>
      <c r="B2180" s="2">
        <v>2013</v>
      </c>
      <c r="C2180" s="2" t="s">
        <v>49</v>
      </c>
      <c r="D2180" s="2" t="s">
        <v>44</v>
      </c>
      <c r="E2180" s="2" t="s">
        <v>78</v>
      </c>
      <c r="F2180" s="2" t="s">
        <v>83</v>
      </c>
      <c r="G2180" s="2">
        <f t="shared" si="34"/>
        <v>0.19047619047619047</v>
      </c>
      <c r="H2180" s="5">
        <v>4.5</v>
      </c>
      <c r="I2180" s="2">
        <v>8</v>
      </c>
      <c r="J2180" s="12">
        <f>I2180/Pondération!$J$136</f>
        <v>4.2328042328042326E-2</v>
      </c>
    </row>
    <row r="2181" spans="1:10" x14ac:dyDescent="0.25">
      <c r="A2181" s="2" t="s">
        <v>77</v>
      </c>
      <c r="B2181" s="2">
        <v>2013</v>
      </c>
      <c r="C2181" s="2" t="s">
        <v>50</v>
      </c>
      <c r="D2181" s="2" t="s">
        <v>44</v>
      </c>
      <c r="E2181" s="2" t="s">
        <v>78</v>
      </c>
      <c r="F2181" s="2" t="s">
        <v>83</v>
      </c>
      <c r="G2181" s="2">
        <f t="shared" si="34"/>
        <v>0.17989417989417988</v>
      </c>
      <c r="H2181" s="5">
        <v>4.25</v>
      </c>
      <c r="I2181" s="2">
        <v>8</v>
      </c>
      <c r="J2181" s="12">
        <f>I2181/Pondération!$J$136</f>
        <v>4.2328042328042326E-2</v>
      </c>
    </row>
    <row r="2182" spans="1:10" x14ac:dyDescent="0.25">
      <c r="A2182" s="2" t="s">
        <v>77</v>
      </c>
      <c r="B2182" s="2">
        <v>2013</v>
      </c>
      <c r="C2182" s="2" t="s">
        <v>51</v>
      </c>
      <c r="D2182" s="2" t="s">
        <v>44</v>
      </c>
      <c r="E2182" s="2" t="s">
        <v>78</v>
      </c>
      <c r="F2182" s="2" t="s">
        <v>83</v>
      </c>
      <c r="G2182" s="2">
        <f t="shared" si="34"/>
        <v>0.20370370370370369</v>
      </c>
      <c r="H2182" s="5">
        <v>4.2777777777777777</v>
      </c>
      <c r="I2182" s="2">
        <v>9</v>
      </c>
      <c r="J2182" s="12">
        <f>I2182/Pondération!$J$136</f>
        <v>4.7619047619047616E-2</v>
      </c>
    </row>
    <row r="2183" spans="1:10" x14ac:dyDescent="0.25">
      <c r="A2183" s="2" t="s">
        <v>77</v>
      </c>
      <c r="B2183" s="2">
        <v>2013</v>
      </c>
      <c r="C2183" s="2" t="s">
        <v>52</v>
      </c>
      <c r="D2183" s="2" t="s">
        <v>44</v>
      </c>
      <c r="E2183" s="2" t="s">
        <v>78</v>
      </c>
      <c r="F2183" s="2" t="s">
        <v>83</v>
      </c>
      <c r="G2183" s="2">
        <f t="shared" si="34"/>
        <v>0.15608465608465608</v>
      </c>
      <c r="H2183" s="5">
        <v>4.2142857142857144</v>
      </c>
      <c r="I2183" s="2">
        <v>7</v>
      </c>
      <c r="J2183" s="12">
        <f>I2183/Pondération!$J$136</f>
        <v>3.7037037037037035E-2</v>
      </c>
    </row>
    <row r="2184" spans="1:10" x14ac:dyDescent="0.25">
      <c r="A2184" s="2" t="s">
        <v>77</v>
      </c>
      <c r="B2184" s="2">
        <v>2013</v>
      </c>
      <c r="C2184" s="2" t="s">
        <v>53</v>
      </c>
      <c r="D2184" s="2" t="s">
        <v>44</v>
      </c>
      <c r="E2184" s="2" t="s">
        <v>78</v>
      </c>
      <c r="F2184" s="2" t="s">
        <v>83</v>
      </c>
      <c r="G2184" s="2">
        <f t="shared" si="34"/>
        <v>0.38359788359788355</v>
      </c>
      <c r="H2184" s="5">
        <v>4.2647058823529411</v>
      </c>
      <c r="I2184" s="2">
        <v>17</v>
      </c>
      <c r="J2184" s="12">
        <f>I2184/Pondération!$J$136</f>
        <v>8.9947089947089942E-2</v>
      </c>
    </row>
    <row r="2185" spans="1:10" x14ac:dyDescent="0.25">
      <c r="A2185" s="2" t="s">
        <v>77</v>
      </c>
      <c r="B2185" s="2">
        <v>2013</v>
      </c>
      <c r="C2185" s="2" t="s">
        <v>54</v>
      </c>
      <c r="D2185" s="2" t="s">
        <v>44</v>
      </c>
      <c r="E2185" s="2" t="s">
        <v>78</v>
      </c>
      <c r="F2185" s="2" t="s">
        <v>83</v>
      </c>
      <c r="G2185" s="2">
        <f t="shared" si="34"/>
        <v>0.20370370370370369</v>
      </c>
      <c r="H2185" s="5">
        <v>4.2777777777777777</v>
      </c>
      <c r="I2185" s="2">
        <v>9</v>
      </c>
      <c r="J2185" s="12">
        <f>I2185/Pondération!$J$136</f>
        <v>4.7619047619047616E-2</v>
      </c>
    </row>
    <row r="2186" spans="1:10" x14ac:dyDescent="0.25">
      <c r="A2186" s="2" t="s">
        <v>77</v>
      </c>
      <c r="B2186" s="2">
        <v>2013</v>
      </c>
      <c r="C2186" s="2" t="s">
        <v>55</v>
      </c>
      <c r="D2186" s="2" t="s">
        <v>44</v>
      </c>
      <c r="E2186" s="2" t="s">
        <v>78</v>
      </c>
      <c r="F2186" s="2" t="s">
        <v>83</v>
      </c>
      <c r="G2186" s="2">
        <f t="shared" si="34"/>
        <v>0.61111111111111105</v>
      </c>
      <c r="H2186" s="5">
        <v>4.2777777777777777</v>
      </c>
      <c r="I2186" s="2">
        <v>27</v>
      </c>
      <c r="J2186" s="12">
        <f>I2186/Pondération!$J$136</f>
        <v>0.14285714285714285</v>
      </c>
    </row>
    <row r="2187" spans="1:10" x14ac:dyDescent="0.25">
      <c r="A2187" s="2" t="s">
        <v>77</v>
      </c>
      <c r="B2187" s="2">
        <v>2013</v>
      </c>
      <c r="C2187" s="2" t="s">
        <v>56</v>
      </c>
      <c r="D2187" s="2" t="s">
        <v>44</v>
      </c>
      <c r="E2187" s="2" t="s">
        <v>78</v>
      </c>
      <c r="F2187" s="2" t="s">
        <v>83</v>
      </c>
      <c r="G2187" s="2">
        <f t="shared" si="34"/>
        <v>0.77777777777777768</v>
      </c>
      <c r="H2187" s="5">
        <v>4.4545454545454541</v>
      </c>
      <c r="I2187" s="2">
        <v>33</v>
      </c>
      <c r="J2187" s="12">
        <f>I2187/Pondération!$J$136</f>
        <v>0.17460317460317459</v>
      </c>
    </row>
    <row r="2188" spans="1:10" x14ac:dyDescent="0.25">
      <c r="A2188" s="2" t="s">
        <v>77</v>
      </c>
      <c r="B2188" s="2">
        <v>2013</v>
      </c>
      <c r="C2188" s="2" t="s">
        <v>57</v>
      </c>
      <c r="D2188" s="2" t="s">
        <v>44</v>
      </c>
      <c r="E2188" s="2" t="s">
        <v>78</v>
      </c>
      <c r="F2188" s="2" t="s">
        <v>83</v>
      </c>
      <c r="G2188" s="2">
        <f t="shared" si="34"/>
        <v>0.42592592592592587</v>
      </c>
      <c r="H2188" s="5">
        <v>4.2368421052631575</v>
      </c>
      <c r="I2188" s="2">
        <v>19</v>
      </c>
      <c r="J2188" s="12">
        <f>I2188/Pondération!$J$136</f>
        <v>0.10052910052910052</v>
      </c>
    </row>
    <row r="2189" spans="1:10" x14ac:dyDescent="0.25">
      <c r="A2189" s="2" t="s">
        <v>77</v>
      </c>
      <c r="B2189" s="2">
        <v>2013</v>
      </c>
      <c r="C2189" s="2" t="s">
        <v>58</v>
      </c>
      <c r="D2189" s="2" t="s">
        <v>44</v>
      </c>
      <c r="E2189" s="2" t="s">
        <v>78</v>
      </c>
      <c r="F2189" s="2" t="s">
        <v>83</v>
      </c>
      <c r="G2189" s="2">
        <f t="shared" si="34"/>
        <v>0.55820105820105814</v>
      </c>
      <c r="H2189" s="5">
        <v>4.22</v>
      </c>
      <c r="I2189" s="2">
        <v>25</v>
      </c>
      <c r="J2189" s="12">
        <f>I2189/Pondération!$J$136</f>
        <v>0.13227513227513227</v>
      </c>
    </row>
    <row r="2190" spans="1:10" x14ac:dyDescent="0.25">
      <c r="A2190" s="2" t="s">
        <v>77</v>
      </c>
      <c r="B2190" s="2">
        <v>2013</v>
      </c>
      <c r="C2190" s="2" t="s">
        <v>59</v>
      </c>
      <c r="D2190" s="2" t="s">
        <v>44</v>
      </c>
      <c r="E2190" s="2" t="s">
        <v>78</v>
      </c>
      <c r="F2190" s="2" t="s">
        <v>83</v>
      </c>
      <c r="G2190" s="2">
        <f t="shared" si="34"/>
        <v>0.35978835978835977</v>
      </c>
      <c r="H2190" s="5">
        <v>4.5333333333333332</v>
      </c>
      <c r="I2190" s="2">
        <v>15</v>
      </c>
      <c r="J2190" s="12">
        <f>I2190/Pondération!$J$136</f>
        <v>7.9365079365079361E-2</v>
      </c>
    </row>
    <row r="2191" spans="1:10" x14ac:dyDescent="0.25">
      <c r="A2191" s="2" t="s">
        <v>77</v>
      </c>
      <c r="B2191" s="2">
        <v>2013</v>
      </c>
      <c r="C2191" s="2" t="s">
        <v>60</v>
      </c>
      <c r="D2191" s="2" t="s">
        <v>44</v>
      </c>
      <c r="E2191" s="2" t="s">
        <v>78</v>
      </c>
      <c r="F2191" s="2" t="s">
        <v>83</v>
      </c>
      <c r="G2191" s="2">
        <f t="shared" si="34"/>
        <v>0.28306878306878303</v>
      </c>
      <c r="H2191" s="5">
        <v>4.458333333333333</v>
      </c>
      <c r="I2191" s="2">
        <v>12</v>
      </c>
      <c r="J2191" s="12">
        <f>I2191/Pondération!$J$136</f>
        <v>6.3492063492063489E-2</v>
      </c>
    </row>
    <row r="2192" spans="1:10" x14ac:dyDescent="0.25">
      <c r="A2192" s="2" t="s">
        <v>77</v>
      </c>
      <c r="B2192" s="2">
        <v>2014</v>
      </c>
      <c r="C2192" s="2" t="s">
        <v>61</v>
      </c>
      <c r="D2192" s="2" t="s">
        <v>44</v>
      </c>
      <c r="E2192" s="2" t="s">
        <v>78</v>
      </c>
      <c r="F2192" s="2" t="s">
        <v>83</v>
      </c>
      <c r="G2192" s="2">
        <f t="shared" si="34"/>
        <v>0.17091836734693877</v>
      </c>
      <c r="H2192" s="5">
        <v>4.4666666666666668</v>
      </c>
      <c r="I2192" s="2">
        <v>15</v>
      </c>
      <c r="J2192" s="12">
        <f>I2192/Pondération!$I$136</f>
        <v>3.826530612244898E-2</v>
      </c>
    </row>
    <row r="2193" spans="1:10" x14ac:dyDescent="0.25">
      <c r="A2193" s="2" t="s">
        <v>77</v>
      </c>
      <c r="B2193" s="2">
        <v>2014</v>
      </c>
      <c r="C2193" s="2" t="s">
        <v>62</v>
      </c>
      <c r="D2193" s="2" t="s">
        <v>44</v>
      </c>
      <c r="E2193" s="2" t="s">
        <v>78</v>
      </c>
      <c r="F2193" s="2" t="s">
        <v>83</v>
      </c>
      <c r="G2193" s="2">
        <f t="shared" si="34"/>
        <v>0.16198979591836735</v>
      </c>
      <c r="H2193" s="5">
        <v>4.5357142857142856</v>
      </c>
      <c r="I2193" s="2">
        <v>14</v>
      </c>
      <c r="J2193" s="12">
        <f>I2193/Pondération!$I$136</f>
        <v>3.5714285714285712E-2</v>
      </c>
    </row>
    <row r="2194" spans="1:10" x14ac:dyDescent="0.25">
      <c r="A2194" s="2" t="s">
        <v>77</v>
      </c>
      <c r="B2194" s="2">
        <v>2014</v>
      </c>
      <c r="C2194" s="2" t="s">
        <v>63</v>
      </c>
      <c r="D2194" s="2" t="s">
        <v>44</v>
      </c>
      <c r="E2194" s="2" t="s">
        <v>78</v>
      </c>
      <c r="F2194" s="2" t="s">
        <v>83</v>
      </c>
      <c r="G2194" s="2">
        <f t="shared" si="34"/>
        <v>0.28443877551020408</v>
      </c>
      <c r="H2194" s="5">
        <v>4.46</v>
      </c>
      <c r="I2194" s="2">
        <v>25</v>
      </c>
      <c r="J2194" s="12">
        <f>I2194/Pondération!$I$136</f>
        <v>6.3775510204081634E-2</v>
      </c>
    </row>
    <row r="2195" spans="1:10" x14ac:dyDescent="0.25">
      <c r="A2195" s="2" t="s">
        <v>77</v>
      </c>
      <c r="B2195" s="2">
        <v>2014</v>
      </c>
      <c r="C2195" s="2" t="s">
        <v>64</v>
      </c>
      <c r="D2195" s="2" t="s">
        <v>44</v>
      </c>
      <c r="E2195" s="2" t="s">
        <v>78</v>
      </c>
      <c r="F2195" s="2" t="s">
        <v>83</v>
      </c>
      <c r="G2195" s="2">
        <f t="shared" si="34"/>
        <v>0.24744897959183673</v>
      </c>
      <c r="H2195" s="5">
        <v>4.4090909090909092</v>
      </c>
      <c r="I2195" s="2">
        <v>22</v>
      </c>
      <c r="J2195" s="12">
        <f>I2195/Pondération!$I$136</f>
        <v>5.6122448979591837E-2</v>
      </c>
    </row>
    <row r="2196" spans="1:10" x14ac:dyDescent="0.25">
      <c r="A2196" s="2" t="s">
        <v>77</v>
      </c>
      <c r="B2196" s="2">
        <v>2014</v>
      </c>
      <c r="C2196" s="2" t="s">
        <v>65</v>
      </c>
      <c r="D2196" s="2" t="s">
        <v>44</v>
      </c>
      <c r="E2196" s="2" t="s">
        <v>78</v>
      </c>
      <c r="F2196" s="2" t="s">
        <v>83</v>
      </c>
      <c r="G2196" s="2">
        <f t="shared" si="34"/>
        <v>0.29336734693877553</v>
      </c>
      <c r="H2196" s="5">
        <v>4.4230769230769234</v>
      </c>
      <c r="I2196" s="2">
        <v>26</v>
      </c>
      <c r="J2196" s="12">
        <f>I2196/Pondération!$I$136</f>
        <v>6.6326530612244902E-2</v>
      </c>
    </row>
    <row r="2197" spans="1:10" x14ac:dyDescent="0.25">
      <c r="A2197" s="2" t="s">
        <v>77</v>
      </c>
      <c r="B2197" s="2">
        <v>2014</v>
      </c>
      <c r="C2197" s="2" t="s">
        <v>66</v>
      </c>
      <c r="D2197" s="2" t="s">
        <v>44</v>
      </c>
      <c r="E2197" s="2" t="s">
        <v>78</v>
      </c>
      <c r="F2197" s="2" t="s">
        <v>83</v>
      </c>
      <c r="G2197" s="2">
        <f t="shared" si="34"/>
        <v>0.30484693877551017</v>
      </c>
      <c r="H2197" s="5">
        <v>4.4259259259259256</v>
      </c>
      <c r="I2197" s="2">
        <v>27</v>
      </c>
      <c r="J2197" s="12">
        <f>I2197/Pondération!$I$136</f>
        <v>6.8877551020408156E-2</v>
      </c>
    </row>
    <row r="2198" spans="1:10" x14ac:dyDescent="0.25">
      <c r="A2198" s="2" t="s">
        <v>77</v>
      </c>
      <c r="B2198" s="2">
        <v>2014</v>
      </c>
      <c r="C2198" s="2" t="s">
        <v>67</v>
      </c>
      <c r="D2198" s="2" t="s">
        <v>44</v>
      </c>
      <c r="E2198" s="2" t="s">
        <v>78</v>
      </c>
      <c r="F2198" s="2" t="s">
        <v>83</v>
      </c>
      <c r="G2198" s="2">
        <f t="shared" si="34"/>
        <v>0.40943877551020402</v>
      </c>
      <c r="H2198" s="5">
        <v>4.3378378378378377</v>
      </c>
      <c r="I2198" s="2">
        <v>37</v>
      </c>
      <c r="J2198" s="12">
        <f>I2198/Pondération!$I$136</f>
        <v>9.438775510204081E-2</v>
      </c>
    </row>
    <row r="2199" spans="1:10" x14ac:dyDescent="0.25">
      <c r="A2199" s="2" t="s">
        <v>77</v>
      </c>
      <c r="B2199" s="2">
        <v>2014</v>
      </c>
      <c r="C2199" s="2" t="s">
        <v>68</v>
      </c>
      <c r="D2199" s="2" t="s">
        <v>44</v>
      </c>
      <c r="E2199" s="2" t="s">
        <v>78</v>
      </c>
      <c r="F2199" s="2" t="s">
        <v>83</v>
      </c>
      <c r="G2199" s="2">
        <f t="shared" si="34"/>
        <v>0.80867346938775519</v>
      </c>
      <c r="H2199" s="5">
        <v>4.3424657534246576</v>
      </c>
      <c r="I2199" s="2">
        <v>73</v>
      </c>
      <c r="J2199" s="12">
        <f>I2199/Pondération!$I$136</f>
        <v>0.18622448979591838</v>
      </c>
    </row>
    <row r="2200" spans="1:10" x14ac:dyDescent="0.25">
      <c r="A2200" s="2" t="s">
        <v>77</v>
      </c>
      <c r="B2200" s="2">
        <v>2014</v>
      </c>
      <c r="C2200" s="2" t="s">
        <v>69</v>
      </c>
      <c r="D2200" s="2" t="s">
        <v>44</v>
      </c>
      <c r="E2200" s="2" t="s">
        <v>78</v>
      </c>
      <c r="F2200" s="2" t="s">
        <v>83</v>
      </c>
      <c r="G2200" s="2">
        <f t="shared" si="34"/>
        <v>0.54974489795918369</v>
      </c>
      <c r="H2200" s="5">
        <v>4.3099999999999996</v>
      </c>
      <c r="I2200" s="2">
        <v>50</v>
      </c>
      <c r="J2200" s="12">
        <f>I2200/Pondération!$I$136</f>
        <v>0.12755102040816327</v>
      </c>
    </row>
    <row r="2201" spans="1:10" x14ac:dyDescent="0.25">
      <c r="A2201" s="2" t="s">
        <v>77</v>
      </c>
      <c r="B2201" s="2">
        <v>2014</v>
      </c>
      <c r="C2201" s="2" t="s">
        <v>70</v>
      </c>
      <c r="D2201" s="2" t="s">
        <v>44</v>
      </c>
      <c r="E2201" s="2" t="s">
        <v>78</v>
      </c>
      <c r="F2201" s="2" t="s">
        <v>83</v>
      </c>
      <c r="G2201" s="2">
        <f t="shared" si="34"/>
        <v>0.3571428571428571</v>
      </c>
      <c r="H2201" s="5">
        <v>4.375</v>
      </c>
      <c r="I2201" s="2">
        <v>32</v>
      </c>
      <c r="J2201" s="12">
        <f>I2201/Pondération!$I$136</f>
        <v>8.1632653061224483E-2</v>
      </c>
    </row>
    <row r="2202" spans="1:10" x14ac:dyDescent="0.25">
      <c r="A2202" s="2" t="s">
        <v>77</v>
      </c>
      <c r="B2202" s="2">
        <v>2014</v>
      </c>
      <c r="C2202" s="2" t="s">
        <v>71</v>
      </c>
      <c r="D2202" s="2" t="s">
        <v>44</v>
      </c>
      <c r="E2202" s="2" t="s">
        <v>78</v>
      </c>
      <c r="F2202" s="2" t="s">
        <v>83</v>
      </c>
      <c r="G2202" s="2">
        <f t="shared" si="34"/>
        <v>0.32270408163265307</v>
      </c>
      <c r="H2202" s="5">
        <v>4.2166666666666668</v>
      </c>
      <c r="I2202" s="2">
        <v>30</v>
      </c>
      <c r="J2202" s="12">
        <f>I2202/Pondération!$I$136</f>
        <v>7.6530612244897961E-2</v>
      </c>
    </row>
    <row r="2203" spans="1:10" x14ac:dyDescent="0.25">
      <c r="A2203" s="2" t="s">
        <v>77</v>
      </c>
      <c r="B2203" s="2">
        <v>2014</v>
      </c>
      <c r="C2203" s="2" t="s">
        <v>72</v>
      </c>
      <c r="D2203" s="2" t="s">
        <v>44</v>
      </c>
      <c r="E2203" s="2" t="s">
        <v>78</v>
      </c>
      <c r="F2203" s="2" t="s">
        <v>83</v>
      </c>
      <c r="G2203" s="2">
        <f t="shared" si="34"/>
        <v>0.46938775510204089</v>
      </c>
      <c r="H2203" s="5">
        <v>4.4878048780487809</v>
      </c>
      <c r="I2203" s="2">
        <v>41</v>
      </c>
      <c r="J2203" s="12">
        <f>I2203/Pondération!$I$136</f>
        <v>0.10459183673469388</v>
      </c>
    </row>
    <row r="2204" spans="1:10" x14ac:dyDescent="0.25">
      <c r="A2204" s="2" t="s">
        <v>77</v>
      </c>
      <c r="B2204" s="2">
        <v>2015</v>
      </c>
      <c r="C2204" s="2" t="s">
        <v>73</v>
      </c>
      <c r="D2204" s="2" t="s">
        <v>44</v>
      </c>
      <c r="E2204" s="2" t="s">
        <v>78</v>
      </c>
      <c r="F2204" s="2" t="s">
        <v>83</v>
      </c>
      <c r="G2204" s="2">
        <f t="shared" si="34"/>
        <v>8.0177276390008059E-2</v>
      </c>
      <c r="H2204" s="5">
        <v>4.145833333333333</v>
      </c>
      <c r="I2204" s="2">
        <v>24</v>
      </c>
      <c r="J2204" s="12">
        <f>I2204/Pondération!$H$136</f>
        <v>1.9339242546333603E-2</v>
      </c>
    </row>
    <row r="2205" spans="1:10" x14ac:dyDescent="0.25">
      <c r="A2205" s="2" t="s">
        <v>77</v>
      </c>
      <c r="B2205" s="2">
        <v>2015</v>
      </c>
      <c r="C2205" s="2" t="s">
        <v>74</v>
      </c>
      <c r="D2205" s="2" t="s">
        <v>44</v>
      </c>
      <c r="E2205" s="2" t="s">
        <v>78</v>
      </c>
      <c r="F2205" s="2" t="s">
        <v>83</v>
      </c>
      <c r="G2205" s="2">
        <f t="shared" si="34"/>
        <v>0.1700241740531829</v>
      </c>
      <c r="H2205" s="5">
        <v>4.3061224489795915</v>
      </c>
      <c r="I2205" s="2">
        <v>49</v>
      </c>
      <c r="J2205" s="12">
        <f>I2205/Pondération!$H$136</f>
        <v>3.9484286865431102E-2</v>
      </c>
    </row>
    <row r="2206" spans="1:10" x14ac:dyDescent="0.25">
      <c r="A2206" s="2" t="s">
        <v>77</v>
      </c>
      <c r="B2206" s="2">
        <v>2015</v>
      </c>
      <c r="C2206" s="2" t="s">
        <v>75</v>
      </c>
      <c r="D2206" s="2" t="s">
        <v>44</v>
      </c>
      <c r="E2206" s="2" t="s">
        <v>78</v>
      </c>
      <c r="F2206" s="2" t="s">
        <v>83</v>
      </c>
      <c r="G2206" s="2">
        <f t="shared" si="34"/>
        <v>0.17365028203062044</v>
      </c>
      <c r="H2206" s="5">
        <v>4.5851063829787231</v>
      </c>
      <c r="I2206" s="2">
        <v>47</v>
      </c>
      <c r="J2206" s="12">
        <f>I2206/Pondération!$H$136</f>
        <v>3.7872683319903303E-2</v>
      </c>
    </row>
    <row r="2207" spans="1:10" x14ac:dyDescent="0.25">
      <c r="A2207" s="2" t="s">
        <v>77</v>
      </c>
      <c r="B2207" s="2">
        <v>2015</v>
      </c>
      <c r="C2207" s="2" t="s">
        <v>76</v>
      </c>
      <c r="D2207" s="2" t="s">
        <v>44</v>
      </c>
      <c r="E2207" s="2" t="s">
        <v>78</v>
      </c>
      <c r="F2207" s="2" t="s">
        <v>83</v>
      </c>
      <c r="G2207" s="2">
        <f t="shared" si="34"/>
        <v>0.21394037066881547</v>
      </c>
      <c r="H2207" s="5">
        <v>4.4249999999999998</v>
      </c>
      <c r="I2207" s="2">
        <v>60</v>
      </c>
      <c r="J2207" s="12">
        <f>I2207/Pondération!$H$136</f>
        <v>4.8348106365834004E-2</v>
      </c>
    </row>
    <row r="2208" spans="1:10" x14ac:dyDescent="0.25">
      <c r="A2208" s="2" t="s">
        <v>77</v>
      </c>
      <c r="B2208" s="2">
        <v>2015</v>
      </c>
      <c r="C2208" s="2" t="s">
        <v>7</v>
      </c>
      <c r="D2208" s="2" t="s">
        <v>44</v>
      </c>
      <c r="E2208" s="2" t="s">
        <v>78</v>
      </c>
      <c r="F2208" s="2" t="s">
        <v>83</v>
      </c>
      <c r="G2208" s="2">
        <f t="shared" si="34"/>
        <v>0.34206285253827562</v>
      </c>
      <c r="H2208" s="5">
        <v>4.4684210526315793</v>
      </c>
      <c r="I2208" s="2">
        <v>95</v>
      </c>
      <c r="J2208" s="12">
        <f>I2208/Pondération!$H$136</f>
        <v>7.6551168412570508E-2</v>
      </c>
    </row>
    <row r="2209" spans="1:10" x14ac:dyDescent="0.25">
      <c r="A2209" s="2" t="s">
        <v>77</v>
      </c>
      <c r="B2209" s="2">
        <v>2015</v>
      </c>
      <c r="C2209" s="2" t="s">
        <v>11</v>
      </c>
      <c r="D2209" s="2" t="s">
        <v>44</v>
      </c>
      <c r="E2209" s="2" t="s">
        <v>78</v>
      </c>
      <c r="F2209" s="2" t="s">
        <v>83</v>
      </c>
      <c r="G2209" s="2">
        <f t="shared" si="34"/>
        <v>0.3364222401289283</v>
      </c>
      <c r="H2209" s="5">
        <v>4.5380434782608692</v>
      </c>
      <c r="I2209" s="2">
        <v>92</v>
      </c>
      <c r="J2209" s="12">
        <f>I2209/Pondération!$H$136</f>
        <v>7.4133763094278812E-2</v>
      </c>
    </row>
    <row r="2210" spans="1:10" x14ac:dyDescent="0.25">
      <c r="A2210" s="2" t="s">
        <v>77</v>
      </c>
      <c r="B2210" s="2">
        <v>2015</v>
      </c>
      <c r="C2210" s="2" t="s">
        <v>12</v>
      </c>
      <c r="D2210" s="2" t="s">
        <v>44</v>
      </c>
      <c r="E2210" s="2" t="s">
        <v>78</v>
      </c>
      <c r="F2210" s="2" t="s">
        <v>83</v>
      </c>
      <c r="G2210" s="2">
        <f t="shared" si="34"/>
        <v>0.56244963738920228</v>
      </c>
      <c r="H2210" s="5">
        <v>4.4743589743589745</v>
      </c>
      <c r="I2210" s="2">
        <v>156</v>
      </c>
      <c r="J2210" s="12">
        <f>I2210/Pondération!$H$136</f>
        <v>0.12570507655116842</v>
      </c>
    </row>
    <row r="2211" spans="1:10" x14ac:dyDescent="0.25">
      <c r="A2211" s="2" t="s">
        <v>77</v>
      </c>
      <c r="B2211" s="2">
        <v>2015</v>
      </c>
      <c r="C2211" s="2" t="s">
        <v>13</v>
      </c>
      <c r="D2211" s="2" t="s">
        <v>44</v>
      </c>
      <c r="E2211" s="2" t="s">
        <v>78</v>
      </c>
      <c r="F2211" s="2" t="s">
        <v>83</v>
      </c>
      <c r="G2211" s="2">
        <f t="shared" si="34"/>
        <v>0.85858178887993564</v>
      </c>
      <c r="H2211" s="5">
        <v>4.4211618257261414</v>
      </c>
      <c r="I2211" s="2">
        <v>241</v>
      </c>
      <c r="J2211" s="12">
        <f>I2211/Pondération!$H$136</f>
        <v>0.19419822723609992</v>
      </c>
    </row>
    <row r="2212" spans="1:10" x14ac:dyDescent="0.25">
      <c r="A2212" s="2" t="s">
        <v>77</v>
      </c>
      <c r="B2212" s="2">
        <v>2015</v>
      </c>
      <c r="C2212" s="2" t="s">
        <v>14</v>
      </c>
      <c r="D2212" s="2" t="s">
        <v>44</v>
      </c>
      <c r="E2212" s="2" t="s">
        <v>78</v>
      </c>
      <c r="F2212" s="2" t="s">
        <v>83</v>
      </c>
      <c r="G2212" s="2">
        <f t="shared" si="34"/>
        <v>0.5664786462530218</v>
      </c>
      <c r="H2212" s="5">
        <v>4.4493670886075947</v>
      </c>
      <c r="I2212" s="2">
        <v>158</v>
      </c>
      <c r="J2212" s="12">
        <f>I2212/Pondération!$H$136</f>
        <v>0.12731668009669622</v>
      </c>
    </row>
    <row r="2213" spans="1:10" x14ac:dyDescent="0.25">
      <c r="A2213" s="2" t="s">
        <v>77</v>
      </c>
      <c r="B2213" s="2">
        <v>2015</v>
      </c>
      <c r="C2213" s="2" t="s">
        <v>15</v>
      </c>
      <c r="D2213" s="2" t="s">
        <v>44</v>
      </c>
      <c r="E2213" s="2" t="s">
        <v>78</v>
      </c>
      <c r="F2213" s="2" t="s">
        <v>83</v>
      </c>
      <c r="G2213" s="2">
        <f t="shared" si="34"/>
        <v>0.46978243352135379</v>
      </c>
      <c r="H2213" s="5">
        <v>4.4503816793893129</v>
      </c>
      <c r="I2213" s="2">
        <v>131</v>
      </c>
      <c r="J2213" s="12">
        <f>I2213/Pondération!$H$136</f>
        <v>0.10556003223207092</v>
      </c>
    </row>
    <row r="2214" spans="1:10" x14ac:dyDescent="0.25">
      <c r="A2214" s="2" t="s">
        <v>77</v>
      </c>
      <c r="B2214" s="2">
        <v>2015</v>
      </c>
      <c r="C2214" s="2" t="s">
        <v>16</v>
      </c>
      <c r="D2214" s="2" t="s">
        <v>44</v>
      </c>
      <c r="E2214" s="2" t="s">
        <v>78</v>
      </c>
      <c r="F2214" s="2" t="s">
        <v>83</v>
      </c>
      <c r="G2214" s="2">
        <f t="shared" si="34"/>
        <v>0.27236099919419826</v>
      </c>
      <c r="H2214" s="5">
        <v>4.5675675675675675</v>
      </c>
      <c r="I2214" s="2">
        <v>74</v>
      </c>
      <c r="J2214" s="12">
        <f>I2214/Pondération!$H$136</f>
        <v>5.9629331184528608E-2</v>
      </c>
    </row>
    <row r="2215" spans="1:10" x14ac:dyDescent="0.25">
      <c r="A2215" s="2" t="s">
        <v>77</v>
      </c>
      <c r="B2215" s="2">
        <v>2015</v>
      </c>
      <c r="C2215" s="2" t="s">
        <v>17</v>
      </c>
      <c r="D2215" s="2" t="s">
        <v>44</v>
      </c>
      <c r="E2215" s="2" t="s">
        <v>78</v>
      </c>
      <c r="F2215" s="2" t="s">
        <v>83</v>
      </c>
      <c r="G2215" s="2">
        <f t="shared" si="34"/>
        <v>0.42022562449637396</v>
      </c>
      <c r="H2215" s="5">
        <v>4.5745614035087723</v>
      </c>
      <c r="I2215" s="2">
        <v>114</v>
      </c>
      <c r="J2215" s="12">
        <f>I2215/Pondération!$H$136</f>
        <v>9.1861402095084616E-2</v>
      </c>
    </row>
    <row r="2216" spans="1:10" x14ac:dyDescent="0.25">
      <c r="A2216" s="2" t="s">
        <v>77</v>
      </c>
      <c r="B2216" s="2">
        <v>2016</v>
      </c>
      <c r="C2216" s="2" t="s">
        <v>18</v>
      </c>
      <c r="D2216" s="2" t="s">
        <v>44</v>
      </c>
      <c r="E2216" s="2" t="s">
        <v>78</v>
      </c>
      <c r="F2216" s="2" t="s">
        <v>83</v>
      </c>
      <c r="G2216" s="2">
        <f t="shared" si="34"/>
        <v>0.14400643604183427</v>
      </c>
      <c r="H2216" s="5">
        <v>4.5316455696202533</v>
      </c>
      <c r="I2216" s="2">
        <v>79</v>
      </c>
      <c r="J2216" s="12">
        <f>I2216/Pondération!$G$136</f>
        <v>3.1777956556717619E-2</v>
      </c>
    </row>
    <row r="2217" spans="1:10" x14ac:dyDescent="0.25">
      <c r="A2217" s="2" t="s">
        <v>77</v>
      </c>
      <c r="B2217" s="2">
        <v>2016</v>
      </c>
      <c r="C2217" s="2" t="s">
        <v>19</v>
      </c>
      <c r="D2217" s="2" t="s">
        <v>44</v>
      </c>
      <c r="E2217" s="2" t="s">
        <v>78</v>
      </c>
      <c r="F2217" s="2" t="s">
        <v>83</v>
      </c>
      <c r="G2217" s="2">
        <f t="shared" si="34"/>
        <v>0.17538213998390989</v>
      </c>
      <c r="H2217" s="5">
        <v>4.4489795918367347</v>
      </c>
      <c r="I2217" s="2">
        <v>98</v>
      </c>
      <c r="J2217" s="12">
        <f>I2217/Pondération!$G$136</f>
        <v>3.9420756234915526E-2</v>
      </c>
    </row>
    <row r="2218" spans="1:10" x14ac:dyDescent="0.25">
      <c r="A2218" s="2" t="s">
        <v>77</v>
      </c>
      <c r="B2218" s="2">
        <v>2016</v>
      </c>
      <c r="C2218" s="2" t="s">
        <v>20</v>
      </c>
      <c r="D2218" s="2" t="s">
        <v>44</v>
      </c>
      <c r="E2218" s="2" t="s">
        <v>78</v>
      </c>
      <c r="F2218" s="2" t="s">
        <v>83</v>
      </c>
      <c r="G2218" s="2">
        <f t="shared" si="34"/>
        <v>0.25321802091713591</v>
      </c>
      <c r="H2218" s="5">
        <v>4.528776978417266</v>
      </c>
      <c r="I2218" s="2">
        <v>139</v>
      </c>
      <c r="J2218" s="12">
        <f>I2218/Pondération!$G$136</f>
        <v>5.5913113435237326E-2</v>
      </c>
    </row>
    <row r="2219" spans="1:10" x14ac:dyDescent="0.25">
      <c r="A2219" s="2" t="s">
        <v>77</v>
      </c>
      <c r="B2219" s="2">
        <v>2016</v>
      </c>
      <c r="C2219" s="2" t="s">
        <v>21</v>
      </c>
      <c r="D2219" s="2" t="s">
        <v>44</v>
      </c>
      <c r="E2219" s="2" t="s">
        <v>78</v>
      </c>
      <c r="F2219" s="2" t="s">
        <v>83</v>
      </c>
      <c r="G2219" s="2">
        <f t="shared" si="34"/>
        <v>0.30370072405470633</v>
      </c>
      <c r="H2219" s="5">
        <v>4.4411764705882355</v>
      </c>
      <c r="I2219" s="2">
        <v>170</v>
      </c>
      <c r="J2219" s="12">
        <f>I2219/Pondération!$G$136</f>
        <v>6.8382944489139175E-2</v>
      </c>
    </row>
    <row r="2220" spans="1:10" x14ac:dyDescent="0.25">
      <c r="A2220" s="2" t="s">
        <v>77</v>
      </c>
      <c r="B2220" s="2">
        <v>2016</v>
      </c>
      <c r="C2220" s="2" t="s">
        <v>22</v>
      </c>
      <c r="D2220" s="2" t="s">
        <v>44</v>
      </c>
      <c r="E2220" s="2" t="s">
        <v>78</v>
      </c>
      <c r="F2220" s="2" t="s">
        <v>83</v>
      </c>
      <c r="G2220" s="2">
        <f t="shared" si="34"/>
        <v>0.3543845534995978</v>
      </c>
      <c r="H2220" s="5">
        <v>4.4271356783919602</v>
      </c>
      <c r="I2220" s="2">
        <v>199</v>
      </c>
      <c r="J2220" s="12">
        <f>I2220/Pondération!$G$136</f>
        <v>8.0048270313757039E-2</v>
      </c>
    </row>
    <row r="2221" spans="1:10" x14ac:dyDescent="0.25">
      <c r="A2221" s="2" t="s">
        <v>77</v>
      </c>
      <c r="B2221" s="2">
        <v>2016</v>
      </c>
      <c r="C2221" s="2" t="s">
        <v>23</v>
      </c>
      <c r="D2221" s="2" t="s">
        <v>44</v>
      </c>
      <c r="E2221" s="2" t="s">
        <v>78</v>
      </c>
      <c r="F2221" s="2" t="s">
        <v>83</v>
      </c>
      <c r="G2221" s="2">
        <f t="shared" si="34"/>
        <v>0.35217216411906677</v>
      </c>
      <c r="H2221" s="5">
        <v>4.4897435897435898</v>
      </c>
      <c r="I2221" s="2">
        <v>195</v>
      </c>
      <c r="J2221" s="12">
        <f>I2221/Pondération!$G$136</f>
        <v>7.8439259855189056E-2</v>
      </c>
    </row>
    <row r="2222" spans="1:10" x14ac:dyDescent="0.25">
      <c r="A2222" s="2" t="s">
        <v>77</v>
      </c>
      <c r="B2222" s="2">
        <v>2016</v>
      </c>
      <c r="C2222" s="2" t="s">
        <v>24</v>
      </c>
      <c r="D2222" s="2" t="s">
        <v>44</v>
      </c>
      <c r="E2222" s="2" t="s">
        <v>78</v>
      </c>
      <c r="F2222" s="2" t="s">
        <v>83</v>
      </c>
      <c r="G2222" s="2">
        <f t="shared" si="34"/>
        <v>0.585277554304103</v>
      </c>
      <c r="H2222" s="5">
        <v>4.4495412844036695</v>
      </c>
      <c r="I2222" s="2">
        <v>327</v>
      </c>
      <c r="J2222" s="12">
        <f>I2222/Pondération!$G$136</f>
        <v>0.13153660498793243</v>
      </c>
    </row>
    <row r="2223" spans="1:10" x14ac:dyDescent="0.25">
      <c r="A2223" s="2" t="s">
        <v>77</v>
      </c>
      <c r="B2223" s="2">
        <v>2016</v>
      </c>
      <c r="C2223" s="2" t="s">
        <v>25</v>
      </c>
      <c r="D2223" s="2" t="s">
        <v>44</v>
      </c>
      <c r="E2223" s="2" t="s">
        <v>78</v>
      </c>
      <c r="F2223" s="2" t="s">
        <v>83</v>
      </c>
      <c r="G2223" s="2">
        <f t="shared" si="34"/>
        <v>0.8726870474658085</v>
      </c>
      <c r="H2223" s="5">
        <v>4.4366053169734148</v>
      </c>
      <c r="I2223" s="2">
        <v>489</v>
      </c>
      <c r="J2223" s="12">
        <f>I2223/Pondération!$G$136</f>
        <v>0.19670152855993564</v>
      </c>
    </row>
    <row r="2224" spans="1:10" x14ac:dyDescent="0.25">
      <c r="A2224" s="2" t="s">
        <v>77</v>
      </c>
      <c r="B2224" s="2">
        <v>2016</v>
      </c>
      <c r="C2224" s="2" t="s">
        <v>26</v>
      </c>
      <c r="D2224" s="2" t="s">
        <v>44</v>
      </c>
      <c r="E2224" s="2" t="s">
        <v>78</v>
      </c>
      <c r="F2224" s="2" t="s">
        <v>83</v>
      </c>
      <c r="G2224" s="2">
        <f t="shared" si="34"/>
        <v>0.49839098954143196</v>
      </c>
      <c r="H2224" s="5">
        <v>4.440860215053763</v>
      </c>
      <c r="I2224" s="2">
        <v>279</v>
      </c>
      <c r="J2224" s="12">
        <f>I2224/Pondération!$G$136</f>
        <v>0.11222847948511665</v>
      </c>
    </row>
    <row r="2225" spans="1:10" x14ac:dyDescent="0.25">
      <c r="A2225" s="2" t="s">
        <v>77</v>
      </c>
      <c r="B2225" s="2">
        <v>2016</v>
      </c>
      <c r="C2225" s="2" t="s">
        <v>27</v>
      </c>
      <c r="D2225" s="2" t="s">
        <v>44</v>
      </c>
      <c r="E2225" s="2" t="s">
        <v>78</v>
      </c>
      <c r="F2225" s="2" t="s">
        <v>83</v>
      </c>
      <c r="G2225" s="2">
        <f t="shared" si="34"/>
        <v>0.36464199517296864</v>
      </c>
      <c r="H2225" s="5">
        <v>4.5099502487562191</v>
      </c>
      <c r="I2225" s="2">
        <v>201</v>
      </c>
      <c r="J2225" s="12">
        <f>I2225/Pondération!$G$136</f>
        <v>8.0852775543041031E-2</v>
      </c>
    </row>
    <row r="2226" spans="1:10" x14ac:dyDescent="0.25">
      <c r="A2226" s="2" t="s">
        <v>77</v>
      </c>
      <c r="B2226" s="2">
        <v>2016</v>
      </c>
      <c r="C2226" s="2" t="s">
        <v>28</v>
      </c>
      <c r="D2226" s="2" t="s">
        <v>44</v>
      </c>
      <c r="E2226" s="2" t="s">
        <v>78</v>
      </c>
      <c r="F2226" s="2" t="s">
        <v>83</v>
      </c>
      <c r="G2226" s="2">
        <f t="shared" si="34"/>
        <v>0.30088495575221236</v>
      </c>
      <c r="H2226" s="5">
        <v>4.4790419161676649</v>
      </c>
      <c r="I2226" s="2">
        <v>167</v>
      </c>
      <c r="J2226" s="12">
        <f>I2226/Pondération!$G$136</f>
        <v>6.7176186645213187E-2</v>
      </c>
    </row>
    <row r="2227" spans="1:10" x14ac:dyDescent="0.25">
      <c r="A2227" s="2" t="s">
        <v>77</v>
      </c>
      <c r="B2227" s="2">
        <v>2016</v>
      </c>
      <c r="C2227" s="2" t="s">
        <v>29</v>
      </c>
      <c r="D2227" s="2" t="s">
        <v>44</v>
      </c>
      <c r="E2227" s="2" t="s">
        <v>78</v>
      </c>
      <c r="F2227" s="2" t="s">
        <v>83</v>
      </c>
      <c r="G2227" s="2">
        <f t="shared" si="34"/>
        <v>0.26367658889782786</v>
      </c>
      <c r="H2227" s="5">
        <v>4.5839160839160842</v>
      </c>
      <c r="I2227" s="2">
        <v>143</v>
      </c>
      <c r="J2227" s="12">
        <f>I2227/Pondération!$G$136</f>
        <v>5.7522123893805309E-2</v>
      </c>
    </row>
    <row r="2228" spans="1:10" x14ac:dyDescent="0.25">
      <c r="A2228" s="2" t="s">
        <v>77</v>
      </c>
      <c r="B2228" s="2">
        <v>2017</v>
      </c>
      <c r="C2228" s="2" t="s">
        <v>30</v>
      </c>
      <c r="D2228" s="2" t="s">
        <v>44</v>
      </c>
      <c r="E2228" s="2" t="s">
        <v>78</v>
      </c>
      <c r="F2228" s="2" t="s">
        <v>83</v>
      </c>
      <c r="G2228" s="2">
        <f t="shared" si="34"/>
        <v>0.60233592880978859</v>
      </c>
      <c r="H2228" s="5">
        <v>4.4752066115702478</v>
      </c>
      <c r="I2228" s="2">
        <v>121</v>
      </c>
      <c r="J2228" s="12">
        <f>I2228/Pondération!$F$136</f>
        <v>0.13459399332591768</v>
      </c>
    </row>
    <row r="2229" spans="1:10" x14ac:dyDescent="0.25">
      <c r="A2229" s="2" t="s">
        <v>77</v>
      </c>
      <c r="B2229" s="2">
        <v>2017</v>
      </c>
      <c r="C2229" s="2" t="s">
        <v>31</v>
      </c>
      <c r="D2229" s="2" t="s">
        <v>44</v>
      </c>
      <c r="E2229" s="2" t="s">
        <v>78</v>
      </c>
      <c r="F2229" s="2" t="s">
        <v>83</v>
      </c>
      <c r="G2229" s="2">
        <f t="shared" si="34"/>
        <v>0.73971078976640714</v>
      </c>
      <c r="H2229" s="5">
        <v>4.493243243243243</v>
      </c>
      <c r="I2229" s="2">
        <v>148</v>
      </c>
      <c r="J2229" s="12">
        <f>I2229/Pondération!$F$136</f>
        <v>0.1646273637374861</v>
      </c>
    </row>
    <row r="2230" spans="1:10" x14ac:dyDescent="0.25">
      <c r="A2230" s="2" t="s">
        <v>77</v>
      </c>
      <c r="B2230" s="2">
        <v>2017</v>
      </c>
      <c r="C2230" s="2" t="s">
        <v>32</v>
      </c>
      <c r="D2230" s="2" t="s">
        <v>44</v>
      </c>
      <c r="E2230" s="2" t="s">
        <v>78</v>
      </c>
      <c r="F2230" s="2" t="s">
        <v>83</v>
      </c>
      <c r="G2230" s="2">
        <f t="shared" si="34"/>
        <v>0.65684093437152391</v>
      </c>
      <c r="H2230" s="5">
        <v>4.4734848484848486</v>
      </c>
      <c r="I2230" s="2">
        <v>132</v>
      </c>
      <c r="J2230" s="12">
        <f>I2230/Pondération!$F$136</f>
        <v>0.14682981090100111</v>
      </c>
    </row>
    <row r="2231" spans="1:10" x14ac:dyDescent="0.25">
      <c r="A2231" s="2" t="s">
        <v>77</v>
      </c>
      <c r="B2231" s="2">
        <v>2017</v>
      </c>
      <c r="C2231" s="2" t="s">
        <v>33</v>
      </c>
      <c r="D2231" s="2" t="s">
        <v>44</v>
      </c>
      <c r="E2231" s="2" t="s">
        <v>78</v>
      </c>
      <c r="F2231" s="2" t="s">
        <v>83</v>
      </c>
      <c r="G2231" s="2">
        <f t="shared" si="34"/>
        <v>1.0639599555061179</v>
      </c>
      <c r="H2231" s="5">
        <v>4.4488372093023258</v>
      </c>
      <c r="I2231" s="2">
        <v>215</v>
      </c>
      <c r="J2231" s="12">
        <f>I2231/Pondération!$F$136</f>
        <v>0.23915461624026696</v>
      </c>
    </row>
    <row r="2232" spans="1:10" x14ac:dyDescent="0.25">
      <c r="A2232" s="2" t="s">
        <v>77</v>
      </c>
      <c r="B2232" s="2">
        <v>2017</v>
      </c>
      <c r="C2232" s="2" t="s">
        <v>34</v>
      </c>
      <c r="D2232" s="2" t="s">
        <v>44</v>
      </c>
      <c r="E2232" s="2" t="s">
        <v>78</v>
      </c>
      <c r="F2232" s="2" t="s">
        <v>83</v>
      </c>
      <c r="G2232" s="2">
        <f t="shared" si="34"/>
        <v>0.84037819799777536</v>
      </c>
      <c r="H2232" s="5">
        <v>4.4181286549707606</v>
      </c>
      <c r="I2232" s="2">
        <v>171</v>
      </c>
      <c r="J2232" s="12">
        <f>I2232/Pondération!$F$136</f>
        <v>0.19021134593993325</v>
      </c>
    </row>
    <row r="2233" spans="1:10" x14ac:dyDescent="0.25">
      <c r="A2233" s="2" t="s">
        <v>77</v>
      </c>
      <c r="B2233" s="2">
        <v>2017</v>
      </c>
      <c r="C2233" s="2" t="s">
        <v>80</v>
      </c>
      <c r="D2233" s="2" t="s">
        <v>44</v>
      </c>
      <c r="E2233" s="2" t="s">
        <v>78</v>
      </c>
      <c r="F2233" s="2" t="s">
        <v>83</v>
      </c>
      <c r="G2233" s="2">
        <f t="shared" si="34"/>
        <v>0.55172413793103448</v>
      </c>
      <c r="H2233" s="5">
        <v>4.4285714285714288</v>
      </c>
      <c r="I2233" s="2">
        <v>112</v>
      </c>
      <c r="J2233" s="12">
        <f>I2233/Pondération!$F$136</f>
        <v>0.12458286985539488</v>
      </c>
    </row>
    <row r="2234" spans="1:10" x14ac:dyDescent="0.25">
      <c r="A2234" s="2" t="s">
        <v>77</v>
      </c>
      <c r="B2234" s="2">
        <v>2013</v>
      </c>
      <c r="C2234" s="2" t="s">
        <v>49</v>
      </c>
      <c r="D2234" s="2" t="s">
        <v>44</v>
      </c>
      <c r="E2234" s="2" t="s">
        <v>78</v>
      </c>
      <c r="F2234" s="2" t="s">
        <v>84</v>
      </c>
      <c r="G2234" s="2">
        <f t="shared" si="34"/>
        <v>5.5555555555555552E-2</v>
      </c>
      <c r="H2234" s="5">
        <v>4.5</v>
      </c>
      <c r="I2234" s="2">
        <v>1</v>
      </c>
      <c r="J2234" s="12">
        <f>I2234/Pondération!$J$137</f>
        <v>1.2345679012345678E-2</v>
      </c>
    </row>
    <row r="2235" spans="1:10" x14ac:dyDescent="0.25">
      <c r="A2235" s="2" t="s">
        <v>77</v>
      </c>
      <c r="B2235" s="2">
        <v>2013</v>
      </c>
      <c r="C2235" s="2" t="s">
        <v>50</v>
      </c>
      <c r="D2235" s="2" t="s">
        <v>44</v>
      </c>
      <c r="E2235" s="2" t="s">
        <v>78</v>
      </c>
      <c r="F2235" s="2" t="s">
        <v>84</v>
      </c>
      <c r="G2235" s="2">
        <f t="shared" si="34"/>
        <v>0.17901234567901234</v>
      </c>
      <c r="H2235" s="5">
        <v>4.833333333333333</v>
      </c>
      <c r="I2235" s="2">
        <v>3</v>
      </c>
      <c r="J2235" s="12">
        <f>I2235/Pondération!$J$137</f>
        <v>3.7037037037037035E-2</v>
      </c>
    </row>
    <row r="2236" spans="1:10" x14ac:dyDescent="0.25">
      <c r="A2236" s="2" t="s">
        <v>77</v>
      </c>
      <c r="B2236" s="2">
        <v>2013</v>
      </c>
      <c r="C2236" s="2" t="s">
        <v>51</v>
      </c>
      <c r="D2236" s="2" t="s">
        <v>44</v>
      </c>
      <c r="E2236" s="2" t="s">
        <v>78</v>
      </c>
      <c r="F2236" s="2" t="s">
        <v>84</v>
      </c>
      <c r="G2236" s="2">
        <f t="shared" si="34"/>
        <v>5.5555555555555552E-2</v>
      </c>
      <c r="H2236" s="5">
        <v>4.5</v>
      </c>
      <c r="I2236" s="2">
        <v>1</v>
      </c>
      <c r="J2236" s="12">
        <f>I2236/Pondération!$J$137</f>
        <v>1.2345679012345678E-2</v>
      </c>
    </row>
    <row r="2237" spans="1:10" x14ac:dyDescent="0.25">
      <c r="A2237" s="2" t="s">
        <v>77</v>
      </c>
      <c r="B2237" s="2">
        <v>2013</v>
      </c>
      <c r="C2237" s="2" t="s">
        <v>52</v>
      </c>
      <c r="D2237" s="2" t="s">
        <v>44</v>
      </c>
      <c r="E2237" s="2" t="s">
        <v>78</v>
      </c>
      <c r="F2237" s="2" t="s">
        <v>84</v>
      </c>
      <c r="G2237" s="2">
        <f t="shared" si="34"/>
        <v>0.10493827160493827</v>
      </c>
      <c r="H2237" s="5">
        <v>4.25</v>
      </c>
      <c r="I2237" s="2">
        <v>2</v>
      </c>
      <c r="J2237" s="12">
        <f>I2237/Pondération!$J$137</f>
        <v>2.4691358024691357E-2</v>
      </c>
    </row>
    <row r="2238" spans="1:10" x14ac:dyDescent="0.25">
      <c r="A2238" s="2" t="s">
        <v>77</v>
      </c>
      <c r="B2238" s="2">
        <v>2013</v>
      </c>
      <c r="C2238" s="2" t="s">
        <v>53</v>
      </c>
      <c r="D2238" s="2" t="s">
        <v>44</v>
      </c>
      <c r="E2238" s="2" t="s">
        <v>78</v>
      </c>
      <c r="F2238" s="2" t="s">
        <v>84</v>
      </c>
      <c r="G2238" s="2">
        <f t="shared" si="34"/>
        <v>0.20987654320987653</v>
      </c>
      <c r="H2238" s="5">
        <v>4.25</v>
      </c>
      <c r="I2238" s="2">
        <v>4</v>
      </c>
      <c r="J2238" s="12">
        <f>I2238/Pondération!$J$137</f>
        <v>4.9382716049382713E-2</v>
      </c>
    </row>
    <row r="2239" spans="1:10" x14ac:dyDescent="0.25">
      <c r="A2239" s="2" t="s">
        <v>77</v>
      </c>
      <c r="B2239" s="2">
        <v>2013</v>
      </c>
      <c r="C2239" s="2" t="s">
        <v>54</v>
      </c>
      <c r="D2239" s="2" t="s">
        <v>44</v>
      </c>
      <c r="E2239" s="2" t="s">
        <v>78</v>
      </c>
      <c r="F2239" s="2" t="s">
        <v>84</v>
      </c>
      <c r="G2239" s="2">
        <f t="shared" si="34"/>
        <v>0.51851851851851849</v>
      </c>
      <c r="H2239" s="5">
        <v>4.2</v>
      </c>
      <c r="I2239" s="2">
        <v>10</v>
      </c>
      <c r="J2239" s="12">
        <f>I2239/Pondération!$J$137</f>
        <v>0.12345679012345678</v>
      </c>
    </row>
    <row r="2240" spans="1:10" x14ac:dyDescent="0.25">
      <c r="A2240" s="2" t="s">
        <v>77</v>
      </c>
      <c r="B2240" s="2">
        <v>2013</v>
      </c>
      <c r="C2240" s="2" t="s">
        <v>55</v>
      </c>
      <c r="D2240" s="2" t="s">
        <v>44</v>
      </c>
      <c r="E2240" s="2" t="s">
        <v>78</v>
      </c>
      <c r="F2240" s="2" t="s">
        <v>84</v>
      </c>
      <c r="G2240" s="2">
        <f t="shared" si="34"/>
        <v>0.4135802469135802</v>
      </c>
      <c r="H2240" s="5">
        <v>4.1875</v>
      </c>
      <c r="I2240" s="2">
        <v>8</v>
      </c>
      <c r="J2240" s="12">
        <f>I2240/Pondération!$J$137</f>
        <v>9.8765432098765427E-2</v>
      </c>
    </row>
    <row r="2241" spans="1:10" x14ac:dyDescent="0.25">
      <c r="A2241" s="2" t="s">
        <v>77</v>
      </c>
      <c r="B2241" s="2">
        <v>2013</v>
      </c>
      <c r="C2241" s="2" t="s">
        <v>56</v>
      </c>
      <c r="D2241" s="2" t="s">
        <v>44</v>
      </c>
      <c r="E2241" s="2" t="s">
        <v>78</v>
      </c>
      <c r="F2241" s="2" t="s">
        <v>84</v>
      </c>
      <c r="G2241" s="2">
        <f t="shared" si="34"/>
        <v>1.2530864197530862</v>
      </c>
      <c r="H2241" s="5">
        <v>4.0599999999999996</v>
      </c>
      <c r="I2241" s="2">
        <v>25</v>
      </c>
      <c r="J2241" s="12">
        <f>I2241/Pondération!$J$137</f>
        <v>0.30864197530864196</v>
      </c>
    </row>
    <row r="2242" spans="1:10" x14ac:dyDescent="0.25">
      <c r="A2242" s="2" t="s">
        <v>77</v>
      </c>
      <c r="B2242" s="2">
        <v>2013</v>
      </c>
      <c r="C2242" s="2" t="s">
        <v>57</v>
      </c>
      <c r="D2242" s="2" t="s">
        <v>44</v>
      </c>
      <c r="E2242" s="2" t="s">
        <v>78</v>
      </c>
      <c r="F2242" s="2" t="s">
        <v>84</v>
      </c>
      <c r="G2242" s="2">
        <f t="shared" ref="G2242:G2305" si="35">H2242*J2242</f>
        <v>0.42592592592592593</v>
      </c>
      <c r="H2242" s="5">
        <v>4.3125</v>
      </c>
      <c r="I2242" s="2">
        <v>8</v>
      </c>
      <c r="J2242" s="12">
        <f>I2242/Pondération!$J$137</f>
        <v>9.8765432098765427E-2</v>
      </c>
    </row>
    <row r="2243" spans="1:10" x14ac:dyDescent="0.25">
      <c r="A2243" s="2" t="s">
        <v>77</v>
      </c>
      <c r="B2243" s="2">
        <v>2013</v>
      </c>
      <c r="C2243" s="2" t="s">
        <v>58</v>
      </c>
      <c r="D2243" s="2" t="s">
        <v>44</v>
      </c>
      <c r="E2243" s="2" t="s">
        <v>78</v>
      </c>
      <c r="F2243" s="2" t="s">
        <v>84</v>
      </c>
      <c r="G2243" s="2">
        <f t="shared" si="35"/>
        <v>0.44444444444444442</v>
      </c>
      <c r="H2243" s="5">
        <v>4.5</v>
      </c>
      <c r="I2243" s="2">
        <v>8</v>
      </c>
      <c r="J2243" s="12">
        <f>I2243/Pondération!$J$137</f>
        <v>9.8765432098765427E-2</v>
      </c>
    </row>
    <row r="2244" spans="1:10" x14ac:dyDescent="0.25">
      <c r="A2244" s="2" t="s">
        <v>77</v>
      </c>
      <c r="B2244" s="2">
        <v>2013</v>
      </c>
      <c r="C2244" s="2" t="s">
        <v>59</v>
      </c>
      <c r="D2244" s="2" t="s">
        <v>44</v>
      </c>
      <c r="E2244" s="2" t="s">
        <v>78</v>
      </c>
      <c r="F2244" s="2" t="s">
        <v>84</v>
      </c>
      <c r="G2244" s="2">
        <f t="shared" si="35"/>
        <v>0.29012345679012341</v>
      </c>
      <c r="H2244" s="5">
        <v>3.9166666666666665</v>
      </c>
      <c r="I2244" s="2">
        <v>6</v>
      </c>
      <c r="J2244" s="12">
        <f>I2244/Pondération!$J$137</f>
        <v>7.407407407407407E-2</v>
      </c>
    </row>
    <row r="2245" spans="1:10" x14ac:dyDescent="0.25">
      <c r="A2245" s="2" t="s">
        <v>77</v>
      </c>
      <c r="B2245" s="2">
        <v>2013</v>
      </c>
      <c r="C2245" s="2" t="s">
        <v>60</v>
      </c>
      <c r="D2245" s="2" t="s">
        <v>44</v>
      </c>
      <c r="E2245" s="2" t="s">
        <v>78</v>
      </c>
      <c r="F2245" s="2" t="s">
        <v>84</v>
      </c>
      <c r="G2245" s="2">
        <f t="shared" si="35"/>
        <v>0.26543209876543206</v>
      </c>
      <c r="H2245" s="5">
        <v>4.3</v>
      </c>
      <c r="I2245" s="2">
        <v>5</v>
      </c>
      <c r="J2245" s="12">
        <f>I2245/Pondération!$J$137</f>
        <v>6.1728395061728392E-2</v>
      </c>
    </row>
    <row r="2246" spans="1:10" x14ac:dyDescent="0.25">
      <c r="A2246" s="2" t="s">
        <v>77</v>
      </c>
      <c r="B2246" s="2">
        <v>2014</v>
      </c>
      <c r="C2246" s="2" t="s">
        <v>61</v>
      </c>
      <c r="D2246" s="2" t="s">
        <v>44</v>
      </c>
      <c r="E2246" s="2" t="s">
        <v>78</v>
      </c>
      <c r="F2246" s="2" t="s">
        <v>84</v>
      </c>
      <c r="G2246" s="2">
        <f t="shared" si="35"/>
        <v>9.1911764705882359E-2</v>
      </c>
      <c r="H2246" s="5">
        <v>4.166666666666667</v>
      </c>
      <c r="I2246" s="2">
        <v>6</v>
      </c>
      <c r="J2246" s="12">
        <f>I2246/Pondération!$I$137</f>
        <v>2.2058823529411766E-2</v>
      </c>
    </row>
    <row r="2247" spans="1:10" x14ac:dyDescent="0.25">
      <c r="A2247" s="2" t="s">
        <v>77</v>
      </c>
      <c r="B2247" s="2">
        <v>2014</v>
      </c>
      <c r="C2247" s="2" t="s">
        <v>62</v>
      </c>
      <c r="D2247" s="2" t="s">
        <v>44</v>
      </c>
      <c r="E2247" s="2" t="s">
        <v>78</v>
      </c>
      <c r="F2247" s="2" t="s">
        <v>84</v>
      </c>
      <c r="G2247" s="2">
        <f t="shared" si="35"/>
        <v>6.0661764705882353E-2</v>
      </c>
      <c r="H2247" s="5">
        <v>4.125</v>
      </c>
      <c r="I2247" s="2">
        <v>4</v>
      </c>
      <c r="J2247" s="12">
        <f>I2247/Pondération!$I$137</f>
        <v>1.4705882352941176E-2</v>
      </c>
    </row>
    <row r="2248" spans="1:10" x14ac:dyDescent="0.25">
      <c r="A2248" s="2" t="s">
        <v>77</v>
      </c>
      <c r="B2248" s="2">
        <v>2014</v>
      </c>
      <c r="C2248" s="2" t="s">
        <v>63</v>
      </c>
      <c r="D2248" s="2" t="s">
        <v>44</v>
      </c>
      <c r="E2248" s="2" t="s">
        <v>78</v>
      </c>
      <c r="F2248" s="2" t="s">
        <v>84</v>
      </c>
      <c r="G2248" s="2">
        <f t="shared" si="35"/>
        <v>0.29779411764705888</v>
      </c>
      <c r="H2248" s="5">
        <v>4.2631578947368425</v>
      </c>
      <c r="I2248" s="2">
        <v>19</v>
      </c>
      <c r="J2248" s="12">
        <f>I2248/Pondération!$I$137</f>
        <v>6.985294117647059E-2</v>
      </c>
    </row>
    <row r="2249" spans="1:10" x14ac:dyDescent="0.25">
      <c r="A2249" s="2" t="s">
        <v>77</v>
      </c>
      <c r="B2249" s="2">
        <v>2014</v>
      </c>
      <c r="C2249" s="2" t="s">
        <v>64</v>
      </c>
      <c r="D2249" s="2" t="s">
        <v>44</v>
      </c>
      <c r="E2249" s="2" t="s">
        <v>78</v>
      </c>
      <c r="F2249" s="2" t="s">
        <v>84</v>
      </c>
      <c r="G2249" s="2">
        <f t="shared" si="35"/>
        <v>0.24264705882352944</v>
      </c>
      <c r="H2249" s="5">
        <v>4.4000000000000004</v>
      </c>
      <c r="I2249" s="2">
        <v>15</v>
      </c>
      <c r="J2249" s="12">
        <f>I2249/Pondération!$I$137</f>
        <v>5.514705882352941E-2</v>
      </c>
    </row>
    <row r="2250" spans="1:10" x14ac:dyDescent="0.25">
      <c r="A2250" s="2" t="s">
        <v>77</v>
      </c>
      <c r="B2250" s="2">
        <v>2014</v>
      </c>
      <c r="C2250" s="2" t="s">
        <v>65</v>
      </c>
      <c r="D2250" s="2" t="s">
        <v>44</v>
      </c>
      <c r="E2250" s="2" t="s">
        <v>78</v>
      </c>
      <c r="F2250" s="2" t="s">
        <v>84</v>
      </c>
      <c r="G2250" s="2">
        <f t="shared" si="35"/>
        <v>0.25183823529411764</v>
      </c>
      <c r="H2250" s="5">
        <v>4.28125</v>
      </c>
      <c r="I2250" s="2">
        <v>16</v>
      </c>
      <c r="J2250" s="12">
        <f>I2250/Pondération!$I$137</f>
        <v>5.8823529411764705E-2</v>
      </c>
    </row>
    <row r="2251" spans="1:10" x14ac:dyDescent="0.25">
      <c r="A2251" s="2" t="s">
        <v>77</v>
      </c>
      <c r="B2251" s="2">
        <v>2014</v>
      </c>
      <c r="C2251" s="2" t="s">
        <v>66</v>
      </c>
      <c r="D2251" s="2" t="s">
        <v>44</v>
      </c>
      <c r="E2251" s="2" t="s">
        <v>78</v>
      </c>
      <c r="F2251" s="2" t="s">
        <v>84</v>
      </c>
      <c r="G2251" s="2">
        <f t="shared" si="35"/>
        <v>0.29779411764705888</v>
      </c>
      <c r="H2251" s="5">
        <v>4.2631578947368425</v>
      </c>
      <c r="I2251" s="2">
        <v>19</v>
      </c>
      <c r="J2251" s="12">
        <f>I2251/Pondération!$I$137</f>
        <v>6.985294117647059E-2</v>
      </c>
    </row>
    <row r="2252" spans="1:10" x14ac:dyDescent="0.25">
      <c r="A2252" s="2" t="s">
        <v>77</v>
      </c>
      <c r="B2252" s="2">
        <v>2014</v>
      </c>
      <c r="C2252" s="2" t="s">
        <v>67</v>
      </c>
      <c r="D2252" s="2" t="s">
        <v>44</v>
      </c>
      <c r="E2252" s="2" t="s">
        <v>78</v>
      </c>
      <c r="F2252" s="2" t="s">
        <v>84</v>
      </c>
      <c r="G2252" s="2">
        <f t="shared" si="35"/>
        <v>0.51838235294117641</v>
      </c>
      <c r="H2252" s="5">
        <v>4.2727272727272725</v>
      </c>
      <c r="I2252" s="2">
        <v>33</v>
      </c>
      <c r="J2252" s="12">
        <f>I2252/Pondération!$I$137</f>
        <v>0.12132352941176471</v>
      </c>
    </row>
    <row r="2253" spans="1:10" x14ac:dyDescent="0.25">
      <c r="A2253" s="2" t="s">
        <v>77</v>
      </c>
      <c r="B2253" s="2">
        <v>2014</v>
      </c>
      <c r="C2253" s="2" t="s">
        <v>68</v>
      </c>
      <c r="D2253" s="2" t="s">
        <v>44</v>
      </c>
      <c r="E2253" s="2" t="s">
        <v>78</v>
      </c>
      <c r="F2253" s="2" t="s">
        <v>84</v>
      </c>
      <c r="G2253" s="2">
        <f t="shared" si="35"/>
        <v>1.1893382352941175</v>
      </c>
      <c r="H2253" s="5">
        <v>4.3716216216216219</v>
      </c>
      <c r="I2253" s="2">
        <v>74</v>
      </c>
      <c r="J2253" s="12">
        <f>I2253/Pondération!$I$137</f>
        <v>0.27205882352941174</v>
      </c>
    </row>
    <row r="2254" spans="1:10" x14ac:dyDescent="0.25">
      <c r="A2254" s="2" t="s">
        <v>77</v>
      </c>
      <c r="B2254" s="2">
        <v>2014</v>
      </c>
      <c r="C2254" s="2" t="s">
        <v>69</v>
      </c>
      <c r="D2254" s="2" t="s">
        <v>44</v>
      </c>
      <c r="E2254" s="2" t="s">
        <v>78</v>
      </c>
      <c r="F2254" s="2" t="s">
        <v>84</v>
      </c>
      <c r="G2254" s="2">
        <f t="shared" si="35"/>
        <v>0.43933823529411764</v>
      </c>
      <c r="H2254" s="5">
        <v>4.2678571428571432</v>
      </c>
      <c r="I2254" s="2">
        <v>28</v>
      </c>
      <c r="J2254" s="12">
        <f>I2254/Pondération!$I$137</f>
        <v>0.10294117647058823</v>
      </c>
    </row>
    <row r="2255" spans="1:10" x14ac:dyDescent="0.25">
      <c r="A2255" s="2" t="s">
        <v>77</v>
      </c>
      <c r="B2255" s="2">
        <v>2014</v>
      </c>
      <c r="C2255" s="2" t="s">
        <v>70</v>
      </c>
      <c r="D2255" s="2" t="s">
        <v>44</v>
      </c>
      <c r="E2255" s="2" t="s">
        <v>78</v>
      </c>
      <c r="F2255" s="2" t="s">
        <v>84</v>
      </c>
      <c r="G2255" s="2">
        <f t="shared" si="35"/>
        <v>0.28492647058823528</v>
      </c>
      <c r="H2255" s="5">
        <v>4.3055555555555554</v>
      </c>
      <c r="I2255" s="2">
        <v>18</v>
      </c>
      <c r="J2255" s="12">
        <f>I2255/Pondération!$I$137</f>
        <v>6.6176470588235295E-2</v>
      </c>
    </row>
    <row r="2256" spans="1:10" x14ac:dyDescent="0.25">
      <c r="A2256" s="2" t="s">
        <v>77</v>
      </c>
      <c r="B2256" s="2">
        <v>2014</v>
      </c>
      <c r="C2256" s="2" t="s">
        <v>71</v>
      </c>
      <c r="D2256" s="2" t="s">
        <v>44</v>
      </c>
      <c r="E2256" s="2" t="s">
        <v>78</v>
      </c>
      <c r="F2256" s="2" t="s">
        <v>84</v>
      </c>
      <c r="G2256" s="2">
        <f t="shared" si="35"/>
        <v>0.39889705882352944</v>
      </c>
      <c r="H2256" s="5">
        <v>4.520833333333333</v>
      </c>
      <c r="I2256" s="2">
        <v>24</v>
      </c>
      <c r="J2256" s="12">
        <f>I2256/Pondération!$I$137</f>
        <v>8.8235294117647065E-2</v>
      </c>
    </row>
    <row r="2257" spans="1:10" x14ac:dyDescent="0.25">
      <c r="A2257" s="2" t="s">
        <v>77</v>
      </c>
      <c r="B2257" s="2">
        <v>2014</v>
      </c>
      <c r="C2257" s="2" t="s">
        <v>72</v>
      </c>
      <c r="D2257" s="2" t="s">
        <v>44</v>
      </c>
      <c r="E2257" s="2" t="s">
        <v>78</v>
      </c>
      <c r="F2257" s="2" t="s">
        <v>84</v>
      </c>
      <c r="G2257" s="2">
        <f t="shared" si="35"/>
        <v>0.25551470588235292</v>
      </c>
      <c r="H2257" s="5">
        <v>4.34375</v>
      </c>
      <c r="I2257" s="2">
        <v>16</v>
      </c>
      <c r="J2257" s="12">
        <f>I2257/Pondération!$I$137</f>
        <v>5.8823529411764705E-2</v>
      </c>
    </row>
    <row r="2258" spans="1:10" x14ac:dyDescent="0.25">
      <c r="A2258" s="2" t="s">
        <v>77</v>
      </c>
      <c r="B2258" s="2">
        <v>2015</v>
      </c>
      <c r="C2258" s="2" t="s">
        <v>73</v>
      </c>
      <c r="D2258" s="2" t="s">
        <v>44</v>
      </c>
      <c r="E2258" s="2" t="s">
        <v>78</v>
      </c>
      <c r="F2258" s="2" t="s">
        <v>84</v>
      </c>
      <c r="G2258" s="2">
        <f t="shared" si="35"/>
        <v>9.578107183580388E-2</v>
      </c>
      <c r="H2258" s="5">
        <v>4.2</v>
      </c>
      <c r="I2258" s="2">
        <v>20</v>
      </c>
      <c r="J2258" s="12">
        <f>I2258/Pondération!$H$137</f>
        <v>2.2805017103762829E-2</v>
      </c>
    </row>
    <row r="2259" spans="1:10" x14ac:dyDescent="0.25">
      <c r="A2259" s="2" t="s">
        <v>77</v>
      </c>
      <c r="B2259" s="2">
        <v>2015</v>
      </c>
      <c r="C2259" s="2" t="s">
        <v>74</v>
      </c>
      <c r="D2259" s="2" t="s">
        <v>44</v>
      </c>
      <c r="E2259" s="2" t="s">
        <v>78</v>
      </c>
      <c r="F2259" s="2" t="s">
        <v>84</v>
      </c>
      <c r="G2259" s="2">
        <f t="shared" si="35"/>
        <v>0.1812998859749145</v>
      </c>
      <c r="H2259" s="5">
        <v>4.416666666666667</v>
      </c>
      <c r="I2259" s="2">
        <v>36</v>
      </c>
      <c r="J2259" s="12">
        <f>I2259/Pondération!$H$137</f>
        <v>4.1049030786773091E-2</v>
      </c>
    </row>
    <row r="2260" spans="1:10" x14ac:dyDescent="0.25">
      <c r="A2260" s="2" t="s">
        <v>77</v>
      </c>
      <c r="B2260" s="2">
        <v>2015</v>
      </c>
      <c r="C2260" s="2" t="s">
        <v>75</v>
      </c>
      <c r="D2260" s="2" t="s">
        <v>44</v>
      </c>
      <c r="E2260" s="2" t="s">
        <v>78</v>
      </c>
      <c r="F2260" s="2" t="s">
        <v>84</v>
      </c>
      <c r="G2260" s="2">
        <f t="shared" si="35"/>
        <v>0.12998859749144814</v>
      </c>
      <c r="H2260" s="5">
        <v>4.384615384615385</v>
      </c>
      <c r="I2260" s="2">
        <v>26</v>
      </c>
      <c r="J2260" s="12">
        <f>I2260/Pondération!$H$137</f>
        <v>2.9646522234891677E-2</v>
      </c>
    </row>
    <row r="2261" spans="1:10" x14ac:dyDescent="0.25">
      <c r="A2261" s="2" t="s">
        <v>77</v>
      </c>
      <c r="B2261" s="2">
        <v>2015</v>
      </c>
      <c r="C2261" s="2" t="s">
        <v>76</v>
      </c>
      <c r="D2261" s="2" t="s">
        <v>44</v>
      </c>
      <c r="E2261" s="2" t="s">
        <v>78</v>
      </c>
      <c r="F2261" s="2" t="s">
        <v>84</v>
      </c>
      <c r="G2261" s="2">
        <f t="shared" si="35"/>
        <v>0.27251995438996579</v>
      </c>
      <c r="H2261" s="5">
        <v>4.4259259259259256</v>
      </c>
      <c r="I2261" s="2">
        <v>54</v>
      </c>
      <c r="J2261" s="12">
        <f>I2261/Pondération!$H$137</f>
        <v>6.1573546180159637E-2</v>
      </c>
    </row>
    <row r="2262" spans="1:10" x14ac:dyDescent="0.25">
      <c r="A2262" s="2" t="s">
        <v>77</v>
      </c>
      <c r="B2262" s="2">
        <v>2015</v>
      </c>
      <c r="C2262" s="2" t="s">
        <v>7</v>
      </c>
      <c r="D2262" s="2" t="s">
        <v>44</v>
      </c>
      <c r="E2262" s="2" t="s">
        <v>78</v>
      </c>
      <c r="F2262" s="2" t="s">
        <v>84</v>
      </c>
      <c r="G2262" s="2">
        <f t="shared" si="35"/>
        <v>0.28278221208665905</v>
      </c>
      <c r="H2262" s="5">
        <v>4.3508771929824563</v>
      </c>
      <c r="I2262" s="2">
        <v>57</v>
      </c>
      <c r="J2262" s="12">
        <f>I2262/Pondération!$H$137</f>
        <v>6.4994298745724058E-2</v>
      </c>
    </row>
    <row r="2263" spans="1:10" x14ac:dyDescent="0.25">
      <c r="A2263" s="2" t="s">
        <v>77</v>
      </c>
      <c r="B2263" s="2">
        <v>2015</v>
      </c>
      <c r="C2263" s="2" t="s">
        <v>11</v>
      </c>
      <c r="D2263" s="2" t="s">
        <v>44</v>
      </c>
      <c r="E2263" s="2" t="s">
        <v>78</v>
      </c>
      <c r="F2263" s="2" t="s">
        <v>84</v>
      </c>
      <c r="G2263" s="2">
        <f t="shared" si="35"/>
        <v>0.33124287343215503</v>
      </c>
      <c r="H2263" s="5">
        <v>4.4015151515151514</v>
      </c>
      <c r="I2263" s="2">
        <v>66</v>
      </c>
      <c r="J2263" s="12">
        <f>I2263/Pondération!$H$137</f>
        <v>7.5256556442417327E-2</v>
      </c>
    </row>
    <row r="2264" spans="1:10" x14ac:dyDescent="0.25">
      <c r="A2264" s="2" t="s">
        <v>77</v>
      </c>
      <c r="B2264" s="2">
        <v>2015</v>
      </c>
      <c r="C2264" s="2" t="s">
        <v>12</v>
      </c>
      <c r="D2264" s="2" t="s">
        <v>44</v>
      </c>
      <c r="E2264" s="2" t="s">
        <v>78</v>
      </c>
      <c r="F2264" s="2" t="s">
        <v>84</v>
      </c>
      <c r="G2264" s="2">
        <f t="shared" si="35"/>
        <v>0.74686431014823251</v>
      </c>
      <c r="H2264" s="5">
        <v>4.2532467532467528</v>
      </c>
      <c r="I2264" s="2">
        <v>154</v>
      </c>
      <c r="J2264" s="12">
        <f>I2264/Pondération!$H$137</f>
        <v>0.17559863169897377</v>
      </c>
    </row>
    <row r="2265" spans="1:10" x14ac:dyDescent="0.25">
      <c r="A2265" s="2" t="s">
        <v>77</v>
      </c>
      <c r="B2265" s="2">
        <v>2015</v>
      </c>
      <c r="C2265" s="2" t="s">
        <v>13</v>
      </c>
      <c r="D2265" s="2" t="s">
        <v>44</v>
      </c>
      <c r="E2265" s="2" t="s">
        <v>78</v>
      </c>
      <c r="F2265" s="2" t="s">
        <v>84</v>
      </c>
      <c r="G2265" s="2">
        <f t="shared" si="35"/>
        <v>0.97548460661345493</v>
      </c>
      <c r="H2265" s="5">
        <v>4.2989949748743719</v>
      </c>
      <c r="I2265" s="2">
        <v>199</v>
      </c>
      <c r="J2265" s="12">
        <f>I2265/Pondération!$H$137</f>
        <v>0.22690992018244013</v>
      </c>
    </row>
    <row r="2266" spans="1:10" x14ac:dyDescent="0.25">
      <c r="A2266" s="2" t="s">
        <v>77</v>
      </c>
      <c r="B2266" s="2">
        <v>2015</v>
      </c>
      <c r="C2266" s="2" t="s">
        <v>14</v>
      </c>
      <c r="D2266" s="2" t="s">
        <v>44</v>
      </c>
      <c r="E2266" s="2" t="s">
        <v>78</v>
      </c>
      <c r="F2266" s="2" t="s">
        <v>84</v>
      </c>
      <c r="G2266" s="2">
        <f t="shared" si="35"/>
        <v>0.4982896237172178</v>
      </c>
      <c r="H2266" s="5">
        <v>4.37</v>
      </c>
      <c r="I2266" s="2">
        <v>100</v>
      </c>
      <c r="J2266" s="12">
        <f>I2266/Pondération!$H$137</f>
        <v>0.11402508551881414</v>
      </c>
    </row>
    <row r="2267" spans="1:10" x14ac:dyDescent="0.25">
      <c r="A2267" s="2" t="s">
        <v>77</v>
      </c>
      <c r="B2267" s="2">
        <v>2015</v>
      </c>
      <c r="C2267" s="2" t="s">
        <v>15</v>
      </c>
      <c r="D2267" s="2" t="s">
        <v>44</v>
      </c>
      <c r="E2267" s="2" t="s">
        <v>78</v>
      </c>
      <c r="F2267" s="2" t="s">
        <v>84</v>
      </c>
      <c r="G2267" s="2">
        <f t="shared" si="35"/>
        <v>0.40250855188141388</v>
      </c>
      <c r="H2267" s="5">
        <v>4.3580246913580245</v>
      </c>
      <c r="I2267" s="2">
        <v>81</v>
      </c>
      <c r="J2267" s="12">
        <f>I2267/Pondération!$H$137</f>
        <v>9.2360319270239452E-2</v>
      </c>
    </row>
    <row r="2268" spans="1:10" x14ac:dyDescent="0.25">
      <c r="A2268" s="2" t="s">
        <v>77</v>
      </c>
      <c r="B2268" s="2">
        <v>2015</v>
      </c>
      <c r="C2268" s="2" t="s">
        <v>16</v>
      </c>
      <c r="D2268" s="2" t="s">
        <v>44</v>
      </c>
      <c r="E2268" s="2" t="s">
        <v>78</v>
      </c>
      <c r="F2268" s="2" t="s">
        <v>84</v>
      </c>
      <c r="G2268" s="2">
        <f t="shared" si="35"/>
        <v>0.23318129988597494</v>
      </c>
      <c r="H2268" s="5">
        <v>4.4456521739130439</v>
      </c>
      <c r="I2268" s="2">
        <v>46</v>
      </c>
      <c r="J2268" s="12">
        <f>I2268/Pondération!$H$137</f>
        <v>5.2451539338654506E-2</v>
      </c>
    </row>
    <row r="2269" spans="1:10" x14ac:dyDescent="0.25">
      <c r="A2269" s="2" t="s">
        <v>77</v>
      </c>
      <c r="B2269" s="2">
        <v>2015</v>
      </c>
      <c r="C2269" s="2" t="s">
        <v>17</v>
      </c>
      <c r="D2269" s="2" t="s">
        <v>44</v>
      </c>
      <c r="E2269" s="2" t="s">
        <v>78</v>
      </c>
      <c r="F2269" s="2" t="s">
        <v>84</v>
      </c>
      <c r="G2269" s="2">
        <f t="shared" si="35"/>
        <v>0.1864310148232611</v>
      </c>
      <c r="H2269" s="5">
        <v>4.3026315789473681</v>
      </c>
      <c r="I2269" s="2">
        <v>38</v>
      </c>
      <c r="J2269" s="12">
        <f>I2269/Pondération!$H$137</f>
        <v>4.3329532497149374E-2</v>
      </c>
    </row>
    <row r="2270" spans="1:10" x14ac:dyDescent="0.25">
      <c r="A2270" s="2" t="s">
        <v>77</v>
      </c>
      <c r="B2270" s="2">
        <v>2016</v>
      </c>
      <c r="C2270" s="2" t="s">
        <v>18</v>
      </c>
      <c r="D2270" s="2" t="s">
        <v>44</v>
      </c>
      <c r="E2270" s="2" t="s">
        <v>78</v>
      </c>
      <c r="F2270" s="2" t="s">
        <v>84</v>
      </c>
      <c r="G2270" s="2">
        <f t="shared" si="35"/>
        <v>0.18781725888324874</v>
      </c>
      <c r="H2270" s="5">
        <v>4.3166666666666664</v>
      </c>
      <c r="I2270" s="2">
        <v>60</v>
      </c>
      <c r="J2270" s="12">
        <f>I2270/Pondération!$G$137</f>
        <v>4.3509789702683106E-2</v>
      </c>
    </row>
    <row r="2271" spans="1:10" x14ac:dyDescent="0.25">
      <c r="A2271" s="2" t="s">
        <v>77</v>
      </c>
      <c r="B2271" s="2">
        <v>2016</v>
      </c>
      <c r="C2271" s="2" t="s">
        <v>19</v>
      </c>
      <c r="D2271" s="2" t="s">
        <v>44</v>
      </c>
      <c r="E2271" s="2" t="s">
        <v>78</v>
      </c>
      <c r="F2271" s="2" t="s">
        <v>84</v>
      </c>
      <c r="G2271" s="2">
        <f t="shared" si="35"/>
        <v>0.23386511965192167</v>
      </c>
      <c r="H2271" s="5">
        <v>4.3</v>
      </c>
      <c r="I2271" s="2">
        <v>75</v>
      </c>
      <c r="J2271" s="12">
        <f>I2271/Pondération!$G$137</f>
        <v>5.4387237128353881E-2</v>
      </c>
    </row>
    <row r="2272" spans="1:10" x14ac:dyDescent="0.25">
      <c r="A2272" s="2" t="s">
        <v>77</v>
      </c>
      <c r="B2272" s="2">
        <v>2016</v>
      </c>
      <c r="C2272" s="2" t="s">
        <v>20</v>
      </c>
      <c r="D2272" s="2" t="s">
        <v>44</v>
      </c>
      <c r="E2272" s="2" t="s">
        <v>78</v>
      </c>
      <c r="F2272" s="2" t="s">
        <v>84</v>
      </c>
      <c r="G2272" s="2">
        <f t="shared" si="35"/>
        <v>0.17875271936185641</v>
      </c>
      <c r="H2272" s="5">
        <v>4.4017857142857144</v>
      </c>
      <c r="I2272" s="2">
        <v>56</v>
      </c>
      <c r="J2272" s="12">
        <f>I2272/Pondération!$G$137</f>
        <v>4.060913705583756E-2</v>
      </c>
    </row>
    <row r="2273" spans="1:10" x14ac:dyDescent="0.25">
      <c r="A2273" s="2" t="s">
        <v>77</v>
      </c>
      <c r="B2273" s="2">
        <v>2016</v>
      </c>
      <c r="C2273" s="2" t="s">
        <v>21</v>
      </c>
      <c r="D2273" s="2" t="s">
        <v>44</v>
      </c>
      <c r="E2273" s="2" t="s">
        <v>78</v>
      </c>
      <c r="F2273" s="2" t="s">
        <v>84</v>
      </c>
      <c r="G2273" s="2">
        <f t="shared" si="35"/>
        <v>0.28861493836113122</v>
      </c>
      <c r="H2273" s="5">
        <v>4.4222222222222225</v>
      </c>
      <c r="I2273" s="2">
        <v>90</v>
      </c>
      <c r="J2273" s="12">
        <f>I2273/Pondération!$G$137</f>
        <v>6.5264684554024649E-2</v>
      </c>
    </row>
    <row r="2274" spans="1:10" x14ac:dyDescent="0.25">
      <c r="A2274" s="2" t="s">
        <v>77</v>
      </c>
      <c r="B2274" s="2">
        <v>2016</v>
      </c>
      <c r="C2274" s="2" t="s">
        <v>22</v>
      </c>
      <c r="D2274" s="2" t="s">
        <v>44</v>
      </c>
      <c r="E2274" s="2" t="s">
        <v>78</v>
      </c>
      <c r="F2274" s="2" t="s">
        <v>84</v>
      </c>
      <c r="G2274" s="2">
        <f t="shared" si="35"/>
        <v>0.38796229151559097</v>
      </c>
      <c r="H2274" s="5">
        <v>4.3852459016393439</v>
      </c>
      <c r="I2274" s="2">
        <v>122</v>
      </c>
      <c r="J2274" s="12">
        <f>I2274/Pondération!$G$137</f>
        <v>8.8469905728788975E-2</v>
      </c>
    </row>
    <row r="2275" spans="1:10" x14ac:dyDescent="0.25">
      <c r="A2275" s="2" t="s">
        <v>77</v>
      </c>
      <c r="B2275" s="2">
        <v>2016</v>
      </c>
      <c r="C2275" s="2" t="s">
        <v>23</v>
      </c>
      <c r="D2275" s="2" t="s">
        <v>44</v>
      </c>
      <c r="E2275" s="2" t="s">
        <v>78</v>
      </c>
      <c r="F2275" s="2" t="s">
        <v>84</v>
      </c>
      <c r="G2275" s="2">
        <f t="shared" si="35"/>
        <v>0.25018129079042783</v>
      </c>
      <c r="H2275" s="5">
        <v>4.3125</v>
      </c>
      <c r="I2275" s="2">
        <v>80</v>
      </c>
      <c r="J2275" s="12">
        <f>I2275/Pondération!$G$137</f>
        <v>5.8013052936910808E-2</v>
      </c>
    </row>
    <row r="2276" spans="1:10" x14ac:dyDescent="0.25">
      <c r="A2276" s="2" t="s">
        <v>77</v>
      </c>
      <c r="B2276" s="2">
        <v>2016</v>
      </c>
      <c r="C2276" s="2" t="s">
        <v>24</v>
      </c>
      <c r="D2276" s="2" t="s">
        <v>44</v>
      </c>
      <c r="E2276" s="2" t="s">
        <v>78</v>
      </c>
      <c r="F2276" s="2" t="s">
        <v>84</v>
      </c>
      <c r="G2276" s="2">
        <f t="shared" si="35"/>
        <v>0.60659898477157359</v>
      </c>
      <c r="H2276" s="5">
        <v>4.2461928934010151</v>
      </c>
      <c r="I2276" s="2">
        <v>197</v>
      </c>
      <c r="J2276" s="12">
        <f>I2276/Pondération!$G$137</f>
        <v>0.14285714285714285</v>
      </c>
    </row>
    <row r="2277" spans="1:10" x14ac:dyDescent="0.25">
      <c r="A2277" s="2" t="s">
        <v>77</v>
      </c>
      <c r="B2277" s="2">
        <v>2016</v>
      </c>
      <c r="C2277" s="2" t="s">
        <v>25</v>
      </c>
      <c r="D2277" s="2" t="s">
        <v>44</v>
      </c>
      <c r="E2277" s="2" t="s">
        <v>78</v>
      </c>
      <c r="F2277" s="2" t="s">
        <v>84</v>
      </c>
      <c r="G2277" s="2">
        <f t="shared" si="35"/>
        <v>0.88723712835387969</v>
      </c>
      <c r="H2277" s="5">
        <v>4.2779720279720284</v>
      </c>
      <c r="I2277" s="2">
        <v>286</v>
      </c>
      <c r="J2277" s="12">
        <f>I2277/Pondération!$G$137</f>
        <v>0.20739666424945613</v>
      </c>
    </row>
    <row r="2278" spans="1:10" x14ac:dyDescent="0.25">
      <c r="A2278" s="2" t="s">
        <v>77</v>
      </c>
      <c r="B2278" s="2">
        <v>2016</v>
      </c>
      <c r="C2278" s="2" t="s">
        <v>26</v>
      </c>
      <c r="D2278" s="2" t="s">
        <v>44</v>
      </c>
      <c r="E2278" s="2" t="s">
        <v>78</v>
      </c>
      <c r="F2278" s="2" t="s">
        <v>84</v>
      </c>
      <c r="G2278" s="2">
        <f t="shared" si="35"/>
        <v>0.52139231327048585</v>
      </c>
      <c r="H2278" s="5">
        <v>4.3053892215568865</v>
      </c>
      <c r="I2278" s="2">
        <v>167</v>
      </c>
      <c r="J2278" s="12">
        <f>I2278/Pondération!$G$137</f>
        <v>0.1211022480058013</v>
      </c>
    </row>
    <row r="2279" spans="1:10" x14ac:dyDescent="0.25">
      <c r="A2279" s="2" t="s">
        <v>77</v>
      </c>
      <c r="B2279" s="2">
        <v>2016</v>
      </c>
      <c r="C2279" s="2" t="s">
        <v>27</v>
      </c>
      <c r="D2279" s="2" t="s">
        <v>44</v>
      </c>
      <c r="E2279" s="2" t="s">
        <v>78</v>
      </c>
      <c r="F2279" s="2" t="s">
        <v>84</v>
      </c>
      <c r="G2279" s="2">
        <f t="shared" si="35"/>
        <v>0.28897751994198695</v>
      </c>
      <c r="H2279" s="5">
        <v>4.3315217391304346</v>
      </c>
      <c r="I2279" s="2">
        <v>92</v>
      </c>
      <c r="J2279" s="12">
        <f>I2279/Pondération!$G$137</f>
        <v>6.6715010877447425E-2</v>
      </c>
    </row>
    <row r="2280" spans="1:10" x14ac:dyDescent="0.25">
      <c r="A2280" s="2" t="s">
        <v>77</v>
      </c>
      <c r="B2280" s="2">
        <v>2016</v>
      </c>
      <c r="C2280" s="2" t="s">
        <v>28</v>
      </c>
      <c r="D2280" s="2" t="s">
        <v>44</v>
      </c>
      <c r="E2280" s="2" t="s">
        <v>78</v>
      </c>
      <c r="F2280" s="2" t="s">
        <v>84</v>
      </c>
      <c r="G2280" s="2">
        <f t="shared" si="35"/>
        <v>0.2693981145757795</v>
      </c>
      <c r="H2280" s="5">
        <v>4.475903614457831</v>
      </c>
      <c r="I2280" s="2">
        <v>83</v>
      </c>
      <c r="J2280" s="12">
        <f>I2280/Pondération!$G$137</f>
        <v>6.0188542422044959E-2</v>
      </c>
    </row>
    <row r="2281" spans="1:10" x14ac:dyDescent="0.25">
      <c r="A2281" s="2" t="s">
        <v>77</v>
      </c>
      <c r="B2281" s="2">
        <v>2016</v>
      </c>
      <c r="C2281" s="2" t="s">
        <v>29</v>
      </c>
      <c r="D2281" s="2" t="s">
        <v>44</v>
      </c>
      <c r="E2281" s="2" t="s">
        <v>78</v>
      </c>
      <c r="F2281" s="2" t="s">
        <v>84</v>
      </c>
      <c r="G2281" s="2">
        <f t="shared" si="35"/>
        <v>0.22480058013052939</v>
      </c>
      <c r="H2281" s="5">
        <v>4.3661971830985919</v>
      </c>
      <c r="I2281" s="2">
        <v>71</v>
      </c>
      <c r="J2281" s="12">
        <f>I2281/Pondération!$G$137</f>
        <v>5.1486584481508342E-2</v>
      </c>
    </row>
    <row r="2282" spans="1:10" x14ac:dyDescent="0.25">
      <c r="A2282" s="2" t="s">
        <v>77</v>
      </c>
      <c r="B2282" s="2">
        <v>2017</v>
      </c>
      <c r="C2282" s="2" t="s">
        <v>30</v>
      </c>
      <c r="D2282" s="2" t="s">
        <v>44</v>
      </c>
      <c r="E2282" s="2" t="s">
        <v>78</v>
      </c>
      <c r="F2282" s="2" t="s">
        <v>84</v>
      </c>
      <c r="G2282" s="2">
        <f t="shared" si="35"/>
        <v>0.6142578125</v>
      </c>
      <c r="H2282" s="5">
        <v>4.4928571428571429</v>
      </c>
      <c r="I2282" s="2">
        <v>70</v>
      </c>
      <c r="J2282" s="12">
        <f>I2282/Pondération!$F$137</f>
        <v>0.13671875</v>
      </c>
    </row>
    <row r="2283" spans="1:10" x14ac:dyDescent="0.25">
      <c r="A2283" s="2" t="s">
        <v>77</v>
      </c>
      <c r="B2283" s="2">
        <v>2017</v>
      </c>
      <c r="C2283" s="2" t="s">
        <v>31</v>
      </c>
      <c r="D2283" s="2" t="s">
        <v>44</v>
      </c>
      <c r="E2283" s="2" t="s">
        <v>78</v>
      </c>
      <c r="F2283" s="2" t="s">
        <v>84</v>
      </c>
      <c r="G2283" s="2">
        <f t="shared" si="35"/>
        <v>0.76660156249999989</v>
      </c>
      <c r="H2283" s="5">
        <v>4.5114942528735629</v>
      </c>
      <c r="I2283" s="2">
        <v>87</v>
      </c>
      <c r="J2283" s="12">
        <f>I2283/Pondération!$F$137</f>
        <v>0.169921875</v>
      </c>
    </row>
    <row r="2284" spans="1:10" x14ac:dyDescent="0.25">
      <c r="A2284" s="2" t="s">
        <v>77</v>
      </c>
      <c r="B2284" s="2">
        <v>2017</v>
      </c>
      <c r="C2284" s="2" t="s">
        <v>32</v>
      </c>
      <c r="D2284" s="2" t="s">
        <v>44</v>
      </c>
      <c r="E2284" s="2" t="s">
        <v>78</v>
      </c>
      <c r="F2284" s="2" t="s">
        <v>84</v>
      </c>
      <c r="G2284" s="2">
        <f t="shared" si="35"/>
        <v>0.7421875</v>
      </c>
      <c r="H2284" s="5">
        <v>4.3181818181818183</v>
      </c>
      <c r="I2284" s="2">
        <v>88</v>
      </c>
      <c r="J2284" s="12">
        <f>I2284/Pondération!$F$137</f>
        <v>0.171875</v>
      </c>
    </row>
    <row r="2285" spans="1:10" x14ac:dyDescent="0.25">
      <c r="A2285" s="2" t="s">
        <v>77</v>
      </c>
      <c r="B2285" s="2">
        <v>2017</v>
      </c>
      <c r="C2285" s="2" t="s">
        <v>33</v>
      </c>
      <c r="D2285" s="2" t="s">
        <v>44</v>
      </c>
      <c r="E2285" s="2" t="s">
        <v>78</v>
      </c>
      <c r="F2285" s="2" t="s">
        <v>84</v>
      </c>
      <c r="G2285" s="2">
        <f t="shared" si="35"/>
        <v>0.86523437500000011</v>
      </c>
      <c r="H2285" s="5">
        <v>4.3861386138613865</v>
      </c>
      <c r="I2285" s="2">
        <v>101</v>
      </c>
      <c r="J2285" s="12">
        <f>I2285/Pondération!$F$137</f>
        <v>0.197265625</v>
      </c>
    </row>
    <row r="2286" spans="1:10" x14ac:dyDescent="0.25">
      <c r="A2286" s="2" t="s">
        <v>77</v>
      </c>
      <c r="B2286" s="2">
        <v>2017</v>
      </c>
      <c r="C2286" s="2" t="s">
        <v>34</v>
      </c>
      <c r="D2286" s="2" t="s">
        <v>44</v>
      </c>
      <c r="E2286" s="2" t="s">
        <v>78</v>
      </c>
      <c r="F2286" s="2" t="s">
        <v>84</v>
      </c>
      <c r="G2286" s="2">
        <f t="shared" si="35"/>
        <v>0.86914062499999989</v>
      </c>
      <c r="H2286" s="5">
        <v>4.3627450980392153</v>
      </c>
      <c r="I2286" s="2">
        <v>102</v>
      </c>
      <c r="J2286" s="12">
        <f>I2286/Pondération!$F$137</f>
        <v>0.19921875</v>
      </c>
    </row>
    <row r="2287" spans="1:10" x14ac:dyDescent="0.25">
      <c r="A2287" s="2" t="s">
        <v>77</v>
      </c>
      <c r="B2287" s="2">
        <v>2017</v>
      </c>
      <c r="C2287" s="2" t="s">
        <v>80</v>
      </c>
      <c r="D2287" s="2" t="s">
        <v>44</v>
      </c>
      <c r="E2287" s="2" t="s">
        <v>78</v>
      </c>
      <c r="F2287" s="2" t="s">
        <v>84</v>
      </c>
      <c r="G2287" s="2">
        <f t="shared" si="35"/>
        <v>0.525390625</v>
      </c>
      <c r="H2287" s="5">
        <v>4.203125</v>
      </c>
      <c r="I2287" s="2">
        <v>64</v>
      </c>
      <c r="J2287" s="12">
        <f>I2287/Pondération!$F$137</f>
        <v>0.125</v>
      </c>
    </row>
    <row r="2288" spans="1:10" x14ac:dyDescent="0.25">
      <c r="A2288" s="2" t="s">
        <v>77</v>
      </c>
      <c r="B2288" s="2">
        <v>2013</v>
      </c>
      <c r="C2288" s="2" t="s">
        <v>49</v>
      </c>
      <c r="D2288" s="2" t="s">
        <v>45</v>
      </c>
      <c r="E2288" s="2" t="s">
        <v>78</v>
      </c>
      <c r="F2288" s="2" t="s">
        <v>79</v>
      </c>
      <c r="G2288" s="2">
        <f t="shared" si="35"/>
        <v>9.1188524590163925E-2</v>
      </c>
      <c r="H2288" s="5">
        <v>4.45</v>
      </c>
      <c r="I2288" s="2">
        <v>10</v>
      </c>
      <c r="J2288" s="12">
        <f>I2288/Pondération!$J$147</f>
        <v>2.0491803278688523E-2</v>
      </c>
    </row>
    <row r="2289" spans="1:10" x14ac:dyDescent="0.25">
      <c r="A2289" s="2" t="s">
        <v>77</v>
      </c>
      <c r="B2289" s="2">
        <v>2013</v>
      </c>
      <c r="C2289" s="2" t="s">
        <v>50</v>
      </c>
      <c r="D2289" s="2" t="s">
        <v>45</v>
      </c>
      <c r="E2289" s="2" t="s">
        <v>78</v>
      </c>
      <c r="F2289" s="2" t="s">
        <v>79</v>
      </c>
      <c r="G2289" s="2">
        <f t="shared" si="35"/>
        <v>0.16086065573770489</v>
      </c>
      <c r="H2289" s="5">
        <v>4.617647058823529</v>
      </c>
      <c r="I2289" s="2">
        <v>17</v>
      </c>
      <c r="J2289" s="12">
        <f>I2289/Pondération!$J$147</f>
        <v>3.4836065573770489E-2</v>
      </c>
    </row>
    <row r="2290" spans="1:10" x14ac:dyDescent="0.25">
      <c r="A2290" s="2" t="s">
        <v>77</v>
      </c>
      <c r="B2290" s="2">
        <v>2013</v>
      </c>
      <c r="C2290" s="2" t="s">
        <v>51</v>
      </c>
      <c r="D2290" s="2" t="s">
        <v>45</v>
      </c>
      <c r="E2290" s="2" t="s">
        <v>78</v>
      </c>
      <c r="F2290" s="2" t="s">
        <v>79</v>
      </c>
      <c r="G2290" s="2">
        <f t="shared" si="35"/>
        <v>0.1997950819672131</v>
      </c>
      <c r="H2290" s="5">
        <v>4.4318181818181817</v>
      </c>
      <c r="I2290" s="2">
        <v>22</v>
      </c>
      <c r="J2290" s="12">
        <f>I2290/Pondération!$J$147</f>
        <v>4.5081967213114756E-2</v>
      </c>
    </row>
    <row r="2291" spans="1:10" x14ac:dyDescent="0.25">
      <c r="A2291" s="2" t="s">
        <v>77</v>
      </c>
      <c r="B2291" s="2">
        <v>2013</v>
      </c>
      <c r="C2291" s="2" t="s">
        <v>52</v>
      </c>
      <c r="D2291" s="2" t="s">
        <v>45</v>
      </c>
      <c r="E2291" s="2" t="s">
        <v>78</v>
      </c>
      <c r="F2291" s="2" t="s">
        <v>79</v>
      </c>
      <c r="G2291" s="2">
        <f t="shared" si="35"/>
        <v>0.24385245901639344</v>
      </c>
      <c r="H2291" s="5">
        <v>4.4074074074074074</v>
      </c>
      <c r="I2291" s="2">
        <v>27</v>
      </c>
      <c r="J2291" s="12">
        <f>I2291/Pondération!$J$147</f>
        <v>5.5327868852459015E-2</v>
      </c>
    </row>
    <row r="2292" spans="1:10" x14ac:dyDescent="0.25">
      <c r="A2292" s="2" t="s">
        <v>77</v>
      </c>
      <c r="B2292" s="2">
        <v>2013</v>
      </c>
      <c r="C2292" s="2" t="s">
        <v>53</v>
      </c>
      <c r="D2292" s="2" t="s">
        <v>45</v>
      </c>
      <c r="E2292" s="2" t="s">
        <v>78</v>
      </c>
      <c r="F2292" s="2" t="s">
        <v>79</v>
      </c>
      <c r="G2292" s="2">
        <f t="shared" si="35"/>
        <v>0.49795081967213112</v>
      </c>
      <c r="H2292" s="5">
        <v>4.418181818181818</v>
      </c>
      <c r="I2292" s="2">
        <v>55</v>
      </c>
      <c r="J2292" s="12">
        <f>I2292/Pondération!$J$147</f>
        <v>0.11270491803278689</v>
      </c>
    </row>
    <row r="2293" spans="1:10" x14ac:dyDescent="0.25">
      <c r="A2293" s="2" t="s">
        <v>77</v>
      </c>
      <c r="B2293" s="2">
        <v>2013</v>
      </c>
      <c r="C2293" s="2" t="s">
        <v>54</v>
      </c>
      <c r="D2293" s="2" t="s">
        <v>45</v>
      </c>
      <c r="E2293" s="2" t="s">
        <v>78</v>
      </c>
      <c r="F2293" s="2" t="s">
        <v>79</v>
      </c>
      <c r="G2293" s="2">
        <f t="shared" si="35"/>
        <v>0.38934426229508196</v>
      </c>
      <c r="H2293" s="5">
        <v>4.4186046511627906</v>
      </c>
      <c r="I2293" s="2">
        <v>43</v>
      </c>
      <c r="J2293" s="12">
        <f>I2293/Pondération!$J$147</f>
        <v>8.8114754098360656E-2</v>
      </c>
    </row>
    <row r="2294" spans="1:10" x14ac:dyDescent="0.25">
      <c r="A2294" s="2" t="s">
        <v>77</v>
      </c>
      <c r="B2294" s="2">
        <v>2013</v>
      </c>
      <c r="C2294" s="2" t="s">
        <v>55</v>
      </c>
      <c r="D2294" s="2" t="s">
        <v>45</v>
      </c>
      <c r="E2294" s="2" t="s">
        <v>78</v>
      </c>
      <c r="F2294" s="2" t="s">
        <v>79</v>
      </c>
      <c r="G2294" s="2">
        <f t="shared" si="35"/>
        <v>0.56864754098360659</v>
      </c>
      <c r="H2294" s="5">
        <v>4.4047619047619051</v>
      </c>
      <c r="I2294" s="2">
        <v>63</v>
      </c>
      <c r="J2294" s="12">
        <f>I2294/Pondération!$J$147</f>
        <v>0.12909836065573771</v>
      </c>
    </row>
    <row r="2295" spans="1:10" x14ac:dyDescent="0.25">
      <c r="A2295" s="2" t="s">
        <v>77</v>
      </c>
      <c r="B2295" s="2">
        <v>2013</v>
      </c>
      <c r="C2295" s="2" t="s">
        <v>56</v>
      </c>
      <c r="D2295" s="2" t="s">
        <v>45</v>
      </c>
      <c r="E2295" s="2" t="s">
        <v>78</v>
      </c>
      <c r="F2295" s="2" t="s">
        <v>79</v>
      </c>
      <c r="G2295" s="2">
        <f t="shared" si="35"/>
        <v>1.209016393442623</v>
      </c>
      <c r="H2295" s="5">
        <v>4.4029850746268657</v>
      </c>
      <c r="I2295" s="2">
        <v>134</v>
      </c>
      <c r="J2295" s="12">
        <f>I2295/Pondération!$J$147</f>
        <v>0.27459016393442626</v>
      </c>
    </row>
    <row r="2296" spans="1:10" x14ac:dyDescent="0.25">
      <c r="A2296" s="2" t="s">
        <v>77</v>
      </c>
      <c r="B2296" s="2">
        <v>2013</v>
      </c>
      <c r="C2296" s="2" t="s">
        <v>57</v>
      </c>
      <c r="D2296" s="2" t="s">
        <v>45</v>
      </c>
      <c r="E2296" s="2" t="s">
        <v>78</v>
      </c>
      <c r="F2296" s="2" t="s">
        <v>79</v>
      </c>
      <c r="G2296" s="2">
        <f t="shared" si="35"/>
        <v>0.51844262295081966</v>
      </c>
      <c r="H2296" s="5">
        <v>4.4385964912280702</v>
      </c>
      <c r="I2296" s="2">
        <v>57</v>
      </c>
      <c r="J2296" s="12">
        <f>I2296/Pondération!$J$147</f>
        <v>0.11680327868852459</v>
      </c>
    </row>
    <row r="2297" spans="1:10" x14ac:dyDescent="0.25">
      <c r="A2297" s="2" t="s">
        <v>77</v>
      </c>
      <c r="B2297" s="2">
        <v>2013</v>
      </c>
      <c r="C2297" s="2" t="s">
        <v>58</v>
      </c>
      <c r="D2297" s="2" t="s">
        <v>45</v>
      </c>
      <c r="E2297" s="2" t="s">
        <v>78</v>
      </c>
      <c r="F2297" s="2" t="s">
        <v>79</v>
      </c>
      <c r="G2297" s="2">
        <f t="shared" si="35"/>
        <v>0.32786885245901642</v>
      </c>
      <c r="H2297" s="5">
        <v>4.4444444444444446</v>
      </c>
      <c r="I2297" s="2">
        <v>36</v>
      </c>
      <c r="J2297" s="12">
        <f>I2297/Pondération!$J$147</f>
        <v>7.3770491803278687E-2</v>
      </c>
    </row>
    <row r="2298" spans="1:10" x14ac:dyDescent="0.25">
      <c r="A2298" s="2" t="s">
        <v>77</v>
      </c>
      <c r="B2298" s="2">
        <v>2013</v>
      </c>
      <c r="C2298" s="2" t="s">
        <v>59</v>
      </c>
      <c r="D2298" s="2" t="s">
        <v>45</v>
      </c>
      <c r="E2298" s="2" t="s">
        <v>78</v>
      </c>
      <c r="F2298" s="2" t="s">
        <v>79</v>
      </c>
      <c r="G2298" s="2">
        <f t="shared" si="35"/>
        <v>0.10758196721311475</v>
      </c>
      <c r="H2298" s="5">
        <v>4.375</v>
      </c>
      <c r="I2298" s="2">
        <v>12</v>
      </c>
      <c r="J2298" s="12">
        <f>I2298/Pondération!$J$147</f>
        <v>2.4590163934426229E-2</v>
      </c>
    </row>
    <row r="2299" spans="1:10" x14ac:dyDescent="0.25">
      <c r="A2299" s="2" t="s">
        <v>77</v>
      </c>
      <c r="B2299" s="2">
        <v>2013</v>
      </c>
      <c r="C2299" s="2" t="s">
        <v>60</v>
      </c>
      <c r="D2299" s="2" t="s">
        <v>45</v>
      </c>
      <c r="E2299" s="2" t="s">
        <v>78</v>
      </c>
      <c r="F2299" s="2" t="s">
        <v>79</v>
      </c>
      <c r="G2299" s="2">
        <f t="shared" si="35"/>
        <v>0.10450819672131148</v>
      </c>
      <c r="H2299" s="5">
        <v>4.25</v>
      </c>
      <c r="I2299" s="2">
        <v>12</v>
      </c>
      <c r="J2299" s="12">
        <f>I2299/Pondération!$J$147</f>
        <v>2.4590163934426229E-2</v>
      </c>
    </row>
    <row r="2300" spans="1:10" x14ac:dyDescent="0.25">
      <c r="A2300" s="2" t="s">
        <v>77</v>
      </c>
      <c r="B2300" s="2">
        <v>2014</v>
      </c>
      <c r="C2300" s="2" t="s">
        <v>61</v>
      </c>
      <c r="D2300" s="2" t="s">
        <v>45</v>
      </c>
      <c r="E2300" s="2" t="s">
        <v>78</v>
      </c>
      <c r="F2300" s="2" t="s">
        <v>79</v>
      </c>
      <c r="G2300" s="2">
        <f t="shared" si="35"/>
        <v>2.9588336192109776E-2</v>
      </c>
      <c r="H2300" s="5">
        <v>4.3125</v>
      </c>
      <c r="I2300" s="2">
        <v>8</v>
      </c>
      <c r="J2300" s="12">
        <f>I2300/Pondération!$I$147</f>
        <v>6.8610634648370496E-3</v>
      </c>
    </row>
    <row r="2301" spans="1:10" x14ac:dyDescent="0.25">
      <c r="A2301" s="2" t="s">
        <v>77</v>
      </c>
      <c r="B2301" s="2">
        <v>2014</v>
      </c>
      <c r="C2301" s="2" t="s">
        <v>62</v>
      </c>
      <c r="D2301" s="2" t="s">
        <v>45</v>
      </c>
      <c r="E2301" s="2" t="s">
        <v>78</v>
      </c>
      <c r="F2301" s="2" t="s">
        <v>79</v>
      </c>
      <c r="G2301" s="2">
        <f t="shared" si="35"/>
        <v>6.4751286449399661E-2</v>
      </c>
      <c r="H2301" s="5">
        <v>4.4411764705882355</v>
      </c>
      <c r="I2301" s="2">
        <v>17</v>
      </c>
      <c r="J2301" s="12">
        <f>I2301/Pondération!$I$147</f>
        <v>1.4579759862778732E-2</v>
      </c>
    </row>
    <row r="2302" spans="1:10" x14ac:dyDescent="0.25">
      <c r="A2302" s="2" t="s">
        <v>77</v>
      </c>
      <c r="B2302" s="2">
        <v>2014</v>
      </c>
      <c r="C2302" s="2" t="s">
        <v>63</v>
      </c>
      <c r="D2302" s="2" t="s">
        <v>45</v>
      </c>
      <c r="E2302" s="2" t="s">
        <v>78</v>
      </c>
      <c r="F2302" s="2" t="s">
        <v>79</v>
      </c>
      <c r="G2302" s="2">
        <f t="shared" si="35"/>
        <v>9.1337907375643235E-2</v>
      </c>
      <c r="H2302" s="5">
        <v>4.4375</v>
      </c>
      <c r="I2302" s="2">
        <v>24</v>
      </c>
      <c r="J2302" s="12">
        <f>I2302/Pondération!$I$147</f>
        <v>2.0583190394511151E-2</v>
      </c>
    </row>
    <row r="2303" spans="1:10" x14ac:dyDescent="0.25">
      <c r="A2303" s="2" t="s">
        <v>77</v>
      </c>
      <c r="B2303" s="2">
        <v>2014</v>
      </c>
      <c r="C2303" s="2" t="s">
        <v>64</v>
      </c>
      <c r="D2303" s="2" t="s">
        <v>45</v>
      </c>
      <c r="E2303" s="2" t="s">
        <v>78</v>
      </c>
      <c r="F2303" s="2" t="s">
        <v>79</v>
      </c>
      <c r="G2303" s="2">
        <f t="shared" si="35"/>
        <v>0.19511149228130359</v>
      </c>
      <c r="H2303" s="5">
        <v>4.375</v>
      </c>
      <c r="I2303" s="2">
        <v>52</v>
      </c>
      <c r="J2303" s="12">
        <f>I2303/Pondération!$I$147</f>
        <v>4.4596912521440824E-2</v>
      </c>
    </row>
    <row r="2304" spans="1:10" x14ac:dyDescent="0.25">
      <c r="A2304" s="2" t="s">
        <v>77</v>
      </c>
      <c r="B2304" s="2">
        <v>2014</v>
      </c>
      <c r="C2304" s="2" t="s">
        <v>65</v>
      </c>
      <c r="D2304" s="2" t="s">
        <v>45</v>
      </c>
      <c r="E2304" s="2" t="s">
        <v>78</v>
      </c>
      <c r="F2304" s="2" t="s">
        <v>79</v>
      </c>
      <c r="G2304" s="2">
        <f t="shared" si="35"/>
        <v>0.31217838765008582</v>
      </c>
      <c r="H2304" s="5">
        <v>4.4390243902439028</v>
      </c>
      <c r="I2304" s="2">
        <v>82</v>
      </c>
      <c r="J2304" s="12">
        <f>I2304/Pondération!$I$147</f>
        <v>7.0325900514579764E-2</v>
      </c>
    </row>
    <row r="2305" spans="1:10" x14ac:dyDescent="0.25">
      <c r="A2305" s="2" t="s">
        <v>77</v>
      </c>
      <c r="B2305" s="2">
        <v>2014</v>
      </c>
      <c r="C2305" s="2" t="s">
        <v>66</v>
      </c>
      <c r="D2305" s="2" t="s">
        <v>45</v>
      </c>
      <c r="E2305" s="2" t="s">
        <v>78</v>
      </c>
      <c r="F2305" s="2" t="s">
        <v>79</v>
      </c>
      <c r="G2305" s="2">
        <f t="shared" si="35"/>
        <v>0.27058319039451117</v>
      </c>
      <c r="H2305" s="5">
        <v>4.3819444444444446</v>
      </c>
      <c r="I2305" s="2">
        <v>72</v>
      </c>
      <c r="J2305" s="12">
        <f>I2305/Pondération!$I$147</f>
        <v>6.1749571183533448E-2</v>
      </c>
    </row>
    <row r="2306" spans="1:10" x14ac:dyDescent="0.25">
      <c r="A2306" s="2" t="s">
        <v>77</v>
      </c>
      <c r="B2306" s="2">
        <v>2014</v>
      </c>
      <c r="C2306" s="2" t="s">
        <v>67</v>
      </c>
      <c r="D2306" s="2" t="s">
        <v>45</v>
      </c>
      <c r="E2306" s="2" t="s">
        <v>78</v>
      </c>
      <c r="F2306" s="2" t="s">
        <v>79</v>
      </c>
      <c r="G2306" s="2">
        <f t="shared" ref="G2306:G2369" si="36">H2306*J2306</f>
        <v>0.68053173241852505</v>
      </c>
      <c r="H2306" s="5">
        <v>4.3839779005524866</v>
      </c>
      <c r="I2306" s="2">
        <v>181</v>
      </c>
      <c r="J2306" s="12">
        <f>I2306/Pondération!$I$147</f>
        <v>0.15523156089193826</v>
      </c>
    </row>
    <row r="2307" spans="1:10" x14ac:dyDescent="0.25">
      <c r="A2307" s="2" t="s">
        <v>77</v>
      </c>
      <c r="B2307" s="2">
        <v>2014</v>
      </c>
      <c r="C2307" s="2" t="s">
        <v>68</v>
      </c>
      <c r="D2307" s="2" t="s">
        <v>45</v>
      </c>
      <c r="E2307" s="2" t="s">
        <v>78</v>
      </c>
      <c r="F2307" s="2" t="s">
        <v>79</v>
      </c>
      <c r="G2307" s="2">
        <f t="shared" si="36"/>
        <v>1.4549742710120068</v>
      </c>
      <c r="H2307" s="5">
        <v>4.3837209302325579</v>
      </c>
      <c r="I2307" s="2">
        <v>387</v>
      </c>
      <c r="J2307" s="12">
        <f>I2307/Pondération!$I$147</f>
        <v>0.33190394511149229</v>
      </c>
    </row>
    <row r="2308" spans="1:10" x14ac:dyDescent="0.25">
      <c r="A2308" s="2" t="s">
        <v>77</v>
      </c>
      <c r="B2308" s="2">
        <v>2014</v>
      </c>
      <c r="C2308" s="2" t="s">
        <v>69</v>
      </c>
      <c r="D2308" s="2" t="s">
        <v>45</v>
      </c>
      <c r="E2308" s="2" t="s">
        <v>78</v>
      </c>
      <c r="F2308" s="2" t="s">
        <v>79</v>
      </c>
      <c r="G2308" s="2">
        <f t="shared" si="36"/>
        <v>0.62435677530017153</v>
      </c>
      <c r="H2308" s="5">
        <v>4.4121212121212121</v>
      </c>
      <c r="I2308" s="2">
        <v>165</v>
      </c>
      <c r="J2308" s="12">
        <f>I2308/Pondération!$I$147</f>
        <v>0.14150943396226415</v>
      </c>
    </row>
    <row r="2309" spans="1:10" x14ac:dyDescent="0.25">
      <c r="A2309" s="2" t="s">
        <v>77</v>
      </c>
      <c r="B2309" s="2">
        <v>2014</v>
      </c>
      <c r="C2309" s="2" t="s">
        <v>70</v>
      </c>
      <c r="D2309" s="2" t="s">
        <v>45</v>
      </c>
      <c r="E2309" s="2" t="s">
        <v>78</v>
      </c>
      <c r="F2309" s="2" t="s">
        <v>79</v>
      </c>
      <c r="G2309" s="2">
        <f t="shared" si="36"/>
        <v>0.27058319039451117</v>
      </c>
      <c r="H2309" s="5">
        <v>4.3819444444444446</v>
      </c>
      <c r="I2309" s="2">
        <v>72</v>
      </c>
      <c r="J2309" s="12">
        <f>I2309/Pondération!$I$147</f>
        <v>6.1749571183533448E-2</v>
      </c>
    </row>
    <row r="2310" spans="1:10" x14ac:dyDescent="0.25">
      <c r="A2310" s="2" t="s">
        <v>77</v>
      </c>
      <c r="B2310" s="2">
        <v>2014</v>
      </c>
      <c r="C2310" s="2" t="s">
        <v>71</v>
      </c>
      <c r="D2310" s="2" t="s">
        <v>45</v>
      </c>
      <c r="E2310" s="2" t="s">
        <v>78</v>
      </c>
      <c r="F2310" s="2" t="s">
        <v>79</v>
      </c>
      <c r="G2310" s="2">
        <f t="shared" si="36"/>
        <v>0.27744425385934818</v>
      </c>
      <c r="H2310" s="5">
        <v>4.3716216216216219</v>
      </c>
      <c r="I2310" s="2">
        <v>74</v>
      </c>
      <c r="J2310" s="12">
        <f>I2310/Pondération!$I$147</f>
        <v>6.3464837049742706E-2</v>
      </c>
    </row>
    <row r="2311" spans="1:10" x14ac:dyDescent="0.25">
      <c r="A2311" s="2" t="s">
        <v>77</v>
      </c>
      <c r="B2311" s="2">
        <v>2014</v>
      </c>
      <c r="C2311" s="2" t="s">
        <v>72</v>
      </c>
      <c r="D2311" s="2" t="s">
        <v>45</v>
      </c>
      <c r="E2311" s="2" t="s">
        <v>78</v>
      </c>
      <c r="F2311" s="2" t="s">
        <v>79</v>
      </c>
      <c r="G2311" s="2">
        <f t="shared" si="36"/>
        <v>0.11792452830188679</v>
      </c>
      <c r="H2311" s="5">
        <v>4.296875</v>
      </c>
      <c r="I2311" s="2">
        <v>32</v>
      </c>
      <c r="J2311" s="12">
        <f>I2311/Pondération!$I$147</f>
        <v>2.7444253859348199E-2</v>
      </c>
    </row>
    <row r="2312" spans="1:10" x14ac:dyDescent="0.25">
      <c r="A2312" s="2" t="s">
        <v>77</v>
      </c>
      <c r="B2312" s="2">
        <v>2015</v>
      </c>
      <c r="C2312" s="2" t="s">
        <v>73</v>
      </c>
      <c r="D2312" s="2" t="s">
        <v>45</v>
      </c>
      <c r="E2312" s="2" t="s">
        <v>78</v>
      </c>
      <c r="F2312" s="2" t="s">
        <v>79</v>
      </c>
      <c r="G2312" s="2">
        <f t="shared" si="36"/>
        <v>4.7287113790504896E-2</v>
      </c>
      <c r="H2312" s="5">
        <v>4.3275862068965516</v>
      </c>
      <c r="I2312" s="2">
        <v>29</v>
      </c>
      <c r="J2312" s="12">
        <f>I2312/Pondération!$H$147</f>
        <v>1.092690278824416E-2</v>
      </c>
    </row>
    <row r="2313" spans="1:10" x14ac:dyDescent="0.25">
      <c r="A2313" s="2" t="s">
        <v>77</v>
      </c>
      <c r="B2313" s="2">
        <v>2015</v>
      </c>
      <c r="C2313" s="2" t="s">
        <v>74</v>
      </c>
      <c r="D2313" s="2" t="s">
        <v>45</v>
      </c>
      <c r="E2313" s="2" t="s">
        <v>78</v>
      </c>
      <c r="F2313" s="2" t="s">
        <v>79</v>
      </c>
      <c r="G2313" s="2">
        <f t="shared" si="36"/>
        <v>6.4431047475508665E-2</v>
      </c>
      <c r="H2313" s="5">
        <v>4.2750000000000004</v>
      </c>
      <c r="I2313" s="2">
        <v>40</v>
      </c>
      <c r="J2313" s="12">
        <f>I2313/Pondération!$H$147</f>
        <v>1.5071590052750565E-2</v>
      </c>
    </row>
    <row r="2314" spans="1:10" x14ac:dyDescent="0.25">
      <c r="A2314" s="2" t="s">
        <v>77</v>
      </c>
      <c r="B2314" s="2">
        <v>2015</v>
      </c>
      <c r="C2314" s="2" t="s">
        <v>75</v>
      </c>
      <c r="D2314" s="2" t="s">
        <v>45</v>
      </c>
      <c r="E2314" s="2" t="s">
        <v>78</v>
      </c>
      <c r="F2314" s="2" t="s">
        <v>79</v>
      </c>
      <c r="G2314" s="2">
        <f t="shared" si="36"/>
        <v>7.1213262999246435E-2</v>
      </c>
      <c r="H2314" s="5">
        <v>4.2954545454545459</v>
      </c>
      <c r="I2314" s="2">
        <v>44</v>
      </c>
      <c r="J2314" s="12">
        <f>I2314/Pondération!$H$147</f>
        <v>1.6578749058025623E-2</v>
      </c>
    </row>
    <row r="2315" spans="1:10" x14ac:dyDescent="0.25">
      <c r="A2315" s="2" t="s">
        <v>77</v>
      </c>
      <c r="B2315" s="2">
        <v>2015</v>
      </c>
      <c r="C2315" s="2" t="s">
        <v>76</v>
      </c>
      <c r="D2315" s="2" t="s">
        <v>45</v>
      </c>
      <c r="E2315" s="2" t="s">
        <v>78</v>
      </c>
      <c r="F2315" s="2" t="s">
        <v>79</v>
      </c>
      <c r="G2315" s="2">
        <f t="shared" si="36"/>
        <v>0.24529012810851544</v>
      </c>
      <c r="H2315" s="5">
        <v>4.34</v>
      </c>
      <c r="I2315" s="2">
        <v>150</v>
      </c>
      <c r="J2315" s="12">
        <f>I2315/Pondération!$H$147</f>
        <v>5.6518462697814617E-2</v>
      </c>
    </row>
    <row r="2316" spans="1:10" x14ac:dyDescent="0.25">
      <c r="A2316" s="2" t="s">
        <v>77</v>
      </c>
      <c r="B2316" s="2">
        <v>2015</v>
      </c>
      <c r="C2316" s="2" t="s">
        <v>7</v>
      </c>
      <c r="D2316" s="2" t="s">
        <v>45</v>
      </c>
      <c r="E2316" s="2" t="s">
        <v>78</v>
      </c>
      <c r="F2316" s="2" t="s">
        <v>79</v>
      </c>
      <c r="G2316" s="2">
        <f t="shared" si="36"/>
        <v>0.37980406932931426</v>
      </c>
      <c r="H2316" s="5">
        <v>4.3448275862068968</v>
      </c>
      <c r="I2316" s="2">
        <v>232</v>
      </c>
      <c r="J2316" s="12">
        <f>I2316/Pondération!$H$147</f>
        <v>8.7415222305953277E-2</v>
      </c>
    </row>
    <row r="2317" spans="1:10" x14ac:dyDescent="0.25">
      <c r="A2317" s="2" t="s">
        <v>77</v>
      </c>
      <c r="B2317" s="2">
        <v>2015</v>
      </c>
      <c r="C2317" s="2" t="s">
        <v>11</v>
      </c>
      <c r="D2317" s="2" t="s">
        <v>45</v>
      </c>
      <c r="E2317" s="2" t="s">
        <v>78</v>
      </c>
      <c r="F2317" s="2" t="s">
        <v>79</v>
      </c>
      <c r="G2317" s="2">
        <f t="shared" si="36"/>
        <v>0.34626978146194426</v>
      </c>
      <c r="H2317" s="5">
        <v>4.3761904761904766</v>
      </c>
      <c r="I2317" s="2">
        <v>210</v>
      </c>
      <c r="J2317" s="12">
        <f>I2317/Pondération!$H$147</f>
        <v>7.9125847776940469E-2</v>
      </c>
    </row>
    <row r="2318" spans="1:10" x14ac:dyDescent="0.25">
      <c r="A2318" s="2" t="s">
        <v>77</v>
      </c>
      <c r="B2318" s="2">
        <v>2015</v>
      </c>
      <c r="C2318" s="2" t="s">
        <v>12</v>
      </c>
      <c r="D2318" s="2" t="s">
        <v>45</v>
      </c>
      <c r="E2318" s="2" t="s">
        <v>78</v>
      </c>
      <c r="F2318" s="2" t="s">
        <v>79</v>
      </c>
      <c r="G2318" s="2">
        <f t="shared" si="36"/>
        <v>0.81499623210248684</v>
      </c>
      <c r="H2318" s="5">
        <v>4.4052953156822809</v>
      </c>
      <c r="I2318" s="2">
        <v>491</v>
      </c>
      <c r="J2318" s="12">
        <f>I2318/Pondération!$H$147</f>
        <v>0.18500376789751319</v>
      </c>
    </row>
    <row r="2319" spans="1:10" x14ac:dyDescent="0.25">
      <c r="A2319" s="2" t="s">
        <v>77</v>
      </c>
      <c r="B2319" s="2">
        <v>2015</v>
      </c>
      <c r="C2319" s="2" t="s">
        <v>13</v>
      </c>
      <c r="D2319" s="2" t="s">
        <v>45</v>
      </c>
      <c r="E2319" s="2" t="s">
        <v>78</v>
      </c>
      <c r="F2319" s="2" t="s">
        <v>79</v>
      </c>
      <c r="G2319" s="2">
        <f t="shared" si="36"/>
        <v>1.5252449133383574</v>
      </c>
      <c r="H2319" s="5">
        <v>4.3809523809523814</v>
      </c>
      <c r="I2319" s="2">
        <v>924</v>
      </c>
      <c r="J2319" s="12">
        <f>I2319/Pondération!$H$147</f>
        <v>0.34815373021853807</v>
      </c>
    </row>
    <row r="2320" spans="1:10" x14ac:dyDescent="0.25">
      <c r="A2320" s="2" t="s">
        <v>77</v>
      </c>
      <c r="B2320" s="2">
        <v>2015</v>
      </c>
      <c r="C2320" s="2" t="s">
        <v>14</v>
      </c>
      <c r="D2320" s="2" t="s">
        <v>45</v>
      </c>
      <c r="E2320" s="2" t="s">
        <v>78</v>
      </c>
      <c r="F2320" s="2" t="s">
        <v>79</v>
      </c>
      <c r="G2320" s="2">
        <f t="shared" si="36"/>
        <v>0.43858327053504148</v>
      </c>
      <c r="H2320" s="5">
        <v>4.3595505617977528</v>
      </c>
      <c r="I2320" s="2">
        <v>267</v>
      </c>
      <c r="J2320" s="12">
        <f>I2320/Pondération!$H$147</f>
        <v>0.10060286360211003</v>
      </c>
    </row>
    <row r="2321" spans="1:10" x14ac:dyDescent="0.25">
      <c r="A2321" s="2" t="s">
        <v>77</v>
      </c>
      <c r="B2321" s="2">
        <v>2015</v>
      </c>
      <c r="C2321" s="2" t="s">
        <v>15</v>
      </c>
      <c r="D2321" s="2" t="s">
        <v>45</v>
      </c>
      <c r="E2321" s="2" t="s">
        <v>78</v>
      </c>
      <c r="F2321" s="2" t="s">
        <v>79</v>
      </c>
      <c r="G2321" s="2">
        <f t="shared" si="36"/>
        <v>0.22324792765636772</v>
      </c>
      <c r="H2321" s="5">
        <v>4.3566176470588234</v>
      </c>
      <c r="I2321" s="2">
        <v>136</v>
      </c>
      <c r="J2321" s="12">
        <f>I2321/Pondération!$H$147</f>
        <v>5.124340617935192E-2</v>
      </c>
    </row>
    <row r="2322" spans="1:10" x14ac:dyDescent="0.25">
      <c r="A2322" s="2" t="s">
        <v>77</v>
      </c>
      <c r="B2322" s="2">
        <v>2015</v>
      </c>
      <c r="C2322" s="2" t="s">
        <v>16</v>
      </c>
      <c r="D2322" s="2" t="s">
        <v>45</v>
      </c>
      <c r="E2322" s="2" t="s">
        <v>78</v>
      </c>
      <c r="F2322" s="2" t="s">
        <v>79</v>
      </c>
      <c r="G2322" s="2">
        <f t="shared" si="36"/>
        <v>0.11548605877920119</v>
      </c>
      <c r="H2322" s="5">
        <v>4.316901408450704</v>
      </c>
      <c r="I2322" s="2">
        <v>71</v>
      </c>
      <c r="J2322" s="12">
        <f>I2322/Pondération!$H$147</f>
        <v>2.6752072343632253E-2</v>
      </c>
    </row>
    <row r="2323" spans="1:10" x14ac:dyDescent="0.25">
      <c r="A2323" s="2" t="s">
        <v>77</v>
      </c>
      <c r="B2323" s="2">
        <v>2015</v>
      </c>
      <c r="C2323" s="2" t="s">
        <v>17</v>
      </c>
      <c r="D2323" s="2" t="s">
        <v>45</v>
      </c>
      <c r="E2323" s="2" t="s">
        <v>78</v>
      </c>
      <c r="F2323" s="2" t="s">
        <v>79</v>
      </c>
      <c r="G2323" s="2">
        <f t="shared" si="36"/>
        <v>9.7588545591559911E-2</v>
      </c>
      <c r="H2323" s="5">
        <v>4.3166666666666664</v>
      </c>
      <c r="I2323" s="2">
        <v>60</v>
      </c>
      <c r="J2323" s="12">
        <f>I2323/Pondération!$H$147</f>
        <v>2.2607385079125849E-2</v>
      </c>
    </row>
    <row r="2324" spans="1:10" x14ac:dyDescent="0.25">
      <c r="A2324" s="2" t="s">
        <v>77</v>
      </c>
      <c r="B2324" s="2">
        <v>2016</v>
      </c>
      <c r="C2324" s="2" t="s">
        <v>18</v>
      </c>
      <c r="D2324" s="2" t="s">
        <v>45</v>
      </c>
      <c r="E2324" s="2" t="s">
        <v>78</v>
      </c>
      <c r="F2324" s="2" t="s">
        <v>79</v>
      </c>
      <c r="G2324" s="2">
        <f t="shared" si="36"/>
        <v>5.2903071017274463E-2</v>
      </c>
      <c r="H2324" s="5">
        <v>4.240384615384615</v>
      </c>
      <c r="I2324" s="2">
        <v>52</v>
      </c>
      <c r="J2324" s="12">
        <f>I2324/Pondération!$G$147</f>
        <v>1.2476007677543186E-2</v>
      </c>
    </row>
    <row r="2325" spans="1:10" x14ac:dyDescent="0.25">
      <c r="A2325" s="2" t="s">
        <v>77</v>
      </c>
      <c r="B2325" s="2">
        <v>2016</v>
      </c>
      <c r="C2325" s="2" t="s">
        <v>19</v>
      </c>
      <c r="D2325" s="2" t="s">
        <v>45</v>
      </c>
      <c r="E2325" s="2" t="s">
        <v>78</v>
      </c>
      <c r="F2325" s="2" t="s">
        <v>79</v>
      </c>
      <c r="G2325" s="2">
        <f t="shared" si="36"/>
        <v>0.10112763915547024</v>
      </c>
      <c r="H2325" s="5">
        <v>4.3453608247422677</v>
      </c>
      <c r="I2325" s="2">
        <v>97</v>
      </c>
      <c r="J2325" s="12">
        <f>I2325/Pondération!$G$147</f>
        <v>2.3272552783109406E-2</v>
      </c>
    </row>
    <row r="2326" spans="1:10" x14ac:dyDescent="0.25">
      <c r="A2326" s="2" t="s">
        <v>77</v>
      </c>
      <c r="B2326" s="2">
        <v>2016</v>
      </c>
      <c r="C2326" s="2" t="s">
        <v>20</v>
      </c>
      <c r="D2326" s="2" t="s">
        <v>45</v>
      </c>
      <c r="E2326" s="2" t="s">
        <v>78</v>
      </c>
      <c r="F2326" s="2" t="s">
        <v>79</v>
      </c>
      <c r="G2326" s="2">
        <f t="shared" si="36"/>
        <v>0.10040786948176583</v>
      </c>
      <c r="H2326" s="5">
        <v>4.2704081632653059</v>
      </c>
      <c r="I2326" s="2">
        <v>98</v>
      </c>
      <c r="J2326" s="12">
        <f>I2326/Pondération!$G$147</f>
        <v>2.3512476007677544E-2</v>
      </c>
    </row>
    <row r="2327" spans="1:10" x14ac:dyDescent="0.25">
      <c r="A2327" s="2" t="s">
        <v>77</v>
      </c>
      <c r="B2327" s="2">
        <v>2016</v>
      </c>
      <c r="C2327" s="2" t="s">
        <v>21</v>
      </c>
      <c r="D2327" s="2" t="s">
        <v>45</v>
      </c>
      <c r="E2327" s="2" t="s">
        <v>78</v>
      </c>
      <c r="F2327" s="2" t="s">
        <v>79</v>
      </c>
      <c r="G2327" s="2">
        <f t="shared" si="36"/>
        <v>0.30098368522072938</v>
      </c>
      <c r="H2327" s="5">
        <v>4.3258620689655176</v>
      </c>
      <c r="I2327" s="2">
        <v>290</v>
      </c>
      <c r="J2327" s="12">
        <f>I2327/Pondération!$G$147</f>
        <v>6.9577735124760079E-2</v>
      </c>
    </row>
    <row r="2328" spans="1:10" x14ac:dyDescent="0.25">
      <c r="A2328" s="2" t="s">
        <v>77</v>
      </c>
      <c r="B2328" s="2">
        <v>2016</v>
      </c>
      <c r="C2328" s="2" t="s">
        <v>22</v>
      </c>
      <c r="D2328" s="2" t="s">
        <v>45</v>
      </c>
      <c r="E2328" s="2" t="s">
        <v>78</v>
      </c>
      <c r="F2328" s="2" t="s">
        <v>79</v>
      </c>
      <c r="G2328" s="2">
        <f t="shared" si="36"/>
        <v>0.36948176583493281</v>
      </c>
      <c r="H2328" s="5">
        <v>4.3137254901960782</v>
      </c>
      <c r="I2328" s="2">
        <v>357</v>
      </c>
      <c r="J2328" s="12">
        <f>I2328/Pondération!$G$147</f>
        <v>8.565259117082534E-2</v>
      </c>
    </row>
    <row r="2329" spans="1:10" x14ac:dyDescent="0.25">
      <c r="A2329" s="2" t="s">
        <v>77</v>
      </c>
      <c r="B2329" s="2">
        <v>2016</v>
      </c>
      <c r="C2329" s="2" t="s">
        <v>23</v>
      </c>
      <c r="D2329" s="2" t="s">
        <v>45</v>
      </c>
      <c r="E2329" s="2" t="s">
        <v>78</v>
      </c>
      <c r="F2329" s="2" t="s">
        <v>79</v>
      </c>
      <c r="G2329" s="2">
        <f t="shared" si="36"/>
        <v>0.30542226487523993</v>
      </c>
      <c r="H2329" s="5">
        <v>4.4201388888888893</v>
      </c>
      <c r="I2329" s="2">
        <v>288</v>
      </c>
      <c r="J2329" s="12">
        <f>I2329/Pondération!$G$147</f>
        <v>6.9097888675623803E-2</v>
      </c>
    </row>
    <row r="2330" spans="1:10" x14ac:dyDescent="0.25">
      <c r="A2330" s="2" t="s">
        <v>77</v>
      </c>
      <c r="B2330" s="2">
        <v>2016</v>
      </c>
      <c r="C2330" s="2" t="s">
        <v>24</v>
      </c>
      <c r="D2330" s="2" t="s">
        <v>45</v>
      </c>
      <c r="E2330" s="2" t="s">
        <v>78</v>
      </c>
      <c r="F2330" s="2" t="s">
        <v>79</v>
      </c>
      <c r="G2330" s="2">
        <f t="shared" si="36"/>
        <v>0.7363243761996161</v>
      </c>
      <c r="H2330" s="5">
        <v>4.4094827586206895</v>
      </c>
      <c r="I2330" s="2">
        <v>696</v>
      </c>
      <c r="J2330" s="12">
        <f>I2330/Pondération!$G$147</f>
        <v>0.16698656429942418</v>
      </c>
    </row>
    <row r="2331" spans="1:10" x14ac:dyDescent="0.25">
      <c r="A2331" s="2" t="s">
        <v>77</v>
      </c>
      <c r="B2331" s="2">
        <v>2016</v>
      </c>
      <c r="C2331" s="2" t="s">
        <v>25</v>
      </c>
      <c r="D2331" s="2" t="s">
        <v>45</v>
      </c>
      <c r="E2331" s="2" t="s">
        <v>78</v>
      </c>
      <c r="F2331" s="2" t="s">
        <v>79</v>
      </c>
      <c r="G2331" s="2">
        <f t="shared" si="36"/>
        <v>1.5467850287907867</v>
      </c>
      <c r="H2331" s="5">
        <v>4.427884615384615</v>
      </c>
      <c r="I2331" s="2">
        <v>1456</v>
      </c>
      <c r="J2331" s="12">
        <f>I2331/Pondération!$G$147</f>
        <v>0.34932821497120919</v>
      </c>
    </row>
    <row r="2332" spans="1:10" x14ac:dyDescent="0.25">
      <c r="A2332" s="2" t="s">
        <v>77</v>
      </c>
      <c r="B2332" s="2">
        <v>2016</v>
      </c>
      <c r="C2332" s="2" t="s">
        <v>26</v>
      </c>
      <c r="D2332" s="2" t="s">
        <v>45</v>
      </c>
      <c r="E2332" s="2" t="s">
        <v>78</v>
      </c>
      <c r="F2332" s="2" t="s">
        <v>79</v>
      </c>
      <c r="G2332" s="2">
        <f t="shared" si="36"/>
        <v>0.45525431861804222</v>
      </c>
      <c r="H2332" s="5">
        <v>4.3923611111111107</v>
      </c>
      <c r="I2332" s="2">
        <v>432</v>
      </c>
      <c r="J2332" s="12">
        <f>I2332/Pondération!$G$147</f>
        <v>0.1036468330134357</v>
      </c>
    </row>
    <row r="2333" spans="1:10" x14ac:dyDescent="0.25">
      <c r="A2333" s="2" t="s">
        <v>77</v>
      </c>
      <c r="B2333" s="2">
        <v>2016</v>
      </c>
      <c r="C2333" s="2" t="s">
        <v>27</v>
      </c>
      <c r="D2333" s="2" t="s">
        <v>45</v>
      </c>
      <c r="E2333" s="2" t="s">
        <v>78</v>
      </c>
      <c r="F2333" s="2" t="s">
        <v>79</v>
      </c>
      <c r="G2333" s="2">
        <f t="shared" si="36"/>
        <v>0.22444817658349331</v>
      </c>
      <c r="H2333" s="5">
        <v>4.3714953271028039</v>
      </c>
      <c r="I2333" s="2">
        <v>214</v>
      </c>
      <c r="J2333" s="12">
        <f>I2333/Pondération!$G$147</f>
        <v>5.1343570057581576E-2</v>
      </c>
    </row>
    <row r="2334" spans="1:10" x14ac:dyDescent="0.25">
      <c r="A2334" s="2" t="s">
        <v>77</v>
      </c>
      <c r="B2334" s="2">
        <v>2016</v>
      </c>
      <c r="C2334" s="2" t="s">
        <v>28</v>
      </c>
      <c r="D2334" s="2" t="s">
        <v>45</v>
      </c>
      <c r="E2334" s="2" t="s">
        <v>78</v>
      </c>
      <c r="F2334" s="2" t="s">
        <v>79</v>
      </c>
      <c r="G2334" s="2">
        <f t="shared" si="36"/>
        <v>0.12835892514395394</v>
      </c>
      <c r="H2334" s="5">
        <v>4.28</v>
      </c>
      <c r="I2334" s="2">
        <v>125</v>
      </c>
      <c r="J2334" s="12">
        <f>I2334/Pondération!$G$147</f>
        <v>2.9990403071017274E-2</v>
      </c>
    </row>
    <row r="2335" spans="1:10" x14ac:dyDescent="0.25">
      <c r="A2335" s="2" t="s">
        <v>77</v>
      </c>
      <c r="B2335" s="2">
        <v>2016</v>
      </c>
      <c r="C2335" s="2" t="s">
        <v>29</v>
      </c>
      <c r="D2335" s="2" t="s">
        <v>45</v>
      </c>
      <c r="E2335" s="2" t="s">
        <v>78</v>
      </c>
      <c r="F2335" s="2" t="s">
        <v>79</v>
      </c>
      <c r="G2335" s="2">
        <f t="shared" si="36"/>
        <v>6.40595009596929E-2</v>
      </c>
      <c r="H2335" s="5">
        <v>4.2380952380952381</v>
      </c>
      <c r="I2335" s="2">
        <v>63</v>
      </c>
      <c r="J2335" s="12">
        <f>I2335/Pondération!$G$147</f>
        <v>1.5115163147792706E-2</v>
      </c>
    </row>
    <row r="2336" spans="1:10" x14ac:dyDescent="0.25">
      <c r="A2336" s="2" t="s">
        <v>77</v>
      </c>
      <c r="B2336" s="2">
        <v>2017</v>
      </c>
      <c r="C2336" s="2" t="s">
        <v>30</v>
      </c>
      <c r="D2336" s="2" t="s">
        <v>45</v>
      </c>
      <c r="E2336" s="2" t="s">
        <v>78</v>
      </c>
      <c r="F2336" s="2" t="s">
        <v>79</v>
      </c>
      <c r="G2336" s="2">
        <f t="shared" si="36"/>
        <v>0.30549199084668194</v>
      </c>
      <c r="H2336" s="5">
        <v>4.4010989010989015</v>
      </c>
      <c r="I2336" s="2">
        <v>91</v>
      </c>
      <c r="J2336" s="12">
        <f>I2336/Pondération!$F$147</f>
        <v>6.9412662090007626E-2</v>
      </c>
    </row>
    <row r="2337" spans="1:10" x14ac:dyDescent="0.25">
      <c r="A2337" s="2" t="s">
        <v>77</v>
      </c>
      <c r="B2337" s="2">
        <v>2017</v>
      </c>
      <c r="C2337" s="2" t="s">
        <v>31</v>
      </c>
      <c r="D2337" s="2" t="s">
        <v>45</v>
      </c>
      <c r="E2337" s="2" t="s">
        <v>78</v>
      </c>
      <c r="F2337" s="2" t="s">
        <v>79</v>
      </c>
      <c r="G2337" s="2">
        <f t="shared" si="36"/>
        <v>0.41228070175438603</v>
      </c>
      <c r="H2337" s="5">
        <v>4.4303278688524594</v>
      </c>
      <c r="I2337" s="2">
        <v>122</v>
      </c>
      <c r="J2337" s="12">
        <f>I2337/Pondération!$F$147</f>
        <v>9.3058733790999243E-2</v>
      </c>
    </row>
    <row r="2338" spans="1:10" x14ac:dyDescent="0.25">
      <c r="A2338" s="2" t="s">
        <v>77</v>
      </c>
      <c r="B2338" s="2">
        <v>2017</v>
      </c>
      <c r="C2338" s="2" t="s">
        <v>32</v>
      </c>
      <c r="D2338" s="2" t="s">
        <v>45</v>
      </c>
      <c r="E2338" s="2" t="s">
        <v>78</v>
      </c>
      <c r="F2338" s="2" t="s">
        <v>79</v>
      </c>
      <c r="G2338" s="2">
        <f t="shared" si="36"/>
        <v>0.36803966437833718</v>
      </c>
      <c r="H2338" s="5">
        <v>4.3468468468468471</v>
      </c>
      <c r="I2338" s="2">
        <v>111</v>
      </c>
      <c r="J2338" s="12">
        <f>I2338/Pondération!$F$147</f>
        <v>8.4668192219679639E-2</v>
      </c>
    </row>
    <row r="2339" spans="1:10" x14ac:dyDescent="0.25">
      <c r="A2339" s="2" t="s">
        <v>77</v>
      </c>
      <c r="B2339" s="2">
        <v>2017</v>
      </c>
      <c r="C2339" s="2" t="s">
        <v>33</v>
      </c>
      <c r="D2339" s="2" t="s">
        <v>45</v>
      </c>
      <c r="E2339" s="2" t="s">
        <v>78</v>
      </c>
      <c r="F2339" s="2" t="s">
        <v>79</v>
      </c>
      <c r="G2339" s="2">
        <f t="shared" si="36"/>
        <v>1.3653699466056446</v>
      </c>
      <c r="H2339" s="5">
        <v>4.3765281173594133</v>
      </c>
      <c r="I2339" s="2">
        <v>409</v>
      </c>
      <c r="J2339" s="12">
        <f>I2339/Pondération!$F$147</f>
        <v>0.31197559115179252</v>
      </c>
    </row>
    <row r="2340" spans="1:10" x14ac:dyDescent="0.25">
      <c r="A2340" s="2" t="s">
        <v>77</v>
      </c>
      <c r="B2340" s="2">
        <v>2017</v>
      </c>
      <c r="C2340" s="2" t="s">
        <v>34</v>
      </c>
      <c r="D2340" s="2" t="s">
        <v>45</v>
      </c>
      <c r="E2340" s="2" t="s">
        <v>78</v>
      </c>
      <c r="F2340" s="2" t="s">
        <v>79</v>
      </c>
      <c r="G2340" s="2">
        <f t="shared" si="36"/>
        <v>1.3199847444698702</v>
      </c>
      <c r="H2340" s="5">
        <v>4.4033078880407128</v>
      </c>
      <c r="I2340" s="2">
        <v>393</v>
      </c>
      <c r="J2340" s="12">
        <f>I2340/Pondération!$F$147</f>
        <v>0.2997711670480549</v>
      </c>
    </row>
    <row r="2341" spans="1:10" x14ac:dyDescent="0.25">
      <c r="A2341" s="2" t="s">
        <v>77</v>
      </c>
      <c r="B2341" s="2">
        <v>2017</v>
      </c>
      <c r="C2341" s="2" t="s">
        <v>80</v>
      </c>
      <c r="D2341" s="2" t="s">
        <v>45</v>
      </c>
      <c r="E2341" s="2" t="s">
        <v>78</v>
      </c>
      <c r="F2341" s="2" t="s">
        <v>79</v>
      </c>
      <c r="G2341" s="2">
        <f t="shared" si="36"/>
        <v>0.62051868802440879</v>
      </c>
      <c r="H2341" s="5">
        <v>4.397297297297297</v>
      </c>
      <c r="I2341" s="2">
        <v>185</v>
      </c>
      <c r="J2341" s="12">
        <f>I2341/Pondération!$F$147</f>
        <v>0.14111365369946605</v>
      </c>
    </row>
    <row r="2342" spans="1:10" x14ac:dyDescent="0.25">
      <c r="A2342" s="2" t="s">
        <v>77</v>
      </c>
      <c r="B2342" s="2">
        <v>2013</v>
      </c>
      <c r="C2342" s="2" t="s">
        <v>49</v>
      </c>
      <c r="D2342" s="2" t="s">
        <v>45</v>
      </c>
      <c r="E2342" s="2" t="s">
        <v>78</v>
      </c>
      <c r="F2342" s="2" t="s">
        <v>81</v>
      </c>
      <c r="G2342" s="2">
        <f t="shared" si="36"/>
        <v>0.39500000000000002</v>
      </c>
      <c r="H2342" s="5">
        <v>3.95</v>
      </c>
      <c r="I2342" s="2">
        <v>10</v>
      </c>
      <c r="J2342" s="12">
        <f>I2342/Pondération!$J$148</f>
        <v>0.1</v>
      </c>
    </row>
    <row r="2343" spans="1:10" x14ac:dyDescent="0.25">
      <c r="A2343" s="2" t="s">
        <v>77</v>
      </c>
      <c r="B2343" s="2">
        <v>2013</v>
      </c>
      <c r="C2343" s="2" t="s">
        <v>50</v>
      </c>
      <c r="D2343" s="2" t="s">
        <v>45</v>
      </c>
      <c r="E2343" s="2" t="s">
        <v>78</v>
      </c>
      <c r="F2343" s="2" t="s">
        <v>81</v>
      </c>
      <c r="G2343" s="2">
        <f t="shared" si="36"/>
        <v>0.10999999999999999</v>
      </c>
      <c r="H2343" s="5">
        <v>3.6666666666666665</v>
      </c>
      <c r="I2343" s="2">
        <v>3</v>
      </c>
      <c r="J2343" s="12">
        <f>I2343/Pondération!$J$148</f>
        <v>0.03</v>
      </c>
    </row>
    <row r="2344" spans="1:10" x14ac:dyDescent="0.25">
      <c r="A2344" s="2" t="s">
        <v>77</v>
      </c>
      <c r="B2344" s="2">
        <v>2013</v>
      </c>
      <c r="C2344" s="2" t="s">
        <v>51</v>
      </c>
      <c r="D2344" s="2" t="s">
        <v>45</v>
      </c>
      <c r="E2344" s="2" t="s">
        <v>78</v>
      </c>
      <c r="F2344" s="2" t="s">
        <v>81</v>
      </c>
      <c r="G2344" s="2">
        <f t="shared" si="36"/>
        <v>8.5000000000000006E-2</v>
      </c>
      <c r="H2344" s="5">
        <v>4.25</v>
      </c>
      <c r="I2344" s="2">
        <v>2</v>
      </c>
      <c r="J2344" s="12">
        <f>I2344/Pondération!$J$148</f>
        <v>0.02</v>
      </c>
    </row>
    <row r="2345" spans="1:10" x14ac:dyDescent="0.25">
      <c r="A2345" s="2" t="s">
        <v>77</v>
      </c>
      <c r="B2345" s="2">
        <v>2013</v>
      </c>
      <c r="C2345" s="2" t="s">
        <v>52</v>
      </c>
      <c r="D2345" s="2" t="s">
        <v>45</v>
      </c>
      <c r="E2345" s="2" t="s">
        <v>78</v>
      </c>
      <c r="F2345" s="2" t="s">
        <v>81</v>
      </c>
      <c r="G2345" s="2">
        <f t="shared" si="36"/>
        <v>0.29500000000000004</v>
      </c>
      <c r="H2345" s="5">
        <v>4.2142857142857144</v>
      </c>
      <c r="I2345" s="2">
        <v>7</v>
      </c>
      <c r="J2345" s="12">
        <f>I2345/Pondération!$J$148</f>
        <v>7.0000000000000007E-2</v>
      </c>
    </row>
    <row r="2346" spans="1:10" x14ac:dyDescent="0.25">
      <c r="A2346" s="2" t="s">
        <v>77</v>
      </c>
      <c r="B2346" s="2">
        <v>2013</v>
      </c>
      <c r="C2346" s="2" t="s">
        <v>53</v>
      </c>
      <c r="D2346" s="2" t="s">
        <v>45</v>
      </c>
      <c r="E2346" s="2" t="s">
        <v>78</v>
      </c>
      <c r="F2346" s="2" t="s">
        <v>81</v>
      </c>
      <c r="G2346" s="2">
        <f t="shared" si="36"/>
        <v>0.29500000000000004</v>
      </c>
      <c r="H2346" s="5">
        <v>4.2142857142857144</v>
      </c>
      <c r="I2346" s="2">
        <v>7</v>
      </c>
      <c r="J2346" s="12">
        <f>I2346/Pondération!$J$148</f>
        <v>7.0000000000000007E-2</v>
      </c>
    </row>
    <row r="2347" spans="1:10" x14ac:dyDescent="0.25">
      <c r="A2347" s="2" t="s">
        <v>77</v>
      </c>
      <c r="B2347" s="2">
        <v>2013</v>
      </c>
      <c r="C2347" s="2" t="s">
        <v>54</v>
      </c>
      <c r="D2347" s="2" t="s">
        <v>45</v>
      </c>
      <c r="E2347" s="2" t="s">
        <v>78</v>
      </c>
      <c r="F2347" s="2" t="s">
        <v>81</v>
      </c>
      <c r="G2347" s="2">
        <f t="shared" si="36"/>
        <v>0.23499999999999999</v>
      </c>
      <c r="H2347" s="5">
        <v>3.9166666666666665</v>
      </c>
      <c r="I2347" s="2">
        <v>6</v>
      </c>
      <c r="J2347" s="12">
        <f>I2347/Pondération!$J$148</f>
        <v>0.06</v>
      </c>
    </row>
    <row r="2348" spans="1:10" x14ac:dyDescent="0.25">
      <c r="A2348" s="2" t="s">
        <v>77</v>
      </c>
      <c r="B2348" s="2">
        <v>2013</v>
      </c>
      <c r="C2348" s="2" t="s">
        <v>55</v>
      </c>
      <c r="D2348" s="2" t="s">
        <v>45</v>
      </c>
      <c r="E2348" s="2" t="s">
        <v>78</v>
      </c>
      <c r="F2348" s="2" t="s">
        <v>81</v>
      </c>
      <c r="G2348" s="2">
        <f t="shared" si="36"/>
        <v>0.32</v>
      </c>
      <c r="H2348" s="5">
        <v>4</v>
      </c>
      <c r="I2348" s="2">
        <v>8</v>
      </c>
      <c r="J2348" s="12">
        <f>I2348/Pondération!$J$148</f>
        <v>0.08</v>
      </c>
    </row>
    <row r="2349" spans="1:10" x14ac:dyDescent="0.25">
      <c r="A2349" s="2" t="s">
        <v>77</v>
      </c>
      <c r="B2349" s="2">
        <v>2013</v>
      </c>
      <c r="C2349" s="2" t="s">
        <v>56</v>
      </c>
      <c r="D2349" s="2" t="s">
        <v>45</v>
      </c>
      <c r="E2349" s="2" t="s">
        <v>78</v>
      </c>
      <c r="F2349" s="2" t="s">
        <v>81</v>
      </c>
      <c r="G2349" s="2">
        <f t="shared" si="36"/>
        <v>1.2250000000000001</v>
      </c>
      <c r="H2349" s="5">
        <v>3.828125</v>
      </c>
      <c r="I2349" s="2">
        <v>32</v>
      </c>
      <c r="J2349" s="12">
        <f>I2349/Pondération!$J$148</f>
        <v>0.32</v>
      </c>
    </row>
    <row r="2350" spans="1:10" x14ac:dyDescent="0.25">
      <c r="A2350" s="2" t="s">
        <v>77</v>
      </c>
      <c r="B2350" s="2">
        <v>2013</v>
      </c>
      <c r="C2350" s="2" t="s">
        <v>57</v>
      </c>
      <c r="D2350" s="2" t="s">
        <v>45</v>
      </c>
      <c r="E2350" s="2" t="s">
        <v>78</v>
      </c>
      <c r="F2350" s="2" t="s">
        <v>81</v>
      </c>
      <c r="G2350" s="2">
        <f t="shared" si="36"/>
        <v>0.255</v>
      </c>
      <c r="H2350" s="5">
        <v>4.25</v>
      </c>
      <c r="I2350" s="2">
        <v>6</v>
      </c>
      <c r="J2350" s="12">
        <f>I2350/Pondération!$J$148</f>
        <v>0.06</v>
      </c>
    </row>
    <row r="2351" spans="1:10" x14ac:dyDescent="0.25">
      <c r="A2351" s="2" t="s">
        <v>77</v>
      </c>
      <c r="B2351" s="2">
        <v>2013</v>
      </c>
      <c r="C2351" s="2" t="s">
        <v>58</v>
      </c>
      <c r="D2351" s="2" t="s">
        <v>45</v>
      </c>
      <c r="E2351" s="2" t="s">
        <v>78</v>
      </c>
      <c r="F2351" s="2" t="s">
        <v>81</v>
      </c>
      <c r="G2351" s="2">
        <f t="shared" si="36"/>
        <v>0.28000000000000003</v>
      </c>
      <c r="H2351" s="5">
        <v>4</v>
      </c>
      <c r="I2351" s="2">
        <v>7</v>
      </c>
      <c r="J2351" s="12">
        <f>I2351/Pondération!$J$148</f>
        <v>7.0000000000000007E-2</v>
      </c>
    </row>
    <row r="2352" spans="1:10" x14ac:dyDescent="0.25">
      <c r="A2352" s="2" t="s">
        <v>77</v>
      </c>
      <c r="B2352" s="2">
        <v>2013</v>
      </c>
      <c r="C2352" s="2" t="s">
        <v>59</v>
      </c>
      <c r="D2352" s="2" t="s">
        <v>45</v>
      </c>
      <c r="E2352" s="2" t="s">
        <v>78</v>
      </c>
      <c r="F2352" s="2" t="s">
        <v>81</v>
      </c>
      <c r="G2352" s="2">
        <f t="shared" si="36"/>
        <v>0.24</v>
      </c>
      <c r="H2352" s="5">
        <v>4</v>
      </c>
      <c r="I2352" s="2">
        <v>6</v>
      </c>
      <c r="J2352" s="12">
        <f>I2352/Pondération!$J$148</f>
        <v>0.06</v>
      </c>
    </row>
    <row r="2353" spans="1:10" x14ac:dyDescent="0.25">
      <c r="A2353" s="2" t="s">
        <v>77</v>
      </c>
      <c r="B2353" s="2">
        <v>2013</v>
      </c>
      <c r="C2353" s="2" t="s">
        <v>60</v>
      </c>
      <c r="D2353" s="2" t="s">
        <v>45</v>
      </c>
      <c r="E2353" s="2" t="s">
        <v>78</v>
      </c>
      <c r="F2353" s="2" t="s">
        <v>81</v>
      </c>
      <c r="G2353" s="2">
        <f t="shared" si="36"/>
        <v>0.24499999999999997</v>
      </c>
      <c r="H2353" s="5">
        <v>4.083333333333333</v>
      </c>
      <c r="I2353" s="2">
        <v>6</v>
      </c>
      <c r="J2353" s="12">
        <f>I2353/Pondération!$J$148</f>
        <v>0.06</v>
      </c>
    </row>
    <row r="2354" spans="1:10" x14ac:dyDescent="0.25">
      <c r="A2354" s="2" t="s">
        <v>77</v>
      </c>
      <c r="B2354" s="2">
        <v>2014</v>
      </c>
      <c r="C2354" s="2" t="s">
        <v>61</v>
      </c>
      <c r="D2354" s="2" t="s">
        <v>45</v>
      </c>
      <c r="E2354" s="2" t="s">
        <v>78</v>
      </c>
      <c r="F2354" s="2" t="s">
        <v>81</v>
      </c>
      <c r="G2354" s="2">
        <f t="shared" si="36"/>
        <v>0.10038610038610038</v>
      </c>
      <c r="H2354" s="5">
        <v>4.333333333333333</v>
      </c>
      <c r="I2354" s="2">
        <v>6</v>
      </c>
      <c r="J2354" s="12">
        <f>I2354/Pondération!$I$148</f>
        <v>2.3166023166023165E-2</v>
      </c>
    </row>
    <row r="2355" spans="1:10" x14ac:dyDescent="0.25">
      <c r="A2355" s="2" t="s">
        <v>77</v>
      </c>
      <c r="B2355" s="2">
        <v>2014</v>
      </c>
      <c r="C2355" s="2" t="s">
        <v>62</v>
      </c>
      <c r="D2355" s="2" t="s">
        <v>45</v>
      </c>
      <c r="E2355" s="2" t="s">
        <v>78</v>
      </c>
      <c r="F2355" s="2" t="s">
        <v>81</v>
      </c>
      <c r="G2355" s="2">
        <f t="shared" si="36"/>
        <v>7.3359073359073351E-2</v>
      </c>
      <c r="H2355" s="5">
        <v>3.8</v>
      </c>
      <c r="I2355" s="2">
        <v>5</v>
      </c>
      <c r="J2355" s="12">
        <f>I2355/Pondération!$I$148</f>
        <v>1.9305019305019305E-2</v>
      </c>
    </row>
    <row r="2356" spans="1:10" x14ac:dyDescent="0.25">
      <c r="A2356" s="2" t="s">
        <v>77</v>
      </c>
      <c r="B2356" s="2">
        <v>2014</v>
      </c>
      <c r="C2356" s="2" t="s">
        <v>63</v>
      </c>
      <c r="D2356" s="2" t="s">
        <v>45</v>
      </c>
      <c r="E2356" s="2" t="s">
        <v>78</v>
      </c>
      <c r="F2356" s="2" t="s">
        <v>81</v>
      </c>
      <c r="G2356" s="2">
        <f t="shared" si="36"/>
        <v>7.9150579150579145E-2</v>
      </c>
      <c r="H2356" s="5">
        <v>4.0999999999999996</v>
      </c>
      <c r="I2356" s="2">
        <v>5</v>
      </c>
      <c r="J2356" s="12">
        <f>I2356/Pondération!$I$148</f>
        <v>1.9305019305019305E-2</v>
      </c>
    </row>
    <row r="2357" spans="1:10" x14ac:dyDescent="0.25">
      <c r="A2357" s="2" t="s">
        <v>77</v>
      </c>
      <c r="B2357" s="2">
        <v>2014</v>
      </c>
      <c r="C2357" s="2" t="s">
        <v>64</v>
      </c>
      <c r="D2357" s="2" t="s">
        <v>45</v>
      </c>
      <c r="E2357" s="2" t="s">
        <v>78</v>
      </c>
      <c r="F2357" s="2" t="s">
        <v>81</v>
      </c>
      <c r="G2357" s="2">
        <f t="shared" si="36"/>
        <v>0.18339768339768339</v>
      </c>
      <c r="H2357" s="5">
        <v>3.9583333333333335</v>
      </c>
      <c r="I2357" s="2">
        <v>12</v>
      </c>
      <c r="J2357" s="12">
        <f>I2357/Pondération!$I$148</f>
        <v>4.633204633204633E-2</v>
      </c>
    </row>
    <row r="2358" spans="1:10" x14ac:dyDescent="0.25">
      <c r="A2358" s="2" t="s">
        <v>77</v>
      </c>
      <c r="B2358" s="2">
        <v>2014</v>
      </c>
      <c r="C2358" s="2" t="s">
        <v>65</v>
      </c>
      <c r="D2358" s="2" t="s">
        <v>45</v>
      </c>
      <c r="E2358" s="2" t="s">
        <v>78</v>
      </c>
      <c r="F2358" s="2" t="s">
        <v>81</v>
      </c>
      <c r="G2358" s="2">
        <f t="shared" si="36"/>
        <v>0.37258687258687262</v>
      </c>
      <c r="H2358" s="5">
        <v>4.1956521739130439</v>
      </c>
      <c r="I2358" s="2">
        <v>23</v>
      </c>
      <c r="J2358" s="12">
        <f>I2358/Pondération!$I$148</f>
        <v>8.8803088803088806E-2</v>
      </c>
    </row>
    <row r="2359" spans="1:10" x14ac:dyDescent="0.25">
      <c r="A2359" s="2" t="s">
        <v>77</v>
      </c>
      <c r="B2359" s="2">
        <v>2014</v>
      </c>
      <c r="C2359" s="2" t="s">
        <v>66</v>
      </c>
      <c r="D2359" s="2" t="s">
        <v>45</v>
      </c>
      <c r="E2359" s="2" t="s">
        <v>78</v>
      </c>
      <c r="F2359" s="2" t="s">
        <v>81</v>
      </c>
      <c r="G2359" s="2">
        <f t="shared" si="36"/>
        <v>0.28764478764478768</v>
      </c>
      <c r="H2359" s="5">
        <v>3.9210526315789473</v>
      </c>
      <c r="I2359" s="2">
        <v>19</v>
      </c>
      <c r="J2359" s="12">
        <f>I2359/Pondération!$I$148</f>
        <v>7.3359073359073365E-2</v>
      </c>
    </row>
    <row r="2360" spans="1:10" x14ac:dyDescent="0.25">
      <c r="A2360" s="2" t="s">
        <v>77</v>
      </c>
      <c r="B2360" s="2">
        <v>2014</v>
      </c>
      <c r="C2360" s="2" t="s">
        <v>67</v>
      </c>
      <c r="D2360" s="2" t="s">
        <v>45</v>
      </c>
      <c r="E2360" s="2" t="s">
        <v>78</v>
      </c>
      <c r="F2360" s="2" t="s">
        <v>81</v>
      </c>
      <c r="G2360" s="2">
        <f t="shared" si="36"/>
        <v>0.68339768339768348</v>
      </c>
      <c r="H2360" s="5">
        <v>4.2142857142857144</v>
      </c>
      <c r="I2360" s="2">
        <v>42</v>
      </c>
      <c r="J2360" s="12">
        <f>I2360/Pondération!$I$148</f>
        <v>0.16216216216216217</v>
      </c>
    </row>
    <row r="2361" spans="1:10" x14ac:dyDescent="0.25">
      <c r="A2361" s="2" t="s">
        <v>77</v>
      </c>
      <c r="B2361" s="2">
        <v>2014</v>
      </c>
      <c r="C2361" s="2" t="s">
        <v>68</v>
      </c>
      <c r="D2361" s="2" t="s">
        <v>45</v>
      </c>
      <c r="E2361" s="2" t="s">
        <v>78</v>
      </c>
      <c r="F2361" s="2" t="s">
        <v>81</v>
      </c>
      <c r="G2361" s="2">
        <f t="shared" si="36"/>
        <v>0.99227799227799229</v>
      </c>
      <c r="H2361" s="5">
        <v>4.145161290322581</v>
      </c>
      <c r="I2361" s="2">
        <v>62</v>
      </c>
      <c r="J2361" s="12">
        <f>I2361/Pondération!$I$148</f>
        <v>0.23938223938223938</v>
      </c>
    </row>
    <row r="2362" spans="1:10" x14ac:dyDescent="0.25">
      <c r="A2362" s="2" t="s">
        <v>77</v>
      </c>
      <c r="B2362" s="2">
        <v>2014</v>
      </c>
      <c r="C2362" s="2" t="s">
        <v>69</v>
      </c>
      <c r="D2362" s="2" t="s">
        <v>45</v>
      </c>
      <c r="E2362" s="2" t="s">
        <v>78</v>
      </c>
      <c r="F2362" s="2" t="s">
        <v>81</v>
      </c>
      <c r="G2362" s="2">
        <f t="shared" si="36"/>
        <v>0.51158301158301167</v>
      </c>
      <c r="H2362" s="5">
        <v>4.416666666666667</v>
      </c>
      <c r="I2362" s="2">
        <v>30</v>
      </c>
      <c r="J2362" s="12">
        <f>I2362/Pondération!$I$148</f>
        <v>0.11583011583011583</v>
      </c>
    </row>
    <row r="2363" spans="1:10" x14ac:dyDescent="0.25">
      <c r="A2363" s="2" t="s">
        <v>77</v>
      </c>
      <c r="B2363" s="2">
        <v>2014</v>
      </c>
      <c r="C2363" s="2" t="s">
        <v>70</v>
      </c>
      <c r="D2363" s="2" t="s">
        <v>45</v>
      </c>
      <c r="E2363" s="2" t="s">
        <v>78</v>
      </c>
      <c r="F2363" s="2" t="s">
        <v>81</v>
      </c>
      <c r="G2363" s="2">
        <f t="shared" si="36"/>
        <v>0.35907335907335908</v>
      </c>
      <c r="H2363" s="5">
        <v>4.2272727272727275</v>
      </c>
      <c r="I2363" s="2">
        <v>22</v>
      </c>
      <c r="J2363" s="12">
        <f>I2363/Pondération!$I$148</f>
        <v>8.4942084942084939E-2</v>
      </c>
    </row>
    <row r="2364" spans="1:10" x14ac:dyDescent="0.25">
      <c r="A2364" s="2" t="s">
        <v>77</v>
      </c>
      <c r="B2364" s="2">
        <v>2014</v>
      </c>
      <c r="C2364" s="2" t="s">
        <v>71</v>
      </c>
      <c r="D2364" s="2" t="s">
        <v>45</v>
      </c>
      <c r="E2364" s="2" t="s">
        <v>78</v>
      </c>
      <c r="F2364" s="2" t="s">
        <v>81</v>
      </c>
      <c r="G2364" s="2">
        <f t="shared" si="36"/>
        <v>0.29150579150579148</v>
      </c>
      <c r="H2364" s="5">
        <v>4.4411764705882355</v>
      </c>
      <c r="I2364" s="2">
        <v>17</v>
      </c>
      <c r="J2364" s="12">
        <f>I2364/Pondération!$I$148</f>
        <v>6.5637065637065631E-2</v>
      </c>
    </row>
    <row r="2365" spans="1:10" x14ac:dyDescent="0.25">
      <c r="A2365" s="2" t="s">
        <v>77</v>
      </c>
      <c r="B2365" s="2">
        <v>2014</v>
      </c>
      <c r="C2365" s="2" t="s">
        <v>72</v>
      </c>
      <c r="D2365" s="2" t="s">
        <v>45</v>
      </c>
      <c r="E2365" s="2" t="s">
        <v>78</v>
      </c>
      <c r="F2365" s="2" t="s">
        <v>81</v>
      </c>
      <c r="G2365" s="2">
        <f t="shared" si="36"/>
        <v>0.27413127413127414</v>
      </c>
      <c r="H2365" s="5">
        <v>4.4375</v>
      </c>
      <c r="I2365" s="2">
        <v>16</v>
      </c>
      <c r="J2365" s="12">
        <f>I2365/Pondération!$I$148</f>
        <v>6.1776061776061778E-2</v>
      </c>
    </row>
    <row r="2366" spans="1:10" x14ac:dyDescent="0.25">
      <c r="A2366" s="2" t="s">
        <v>77</v>
      </c>
      <c r="B2366" s="2">
        <v>2015</v>
      </c>
      <c r="C2366" s="2" t="s">
        <v>73</v>
      </c>
      <c r="D2366" s="2" t="s">
        <v>45</v>
      </c>
      <c r="E2366" s="2" t="s">
        <v>78</v>
      </c>
      <c r="F2366" s="2" t="s">
        <v>81</v>
      </c>
      <c r="G2366" s="2">
        <f t="shared" si="36"/>
        <v>6.5995525727069362E-2</v>
      </c>
      <c r="H2366" s="5">
        <v>4.2142857142857144</v>
      </c>
      <c r="I2366" s="2">
        <v>14</v>
      </c>
      <c r="J2366" s="12">
        <f>I2366/Pondération!$H$148</f>
        <v>1.5659955257270694E-2</v>
      </c>
    </row>
    <row r="2367" spans="1:10" x14ac:dyDescent="0.25">
      <c r="A2367" s="2" t="s">
        <v>77</v>
      </c>
      <c r="B2367" s="2">
        <v>2015</v>
      </c>
      <c r="C2367" s="2" t="s">
        <v>74</v>
      </c>
      <c r="D2367" s="2" t="s">
        <v>45</v>
      </c>
      <c r="E2367" s="2" t="s">
        <v>78</v>
      </c>
      <c r="F2367" s="2" t="s">
        <v>81</v>
      </c>
      <c r="G2367" s="2">
        <f t="shared" si="36"/>
        <v>8.2214765100671133E-2</v>
      </c>
      <c r="H2367" s="5">
        <v>4.083333333333333</v>
      </c>
      <c r="I2367" s="2">
        <v>18</v>
      </c>
      <c r="J2367" s="12">
        <f>I2367/Pondération!$H$148</f>
        <v>2.0134228187919462E-2</v>
      </c>
    </row>
    <row r="2368" spans="1:10" x14ac:dyDescent="0.25">
      <c r="A2368" s="2" t="s">
        <v>77</v>
      </c>
      <c r="B2368" s="2">
        <v>2015</v>
      </c>
      <c r="C2368" s="2" t="s">
        <v>75</v>
      </c>
      <c r="D2368" s="2" t="s">
        <v>45</v>
      </c>
      <c r="E2368" s="2" t="s">
        <v>78</v>
      </c>
      <c r="F2368" s="2" t="s">
        <v>81</v>
      </c>
      <c r="G2368" s="2">
        <f t="shared" si="36"/>
        <v>0.10514541387024609</v>
      </c>
      <c r="H2368" s="5">
        <v>4.4761904761904763</v>
      </c>
      <c r="I2368" s="2">
        <v>21</v>
      </c>
      <c r="J2368" s="12">
        <f>I2368/Pondération!$H$148</f>
        <v>2.3489932885906041E-2</v>
      </c>
    </row>
    <row r="2369" spans="1:10" x14ac:dyDescent="0.25">
      <c r="A2369" s="2" t="s">
        <v>77</v>
      </c>
      <c r="B2369" s="2">
        <v>2015</v>
      </c>
      <c r="C2369" s="2" t="s">
        <v>76</v>
      </c>
      <c r="D2369" s="2" t="s">
        <v>45</v>
      </c>
      <c r="E2369" s="2" t="s">
        <v>78</v>
      </c>
      <c r="F2369" s="2" t="s">
        <v>81</v>
      </c>
      <c r="G2369" s="2">
        <f t="shared" si="36"/>
        <v>0.22147651006711411</v>
      </c>
      <c r="H2369" s="5">
        <v>4.5</v>
      </c>
      <c r="I2369" s="2">
        <v>44</v>
      </c>
      <c r="J2369" s="12">
        <f>I2369/Pondération!$H$148</f>
        <v>4.9217002237136466E-2</v>
      </c>
    </row>
    <row r="2370" spans="1:10" x14ac:dyDescent="0.25">
      <c r="A2370" s="2" t="s">
        <v>77</v>
      </c>
      <c r="B2370" s="2">
        <v>2015</v>
      </c>
      <c r="C2370" s="2" t="s">
        <v>7</v>
      </c>
      <c r="D2370" s="2" t="s">
        <v>45</v>
      </c>
      <c r="E2370" s="2" t="s">
        <v>78</v>
      </c>
      <c r="F2370" s="2" t="s">
        <v>81</v>
      </c>
      <c r="G2370" s="2">
        <f t="shared" ref="G2370:G2433" si="37">H2370*J2370</f>
        <v>0.35682326621923943</v>
      </c>
      <c r="H2370" s="5">
        <v>4.1973684210526319</v>
      </c>
      <c r="I2370" s="2">
        <v>76</v>
      </c>
      <c r="J2370" s="12">
        <f>I2370/Pondération!$H$148</f>
        <v>8.5011185682326629E-2</v>
      </c>
    </row>
    <row r="2371" spans="1:10" x14ac:dyDescent="0.25">
      <c r="A2371" s="2" t="s">
        <v>77</v>
      </c>
      <c r="B2371" s="2">
        <v>2015</v>
      </c>
      <c r="C2371" s="2" t="s">
        <v>11</v>
      </c>
      <c r="D2371" s="2" t="s">
        <v>45</v>
      </c>
      <c r="E2371" s="2" t="s">
        <v>78</v>
      </c>
      <c r="F2371" s="2" t="s">
        <v>81</v>
      </c>
      <c r="G2371" s="2">
        <f t="shared" si="37"/>
        <v>0.26230425055928414</v>
      </c>
      <c r="H2371" s="5">
        <v>4.1875</v>
      </c>
      <c r="I2371" s="2">
        <v>56</v>
      </c>
      <c r="J2371" s="12">
        <f>I2371/Pondération!$H$148</f>
        <v>6.2639821029082776E-2</v>
      </c>
    </row>
    <row r="2372" spans="1:10" x14ac:dyDescent="0.25">
      <c r="A2372" s="2" t="s">
        <v>77</v>
      </c>
      <c r="B2372" s="2">
        <v>2015</v>
      </c>
      <c r="C2372" s="2" t="s">
        <v>12</v>
      </c>
      <c r="D2372" s="2" t="s">
        <v>45</v>
      </c>
      <c r="E2372" s="2" t="s">
        <v>78</v>
      </c>
      <c r="F2372" s="2" t="s">
        <v>81</v>
      </c>
      <c r="G2372" s="2">
        <f t="shared" si="37"/>
        <v>0.66666666666666663</v>
      </c>
      <c r="H2372" s="5">
        <v>4.3188405797101446</v>
      </c>
      <c r="I2372" s="2">
        <v>138</v>
      </c>
      <c r="J2372" s="12">
        <f>I2372/Pondération!$H$148</f>
        <v>0.15436241610738255</v>
      </c>
    </row>
    <row r="2373" spans="1:10" x14ac:dyDescent="0.25">
      <c r="A2373" s="2" t="s">
        <v>77</v>
      </c>
      <c r="B2373" s="2">
        <v>2015</v>
      </c>
      <c r="C2373" s="2" t="s">
        <v>13</v>
      </c>
      <c r="D2373" s="2" t="s">
        <v>45</v>
      </c>
      <c r="E2373" s="2" t="s">
        <v>78</v>
      </c>
      <c r="F2373" s="2" t="s">
        <v>81</v>
      </c>
      <c r="G2373" s="2">
        <f t="shared" si="37"/>
        <v>0.97203579418344521</v>
      </c>
      <c r="H2373" s="5">
        <v>4.1380952380952385</v>
      </c>
      <c r="I2373" s="2">
        <v>210</v>
      </c>
      <c r="J2373" s="12">
        <f>I2373/Pondération!$H$148</f>
        <v>0.2348993288590604</v>
      </c>
    </row>
    <row r="2374" spans="1:10" x14ac:dyDescent="0.25">
      <c r="A2374" s="2" t="s">
        <v>77</v>
      </c>
      <c r="B2374" s="2">
        <v>2015</v>
      </c>
      <c r="C2374" s="2" t="s">
        <v>14</v>
      </c>
      <c r="D2374" s="2" t="s">
        <v>45</v>
      </c>
      <c r="E2374" s="2" t="s">
        <v>78</v>
      </c>
      <c r="F2374" s="2" t="s">
        <v>81</v>
      </c>
      <c r="G2374" s="2">
        <f t="shared" si="37"/>
        <v>0.42281879194630873</v>
      </c>
      <c r="H2374" s="5">
        <v>4.2</v>
      </c>
      <c r="I2374" s="2">
        <v>90</v>
      </c>
      <c r="J2374" s="12">
        <f>I2374/Pondération!$H$148</f>
        <v>0.10067114093959731</v>
      </c>
    </row>
    <row r="2375" spans="1:10" x14ac:dyDescent="0.25">
      <c r="A2375" s="2" t="s">
        <v>77</v>
      </c>
      <c r="B2375" s="2">
        <v>2015</v>
      </c>
      <c r="C2375" s="2" t="s">
        <v>15</v>
      </c>
      <c r="D2375" s="2" t="s">
        <v>45</v>
      </c>
      <c r="E2375" s="2" t="s">
        <v>78</v>
      </c>
      <c r="F2375" s="2" t="s">
        <v>81</v>
      </c>
      <c r="G2375" s="2">
        <f t="shared" si="37"/>
        <v>0.35123042505592839</v>
      </c>
      <c r="H2375" s="5">
        <v>4.243243243243243</v>
      </c>
      <c r="I2375" s="2">
        <v>74</v>
      </c>
      <c r="J2375" s="12">
        <f>I2375/Pondération!$H$148</f>
        <v>8.2774049217002238E-2</v>
      </c>
    </row>
    <row r="2376" spans="1:10" x14ac:dyDescent="0.25">
      <c r="A2376" s="2" t="s">
        <v>77</v>
      </c>
      <c r="B2376" s="2">
        <v>2015</v>
      </c>
      <c r="C2376" s="2" t="s">
        <v>16</v>
      </c>
      <c r="D2376" s="2" t="s">
        <v>45</v>
      </c>
      <c r="E2376" s="2" t="s">
        <v>78</v>
      </c>
      <c r="F2376" s="2" t="s">
        <v>81</v>
      </c>
      <c r="G2376" s="2">
        <f t="shared" si="37"/>
        <v>0.33333333333333331</v>
      </c>
      <c r="H2376" s="5">
        <v>4.3188405797101446</v>
      </c>
      <c r="I2376" s="2">
        <v>69</v>
      </c>
      <c r="J2376" s="12">
        <f>I2376/Pondération!$H$148</f>
        <v>7.7181208053691275E-2</v>
      </c>
    </row>
    <row r="2377" spans="1:10" x14ac:dyDescent="0.25">
      <c r="A2377" s="2" t="s">
        <v>77</v>
      </c>
      <c r="B2377" s="2">
        <v>2015</v>
      </c>
      <c r="C2377" s="2" t="s">
        <v>17</v>
      </c>
      <c r="D2377" s="2" t="s">
        <v>45</v>
      </c>
      <c r="E2377" s="2" t="s">
        <v>78</v>
      </c>
      <c r="F2377" s="2" t="s">
        <v>81</v>
      </c>
      <c r="G2377" s="2">
        <f t="shared" si="37"/>
        <v>0.39485458612975394</v>
      </c>
      <c r="H2377" s="5">
        <v>4.2023809523809526</v>
      </c>
      <c r="I2377" s="2">
        <v>84</v>
      </c>
      <c r="J2377" s="12">
        <f>I2377/Pondération!$H$148</f>
        <v>9.3959731543624164E-2</v>
      </c>
    </row>
    <row r="2378" spans="1:10" x14ac:dyDescent="0.25">
      <c r="A2378" s="2" t="s">
        <v>77</v>
      </c>
      <c r="B2378" s="2">
        <v>2016</v>
      </c>
      <c r="C2378" s="2" t="s">
        <v>18</v>
      </c>
      <c r="D2378" s="2" t="s">
        <v>45</v>
      </c>
      <c r="E2378" s="2" t="s">
        <v>78</v>
      </c>
      <c r="F2378" s="2" t="s">
        <v>81</v>
      </c>
      <c r="G2378" s="2">
        <f t="shared" si="37"/>
        <v>0.17418032786885246</v>
      </c>
      <c r="H2378" s="5">
        <v>4.25</v>
      </c>
      <c r="I2378" s="2">
        <v>80</v>
      </c>
      <c r="J2378" s="12">
        <f>I2378/Pondération!$G$148</f>
        <v>4.0983606557377046E-2</v>
      </c>
    </row>
    <row r="2379" spans="1:10" x14ac:dyDescent="0.25">
      <c r="A2379" s="2" t="s">
        <v>77</v>
      </c>
      <c r="B2379" s="2">
        <v>2016</v>
      </c>
      <c r="C2379" s="2" t="s">
        <v>19</v>
      </c>
      <c r="D2379" s="2" t="s">
        <v>45</v>
      </c>
      <c r="E2379" s="2" t="s">
        <v>78</v>
      </c>
      <c r="F2379" s="2" t="s">
        <v>81</v>
      </c>
      <c r="G2379" s="2">
        <f t="shared" si="37"/>
        <v>0.21337090163934425</v>
      </c>
      <c r="H2379" s="5">
        <v>4.2070707070707067</v>
      </c>
      <c r="I2379" s="2">
        <v>99</v>
      </c>
      <c r="J2379" s="12">
        <f>I2379/Pondération!$G$148</f>
        <v>5.0717213114754099E-2</v>
      </c>
    </row>
    <row r="2380" spans="1:10" x14ac:dyDescent="0.25">
      <c r="A2380" s="2" t="s">
        <v>77</v>
      </c>
      <c r="B2380" s="2">
        <v>2016</v>
      </c>
      <c r="C2380" s="2" t="s">
        <v>20</v>
      </c>
      <c r="D2380" s="2" t="s">
        <v>45</v>
      </c>
      <c r="E2380" s="2" t="s">
        <v>78</v>
      </c>
      <c r="F2380" s="2" t="s">
        <v>81</v>
      </c>
      <c r="G2380" s="2">
        <f t="shared" si="37"/>
        <v>0.18852459016393444</v>
      </c>
      <c r="H2380" s="5">
        <v>4.3809523809523814</v>
      </c>
      <c r="I2380" s="2">
        <v>84</v>
      </c>
      <c r="J2380" s="12">
        <f>I2380/Pondération!$G$148</f>
        <v>4.3032786885245901E-2</v>
      </c>
    </row>
    <row r="2381" spans="1:10" x14ac:dyDescent="0.25">
      <c r="A2381" s="2" t="s">
        <v>77</v>
      </c>
      <c r="B2381" s="2">
        <v>2016</v>
      </c>
      <c r="C2381" s="2" t="s">
        <v>21</v>
      </c>
      <c r="D2381" s="2" t="s">
        <v>45</v>
      </c>
      <c r="E2381" s="2" t="s">
        <v>78</v>
      </c>
      <c r="F2381" s="2" t="s">
        <v>81</v>
      </c>
      <c r="G2381" s="2">
        <f t="shared" si="37"/>
        <v>0.30635245901639346</v>
      </c>
      <c r="H2381" s="5">
        <v>4.3021582733812949</v>
      </c>
      <c r="I2381" s="2">
        <v>139</v>
      </c>
      <c r="J2381" s="12">
        <f>I2381/Pondération!$G$148</f>
        <v>7.1209016393442626E-2</v>
      </c>
    </row>
    <row r="2382" spans="1:10" x14ac:dyDescent="0.25">
      <c r="A2382" s="2" t="s">
        <v>77</v>
      </c>
      <c r="B2382" s="2">
        <v>2016</v>
      </c>
      <c r="C2382" s="2" t="s">
        <v>22</v>
      </c>
      <c r="D2382" s="2" t="s">
        <v>45</v>
      </c>
      <c r="E2382" s="2" t="s">
        <v>78</v>
      </c>
      <c r="F2382" s="2" t="s">
        <v>81</v>
      </c>
      <c r="G2382" s="2">
        <f t="shared" si="37"/>
        <v>0.2497438524590164</v>
      </c>
      <c r="H2382" s="5">
        <v>4.2763157894736841</v>
      </c>
      <c r="I2382" s="2">
        <v>114</v>
      </c>
      <c r="J2382" s="12">
        <f>I2382/Pondération!$G$148</f>
        <v>5.8401639344262297E-2</v>
      </c>
    </row>
    <row r="2383" spans="1:10" x14ac:dyDescent="0.25">
      <c r="A2383" s="2" t="s">
        <v>77</v>
      </c>
      <c r="B2383" s="2">
        <v>2016</v>
      </c>
      <c r="C2383" s="2" t="s">
        <v>23</v>
      </c>
      <c r="D2383" s="2" t="s">
        <v>45</v>
      </c>
      <c r="E2383" s="2" t="s">
        <v>78</v>
      </c>
      <c r="F2383" s="2" t="s">
        <v>81</v>
      </c>
      <c r="G2383" s="2">
        <f t="shared" si="37"/>
        <v>0.29738729508196721</v>
      </c>
      <c r="H2383" s="5">
        <v>4.3320895522388057</v>
      </c>
      <c r="I2383" s="2">
        <v>134</v>
      </c>
      <c r="J2383" s="12">
        <f>I2383/Pondération!$G$148</f>
        <v>6.8647540983606564E-2</v>
      </c>
    </row>
    <row r="2384" spans="1:10" x14ac:dyDescent="0.25">
      <c r="A2384" s="2" t="s">
        <v>77</v>
      </c>
      <c r="B2384" s="2">
        <v>2016</v>
      </c>
      <c r="C2384" s="2" t="s">
        <v>24</v>
      </c>
      <c r="D2384" s="2" t="s">
        <v>45</v>
      </c>
      <c r="E2384" s="2" t="s">
        <v>78</v>
      </c>
      <c r="F2384" s="2" t="s">
        <v>81</v>
      </c>
      <c r="G2384" s="2">
        <f t="shared" si="37"/>
        <v>0.54405737704918022</v>
      </c>
      <c r="H2384" s="5">
        <v>4.1811023622047241</v>
      </c>
      <c r="I2384" s="2">
        <v>254</v>
      </c>
      <c r="J2384" s="12">
        <f>I2384/Pondération!$G$148</f>
        <v>0.13012295081967212</v>
      </c>
    </row>
    <row r="2385" spans="1:10" x14ac:dyDescent="0.25">
      <c r="A2385" s="2" t="s">
        <v>77</v>
      </c>
      <c r="B2385" s="2">
        <v>2016</v>
      </c>
      <c r="C2385" s="2" t="s">
        <v>25</v>
      </c>
      <c r="D2385" s="2" t="s">
        <v>45</v>
      </c>
      <c r="E2385" s="2" t="s">
        <v>78</v>
      </c>
      <c r="F2385" s="2" t="s">
        <v>81</v>
      </c>
      <c r="G2385" s="2">
        <f t="shared" si="37"/>
        <v>1.020235655737705</v>
      </c>
      <c r="H2385" s="5">
        <v>4.2282377919320595</v>
      </c>
      <c r="I2385" s="2">
        <v>471</v>
      </c>
      <c r="J2385" s="12">
        <f>I2385/Pondération!$G$148</f>
        <v>0.24129098360655737</v>
      </c>
    </row>
    <row r="2386" spans="1:10" x14ac:dyDescent="0.25">
      <c r="A2386" s="2" t="s">
        <v>77</v>
      </c>
      <c r="B2386" s="2">
        <v>2016</v>
      </c>
      <c r="C2386" s="2" t="s">
        <v>26</v>
      </c>
      <c r="D2386" s="2" t="s">
        <v>45</v>
      </c>
      <c r="E2386" s="2" t="s">
        <v>78</v>
      </c>
      <c r="F2386" s="2" t="s">
        <v>81</v>
      </c>
      <c r="G2386" s="2">
        <f t="shared" si="37"/>
        <v>0.39088114754098363</v>
      </c>
      <c r="H2386" s="5">
        <v>4.3107344632768365</v>
      </c>
      <c r="I2386" s="2">
        <v>177</v>
      </c>
      <c r="J2386" s="12">
        <f>I2386/Pondération!$G$148</f>
        <v>9.0676229508196718E-2</v>
      </c>
    </row>
    <row r="2387" spans="1:10" x14ac:dyDescent="0.25">
      <c r="A2387" s="2" t="s">
        <v>77</v>
      </c>
      <c r="B2387" s="2">
        <v>2016</v>
      </c>
      <c r="C2387" s="2" t="s">
        <v>27</v>
      </c>
      <c r="D2387" s="2" t="s">
        <v>45</v>
      </c>
      <c r="E2387" s="2" t="s">
        <v>78</v>
      </c>
      <c r="F2387" s="2" t="s">
        <v>81</v>
      </c>
      <c r="G2387" s="2">
        <f t="shared" si="37"/>
        <v>0.31839139344262302</v>
      </c>
      <c r="H2387" s="5">
        <v>4.4078014184397167</v>
      </c>
      <c r="I2387" s="2">
        <v>141</v>
      </c>
      <c r="J2387" s="12">
        <f>I2387/Pondération!$G$148</f>
        <v>7.2233606557377053E-2</v>
      </c>
    </row>
    <row r="2388" spans="1:10" x14ac:dyDescent="0.25">
      <c r="A2388" s="2" t="s">
        <v>77</v>
      </c>
      <c r="B2388" s="2">
        <v>2016</v>
      </c>
      <c r="C2388" s="2" t="s">
        <v>28</v>
      </c>
      <c r="D2388" s="2" t="s">
        <v>45</v>
      </c>
      <c r="E2388" s="2" t="s">
        <v>78</v>
      </c>
      <c r="F2388" s="2" t="s">
        <v>81</v>
      </c>
      <c r="G2388" s="2">
        <f t="shared" si="37"/>
        <v>0.26101434426229508</v>
      </c>
      <c r="H2388" s="5">
        <v>4.3922413793103452</v>
      </c>
      <c r="I2388" s="2">
        <v>116</v>
      </c>
      <c r="J2388" s="12">
        <f>I2388/Pondération!$G$148</f>
        <v>5.9426229508196718E-2</v>
      </c>
    </row>
    <row r="2389" spans="1:10" x14ac:dyDescent="0.25">
      <c r="A2389" s="2" t="s">
        <v>77</v>
      </c>
      <c r="B2389" s="2">
        <v>2016</v>
      </c>
      <c r="C2389" s="2" t="s">
        <v>29</v>
      </c>
      <c r="D2389" s="2" t="s">
        <v>45</v>
      </c>
      <c r="E2389" s="2" t="s">
        <v>78</v>
      </c>
      <c r="F2389" s="2" t="s">
        <v>81</v>
      </c>
      <c r="G2389" s="2">
        <f t="shared" si="37"/>
        <v>0.32658811475409838</v>
      </c>
      <c r="H2389" s="5">
        <v>4.4580419580419584</v>
      </c>
      <c r="I2389" s="2">
        <v>143</v>
      </c>
      <c r="J2389" s="12">
        <f>I2389/Pondération!$G$148</f>
        <v>7.325819672131148E-2</v>
      </c>
    </row>
    <row r="2390" spans="1:10" x14ac:dyDescent="0.25">
      <c r="A2390" s="2" t="s">
        <v>77</v>
      </c>
      <c r="B2390" s="2">
        <v>2017</v>
      </c>
      <c r="C2390" s="2" t="s">
        <v>30</v>
      </c>
      <c r="D2390" s="2" t="s">
        <v>45</v>
      </c>
      <c r="E2390" s="2" t="s">
        <v>78</v>
      </c>
      <c r="F2390" s="2" t="s">
        <v>81</v>
      </c>
      <c r="G2390" s="2">
        <f t="shared" si="37"/>
        <v>0.43474714518760194</v>
      </c>
      <c r="H2390" s="5">
        <v>4.4789915966386555</v>
      </c>
      <c r="I2390" s="2">
        <v>119</v>
      </c>
      <c r="J2390" s="12">
        <f>I2390/Pondération!$F$148</f>
        <v>9.7063621533442085E-2</v>
      </c>
    </row>
    <row r="2391" spans="1:10" x14ac:dyDescent="0.25">
      <c r="A2391" s="2" t="s">
        <v>77</v>
      </c>
      <c r="B2391" s="2">
        <v>2017</v>
      </c>
      <c r="C2391" s="2" t="s">
        <v>31</v>
      </c>
      <c r="D2391" s="2" t="s">
        <v>45</v>
      </c>
      <c r="E2391" s="2" t="s">
        <v>78</v>
      </c>
      <c r="F2391" s="2" t="s">
        <v>81</v>
      </c>
      <c r="G2391" s="2">
        <f t="shared" si="37"/>
        <v>0.81484502446982066</v>
      </c>
      <c r="H2391" s="5">
        <v>4.5203619909502262</v>
      </c>
      <c r="I2391" s="2">
        <v>221</v>
      </c>
      <c r="J2391" s="12">
        <f>I2391/Pondération!$F$148</f>
        <v>0.18026101141924961</v>
      </c>
    </row>
    <row r="2392" spans="1:10" x14ac:dyDescent="0.25">
      <c r="A2392" s="2" t="s">
        <v>77</v>
      </c>
      <c r="B2392" s="2">
        <v>2017</v>
      </c>
      <c r="C2392" s="2" t="s">
        <v>32</v>
      </c>
      <c r="D2392" s="2" t="s">
        <v>45</v>
      </c>
      <c r="E2392" s="2" t="s">
        <v>78</v>
      </c>
      <c r="F2392" s="2" t="s">
        <v>81</v>
      </c>
      <c r="G2392" s="2">
        <f t="shared" si="37"/>
        <v>0.78792822185970635</v>
      </c>
      <c r="H2392" s="5">
        <v>4.535211267605634</v>
      </c>
      <c r="I2392" s="2">
        <v>213</v>
      </c>
      <c r="J2392" s="12">
        <f>I2392/Pondération!$F$148</f>
        <v>0.17373572593800979</v>
      </c>
    </row>
    <row r="2393" spans="1:10" x14ac:dyDescent="0.25">
      <c r="A2393" s="2" t="s">
        <v>77</v>
      </c>
      <c r="B2393" s="2">
        <v>2017</v>
      </c>
      <c r="C2393" s="2" t="s">
        <v>33</v>
      </c>
      <c r="D2393" s="2" t="s">
        <v>45</v>
      </c>
      <c r="E2393" s="2" t="s">
        <v>78</v>
      </c>
      <c r="F2393" s="2" t="s">
        <v>81</v>
      </c>
      <c r="G2393" s="2">
        <f t="shared" si="37"/>
        <v>1.2675367047308319</v>
      </c>
      <c r="H2393" s="5">
        <v>4.478386167146974</v>
      </c>
      <c r="I2393" s="2">
        <v>347</v>
      </c>
      <c r="J2393" s="12">
        <f>I2393/Pondération!$F$148</f>
        <v>0.2830342577487765</v>
      </c>
    </row>
    <row r="2394" spans="1:10" x14ac:dyDescent="0.25">
      <c r="A2394" s="2" t="s">
        <v>77</v>
      </c>
      <c r="B2394" s="2">
        <v>2017</v>
      </c>
      <c r="C2394" s="2" t="s">
        <v>34</v>
      </c>
      <c r="D2394" s="2" t="s">
        <v>45</v>
      </c>
      <c r="E2394" s="2" t="s">
        <v>78</v>
      </c>
      <c r="F2394" s="2" t="s">
        <v>81</v>
      </c>
      <c r="G2394" s="2">
        <f t="shared" si="37"/>
        <v>0.71370309951060362</v>
      </c>
      <c r="H2394" s="5">
        <v>4.4642857142857144</v>
      </c>
      <c r="I2394" s="2">
        <v>196</v>
      </c>
      <c r="J2394" s="12">
        <f>I2394/Pondération!$F$148</f>
        <v>0.1598694942903752</v>
      </c>
    </row>
    <row r="2395" spans="1:10" x14ac:dyDescent="0.25">
      <c r="A2395" s="2" t="s">
        <v>77</v>
      </c>
      <c r="B2395" s="2">
        <v>2017</v>
      </c>
      <c r="C2395" s="2" t="s">
        <v>80</v>
      </c>
      <c r="D2395" s="2" t="s">
        <v>45</v>
      </c>
      <c r="E2395" s="2" t="s">
        <v>78</v>
      </c>
      <c r="F2395" s="2" t="s">
        <v>81</v>
      </c>
      <c r="G2395" s="2">
        <f t="shared" si="37"/>
        <v>0.47838499184339311</v>
      </c>
      <c r="H2395" s="5">
        <v>4.5115384615384615</v>
      </c>
      <c r="I2395" s="2">
        <v>130</v>
      </c>
      <c r="J2395" s="12">
        <f>I2395/Pondération!$F$148</f>
        <v>0.10603588907014681</v>
      </c>
    </row>
    <row r="2396" spans="1:10" x14ac:dyDescent="0.25">
      <c r="A2396" s="2" t="s">
        <v>77</v>
      </c>
      <c r="B2396" s="2">
        <v>2013</v>
      </c>
      <c r="C2396" s="2" t="s">
        <v>49</v>
      </c>
      <c r="D2396" s="2" t="s">
        <v>45</v>
      </c>
      <c r="E2396" s="2" t="s">
        <v>78</v>
      </c>
      <c r="F2396" s="2" t="s">
        <v>83</v>
      </c>
      <c r="G2396" s="2">
        <f t="shared" si="37"/>
        <v>0.12621359223300971</v>
      </c>
      <c r="H2396" s="5">
        <v>4.333333333333333</v>
      </c>
      <c r="I2396" s="2">
        <v>3</v>
      </c>
      <c r="J2396" s="12">
        <f>I2396/Pondération!$J$149</f>
        <v>2.9126213592233011E-2</v>
      </c>
    </row>
    <row r="2397" spans="1:10" x14ac:dyDescent="0.25">
      <c r="A2397" s="2" t="s">
        <v>77</v>
      </c>
      <c r="B2397" s="2">
        <v>2013</v>
      </c>
      <c r="C2397" s="2" t="s">
        <v>50</v>
      </c>
      <c r="D2397" s="2" t="s">
        <v>45</v>
      </c>
      <c r="E2397" s="2" t="s">
        <v>78</v>
      </c>
      <c r="F2397" s="2" t="s">
        <v>83</v>
      </c>
      <c r="G2397" s="2">
        <f t="shared" si="37"/>
        <v>0.13106796116504854</v>
      </c>
      <c r="H2397" s="5">
        <v>4.5</v>
      </c>
      <c r="I2397" s="2">
        <v>3</v>
      </c>
      <c r="J2397" s="12">
        <f>I2397/Pondération!$J$149</f>
        <v>2.9126213592233011E-2</v>
      </c>
    </row>
    <row r="2398" spans="1:10" x14ac:dyDescent="0.25">
      <c r="A2398" s="2" t="s">
        <v>77</v>
      </c>
      <c r="B2398" s="2">
        <v>2013</v>
      </c>
      <c r="C2398" s="2" t="s">
        <v>51</v>
      </c>
      <c r="D2398" s="2" t="s">
        <v>45</v>
      </c>
      <c r="E2398" s="2" t="s">
        <v>78</v>
      </c>
      <c r="F2398" s="2" t="s">
        <v>83</v>
      </c>
      <c r="G2398" s="2">
        <f t="shared" si="37"/>
        <v>0.29611650485436891</v>
      </c>
      <c r="H2398" s="5">
        <v>4.3571428571428568</v>
      </c>
      <c r="I2398" s="2">
        <v>7</v>
      </c>
      <c r="J2398" s="12">
        <f>I2398/Pondération!$J$149</f>
        <v>6.7961165048543687E-2</v>
      </c>
    </row>
    <row r="2399" spans="1:10" x14ac:dyDescent="0.25">
      <c r="A2399" s="2" t="s">
        <v>77</v>
      </c>
      <c r="B2399" s="2">
        <v>2013</v>
      </c>
      <c r="C2399" s="2" t="s">
        <v>52</v>
      </c>
      <c r="D2399" s="2" t="s">
        <v>45</v>
      </c>
      <c r="E2399" s="2" t="s">
        <v>78</v>
      </c>
      <c r="F2399" s="2" t="s">
        <v>83</v>
      </c>
      <c r="G2399" s="2">
        <f t="shared" si="37"/>
        <v>0.20873786407766989</v>
      </c>
      <c r="H2399" s="5">
        <v>4.3</v>
      </c>
      <c r="I2399" s="2">
        <v>5</v>
      </c>
      <c r="J2399" s="12">
        <f>I2399/Pondération!$J$149</f>
        <v>4.8543689320388349E-2</v>
      </c>
    </row>
    <row r="2400" spans="1:10" x14ac:dyDescent="0.25">
      <c r="A2400" s="2" t="s">
        <v>77</v>
      </c>
      <c r="B2400" s="2">
        <v>2013</v>
      </c>
      <c r="C2400" s="2" t="s">
        <v>53</v>
      </c>
      <c r="D2400" s="2" t="s">
        <v>45</v>
      </c>
      <c r="E2400" s="2" t="s">
        <v>78</v>
      </c>
      <c r="F2400" s="2" t="s">
        <v>83</v>
      </c>
      <c r="G2400" s="2">
        <f t="shared" si="37"/>
        <v>0.71359223300970875</v>
      </c>
      <c r="H2400" s="5">
        <v>4.3235294117647056</v>
      </c>
      <c r="I2400" s="2">
        <v>17</v>
      </c>
      <c r="J2400" s="12">
        <f>I2400/Pondération!$J$149</f>
        <v>0.1650485436893204</v>
      </c>
    </row>
    <row r="2401" spans="1:10" x14ac:dyDescent="0.25">
      <c r="A2401" s="2" t="s">
        <v>77</v>
      </c>
      <c r="B2401" s="2">
        <v>2013</v>
      </c>
      <c r="C2401" s="2" t="s">
        <v>54</v>
      </c>
      <c r="D2401" s="2" t="s">
        <v>45</v>
      </c>
      <c r="E2401" s="2" t="s">
        <v>78</v>
      </c>
      <c r="F2401" s="2" t="s">
        <v>83</v>
      </c>
      <c r="G2401" s="2">
        <f t="shared" si="37"/>
        <v>0.3155339805825243</v>
      </c>
      <c r="H2401" s="5">
        <v>4.6428571428571432</v>
      </c>
      <c r="I2401" s="2">
        <v>7</v>
      </c>
      <c r="J2401" s="12">
        <f>I2401/Pondération!$J$149</f>
        <v>6.7961165048543687E-2</v>
      </c>
    </row>
    <row r="2402" spans="1:10" x14ac:dyDescent="0.25">
      <c r="A2402" s="2" t="s">
        <v>77</v>
      </c>
      <c r="B2402" s="2">
        <v>2013</v>
      </c>
      <c r="C2402" s="2" t="s">
        <v>55</v>
      </c>
      <c r="D2402" s="2" t="s">
        <v>45</v>
      </c>
      <c r="E2402" s="2" t="s">
        <v>78</v>
      </c>
      <c r="F2402" s="2" t="s">
        <v>83</v>
      </c>
      <c r="G2402" s="2">
        <f t="shared" si="37"/>
        <v>0.85436893203883502</v>
      </c>
      <c r="H2402" s="5">
        <v>4.4000000000000004</v>
      </c>
      <c r="I2402" s="2">
        <v>20</v>
      </c>
      <c r="J2402" s="12">
        <f>I2402/Pondération!$J$149</f>
        <v>0.1941747572815534</v>
      </c>
    </row>
    <row r="2403" spans="1:10" x14ac:dyDescent="0.25">
      <c r="A2403" s="2" t="s">
        <v>77</v>
      </c>
      <c r="B2403" s="2">
        <v>2013</v>
      </c>
      <c r="C2403" s="2" t="s">
        <v>56</v>
      </c>
      <c r="D2403" s="2" t="s">
        <v>45</v>
      </c>
      <c r="E2403" s="2" t="s">
        <v>78</v>
      </c>
      <c r="F2403" s="2" t="s">
        <v>83</v>
      </c>
      <c r="G2403" s="2">
        <f t="shared" si="37"/>
        <v>0.52912621359223311</v>
      </c>
      <c r="H2403" s="5">
        <v>4.541666666666667</v>
      </c>
      <c r="I2403" s="2">
        <v>12</v>
      </c>
      <c r="J2403" s="12">
        <f>I2403/Pondération!$J$149</f>
        <v>0.11650485436893204</v>
      </c>
    </row>
    <row r="2404" spans="1:10" x14ac:dyDescent="0.25">
      <c r="A2404" s="2" t="s">
        <v>77</v>
      </c>
      <c r="B2404" s="2">
        <v>2013</v>
      </c>
      <c r="C2404" s="2" t="s">
        <v>57</v>
      </c>
      <c r="D2404" s="2" t="s">
        <v>45</v>
      </c>
      <c r="E2404" s="2" t="s">
        <v>78</v>
      </c>
      <c r="F2404" s="2" t="s">
        <v>83</v>
      </c>
      <c r="G2404" s="2">
        <f t="shared" si="37"/>
        <v>0.43689320388349512</v>
      </c>
      <c r="H2404" s="5">
        <v>4.5</v>
      </c>
      <c r="I2404" s="2">
        <v>10</v>
      </c>
      <c r="J2404" s="12">
        <f>I2404/Pondération!$J$149</f>
        <v>9.7087378640776698E-2</v>
      </c>
    </row>
    <row r="2405" spans="1:10" x14ac:dyDescent="0.25">
      <c r="A2405" s="2" t="s">
        <v>77</v>
      </c>
      <c r="B2405" s="2">
        <v>2013</v>
      </c>
      <c r="C2405" s="2" t="s">
        <v>58</v>
      </c>
      <c r="D2405" s="2" t="s">
        <v>45</v>
      </c>
      <c r="E2405" s="2" t="s">
        <v>78</v>
      </c>
      <c r="F2405" s="2" t="s">
        <v>83</v>
      </c>
      <c r="G2405" s="2">
        <f t="shared" si="37"/>
        <v>0.13106796116504854</v>
      </c>
      <c r="H2405" s="5">
        <v>4.5</v>
      </c>
      <c r="I2405" s="2">
        <v>3</v>
      </c>
      <c r="J2405" s="12">
        <f>I2405/Pondération!$J$149</f>
        <v>2.9126213592233011E-2</v>
      </c>
    </row>
    <row r="2406" spans="1:10" x14ac:dyDescent="0.25">
      <c r="A2406" s="2" t="s">
        <v>77</v>
      </c>
      <c r="B2406" s="2">
        <v>2013</v>
      </c>
      <c r="C2406" s="2" t="s">
        <v>59</v>
      </c>
      <c r="D2406" s="2" t="s">
        <v>45</v>
      </c>
      <c r="E2406" s="2" t="s">
        <v>78</v>
      </c>
      <c r="F2406" s="2" t="s">
        <v>83</v>
      </c>
      <c r="G2406" s="2">
        <f t="shared" si="37"/>
        <v>0.26213592233009708</v>
      </c>
      <c r="H2406" s="5">
        <v>4.5</v>
      </c>
      <c r="I2406" s="2">
        <v>6</v>
      </c>
      <c r="J2406" s="12">
        <f>I2406/Pondération!$J$149</f>
        <v>5.8252427184466021E-2</v>
      </c>
    </row>
    <row r="2407" spans="1:10" x14ac:dyDescent="0.25">
      <c r="A2407" s="2" t="s">
        <v>77</v>
      </c>
      <c r="B2407" s="2">
        <v>2013</v>
      </c>
      <c r="C2407" s="2" t="s">
        <v>60</v>
      </c>
      <c r="D2407" s="2" t="s">
        <v>45</v>
      </c>
      <c r="E2407" s="2" t="s">
        <v>78</v>
      </c>
      <c r="F2407" s="2" t="s">
        <v>83</v>
      </c>
      <c r="G2407" s="2">
        <f t="shared" si="37"/>
        <v>0.42233009708737862</v>
      </c>
      <c r="H2407" s="5">
        <v>4.3499999999999996</v>
      </c>
      <c r="I2407" s="2">
        <v>10</v>
      </c>
      <c r="J2407" s="12">
        <f>I2407/Pondération!$J$149</f>
        <v>9.7087378640776698E-2</v>
      </c>
    </row>
    <row r="2408" spans="1:10" x14ac:dyDescent="0.25">
      <c r="A2408" s="2" t="s">
        <v>77</v>
      </c>
      <c r="B2408" s="2">
        <v>2014</v>
      </c>
      <c r="C2408" s="2" t="s">
        <v>61</v>
      </c>
      <c r="D2408" s="2" t="s">
        <v>45</v>
      </c>
      <c r="E2408" s="2" t="s">
        <v>78</v>
      </c>
      <c r="F2408" s="2" t="s">
        <v>83</v>
      </c>
      <c r="G2408" s="2">
        <f t="shared" si="37"/>
        <v>0.10650887573964497</v>
      </c>
      <c r="H2408" s="5">
        <v>4.5</v>
      </c>
      <c r="I2408" s="2">
        <v>4</v>
      </c>
      <c r="J2408" s="12">
        <f>I2408/Pondération!$I$149</f>
        <v>2.3668639053254437E-2</v>
      </c>
    </row>
    <row r="2409" spans="1:10" x14ac:dyDescent="0.25">
      <c r="A2409" s="2" t="s">
        <v>77</v>
      </c>
      <c r="B2409" s="2">
        <v>2014</v>
      </c>
      <c r="C2409" s="2" t="s">
        <v>62</v>
      </c>
      <c r="D2409" s="2" t="s">
        <v>45</v>
      </c>
      <c r="E2409" s="2" t="s">
        <v>78</v>
      </c>
      <c r="F2409" s="2" t="s">
        <v>83</v>
      </c>
      <c r="G2409" s="2">
        <f t="shared" si="37"/>
        <v>0.15680473372781067</v>
      </c>
      <c r="H2409" s="5">
        <v>4.416666666666667</v>
      </c>
      <c r="I2409" s="2">
        <v>6</v>
      </c>
      <c r="J2409" s="12">
        <f>I2409/Pondération!$I$149</f>
        <v>3.5502958579881658E-2</v>
      </c>
    </row>
    <row r="2410" spans="1:10" x14ac:dyDescent="0.25">
      <c r="A2410" s="2" t="s">
        <v>77</v>
      </c>
      <c r="B2410" s="2">
        <v>2014</v>
      </c>
      <c r="C2410" s="2" t="s">
        <v>63</v>
      </c>
      <c r="D2410" s="2" t="s">
        <v>45</v>
      </c>
      <c r="E2410" s="2" t="s">
        <v>78</v>
      </c>
      <c r="F2410" s="2" t="s">
        <v>83</v>
      </c>
      <c r="G2410" s="2">
        <f t="shared" si="37"/>
        <v>0.15976331360946747</v>
      </c>
      <c r="H2410" s="5">
        <v>4.5</v>
      </c>
      <c r="I2410" s="2">
        <v>6</v>
      </c>
      <c r="J2410" s="12">
        <f>I2410/Pondération!$I$149</f>
        <v>3.5502958579881658E-2</v>
      </c>
    </row>
    <row r="2411" spans="1:10" x14ac:dyDescent="0.25">
      <c r="A2411" s="2" t="s">
        <v>77</v>
      </c>
      <c r="B2411" s="2">
        <v>2014</v>
      </c>
      <c r="C2411" s="2" t="s">
        <v>64</v>
      </c>
      <c r="D2411" s="2" t="s">
        <v>45</v>
      </c>
      <c r="E2411" s="2" t="s">
        <v>78</v>
      </c>
      <c r="F2411" s="2" t="s">
        <v>83</v>
      </c>
      <c r="G2411" s="2">
        <f t="shared" si="37"/>
        <v>0.1775147928994083</v>
      </c>
      <c r="H2411" s="5">
        <v>4.2857142857142856</v>
      </c>
      <c r="I2411" s="2">
        <v>7</v>
      </c>
      <c r="J2411" s="12">
        <f>I2411/Pondération!$I$149</f>
        <v>4.142011834319527E-2</v>
      </c>
    </row>
    <row r="2412" spans="1:10" x14ac:dyDescent="0.25">
      <c r="A2412" s="2" t="s">
        <v>77</v>
      </c>
      <c r="B2412" s="2">
        <v>2014</v>
      </c>
      <c r="C2412" s="2" t="s">
        <v>65</v>
      </c>
      <c r="D2412" s="2" t="s">
        <v>45</v>
      </c>
      <c r="E2412" s="2" t="s">
        <v>78</v>
      </c>
      <c r="F2412" s="2" t="s">
        <v>83</v>
      </c>
      <c r="G2412" s="2">
        <f t="shared" si="37"/>
        <v>0.18639053254437871</v>
      </c>
      <c r="H2412" s="5">
        <v>4.5</v>
      </c>
      <c r="I2412" s="2">
        <v>7</v>
      </c>
      <c r="J2412" s="12">
        <f>I2412/Pondération!$I$149</f>
        <v>4.142011834319527E-2</v>
      </c>
    </row>
    <row r="2413" spans="1:10" x14ac:dyDescent="0.25">
      <c r="A2413" s="2" t="s">
        <v>77</v>
      </c>
      <c r="B2413" s="2">
        <v>2014</v>
      </c>
      <c r="C2413" s="2" t="s">
        <v>66</v>
      </c>
      <c r="D2413" s="2" t="s">
        <v>45</v>
      </c>
      <c r="E2413" s="2" t="s">
        <v>78</v>
      </c>
      <c r="F2413" s="2" t="s">
        <v>83</v>
      </c>
      <c r="G2413" s="2">
        <f t="shared" si="37"/>
        <v>0.39644970414201181</v>
      </c>
      <c r="H2413" s="5">
        <v>4.4666666666666668</v>
      </c>
      <c r="I2413" s="2">
        <v>15</v>
      </c>
      <c r="J2413" s="12">
        <f>I2413/Pondération!$I$149</f>
        <v>8.8757396449704137E-2</v>
      </c>
    </row>
    <row r="2414" spans="1:10" x14ac:dyDescent="0.25">
      <c r="A2414" s="2" t="s">
        <v>77</v>
      </c>
      <c r="B2414" s="2">
        <v>2014</v>
      </c>
      <c r="C2414" s="2" t="s">
        <v>67</v>
      </c>
      <c r="D2414" s="2" t="s">
        <v>45</v>
      </c>
      <c r="E2414" s="2" t="s">
        <v>78</v>
      </c>
      <c r="F2414" s="2" t="s">
        <v>83</v>
      </c>
      <c r="G2414" s="2">
        <f t="shared" si="37"/>
        <v>0.47633136094674561</v>
      </c>
      <c r="H2414" s="5">
        <v>4.4722222222222223</v>
      </c>
      <c r="I2414" s="2">
        <v>18</v>
      </c>
      <c r="J2414" s="12">
        <f>I2414/Pondération!$I$149</f>
        <v>0.10650887573964497</v>
      </c>
    </row>
    <row r="2415" spans="1:10" x14ac:dyDescent="0.25">
      <c r="A2415" s="2" t="s">
        <v>77</v>
      </c>
      <c r="B2415" s="2">
        <v>2014</v>
      </c>
      <c r="C2415" s="2" t="s">
        <v>68</v>
      </c>
      <c r="D2415" s="2" t="s">
        <v>45</v>
      </c>
      <c r="E2415" s="2" t="s">
        <v>78</v>
      </c>
      <c r="F2415" s="2" t="s">
        <v>83</v>
      </c>
      <c r="G2415" s="2">
        <f t="shared" si="37"/>
        <v>1.0207100591715976</v>
      </c>
      <c r="H2415" s="5">
        <v>4.3125</v>
      </c>
      <c r="I2415" s="2">
        <v>40</v>
      </c>
      <c r="J2415" s="12">
        <f>I2415/Pondération!$I$149</f>
        <v>0.23668639053254437</v>
      </c>
    </row>
    <row r="2416" spans="1:10" x14ac:dyDescent="0.25">
      <c r="A2416" s="2" t="s">
        <v>77</v>
      </c>
      <c r="B2416" s="2">
        <v>2014</v>
      </c>
      <c r="C2416" s="2" t="s">
        <v>69</v>
      </c>
      <c r="D2416" s="2" t="s">
        <v>45</v>
      </c>
      <c r="E2416" s="2" t="s">
        <v>78</v>
      </c>
      <c r="F2416" s="2" t="s">
        <v>83</v>
      </c>
      <c r="G2416" s="2">
        <f t="shared" si="37"/>
        <v>0.51775147928994081</v>
      </c>
      <c r="H2416" s="5">
        <v>4.375</v>
      </c>
      <c r="I2416" s="2">
        <v>20</v>
      </c>
      <c r="J2416" s="12">
        <f>I2416/Pondération!$I$149</f>
        <v>0.11834319526627218</v>
      </c>
    </row>
    <row r="2417" spans="1:10" x14ac:dyDescent="0.25">
      <c r="A2417" s="2" t="s">
        <v>77</v>
      </c>
      <c r="B2417" s="2">
        <v>2014</v>
      </c>
      <c r="C2417" s="2" t="s">
        <v>70</v>
      </c>
      <c r="D2417" s="2" t="s">
        <v>45</v>
      </c>
      <c r="E2417" s="2" t="s">
        <v>78</v>
      </c>
      <c r="F2417" s="2" t="s">
        <v>83</v>
      </c>
      <c r="G2417" s="2">
        <f t="shared" si="37"/>
        <v>0.39349112426035504</v>
      </c>
      <c r="H2417" s="5">
        <v>4.4333333333333336</v>
      </c>
      <c r="I2417" s="2">
        <v>15</v>
      </c>
      <c r="J2417" s="12">
        <f>I2417/Pondération!$I$149</f>
        <v>8.8757396449704137E-2</v>
      </c>
    </row>
    <row r="2418" spans="1:10" x14ac:dyDescent="0.25">
      <c r="A2418" s="2" t="s">
        <v>77</v>
      </c>
      <c r="B2418" s="2">
        <v>2014</v>
      </c>
      <c r="C2418" s="2" t="s">
        <v>71</v>
      </c>
      <c r="D2418" s="2" t="s">
        <v>45</v>
      </c>
      <c r="E2418" s="2" t="s">
        <v>78</v>
      </c>
      <c r="F2418" s="2" t="s">
        <v>83</v>
      </c>
      <c r="G2418" s="2">
        <f t="shared" si="37"/>
        <v>0.38757396449704135</v>
      </c>
      <c r="H2418" s="5">
        <v>4.3666666666666663</v>
      </c>
      <c r="I2418" s="2">
        <v>15</v>
      </c>
      <c r="J2418" s="12">
        <f>I2418/Pondération!$I$149</f>
        <v>8.8757396449704137E-2</v>
      </c>
    </row>
    <row r="2419" spans="1:10" x14ac:dyDescent="0.25">
      <c r="A2419" s="2" t="s">
        <v>77</v>
      </c>
      <c r="B2419" s="2">
        <v>2014</v>
      </c>
      <c r="C2419" s="2" t="s">
        <v>72</v>
      </c>
      <c r="D2419" s="2" t="s">
        <v>45</v>
      </c>
      <c r="E2419" s="2" t="s">
        <v>78</v>
      </c>
      <c r="F2419" s="2" t="s">
        <v>83</v>
      </c>
      <c r="G2419" s="2">
        <f t="shared" si="37"/>
        <v>0.42307692307692307</v>
      </c>
      <c r="H2419" s="5">
        <v>4.46875</v>
      </c>
      <c r="I2419" s="2">
        <v>16</v>
      </c>
      <c r="J2419" s="12">
        <f>I2419/Pondération!$I$149</f>
        <v>9.4674556213017749E-2</v>
      </c>
    </row>
    <row r="2420" spans="1:10" x14ac:dyDescent="0.25">
      <c r="A2420" s="2" t="s">
        <v>77</v>
      </c>
      <c r="B2420" s="2">
        <v>2015</v>
      </c>
      <c r="C2420" s="2" t="s">
        <v>73</v>
      </c>
      <c r="D2420" s="2" t="s">
        <v>45</v>
      </c>
      <c r="E2420" s="2" t="s">
        <v>78</v>
      </c>
      <c r="F2420" s="2" t="s">
        <v>83</v>
      </c>
      <c r="G2420" s="2">
        <f t="shared" si="37"/>
        <v>9.6698113207547162E-2</v>
      </c>
      <c r="H2420" s="5">
        <v>4.0999999999999996</v>
      </c>
      <c r="I2420" s="2">
        <v>15</v>
      </c>
      <c r="J2420" s="12">
        <f>I2420/Pondération!$H$149</f>
        <v>2.358490566037736E-2</v>
      </c>
    </row>
    <row r="2421" spans="1:10" x14ac:dyDescent="0.25">
      <c r="A2421" s="2" t="s">
        <v>77</v>
      </c>
      <c r="B2421" s="2">
        <v>2015</v>
      </c>
      <c r="C2421" s="2" t="s">
        <v>74</v>
      </c>
      <c r="D2421" s="2" t="s">
        <v>45</v>
      </c>
      <c r="E2421" s="2" t="s">
        <v>78</v>
      </c>
      <c r="F2421" s="2" t="s">
        <v>83</v>
      </c>
      <c r="G2421" s="2">
        <f t="shared" si="37"/>
        <v>0.14544025157232707</v>
      </c>
      <c r="H2421" s="5">
        <v>4.4047619047619051</v>
      </c>
      <c r="I2421" s="2">
        <v>21</v>
      </c>
      <c r="J2421" s="12">
        <f>I2421/Pondération!$H$149</f>
        <v>3.3018867924528301E-2</v>
      </c>
    </row>
    <row r="2422" spans="1:10" x14ac:dyDescent="0.25">
      <c r="A2422" s="2" t="s">
        <v>77</v>
      </c>
      <c r="B2422" s="2">
        <v>2015</v>
      </c>
      <c r="C2422" s="2" t="s">
        <v>75</v>
      </c>
      <c r="D2422" s="2" t="s">
        <v>45</v>
      </c>
      <c r="E2422" s="2" t="s">
        <v>78</v>
      </c>
      <c r="F2422" s="2" t="s">
        <v>83</v>
      </c>
      <c r="G2422" s="2">
        <f t="shared" si="37"/>
        <v>0.14937106918238993</v>
      </c>
      <c r="H2422" s="5">
        <v>4.3181818181818183</v>
      </c>
      <c r="I2422" s="2">
        <v>22</v>
      </c>
      <c r="J2422" s="12">
        <f>I2422/Pondération!$H$149</f>
        <v>3.4591194968553458E-2</v>
      </c>
    </row>
    <row r="2423" spans="1:10" x14ac:dyDescent="0.25">
      <c r="A2423" s="2" t="s">
        <v>77</v>
      </c>
      <c r="B2423" s="2">
        <v>2015</v>
      </c>
      <c r="C2423" s="2" t="s">
        <v>76</v>
      </c>
      <c r="D2423" s="2" t="s">
        <v>45</v>
      </c>
      <c r="E2423" s="2" t="s">
        <v>78</v>
      </c>
      <c r="F2423" s="2" t="s">
        <v>83</v>
      </c>
      <c r="G2423" s="2">
        <f t="shared" si="37"/>
        <v>0.23584905660377359</v>
      </c>
      <c r="H2423" s="5">
        <v>4.2857142857142856</v>
      </c>
      <c r="I2423" s="2">
        <v>35</v>
      </c>
      <c r="J2423" s="12">
        <f>I2423/Pondération!$H$149</f>
        <v>5.5031446540880505E-2</v>
      </c>
    </row>
    <row r="2424" spans="1:10" x14ac:dyDescent="0.25">
      <c r="A2424" s="2" t="s">
        <v>77</v>
      </c>
      <c r="B2424" s="2">
        <v>2015</v>
      </c>
      <c r="C2424" s="2" t="s">
        <v>7</v>
      </c>
      <c r="D2424" s="2" t="s">
        <v>45</v>
      </c>
      <c r="E2424" s="2" t="s">
        <v>78</v>
      </c>
      <c r="F2424" s="2" t="s">
        <v>83</v>
      </c>
      <c r="G2424" s="2">
        <f t="shared" si="37"/>
        <v>0.36792452830188682</v>
      </c>
      <c r="H2424" s="5">
        <v>4.4150943396226419</v>
      </c>
      <c r="I2424" s="2">
        <v>53</v>
      </c>
      <c r="J2424" s="12">
        <f>I2424/Pondération!$H$149</f>
        <v>8.3333333333333329E-2</v>
      </c>
    </row>
    <row r="2425" spans="1:10" x14ac:dyDescent="0.25">
      <c r="A2425" s="2" t="s">
        <v>77</v>
      </c>
      <c r="B2425" s="2">
        <v>2015</v>
      </c>
      <c r="C2425" s="2" t="s">
        <v>11</v>
      </c>
      <c r="D2425" s="2" t="s">
        <v>45</v>
      </c>
      <c r="E2425" s="2" t="s">
        <v>78</v>
      </c>
      <c r="F2425" s="2" t="s">
        <v>83</v>
      </c>
      <c r="G2425" s="2">
        <f t="shared" si="37"/>
        <v>0.21383647798742139</v>
      </c>
      <c r="H2425" s="5">
        <v>4.387096774193548</v>
      </c>
      <c r="I2425" s="2">
        <v>31</v>
      </c>
      <c r="J2425" s="12">
        <f>I2425/Pondération!$H$149</f>
        <v>4.8742138364779877E-2</v>
      </c>
    </row>
    <row r="2426" spans="1:10" x14ac:dyDescent="0.25">
      <c r="A2426" s="2" t="s">
        <v>77</v>
      </c>
      <c r="B2426" s="2">
        <v>2015</v>
      </c>
      <c r="C2426" s="2" t="s">
        <v>12</v>
      </c>
      <c r="D2426" s="2" t="s">
        <v>45</v>
      </c>
      <c r="E2426" s="2" t="s">
        <v>78</v>
      </c>
      <c r="F2426" s="2" t="s">
        <v>83</v>
      </c>
      <c r="G2426" s="2">
        <f t="shared" si="37"/>
        <v>0.66823899371069173</v>
      </c>
      <c r="H2426" s="5">
        <v>4.427083333333333</v>
      </c>
      <c r="I2426" s="2">
        <v>96</v>
      </c>
      <c r="J2426" s="12">
        <f>I2426/Pondération!$H$149</f>
        <v>0.15094339622641509</v>
      </c>
    </row>
    <row r="2427" spans="1:10" x14ac:dyDescent="0.25">
      <c r="A2427" s="2" t="s">
        <v>77</v>
      </c>
      <c r="B2427" s="2">
        <v>2015</v>
      </c>
      <c r="C2427" s="2" t="s">
        <v>13</v>
      </c>
      <c r="D2427" s="2" t="s">
        <v>45</v>
      </c>
      <c r="E2427" s="2" t="s">
        <v>78</v>
      </c>
      <c r="F2427" s="2" t="s">
        <v>83</v>
      </c>
      <c r="G2427" s="2">
        <f t="shared" si="37"/>
        <v>0.9748427672955976</v>
      </c>
      <c r="H2427" s="5">
        <v>4.4285714285714288</v>
      </c>
      <c r="I2427" s="2">
        <v>140</v>
      </c>
      <c r="J2427" s="12">
        <f>I2427/Pondération!$H$149</f>
        <v>0.22012578616352202</v>
      </c>
    </row>
    <row r="2428" spans="1:10" x14ac:dyDescent="0.25">
      <c r="A2428" s="2" t="s">
        <v>77</v>
      </c>
      <c r="B2428" s="2">
        <v>2015</v>
      </c>
      <c r="C2428" s="2" t="s">
        <v>14</v>
      </c>
      <c r="D2428" s="2" t="s">
        <v>45</v>
      </c>
      <c r="E2428" s="2" t="s">
        <v>78</v>
      </c>
      <c r="F2428" s="2" t="s">
        <v>83</v>
      </c>
      <c r="G2428" s="2">
        <f t="shared" si="37"/>
        <v>0.52044025157232698</v>
      </c>
      <c r="H2428" s="5">
        <v>4.4729729729729728</v>
      </c>
      <c r="I2428" s="2">
        <v>74</v>
      </c>
      <c r="J2428" s="12">
        <f>I2428/Pondération!$H$149</f>
        <v>0.11635220125786164</v>
      </c>
    </row>
    <row r="2429" spans="1:10" x14ac:dyDescent="0.25">
      <c r="A2429" s="2" t="s">
        <v>77</v>
      </c>
      <c r="B2429" s="2">
        <v>2015</v>
      </c>
      <c r="C2429" s="2" t="s">
        <v>15</v>
      </c>
      <c r="D2429" s="2" t="s">
        <v>45</v>
      </c>
      <c r="E2429" s="2" t="s">
        <v>78</v>
      </c>
      <c r="F2429" s="2" t="s">
        <v>83</v>
      </c>
      <c r="G2429" s="2">
        <f t="shared" si="37"/>
        <v>0.36949685534591192</v>
      </c>
      <c r="H2429" s="5">
        <v>4.5192307692307692</v>
      </c>
      <c r="I2429" s="2">
        <v>52</v>
      </c>
      <c r="J2429" s="12">
        <f>I2429/Pondération!$H$149</f>
        <v>8.1761006289308172E-2</v>
      </c>
    </row>
    <row r="2430" spans="1:10" x14ac:dyDescent="0.25">
      <c r="A2430" s="2" t="s">
        <v>77</v>
      </c>
      <c r="B2430" s="2">
        <v>2015</v>
      </c>
      <c r="C2430" s="2" t="s">
        <v>16</v>
      </c>
      <c r="D2430" s="2" t="s">
        <v>45</v>
      </c>
      <c r="E2430" s="2" t="s">
        <v>78</v>
      </c>
      <c r="F2430" s="2" t="s">
        <v>83</v>
      </c>
      <c r="G2430" s="2">
        <f t="shared" si="37"/>
        <v>0.30424528301886794</v>
      </c>
      <c r="H2430" s="5">
        <v>4.5</v>
      </c>
      <c r="I2430" s="2">
        <v>43</v>
      </c>
      <c r="J2430" s="12">
        <f>I2430/Pondération!$H$149</f>
        <v>6.761006289308176E-2</v>
      </c>
    </row>
    <row r="2431" spans="1:10" x14ac:dyDescent="0.25">
      <c r="A2431" s="2" t="s">
        <v>77</v>
      </c>
      <c r="B2431" s="2">
        <v>2015</v>
      </c>
      <c r="C2431" s="2" t="s">
        <v>17</v>
      </c>
      <c r="D2431" s="2" t="s">
        <v>45</v>
      </c>
      <c r="E2431" s="2" t="s">
        <v>78</v>
      </c>
      <c r="F2431" s="2" t="s">
        <v>83</v>
      </c>
      <c r="G2431" s="2">
        <f t="shared" si="37"/>
        <v>0.37814465408805026</v>
      </c>
      <c r="H2431" s="5">
        <v>4.4537037037037033</v>
      </c>
      <c r="I2431" s="2">
        <v>54</v>
      </c>
      <c r="J2431" s="12">
        <f>I2431/Pondération!$H$149</f>
        <v>8.4905660377358486E-2</v>
      </c>
    </row>
    <row r="2432" spans="1:10" x14ac:dyDescent="0.25">
      <c r="A2432" s="2" t="s">
        <v>77</v>
      </c>
      <c r="B2432" s="2">
        <v>2016</v>
      </c>
      <c r="C2432" s="2" t="s">
        <v>18</v>
      </c>
      <c r="D2432" s="2" t="s">
        <v>45</v>
      </c>
      <c r="E2432" s="2" t="s">
        <v>78</v>
      </c>
      <c r="F2432" s="2" t="s">
        <v>83</v>
      </c>
      <c r="G2432" s="2">
        <f t="shared" si="37"/>
        <v>0.14668367346938777</v>
      </c>
      <c r="H2432" s="5">
        <v>4.4230769230769234</v>
      </c>
      <c r="I2432" s="2">
        <v>39</v>
      </c>
      <c r="J2432" s="12">
        <f>I2432/Pondération!$G$149</f>
        <v>3.3163265306122451E-2</v>
      </c>
    </row>
    <row r="2433" spans="1:10" x14ac:dyDescent="0.25">
      <c r="A2433" s="2" t="s">
        <v>77</v>
      </c>
      <c r="B2433" s="2">
        <v>2016</v>
      </c>
      <c r="C2433" s="2" t="s">
        <v>19</v>
      </c>
      <c r="D2433" s="2" t="s">
        <v>45</v>
      </c>
      <c r="E2433" s="2" t="s">
        <v>78</v>
      </c>
      <c r="F2433" s="2" t="s">
        <v>83</v>
      </c>
      <c r="G2433" s="2">
        <f t="shared" si="37"/>
        <v>0.18154761904761907</v>
      </c>
      <c r="H2433" s="5">
        <v>4.542553191489362</v>
      </c>
      <c r="I2433" s="2">
        <v>47</v>
      </c>
      <c r="J2433" s="12">
        <f>I2433/Pondération!$G$149</f>
        <v>3.9965986394557826E-2</v>
      </c>
    </row>
    <row r="2434" spans="1:10" x14ac:dyDescent="0.25">
      <c r="A2434" s="2" t="s">
        <v>77</v>
      </c>
      <c r="B2434" s="2">
        <v>2016</v>
      </c>
      <c r="C2434" s="2" t="s">
        <v>20</v>
      </c>
      <c r="D2434" s="2" t="s">
        <v>45</v>
      </c>
      <c r="E2434" s="2" t="s">
        <v>78</v>
      </c>
      <c r="F2434" s="2" t="s">
        <v>83</v>
      </c>
      <c r="G2434" s="2">
        <f t="shared" ref="G2434:G2497" si="38">H2434*J2434</f>
        <v>0.21173469387755101</v>
      </c>
      <c r="H2434" s="5">
        <v>4.4464285714285712</v>
      </c>
      <c r="I2434" s="2">
        <v>56</v>
      </c>
      <c r="J2434" s="12">
        <f>I2434/Pondération!$G$149</f>
        <v>4.7619047619047616E-2</v>
      </c>
    </row>
    <row r="2435" spans="1:10" x14ac:dyDescent="0.25">
      <c r="A2435" s="2" t="s">
        <v>77</v>
      </c>
      <c r="B2435" s="2">
        <v>2016</v>
      </c>
      <c r="C2435" s="2" t="s">
        <v>21</v>
      </c>
      <c r="D2435" s="2" t="s">
        <v>45</v>
      </c>
      <c r="E2435" s="2" t="s">
        <v>78</v>
      </c>
      <c r="F2435" s="2" t="s">
        <v>83</v>
      </c>
      <c r="G2435" s="2">
        <f t="shared" si="38"/>
        <v>0.41156462585034015</v>
      </c>
      <c r="H2435" s="5">
        <v>4.4403669724770642</v>
      </c>
      <c r="I2435" s="2">
        <v>109</v>
      </c>
      <c r="J2435" s="12">
        <f>I2435/Pondération!$G$149</f>
        <v>9.2687074829931979E-2</v>
      </c>
    </row>
    <row r="2436" spans="1:10" x14ac:dyDescent="0.25">
      <c r="A2436" s="2" t="s">
        <v>77</v>
      </c>
      <c r="B2436" s="2">
        <v>2016</v>
      </c>
      <c r="C2436" s="2" t="s">
        <v>22</v>
      </c>
      <c r="D2436" s="2" t="s">
        <v>45</v>
      </c>
      <c r="E2436" s="2" t="s">
        <v>78</v>
      </c>
      <c r="F2436" s="2" t="s">
        <v>83</v>
      </c>
      <c r="G2436" s="2">
        <f t="shared" si="38"/>
        <v>0.26828231292517007</v>
      </c>
      <c r="H2436" s="5">
        <v>4.443661971830986</v>
      </c>
      <c r="I2436" s="2">
        <v>71</v>
      </c>
      <c r="J2436" s="12">
        <f>I2436/Pondération!$G$149</f>
        <v>6.0374149659863943E-2</v>
      </c>
    </row>
    <row r="2437" spans="1:10" x14ac:dyDescent="0.25">
      <c r="A2437" s="2" t="s">
        <v>77</v>
      </c>
      <c r="B2437" s="2">
        <v>2016</v>
      </c>
      <c r="C2437" s="2" t="s">
        <v>23</v>
      </c>
      <c r="D2437" s="2" t="s">
        <v>45</v>
      </c>
      <c r="E2437" s="2" t="s">
        <v>78</v>
      </c>
      <c r="F2437" s="2" t="s">
        <v>83</v>
      </c>
      <c r="G2437" s="2">
        <f t="shared" si="38"/>
        <v>0.38520408163265307</v>
      </c>
      <c r="H2437" s="5">
        <v>4.4851485148514856</v>
      </c>
      <c r="I2437" s="2">
        <v>101</v>
      </c>
      <c r="J2437" s="12">
        <f>I2437/Pondération!$G$149</f>
        <v>8.5884353741496597E-2</v>
      </c>
    </row>
    <row r="2438" spans="1:10" x14ac:dyDescent="0.25">
      <c r="A2438" s="2" t="s">
        <v>77</v>
      </c>
      <c r="B2438" s="2">
        <v>2016</v>
      </c>
      <c r="C2438" s="2" t="s">
        <v>24</v>
      </c>
      <c r="D2438" s="2" t="s">
        <v>45</v>
      </c>
      <c r="E2438" s="2" t="s">
        <v>78</v>
      </c>
      <c r="F2438" s="2" t="s">
        <v>83</v>
      </c>
      <c r="G2438" s="2">
        <f t="shared" si="38"/>
        <v>0.57525510204081642</v>
      </c>
      <c r="H2438" s="5">
        <v>4.4506578947368425</v>
      </c>
      <c r="I2438" s="2">
        <v>152</v>
      </c>
      <c r="J2438" s="12">
        <f>I2438/Pondération!$G$149</f>
        <v>0.12925170068027211</v>
      </c>
    </row>
    <row r="2439" spans="1:10" x14ac:dyDescent="0.25">
      <c r="A2439" s="2" t="s">
        <v>77</v>
      </c>
      <c r="B2439" s="2">
        <v>2016</v>
      </c>
      <c r="C2439" s="2" t="s">
        <v>25</v>
      </c>
      <c r="D2439" s="2" t="s">
        <v>45</v>
      </c>
      <c r="E2439" s="2" t="s">
        <v>78</v>
      </c>
      <c r="F2439" s="2" t="s">
        <v>83</v>
      </c>
      <c r="G2439" s="2">
        <f t="shared" si="38"/>
        <v>0.89498299319727892</v>
      </c>
      <c r="H2439" s="5">
        <v>4.5171673819742493</v>
      </c>
      <c r="I2439" s="2">
        <v>233</v>
      </c>
      <c r="J2439" s="12">
        <f>I2439/Pondération!$G$149</f>
        <v>0.19812925170068027</v>
      </c>
    </row>
    <row r="2440" spans="1:10" x14ac:dyDescent="0.25">
      <c r="A2440" s="2" t="s">
        <v>77</v>
      </c>
      <c r="B2440" s="2">
        <v>2016</v>
      </c>
      <c r="C2440" s="2" t="s">
        <v>26</v>
      </c>
      <c r="D2440" s="2" t="s">
        <v>45</v>
      </c>
      <c r="E2440" s="2" t="s">
        <v>78</v>
      </c>
      <c r="F2440" s="2" t="s">
        <v>83</v>
      </c>
      <c r="G2440" s="2">
        <f t="shared" si="38"/>
        <v>0.43282312925170063</v>
      </c>
      <c r="H2440" s="5">
        <v>4.4649122807017543</v>
      </c>
      <c r="I2440" s="2">
        <v>114</v>
      </c>
      <c r="J2440" s="12">
        <f>I2440/Pondération!$G$149</f>
        <v>9.6938775510204078E-2</v>
      </c>
    </row>
    <row r="2441" spans="1:10" x14ac:dyDescent="0.25">
      <c r="A2441" s="2" t="s">
        <v>77</v>
      </c>
      <c r="B2441" s="2">
        <v>2016</v>
      </c>
      <c r="C2441" s="2" t="s">
        <v>27</v>
      </c>
      <c r="D2441" s="2" t="s">
        <v>45</v>
      </c>
      <c r="E2441" s="2" t="s">
        <v>78</v>
      </c>
      <c r="F2441" s="2" t="s">
        <v>83</v>
      </c>
      <c r="G2441" s="2">
        <f t="shared" si="38"/>
        <v>0.36352040816326525</v>
      </c>
      <c r="H2441" s="5">
        <v>4.453125</v>
      </c>
      <c r="I2441" s="2">
        <v>96</v>
      </c>
      <c r="J2441" s="12">
        <f>I2441/Pondération!$G$149</f>
        <v>8.1632653061224483E-2</v>
      </c>
    </row>
    <row r="2442" spans="1:10" x14ac:dyDescent="0.25">
      <c r="A2442" s="2" t="s">
        <v>77</v>
      </c>
      <c r="B2442" s="2">
        <v>2016</v>
      </c>
      <c r="C2442" s="2" t="s">
        <v>28</v>
      </c>
      <c r="D2442" s="2" t="s">
        <v>45</v>
      </c>
      <c r="E2442" s="2" t="s">
        <v>78</v>
      </c>
      <c r="F2442" s="2" t="s">
        <v>83</v>
      </c>
      <c r="G2442" s="2">
        <f t="shared" si="38"/>
        <v>0.29804421768707484</v>
      </c>
      <c r="H2442" s="5">
        <v>4.4935897435897436</v>
      </c>
      <c r="I2442" s="2">
        <v>78</v>
      </c>
      <c r="J2442" s="12">
        <f>I2442/Pondération!$G$149</f>
        <v>6.6326530612244902E-2</v>
      </c>
    </row>
    <row r="2443" spans="1:10" x14ac:dyDescent="0.25">
      <c r="A2443" s="2" t="s">
        <v>77</v>
      </c>
      <c r="B2443" s="2">
        <v>2016</v>
      </c>
      <c r="C2443" s="2" t="s">
        <v>29</v>
      </c>
      <c r="D2443" s="2" t="s">
        <v>45</v>
      </c>
      <c r="E2443" s="2" t="s">
        <v>78</v>
      </c>
      <c r="F2443" s="2" t="s">
        <v>83</v>
      </c>
      <c r="G2443" s="2">
        <f t="shared" si="38"/>
        <v>0.30824829931972791</v>
      </c>
      <c r="H2443" s="5">
        <v>4.53125</v>
      </c>
      <c r="I2443" s="2">
        <v>80</v>
      </c>
      <c r="J2443" s="12">
        <f>I2443/Pondération!$G$149</f>
        <v>6.8027210884353748E-2</v>
      </c>
    </row>
    <row r="2444" spans="1:10" x14ac:dyDescent="0.25">
      <c r="A2444" s="2" t="s">
        <v>77</v>
      </c>
      <c r="B2444" s="2">
        <v>2017</v>
      </c>
      <c r="C2444" s="2" t="s">
        <v>30</v>
      </c>
      <c r="D2444" s="2" t="s">
        <v>45</v>
      </c>
      <c r="E2444" s="2" t="s">
        <v>78</v>
      </c>
      <c r="F2444" s="2" t="s">
        <v>83</v>
      </c>
      <c r="G2444" s="2">
        <f t="shared" si="38"/>
        <v>0.53304904051172708</v>
      </c>
      <c r="H2444" s="5">
        <v>4.4642857142857144</v>
      </c>
      <c r="I2444" s="2">
        <v>56</v>
      </c>
      <c r="J2444" s="12">
        <f>I2444/Pondération!$F$149</f>
        <v>0.11940298507462686</v>
      </c>
    </row>
    <row r="2445" spans="1:10" x14ac:dyDescent="0.25">
      <c r="A2445" s="2" t="s">
        <v>77</v>
      </c>
      <c r="B2445" s="2">
        <v>2017</v>
      </c>
      <c r="C2445" s="2" t="s">
        <v>31</v>
      </c>
      <c r="D2445" s="2" t="s">
        <v>45</v>
      </c>
      <c r="E2445" s="2" t="s">
        <v>78</v>
      </c>
      <c r="F2445" s="2" t="s">
        <v>83</v>
      </c>
      <c r="G2445" s="2">
        <f t="shared" si="38"/>
        <v>0.92004264392324098</v>
      </c>
      <c r="H2445" s="5">
        <v>4.4484536082474229</v>
      </c>
      <c r="I2445" s="2">
        <v>97</v>
      </c>
      <c r="J2445" s="12">
        <f>I2445/Pondération!$F$149</f>
        <v>0.2068230277185501</v>
      </c>
    </row>
    <row r="2446" spans="1:10" x14ac:dyDescent="0.25">
      <c r="A2446" s="2" t="s">
        <v>77</v>
      </c>
      <c r="B2446" s="2">
        <v>2017</v>
      </c>
      <c r="C2446" s="2" t="s">
        <v>32</v>
      </c>
      <c r="D2446" s="2" t="s">
        <v>45</v>
      </c>
      <c r="E2446" s="2" t="s">
        <v>78</v>
      </c>
      <c r="F2446" s="2" t="s">
        <v>83</v>
      </c>
      <c r="G2446" s="2">
        <f t="shared" si="38"/>
        <v>0.67484008528784645</v>
      </c>
      <c r="H2446" s="5">
        <v>4.457746478873239</v>
      </c>
      <c r="I2446" s="2">
        <v>71</v>
      </c>
      <c r="J2446" s="12">
        <f>I2446/Pondération!$F$149</f>
        <v>0.1513859275053305</v>
      </c>
    </row>
    <row r="2447" spans="1:10" x14ac:dyDescent="0.25">
      <c r="A2447" s="2" t="s">
        <v>77</v>
      </c>
      <c r="B2447" s="2">
        <v>2017</v>
      </c>
      <c r="C2447" s="2" t="s">
        <v>33</v>
      </c>
      <c r="D2447" s="2" t="s">
        <v>45</v>
      </c>
      <c r="E2447" s="2" t="s">
        <v>78</v>
      </c>
      <c r="F2447" s="2" t="s">
        <v>83</v>
      </c>
      <c r="G2447" s="2">
        <f t="shared" si="38"/>
        <v>0.92430703624733479</v>
      </c>
      <c r="H2447" s="5">
        <v>4.515625</v>
      </c>
      <c r="I2447" s="2">
        <v>96</v>
      </c>
      <c r="J2447" s="12">
        <f>I2447/Pondération!$F$149</f>
        <v>0.20469083155650319</v>
      </c>
    </row>
    <row r="2448" spans="1:10" x14ac:dyDescent="0.25">
      <c r="A2448" s="2" t="s">
        <v>77</v>
      </c>
      <c r="B2448" s="2">
        <v>2017</v>
      </c>
      <c r="C2448" s="2" t="s">
        <v>34</v>
      </c>
      <c r="D2448" s="2" t="s">
        <v>45</v>
      </c>
      <c r="E2448" s="2" t="s">
        <v>78</v>
      </c>
      <c r="F2448" s="2" t="s">
        <v>83</v>
      </c>
      <c r="G2448" s="2">
        <f t="shared" si="38"/>
        <v>0.8795309168443497</v>
      </c>
      <c r="H2448" s="5">
        <v>4.4836956521739131</v>
      </c>
      <c r="I2448" s="2">
        <v>92</v>
      </c>
      <c r="J2448" s="12">
        <f>I2448/Pondération!$F$149</f>
        <v>0.19616204690831557</v>
      </c>
    </row>
    <row r="2449" spans="1:10" x14ac:dyDescent="0.25">
      <c r="A2449" s="2" t="s">
        <v>77</v>
      </c>
      <c r="B2449" s="2">
        <v>2017</v>
      </c>
      <c r="C2449" s="2" t="s">
        <v>80</v>
      </c>
      <c r="D2449" s="2" t="s">
        <v>45</v>
      </c>
      <c r="E2449" s="2" t="s">
        <v>78</v>
      </c>
      <c r="F2449" s="2" t="s">
        <v>83</v>
      </c>
      <c r="G2449" s="2">
        <f t="shared" si="38"/>
        <v>0.53624733475479747</v>
      </c>
      <c r="H2449" s="5">
        <v>4.4122807017543861</v>
      </c>
      <c r="I2449" s="2">
        <v>57</v>
      </c>
      <c r="J2449" s="12">
        <f>I2449/Pondération!$F$149</f>
        <v>0.12153518123667377</v>
      </c>
    </row>
    <row r="2450" spans="1:10" x14ac:dyDescent="0.25">
      <c r="A2450" s="2" t="s">
        <v>77</v>
      </c>
      <c r="B2450" s="2">
        <v>2013</v>
      </c>
      <c r="C2450" s="2" t="s">
        <v>49</v>
      </c>
      <c r="D2450" s="2" t="s">
        <v>45</v>
      </c>
      <c r="E2450" s="2" t="s">
        <v>78</v>
      </c>
      <c r="F2450" s="2" t="s">
        <v>84</v>
      </c>
      <c r="G2450" s="2">
        <f t="shared" si="38"/>
        <v>0.15517241379310345</v>
      </c>
      <c r="H2450" s="5">
        <v>4.5</v>
      </c>
      <c r="I2450" s="2">
        <v>3</v>
      </c>
      <c r="J2450" s="12">
        <f>I2450/Pondération!$J$150</f>
        <v>3.4482758620689655E-2</v>
      </c>
    </row>
    <row r="2451" spans="1:10" x14ac:dyDescent="0.25">
      <c r="A2451" s="2" t="s">
        <v>77</v>
      </c>
      <c r="B2451" s="2">
        <v>2013</v>
      </c>
      <c r="C2451" s="2" t="s">
        <v>50</v>
      </c>
      <c r="D2451" s="2" t="s">
        <v>45</v>
      </c>
      <c r="E2451" s="2" t="s">
        <v>78</v>
      </c>
      <c r="F2451" s="2" t="s">
        <v>84</v>
      </c>
      <c r="G2451" s="2">
        <f t="shared" si="38"/>
        <v>0.15517241379310345</v>
      </c>
      <c r="H2451" s="5">
        <v>4.5</v>
      </c>
      <c r="I2451" s="2">
        <v>3</v>
      </c>
      <c r="J2451" s="12">
        <f>I2451/Pondération!$J$150</f>
        <v>3.4482758620689655E-2</v>
      </c>
    </row>
    <row r="2452" spans="1:10" x14ac:dyDescent="0.25">
      <c r="A2452" s="2" t="s">
        <v>77</v>
      </c>
      <c r="B2452" s="2">
        <v>2013</v>
      </c>
      <c r="C2452" s="2" t="s">
        <v>51</v>
      </c>
      <c r="D2452" s="2" t="s">
        <v>45</v>
      </c>
      <c r="E2452" s="2" t="s">
        <v>78</v>
      </c>
      <c r="F2452" s="2" t="s">
        <v>84</v>
      </c>
      <c r="G2452" s="2">
        <f t="shared" si="38"/>
        <v>0.46551724137931033</v>
      </c>
      <c r="H2452" s="5">
        <v>4.5</v>
      </c>
      <c r="I2452" s="2">
        <v>9</v>
      </c>
      <c r="J2452" s="12">
        <f>I2452/Pondération!$J$150</f>
        <v>0.10344827586206896</v>
      </c>
    </row>
    <row r="2453" spans="1:10" x14ac:dyDescent="0.25">
      <c r="A2453" s="2" t="s">
        <v>77</v>
      </c>
      <c r="B2453" s="2">
        <v>2013</v>
      </c>
      <c r="C2453" s="2" t="s">
        <v>52</v>
      </c>
      <c r="D2453" s="2" t="s">
        <v>45</v>
      </c>
      <c r="E2453" s="2" t="s">
        <v>78</v>
      </c>
      <c r="F2453" s="2" t="s">
        <v>84</v>
      </c>
      <c r="G2453" s="2">
        <f t="shared" si="38"/>
        <v>0.40804597701149425</v>
      </c>
      <c r="H2453" s="5">
        <v>4.4375</v>
      </c>
      <c r="I2453" s="2">
        <v>8</v>
      </c>
      <c r="J2453" s="12">
        <f>I2453/Pondération!$J$150</f>
        <v>9.1954022988505746E-2</v>
      </c>
    </row>
    <row r="2454" spans="1:10" x14ac:dyDescent="0.25">
      <c r="A2454" s="2" t="s">
        <v>77</v>
      </c>
      <c r="B2454" s="2">
        <v>2013</v>
      </c>
      <c r="C2454" s="2" t="s">
        <v>53</v>
      </c>
      <c r="D2454" s="2" t="s">
        <v>45</v>
      </c>
      <c r="E2454" s="2" t="s">
        <v>78</v>
      </c>
      <c r="F2454" s="2" t="s">
        <v>84</v>
      </c>
      <c r="G2454" s="2">
        <f t="shared" si="38"/>
        <v>0.20689655172413793</v>
      </c>
      <c r="H2454" s="5">
        <v>4.5</v>
      </c>
      <c r="I2454" s="2">
        <v>4</v>
      </c>
      <c r="J2454" s="12">
        <f>I2454/Pondération!$J$150</f>
        <v>4.5977011494252873E-2</v>
      </c>
    </row>
    <row r="2455" spans="1:10" x14ac:dyDescent="0.25">
      <c r="A2455" s="2" t="s">
        <v>77</v>
      </c>
      <c r="B2455" s="2">
        <v>2013</v>
      </c>
      <c r="C2455" s="2" t="s">
        <v>54</v>
      </c>
      <c r="D2455" s="2" t="s">
        <v>45</v>
      </c>
      <c r="E2455" s="2" t="s">
        <v>78</v>
      </c>
      <c r="F2455" s="2" t="s">
        <v>84</v>
      </c>
      <c r="G2455" s="2">
        <f t="shared" si="38"/>
        <v>0.32758620689655171</v>
      </c>
      <c r="H2455" s="5">
        <v>4.75</v>
      </c>
      <c r="I2455" s="2">
        <v>6</v>
      </c>
      <c r="J2455" s="12">
        <f>I2455/Pondération!$J$150</f>
        <v>6.8965517241379309E-2</v>
      </c>
    </row>
    <row r="2456" spans="1:10" x14ac:dyDescent="0.25">
      <c r="A2456" s="2" t="s">
        <v>77</v>
      </c>
      <c r="B2456" s="2">
        <v>2013</v>
      </c>
      <c r="C2456" s="2" t="s">
        <v>55</v>
      </c>
      <c r="D2456" s="2" t="s">
        <v>45</v>
      </c>
      <c r="E2456" s="2" t="s">
        <v>78</v>
      </c>
      <c r="F2456" s="2" t="s">
        <v>84</v>
      </c>
      <c r="G2456" s="2">
        <f t="shared" si="38"/>
        <v>0.40804597701149425</v>
      </c>
      <c r="H2456" s="5">
        <v>4.4375</v>
      </c>
      <c r="I2456" s="2">
        <v>8</v>
      </c>
      <c r="J2456" s="12">
        <f>I2456/Pondération!$J$150</f>
        <v>9.1954022988505746E-2</v>
      </c>
    </row>
    <row r="2457" spans="1:10" x14ac:dyDescent="0.25">
      <c r="A2457" s="2" t="s">
        <v>77</v>
      </c>
      <c r="B2457" s="2">
        <v>2013</v>
      </c>
      <c r="C2457" s="2" t="s">
        <v>56</v>
      </c>
      <c r="D2457" s="2" t="s">
        <v>45</v>
      </c>
      <c r="E2457" s="2" t="s">
        <v>78</v>
      </c>
      <c r="F2457" s="2" t="s">
        <v>84</v>
      </c>
      <c r="G2457" s="2">
        <f t="shared" si="38"/>
        <v>0.8793103448275863</v>
      </c>
      <c r="H2457" s="5">
        <v>4.5</v>
      </c>
      <c r="I2457" s="2">
        <v>17</v>
      </c>
      <c r="J2457" s="12">
        <f>I2457/Pondération!$J$150</f>
        <v>0.19540229885057472</v>
      </c>
    </row>
    <row r="2458" spans="1:10" x14ac:dyDescent="0.25">
      <c r="A2458" s="2" t="s">
        <v>77</v>
      </c>
      <c r="B2458" s="2">
        <v>2013</v>
      </c>
      <c r="C2458" s="2" t="s">
        <v>57</v>
      </c>
      <c r="D2458" s="2" t="s">
        <v>45</v>
      </c>
      <c r="E2458" s="2" t="s">
        <v>78</v>
      </c>
      <c r="F2458" s="2" t="s">
        <v>84</v>
      </c>
      <c r="G2458" s="2">
        <f t="shared" si="38"/>
        <v>0.56321839080459768</v>
      </c>
      <c r="H2458" s="5">
        <v>4.4545454545454541</v>
      </c>
      <c r="I2458" s="2">
        <v>11</v>
      </c>
      <c r="J2458" s="12">
        <f>I2458/Pondération!$J$150</f>
        <v>0.12643678160919541</v>
      </c>
    </row>
    <row r="2459" spans="1:10" x14ac:dyDescent="0.25">
      <c r="A2459" s="2" t="s">
        <v>77</v>
      </c>
      <c r="B2459" s="2">
        <v>2013</v>
      </c>
      <c r="C2459" s="2" t="s">
        <v>58</v>
      </c>
      <c r="D2459" s="2" t="s">
        <v>45</v>
      </c>
      <c r="E2459" s="2" t="s">
        <v>78</v>
      </c>
      <c r="F2459" s="2" t="s">
        <v>84</v>
      </c>
      <c r="G2459" s="2">
        <f t="shared" si="38"/>
        <v>0.46551724137931033</v>
      </c>
      <c r="H2459" s="5">
        <v>4.5</v>
      </c>
      <c r="I2459" s="2">
        <v>9</v>
      </c>
      <c r="J2459" s="12">
        <f>I2459/Pondération!$J$150</f>
        <v>0.10344827586206896</v>
      </c>
    </row>
    <row r="2460" spans="1:10" x14ac:dyDescent="0.25">
      <c r="A2460" s="2" t="s">
        <v>77</v>
      </c>
      <c r="B2460" s="2">
        <v>2013</v>
      </c>
      <c r="C2460" s="2" t="s">
        <v>59</v>
      </c>
      <c r="D2460" s="2" t="s">
        <v>45</v>
      </c>
      <c r="E2460" s="2" t="s">
        <v>78</v>
      </c>
      <c r="F2460" s="2" t="s">
        <v>84</v>
      </c>
      <c r="G2460" s="2">
        <f t="shared" si="38"/>
        <v>0.10344827586206896</v>
      </c>
      <c r="H2460" s="5">
        <v>4.5</v>
      </c>
      <c r="I2460" s="2">
        <v>2</v>
      </c>
      <c r="J2460" s="12">
        <f>I2460/Pondération!$J$150</f>
        <v>2.2988505747126436E-2</v>
      </c>
    </row>
    <row r="2461" spans="1:10" x14ac:dyDescent="0.25">
      <c r="A2461" s="2" t="s">
        <v>77</v>
      </c>
      <c r="B2461" s="2">
        <v>2013</v>
      </c>
      <c r="C2461" s="2" t="s">
        <v>60</v>
      </c>
      <c r="D2461" s="2" t="s">
        <v>45</v>
      </c>
      <c r="E2461" s="2" t="s">
        <v>78</v>
      </c>
      <c r="F2461" s="2" t="s">
        <v>84</v>
      </c>
      <c r="G2461" s="2">
        <f t="shared" si="38"/>
        <v>0.35632183908045978</v>
      </c>
      <c r="H2461" s="5">
        <v>4.4285714285714288</v>
      </c>
      <c r="I2461" s="2">
        <v>7</v>
      </c>
      <c r="J2461" s="12">
        <f>I2461/Pondération!$J$150</f>
        <v>8.0459770114942528E-2</v>
      </c>
    </row>
    <row r="2462" spans="1:10" x14ac:dyDescent="0.25">
      <c r="A2462" s="2" t="s">
        <v>77</v>
      </c>
      <c r="B2462" s="2">
        <v>2014</v>
      </c>
      <c r="C2462" s="2" t="s">
        <v>61</v>
      </c>
      <c r="D2462" s="2" t="s">
        <v>45</v>
      </c>
      <c r="E2462" s="2" t="s">
        <v>78</v>
      </c>
      <c r="F2462" s="2" t="s">
        <v>84</v>
      </c>
      <c r="G2462" s="2">
        <f t="shared" si="38"/>
        <v>0.11560693641618497</v>
      </c>
      <c r="H2462" s="5">
        <v>4</v>
      </c>
      <c r="I2462" s="2">
        <v>5</v>
      </c>
      <c r="J2462" s="12">
        <f>I2462/Pondération!$I$150</f>
        <v>2.8901734104046242E-2</v>
      </c>
    </row>
    <row r="2463" spans="1:10" x14ac:dyDescent="0.25">
      <c r="A2463" s="2" t="s">
        <v>77</v>
      </c>
      <c r="B2463" s="2">
        <v>2014</v>
      </c>
      <c r="C2463" s="2" t="s">
        <v>62</v>
      </c>
      <c r="D2463" s="2" t="s">
        <v>45</v>
      </c>
      <c r="E2463" s="2" t="s">
        <v>78</v>
      </c>
      <c r="F2463" s="2" t="s">
        <v>84</v>
      </c>
      <c r="G2463" s="2">
        <f t="shared" si="38"/>
        <v>0.15606936416184969</v>
      </c>
      <c r="H2463" s="5">
        <v>4.5</v>
      </c>
      <c r="I2463" s="2">
        <v>6</v>
      </c>
      <c r="J2463" s="12">
        <f>I2463/Pondération!$I$150</f>
        <v>3.4682080924855488E-2</v>
      </c>
    </row>
    <row r="2464" spans="1:10" x14ac:dyDescent="0.25">
      <c r="A2464" s="2" t="s">
        <v>77</v>
      </c>
      <c r="B2464" s="2">
        <v>2014</v>
      </c>
      <c r="C2464" s="2" t="s">
        <v>63</v>
      </c>
      <c r="D2464" s="2" t="s">
        <v>45</v>
      </c>
      <c r="E2464" s="2" t="s">
        <v>78</v>
      </c>
      <c r="F2464" s="2" t="s">
        <v>84</v>
      </c>
      <c r="G2464" s="2">
        <f t="shared" si="38"/>
        <v>0.15317919075144509</v>
      </c>
      <c r="H2464" s="5">
        <v>4.416666666666667</v>
      </c>
      <c r="I2464" s="2">
        <v>6</v>
      </c>
      <c r="J2464" s="12">
        <f>I2464/Pondération!$I$150</f>
        <v>3.4682080924855488E-2</v>
      </c>
    </row>
    <row r="2465" spans="1:10" x14ac:dyDescent="0.25">
      <c r="A2465" s="2" t="s">
        <v>77</v>
      </c>
      <c r="B2465" s="2">
        <v>2014</v>
      </c>
      <c r="C2465" s="2" t="s">
        <v>64</v>
      </c>
      <c r="D2465" s="2" t="s">
        <v>45</v>
      </c>
      <c r="E2465" s="2" t="s">
        <v>78</v>
      </c>
      <c r="F2465" s="2" t="s">
        <v>84</v>
      </c>
      <c r="G2465" s="2">
        <f t="shared" si="38"/>
        <v>0.18208092485549132</v>
      </c>
      <c r="H2465" s="5">
        <v>4.5</v>
      </c>
      <c r="I2465" s="2">
        <v>7</v>
      </c>
      <c r="J2465" s="12">
        <f>I2465/Pondération!$I$150</f>
        <v>4.046242774566474E-2</v>
      </c>
    </row>
    <row r="2466" spans="1:10" x14ac:dyDescent="0.25">
      <c r="A2466" s="2" t="s">
        <v>77</v>
      </c>
      <c r="B2466" s="2">
        <v>2014</v>
      </c>
      <c r="C2466" s="2" t="s">
        <v>65</v>
      </c>
      <c r="D2466" s="2" t="s">
        <v>45</v>
      </c>
      <c r="E2466" s="2" t="s">
        <v>78</v>
      </c>
      <c r="F2466" s="2" t="s">
        <v>84</v>
      </c>
      <c r="G2466" s="2">
        <f t="shared" si="38"/>
        <v>0.28034682080924855</v>
      </c>
      <c r="H2466" s="5">
        <v>4.4090909090909092</v>
      </c>
      <c r="I2466" s="2">
        <v>11</v>
      </c>
      <c r="J2466" s="12">
        <f>I2466/Pondération!$I$150</f>
        <v>6.358381502890173E-2</v>
      </c>
    </row>
    <row r="2467" spans="1:10" x14ac:dyDescent="0.25">
      <c r="A2467" s="2" t="s">
        <v>77</v>
      </c>
      <c r="B2467" s="2">
        <v>2014</v>
      </c>
      <c r="C2467" s="2" t="s">
        <v>66</v>
      </c>
      <c r="D2467" s="2" t="s">
        <v>45</v>
      </c>
      <c r="E2467" s="2" t="s">
        <v>78</v>
      </c>
      <c r="F2467" s="2" t="s">
        <v>84</v>
      </c>
      <c r="G2467" s="2">
        <f t="shared" si="38"/>
        <v>0.2052023121387283</v>
      </c>
      <c r="H2467" s="5">
        <v>4.4375</v>
      </c>
      <c r="I2467" s="2">
        <v>8</v>
      </c>
      <c r="J2467" s="12">
        <f>I2467/Pondération!$I$150</f>
        <v>4.6242774566473986E-2</v>
      </c>
    </row>
    <row r="2468" spans="1:10" x14ac:dyDescent="0.25">
      <c r="A2468" s="2" t="s">
        <v>77</v>
      </c>
      <c r="B2468" s="2">
        <v>2014</v>
      </c>
      <c r="C2468" s="2" t="s">
        <v>67</v>
      </c>
      <c r="D2468" s="2" t="s">
        <v>45</v>
      </c>
      <c r="E2468" s="2" t="s">
        <v>78</v>
      </c>
      <c r="F2468" s="2" t="s">
        <v>84</v>
      </c>
      <c r="G2468" s="2">
        <f t="shared" si="38"/>
        <v>0.48843930635838156</v>
      </c>
      <c r="H2468" s="5">
        <v>4.4473684210526319</v>
      </c>
      <c r="I2468" s="2">
        <v>19</v>
      </c>
      <c r="J2468" s="12">
        <f>I2468/Pondération!$I$150</f>
        <v>0.10982658959537572</v>
      </c>
    </row>
    <row r="2469" spans="1:10" x14ac:dyDescent="0.25">
      <c r="A2469" s="2" t="s">
        <v>77</v>
      </c>
      <c r="B2469" s="2">
        <v>2014</v>
      </c>
      <c r="C2469" s="2" t="s">
        <v>68</v>
      </c>
      <c r="D2469" s="2" t="s">
        <v>45</v>
      </c>
      <c r="E2469" s="2" t="s">
        <v>78</v>
      </c>
      <c r="F2469" s="2" t="s">
        <v>84</v>
      </c>
      <c r="G2469" s="2">
        <f t="shared" si="38"/>
        <v>0.85549132947976869</v>
      </c>
      <c r="H2469" s="5">
        <v>4.4848484848484844</v>
      </c>
      <c r="I2469" s="2">
        <v>33</v>
      </c>
      <c r="J2469" s="12">
        <f>I2469/Pondération!$I$150</f>
        <v>0.19075144508670519</v>
      </c>
    </row>
    <row r="2470" spans="1:10" x14ac:dyDescent="0.25">
      <c r="A2470" s="2" t="s">
        <v>77</v>
      </c>
      <c r="B2470" s="2">
        <v>2014</v>
      </c>
      <c r="C2470" s="2" t="s">
        <v>69</v>
      </c>
      <c r="D2470" s="2" t="s">
        <v>45</v>
      </c>
      <c r="E2470" s="2" t="s">
        <v>78</v>
      </c>
      <c r="F2470" s="2" t="s">
        <v>84</v>
      </c>
      <c r="G2470" s="2">
        <f t="shared" si="38"/>
        <v>0.56358381502890165</v>
      </c>
      <c r="H2470" s="5">
        <v>4.4318181818181817</v>
      </c>
      <c r="I2470" s="2">
        <v>22</v>
      </c>
      <c r="J2470" s="12">
        <f>I2470/Pondération!$I$150</f>
        <v>0.12716763005780346</v>
      </c>
    </row>
    <row r="2471" spans="1:10" x14ac:dyDescent="0.25">
      <c r="A2471" s="2" t="s">
        <v>77</v>
      </c>
      <c r="B2471" s="2">
        <v>2014</v>
      </c>
      <c r="C2471" s="2" t="s">
        <v>70</v>
      </c>
      <c r="D2471" s="2" t="s">
        <v>45</v>
      </c>
      <c r="E2471" s="2" t="s">
        <v>78</v>
      </c>
      <c r="F2471" s="2" t="s">
        <v>84</v>
      </c>
      <c r="G2471" s="2">
        <f t="shared" si="38"/>
        <v>0.51156069364161849</v>
      </c>
      <c r="H2471" s="5">
        <v>4.4249999999999998</v>
      </c>
      <c r="I2471" s="2">
        <v>20</v>
      </c>
      <c r="J2471" s="12">
        <f>I2471/Pondération!$I$150</f>
        <v>0.11560693641618497</v>
      </c>
    </row>
    <row r="2472" spans="1:10" x14ac:dyDescent="0.25">
      <c r="A2472" s="2" t="s">
        <v>77</v>
      </c>
      <c r="B2472" s="2">
        <v>2014</v>
      </c>
      <c r="C2472" s="2" t="s">
        <v>71</v>
      </c>
      <c r="D2472" s="2" t="s">
        <v>45</v>
      </c>
      <c r="E2472" s="2" t="s">
        <v>78</v>
      </c>
      <c r="F2472" s="2" t="s">
        <v>84</v>
      </c>
      <c r="G2472" s="2">
        <f t="shared" si="38"/>
        <v>0.6502890173410405</v>
      </c>
      <c r="H2472" s="5">
        <v>4.5</v>
      </c>
      <c r="I2472" s="2">
        <v>25</v>
      </c>
      <c r="J2472" s="12">
        <f>I2472/Pondération!$I$150</f>
        <v>0.14450867052023122</v>
      </c>
    </row>
    <row r="2473" spans="1:10" x14ac:dyDescent="0.25">
      <c r="A2473" s="2" t="s">
        <v>77</v>
      </c>
      <c r="B2473" s="2">
        <v>2014</v>
      </c>
      <c r="C2473" s="2" t="s">
        <v>72</v>
      </c>
      <c r="D2473" s="2" t="s">
        <v>45</v>
      </c>
      <c r="E2473" s="2" t="s">
        <v>78</v>
      </c>
      <c r="F2473" s="2" t="s">
        <v>84</v>
      </c>
      <c r="G2473" s="2">
        <f t="shared" si="38"/>
        <v>0.28323699421965315</v>
      </c>
      <c r="H2473" s="5">
        <v>4.4545454545454541</v>
      </c>
      <c r="I2473" s="2">
        <v>11</v>
      </c>
      <c r="J2473" s="12">
        <f>I2473/Pondération!$I$150</f>
        <v>6.358381502890173E-2</v>
      </c>
    </row>
    <row r="2474" spans="1:10" x14ac:dyDescent="0.25">
      <c r="A2474" s="2" t="s">
        <v>77</v>
      </c>
      <c r="B2474" s="2">
        <v>2015</v>
      </c>
      <c r="C2474" s="2" t="s">
        <v>73</v>
      </c>
      <c r="D2474" s="2" t="s">
        <v>45</v>
      </c>
      <c r="E2474" s="2" t="s">
        <v>78</v>
      </c>
      <c r="F2474" s="2" t="s">
        <v>84</v>
      </c>
      <c r="G2474" s="2">
        <f t="shared" si="38"/>
        <v>9.8577235772357732E-2</v>
      </c>
      <c r="H2474" s="5">
        <v>4.4090909090909092</v>
      </c>
      <c r="I2474" s="2">
        <v>11</v>
      </c>
      <c r="J2474" s="12">
        <f>I2474/Pondération!$H$150</f>
        <v>2.2357723577235773E-2</v>
      </c>
    </row>
    <row r="2475" spans="1:10" x14ac:dyDescent="0.25">
      <c r="A2475" s="2" t="s">
        <v>77</v>
      </c>
      <c r="B2475" s="2">
        <v>2015</v>
      </c>
      <c r="C2475" s="2" t="s">
        <v>74</v>
      </c>
      <c r="D2475" s="2" t="s">
        <v>45</v>
      </c>
      <c r="E2475" s="2" t="s">
        <v>78</v>
      </c>
      <c r="F2475" s="2" t="s">
        <v>84</v>
      </c>
      <c r="G2475" s="2">
        <f t="shared" si="38"/>
        <v>0.16056910569105692</v>
      </c>
      <c r="H2475" s="5">
        <v>4.3888888888888893</v>
      </c>
      <c r="I2475" s="2">
        <v>18</v>
      </c>
      <c r="J2475" s="12">
        <f>I2475/Pondération!$H$150</f>
        <v>3.6585365853658534E-2</v>
      </c>
    </row>
    <row r="2476" spans="1:10" x14ac:dyDescent="0.25">
      <c r="A2476" s="2" t="s">
        <v>77</v>
      </c>
      <c r="B2476" s="2">
        <v>2015</v>
      </c>
      <c r="C2476" s="2" t="s">
        <v>75</v>
      </c>
      <c r="D2476" s="2" t="s">
        <v>45</v>
      </c>
      <c r="E2476" s="2" t="s">
        <v>78</v>
      </c>
      <c r="F2476" s="2" t="s">
        <v>84</v>
      </c>
      <c r="G2476" s="2">
        <f t="shared" si="38"/>
        <v>0.25406504065040653</v>
      </c>
      <c r="H2476" s="5">
        <v>4.4642857142857144</v>
      </c>
      <c r="I2476" s="2">
        <v>28</v>
      </c>
      <c r="J2476" s="12">
        <f>I2476/Pondération!$H$150</f>
        <v>5.6910569105691054E-2</v>
      </c>
    </row>
    <row r="2477" spans="1:10" x14ac:dyDescent="0.25">
      <c r="A2477" s="2" t="s">
        <v>77</v>
      </c>
      <c r="B2477" s="2">
        <v>2015</v>
      </c>
      <c r="C2477" s="2" t="s">
        <v>76</v>
      </c>
      <c r="D2477" s="2" t="s">
        <v>45</v>
      </c>
      <c r="E2477" s="2" t="s">
        <v>78</v>
      </c>
      <c r="F2477" s="2" t="s">
        <v>84</v>
      </c>
      <c r="G2477" s="2">
        <f t="shared" si="38"/>
        <v>0.28048780487804875</v>
      </c>
      <c r="H2477" s="5">
        <v>4.4516129032258061</v>
      </c>
      <c r="I2477" s="2">
        <v>31</v>
      </c>
      <c r="J2477" s="12">
        <f>I2477/Pondération!$H$150</f>
        <v>6.3008130081300809E-2</v>
      </c>
    </row>
    <row r="2478" spans="1:10" x14ac:dyDescent="0.25">
      <c r="A2478" s="2" t="s">
        <v>77</v>
      </c>
      <c r="B2478" s="2">
        <v>2015</v>
      </c>
      <c r="C2478" s="2" t="s">
        <v>7</v>
      </c>
      <c r="D2478" s="2" t="s">
        <v>45</v>
      </c>
      <c r="E2478" s="2" t="s">
        <v>78</v>
      </c>
      <c r="F2478" s="2" t="s">
        <v>84</v>
      </c>
      <c r="G2478" s="2">
        <f t="shared" si="38"/>
        <v>0.45020325203252026</v>
      </c>
      <c r="H2478" s="5">
        <v>4.43</v>
      </c>
      <c r="I2478" s="2">
        <v>50</v>
      </c>
      <c r="J2478" s="12">
        <f>I2478/Pondération!$H$150</f>
        <v>0.1016260162601626</v>
      </c>
    </row>
    <row r="2479" spans="1:10" x14ac:dyDescent="0.25">
      <c r="A2479" s="2" t="s">
        <v>77</v>
      </c>
      <c r="B2479" s="2">
        <v>2015</v>
      </c>
      <c r="C2479" s="2" t="s">
        <v>11</v>
      </c>
      <c r="D2479" s="2" t="s">
        <v>45</v>
      </c>
      <c r="E2479" s="2" t="s">
        <v>78</v>
      </c>
      <c r="F2479" s="2" t="s">
        <v>84</v>
      </c>
      <c r="G2479" s="2">
        <f t="shared" si="38"/>
        <v>0.25101626016260159</v>
      </c>
      <c r="H2479" s="5">
        <v>4.4107142857142856</v>
      </c>
      <c r="I2479" s="2">
        <v>28</v>
      </c>
      <c r="J2479" s="12">
        <f>I2479/Pondération!$H$150</f>
        <v>5.6910569105691054E-2</v>
      </c>
    </row>
    <row r="2480" spans="1:10" x14ac:dyDescent="0.25">
      <c r="A2480" s="2" t="s">
        <v>77</v>
      </c>
      <c r="B2480" s="2">
        <v>2015</v>
      </c>
      <c r="C2480" s="2" t="s">
        <v>12</v>
      </c>
      <c r="D2480" s="2" t="s">
        <v>45</v>
      </c>
      <c r="E2480" s="2" t="s">
        <v>78</v>
      </c>
      <c r="F2480" s="2" t="s">
        <v>84</v>
      </c>
      <c r="G2480" s="2">
        <f t="shared" si="38"/>
        <v>0.53963414634146334</v>
      </c>
      <c r="H2480" s="5">
        <v>4.4249999999999998</v>
      </c>
      <c r="I2480" s="2">
        <v>60</v>
      </c>
      <c r="J2480" s="12">
        <f>I2480/Pondération!$H$150</f>
        <v>0.12195121951219512</v>
      </c>
    </row>
    <row r="2481" spans="1:10" x14ac:dyDescent="0.25">
      <c r="A2481" s="2" t="s">
        <v>77</v>
      </c>
      <c r="B2481" s="2">
        <v>2015</v>
      </c>
      <c r="C2481" s="2" t="s">
        <v>13</v>
      </c>
      <c r="D2481" s="2" t="s">
        <v>45</v>
      </c>
      <c r="E2481" s="2" t="s">
        <v>78</v>
      </c>
      <c r="F2481" s="2" t="s">
        <v>84</v>
      </c>
      <c r="G2481" s="2">
        <f t="shared" si="38"/>
        <v>0.79878048780487798</v>
      </c>
      <c r="H2481" s="5">
        <v>4.3186813186813184</v>
      </c>
      <c r="I2481" s="2">
        <v>91</v>
      </c>
      <c r="J2481" s="12">
        <f>I2481/Pondération!$H$150</f>
        <v>0.18495934959349594</v>
      </c>
    </row>
    <row r="2482" spans="1:10" x14ac:dyDescent="0.25">
      <c r="A2482" s="2" t="s">
        <v>77</v>
      </c>
      <c r="B2482" s="2">
        <v>2015</v>
      </c>
      <c r="C2482" s="2" t="s">
        <v>14</v>
      </c>
      <c r="D2482" s="2" t="s">
        <v>45</v>
      </c>
      <c r="E2482" s="2" t="s">
        <v>78</v>
      </c>
      <c r="F2482" s="2" t="s">
        <v>84</v>
      </c>
      <c r="G2482" s="2">
        <f t="shared" si="38"/>
        <v>0.51422764227642281</v>
      </c>
      <c r="H2482" s="5">
        <v>4.2881355932203391</v>
      </c>
      <c r="I2482" s="2">
        <v>59</v>
      </c>
      <c r="J2482" s="12">
        <f>I2482/Pondération!$H$150</f>
        <v>0.11991869918699187</v>
      </c>
    </row>
    <row r="2483" spans="1:10" x14ac:dyDescent="0.25">
      <c r="A2483" s="2" t="s">
        <v>77</v>
      </c>
      <c r="B2483" s="2">
        <v>2015</v>
      </c>
      <c r="C2483" s="2" t="s">
        <v>15</v>
      </c>
      <c r="D2483" s="2" t="s">
        <v>45</v>
      </c>
      <c r="E2483" s="2" t="s">
        <v>78</v>
      </c>
      <c r="F2483" s="2" t="s">
        <v>84</v>
      </c>
      <c r="G2483" s="2">
        <f t="shared" si="38"/>
        <v>0.37296747967479676</v>
      </c>
      <c r="H2483" s="5">
        <v>4.3690476190476186</v>
      </c>
      <c r="I2483" s="2">
        <v>42</v>
      </c>
      <c r="J2483" s="12">
        <f>I2483/Pondération!$H$150</f>
        <v>8.5365853658536592E-2</v>
      </c>
    </row>
    <row r="2484" spans="1:10" x14ac:dyDescent="0.25">
      <c r="A2484" s="2" t="s">
        <v>77</v>
      </c>
      <c r="B2484" s="2">
        <v>2015</v>
      </c>
      <c r="C2484" s="2" t="s">
        <v>16</v>
      </c>
      <c r="D2484" s="2" t="s">
        <v>45</v>
      </c>
      <c r="E2484" s="2" t="s">
        <v>78</v>
      </c>
      <c r="F2484" s="2" t="s">
        <v>84</v>
      </c>
      <c r="G2484" s="2">
        <f t="shared" si="38"/>
        <v>0.41056910569105698</v>
      </c>
      <c r="H2484" s="5">
        <v>4.2978723404255321</v>
      </c>
      <c r="I2484" s="2">
        <v>47</v>
      </c>
      <c r="J2484" s="12">
        <f>I2484/Pondération!$H$150</f>
        <v>9.5528455284552852E-2</v>
      </c>
    </row>
    <row r="2485" spans="1:10" x14ac:dyDescent="0.25">
      <c r="A2485" s="2" t="s">
        <v>77</v>
      </c>
      <c r="B2485" s="2">
        <v>2015</v>
      </c>
      <c r="C2485" s="2" t="s">
        <v>17</v>
      </c>
      <c r="D2485" s="2" t="s">
        <v>45</v>
      </c>
      <c r="E2485" s="2" t="s">
        <v>78</v>
      </c>
      <c r="F2485" s="2" t="s">
        <v>84</v>
      </c>
      <c r="G2485" s="2">
        <f t="shared" si="38"/>
        <v>0.23983739837398374</v>
      </c>
      <c r="H2485" s="5">
        <v>4.3703703703703702</v>
      </c>
      <c r="I2485" s="2">
        <v>27</v>
      </c>
      <c r="J2485" s="12">
        <f>I2485/Pondération!$H$150</f>
        <v>5.4878048780487805E-2</v>
      </c>
    </row>
    <row r="2486" spans="1:10" x14ac:dyDescent="0.25">
      <c r="A2486" s="2" t="s">
        <v>77</v>
      </c>
      <c r="B2486" s="2">
        <v>2016</v>
      </c>
      <c r="C2486" s="2" t="s">
        <v>18</v>
      </c>
      <c r="D2486" s="2" t="s">
        <v>45</v>
      </c>
      <c r="E2486" s="2" t="s">
        <v>78</v>
      </c>
      <c r="F2486" s="2" t="s">
        <v>84</v>
      </c>
      <c r="G2486" s="2">
        <f t="shared" si="38"/>
        <v>0.17379385964912283</v>
      </c>
      <c r="H2486" s="5">
        <v>4.2837837837837842</v>
      </c>
      <c r="I2486" s="2">
        <v>37</v>
      </c>
      <c r="J2486" s="12">
        <f>I2486/Pondération!$G$150</f>
        <v>4.0570175438596492E-2</v>
      </c>
    </row>
    <row r="2487" spans="1:10" x14ac:dyDescent="0.25">
      <c r="A2487" s="2" t="s">
        <v>77</v>
      </c>
      <c r="B2487" s="2">
        <v>2016</v>
      </c>
      <c r="C2487" s="2" t="s">
        <v>19</v>
      </c>
      <c r="D2487" s="2" t="s">
        <v>45</v>
      </c>
      <c r="E2487" s="2" t="s">
        <v>78</v>
      </c>
      <c r="F2487" s="2" t="s">
        <v>84</v>
      </c>
      <c r="G2487" s="2">
        <f t="shared" si="38"/>
        <v>0.31578947368421051</v>
      </c>
      <c r="H2487" s="5">
        <v>4.3636363636363633</v>
      </c>
      <c r="I2487" s="2">
        <v>66</v>
      </c>
      <c r="J2487" s="12">
        <f>I2487/Pondération!$G$150</f>
        <v>7.2368421052631582E-2</v>
      </c>
    </row>
    <row r="2488" spans="1:10" x14ac:dyDescent="0.25">
      <c r="A2488" s="2" t="s">
        <v>77</v>
      </c>
      <c r="B2488" s="2">
        <v>2016</v>
      </c>
      <c r="C2488" s="2" t="s">
        <v>20</v>
      </c>
      <c r="D2488" s="2" t="s">
        <v>45</v>
      </c>
      <c r="E2488" s="2" t="s">
        <v>78</v>
      </c>
      <c r="F2488" s="2" t="s">
        <v>84</v>
      </c>
      <c r="G2488" s="2">
        <f t="shared" si="38"/>
        <v>0.26754385964912281</v>
      </c>
      <c r="H2488" s="5">
        <v>4.2807017543859649</v>
      </c>
      <c r="I2488" s="2">
        <v>57</v>
      </c>
      <c r="J2488" s="12">
        <f>I2488/Pondération!$G$150</f>
        <v>6.25E-2</v>
      </c>
    </row>
    <row r="2489" spans="1:10" x14ac:dyDescent="0.25">
      <c r="A2489" s="2" t="s">
        <v>77</v>
      </c>
      <c r="B2489" s="2">
        <v>2016</v>
      </c>
      <c r="C2489" s="2" t="s">
        <v>21</v>
      </c>
      <c r="D2489" s="2" t="s">
        <v>45</v>
      </c>
      <c r="E2489" s="2" t="s">
        <v>78</v>
      </c>
      <c r="F2489" s="2" t="s">
        <v>84</v>
      </c>
      <c r="G2489" s="2">
        <f t="shared" si="38"/>
        <v>0.39144736842105265</v>
      </c>
      <c r="H2489" s="5">
        <v>4.3536585365853657</v>
      </c>
      <c r="I2489" s="2">
        <v>82</v>
      </c>
      <c r="J2489" s="12">
        <f>I2489/Pondération!$G$150</f>
        <v>8.9912280701754388E-2</v>
      </c>
    </row>
    <row r="2490" spans="1:10" x14ac:dyDescent="0.25">
      <c r="A2490" s="2" t="s">
        <v>77</v>
      </c>
      <c r="B2490" s="2">
        <v>2016</v>
      </c>
      <c r="C2490" s="2" t="s">
        <v>22</v>
      </c>
      <c r="D2490" s="2" t="s">
        <v>45</v>
      </c>
      <c r="E2490" s="2" t="s">
        <v>78</v>
      </c>
      <c r="F2490" s="2" t="s">
        <v>84</v>
      </c>
      <c r="G2490" s="2">
        <f t="shared" si="38"/>
        <v>0.2807017543859649</v>
      </c>
      <c r="H2490" s="5">
        <v>4.4137931034482758</v>
      </c>
      <c r="I2490" s="2">
        <v>58</v>
      </c>
      <c r="J2490" s="12">
        <f>I2490/Pondération!$G$150</f>
        <v>6.3596491228070179E-2</v>
      </c>
    </row>
    <row r="2491" spans="1:10" x14ac:dyDescent="0.25">
      <c r="A2491" s="2" t="s">
        <v>77</v>
      </c>
      <c r="B2491" s="2">
        <v>2016</v>
      </c>
      <c r="C2491" s="2" t="s">
        <v>23</v>
      </c>
      <c r="D2491" s="2" t="s">
        <v>45</v>
      </c>
      <c r="E2491" s="2" t="s">
        <v>78</v>
      </c>
      <c r="F2491" s="2" t="s">
        <v>84</v>
      </c>
      <c r="G2491" s="2">
        <f t="shared" si="38"/>
        <v>0.33607456140350878</v>
      </c>
      <c r="H2491" s="5">
        <v>4.316901408450704</v>
      </c>
      <c r="I2491" s="2">
        <v>71</v>
      </c>
      <c r="J2491" s="12">
        <f>I2491/Pondération!$G$150</f>
        <v>7.7850877192982462E-2</v>
      </c>
    </row>
    <row r="2492" spans="1:10" x14ac:dyDescent="0.25">
      <c r="A2492" s="2" t="s">
        <v>77</v>
      </c>
      <c r="B2492" s="2">
        <v>2016</v>
      </c>
      <c r="C2492" s="2" t="s">
        <v>24</v>
      </c>
      <c r="D2492" s="2" t="s">
        <v>45</v>
      </c>
      <c r="E2492" s="2" t="s">
        <v>78</v>
      </c>
      <c r="F2492" s="2" t="s">
        <v>84</v>
      </c>
      <c r="G2492" s="2">
        <f t="shared" si="38"/>
        <v>0.39089912280701755</v>
      </c>
      <c r="H2492" s="5">
        <v>4.2951807228915664</v>
      </c>
      <c r="I2492" s="2">
        <v>83</v>
      </c>
      <c r="J2492" s="12">
        <f>I2492/Pondération!$G$150</f>
        <v>9.1008771929824567E-2</v>
      </c>
    </row>
    <row r="2493" spans="1:10" x14ac:dyDescent="0.25">
      <c r="A2493" s="2" t="s">
        <v>77</v>
      </c>
      <c r="B2493" s="2">
        <v>2016</v>
      </c>
      <c r="C2493" s="2" t="s">
        <v>25</v>
      </c>
      <c r="D2493" s="2" t="s">
        <v>45</v>
      </c>
      <c r="E2493" s="2" t="s">
        <v>78</v>
      </c>
      <c r="F2493" s="2" t="s">
        <v>84</v>
      </c>
      <c r="G2493" s="2">
        <f t="shared" si="38"/>
        <v>0.82839912280701766</v>
      </c>
      <c r="H2493" s="5">
        <v>4.3670520231213876</v>
      </c>
      <c r="I2493" s="2">
        <v>173</v>
      </c>
      <c r="J2493" s="12">
        <f>I2493/Pondération!$G$150</f>
        <v>0.18969298245614036</v>
      </c>
    </row>
    <row r="2494" spans="1:10" x14ac:dyDescent="0.25">
      <c r="A2494" s="2" t="s">
        <v>77</v>
      </c>
      <c r="B2494" s="2">
        <v>2016</v>
      </c>
      <c r="C2494" s="2" t="s">
        <v>26</v>
      </c>
      <c r="D2494" s="2" t="s">
        <v>45</v>
      </c>
      <c r="E2494" s="2" t="s">
        <v>78</v>
      </c>
      <c r="F2494" s="2" t="s">
        <v>84</v>
      </c>
      <c r="G2494" s="2">
        <f t="shared" si="38"/>
        <v>0.44517543859649122</v>
      </c>
      <c r="H2494" s="5">
        <v>4.3191489361702127</v>
      </c>
      <c r="I2494" s="2">
        <v>94</v>
      </c>
      <c r="J2494" s="12">
        <f>I2494/Pondération!$G$150</f>
        <v>0.10307017543859649</v>
      </c>
    </row>
    <row r="2495" spans="1:10" x14ac:dyDescent="0.25">
      <c r="A2495" s="2" t="s">
        <v>77</v>
      </c>
      <c r="B2495" s="2">
        <v>2016</v>
      </c>
      <c r="C2495" s="2" t="s">
        <v>27</v>
      </c>
      <c r="D2495" s="2" t="s">
        <v>45</v>
      </c>
      <c r="E2495" s="2" t="s">
        <v>78</v>
      </c>
      <c r="F2495" s="2" t="s">
        <v>84</v>
      </c>
      <c r="G2495" s="2">
        <f t="shared" si="38"/>
        <v>0.29331140350877194</v>
      </c>
      <c r="H2495" s="5">
        <v>4.314516129032258</v>
      </c>
      <c r="I2495" s="2">
        <v>62</v>
      </c>
      <c r="J2495" s="12">
        <f>I2495/Pondération!$G$150</f>
        <v>6.798245614035088E-2</v>
      </c>
    </row>
    <row r="2496" spans="1:10" x14ac:dyDescent="0.25">
      <c r="A2496" s="2" t="s">
        <v>77</v>
      </c>
      <c r="B2496" s="2">
        <v>2016</v>
      </c>
      <c r="C2496" s="2" t="s">
        <v>28</v>
      </c>
      <c r="D2496" s="2" t="s">
        <v>45</v>
      </c>
      <c r="E2496" s="2" t="s">
        <v>78</v>
      </c>
      <c r="F2496" s="2" t="s">
        <v>84</v>
      </c>
      <c r="G2496" s="2">
        <f t="shared" si="38"/>
        <v>0.36567982456140352</v>
      </c>
      <c r="H2496" s="5">
        <v>4.3311688311688314</v>
      </c>
      <c r="I2496" s="2">
        <v>77</v>
      </c>
      <c r="J2496" s="12">
        <f>I2496/Pondération!$G$150</f>
        <v>8.4429824561403508E-2</v>
      </c>
    </row>
    <row r="2497" spans="1:10" x14ac:dyDescent="0.25">
      <c r="A2497" s="2" t="s">
        <v>77</v>
      </c>
      <c r="B2497" s="2">
        <v>2016</v>
      </c>
      <c r="C2497" s="2" t="s">
        <v>29</v>
      </c>
      <c r="D2497" s="2" t="s">
        <v>45</v>
      </c>
      <c r="E2497" s="2" t="s">
        <v>78</v>
      </c>
      <c r="F2497" s="2" t="s">
        <v>84</v>
      </c>
      <c r="G2497" s="2">
        <f t="shared" si="38"/>
        <v>0.24616228070175439</v>
      </c>
      <c r="H2497" s="5">
        <v>4.3173076923076925</v>
      </c>
      <c r="I2497" s="2">
        <v>52</v>
      </c>
      <c r="J2497" s="12">
        <f>I2497/Pondération!$G$150</f>
        <v>5.701754385964912E-2</v>
      </c>
    </row>
    <row r="2498" spans="1:10" x14ac:dyDescent="0.25">
      <c r="A2498" s="2" t="s">
        <v>77</v>
      </c>
      <c r="B2498" s="2">
        <v>2017</v>
      </c>
      <c r="C2498" s="2" t="s">
        <v>30</v>
      </c>
      <c r="D2498" s="2" t="s">
        <v>45</v>
      </c>
      <c r="E2498" s="2" t="s">
        <v>78</v>
      </c>
      <c r="F2498" s="2" t="s">
        <v>84</v>
      </c>
      <c r="G2498" s="2">
        <f t="shared" ref="G2498:G2561" si="39">H2498*J2498</f>
        <v>0.50127226463104324</v>
      </c>
      <c r="H2498" s="5">
        <v>4.3777777777777782</v>
      </c>
      <c r="I2498" s="2">
        <v>45</v>
      </c>
      <c r="J2498" s="12">
        <f>I2498/Pondération!$F$150</f>
        <v>0.11450381679389313</v>
      </c>
    </row>
    <row r="2499" spans="1:10" x14ac:dyDescent="0.25">
      <c r="A2499" s="2" t="s">
        <v>77</v>
      </c>
      <c r="B2499" s="2">
        <v>2017</v>
      </c>
      <c r="C2499" s="2" t="s">
        <v>31</v>
      </c>
      <c r="D2499" s="2" t="s">
        <v>45</v>
      </c>
      <c r="E2499" s="2" t="s">
        <v>78</v>
      </c>
      <c r="F2499" s="2" t="s">
        <v>84</v>
      </c>
      <c r="G2499" s="2">
        <f t="shared" si="39"/>
        <v>0.72264631043256988</v>
      </c>
      <c r="H2499" s="5">
        <v>4.3692307692307688</v>
      </c>
      <c r="I2499" s="2">
        <v>65</v>
      </c>
      <c r="J2499" s="12">
        <f>I2499/Pondération!$F$150</f>
        <v>0.16539440203562342</v>
      </c>
    </row>
    <row r="2500" spans="1:10" x14ac:dyDescent="0.25">
      <c r="A2500" s="2" t="s">
        <v>77</v>
      </c>
      <c r="B2500" s="2">
        <v>2017</v>
      </c>
      <c r="C2500" s="2" t="s">
        <v>32</v>
      </c>
      <c r="D2500" s="2" t="s">
        <v>45</v>
      </c>
      <c r="E2500" s="2" t="s">
        <v>78</v>
      </c>
      <c r="F2500" s="2" t="s">
        <v>84</v>
      </c>
      <c r="G2500" s="2">
        <f t="shared" si="39"/>
        <v>0.87659033078880411</v>
      </c>
      <c r="H2500" s="5">
        <v>4.2530864197530862</v>
      </c>
      <c r="I2500" s="2">
        <v>81</v>
      </c>
      <c r="J2500" s="12">
        <f>I2500/Pondération!$F$150</f>
        <v>0.20610687022900764</v>
      </c>
    </row>
    <row r="2501" spans="1:10" x14ac:dyDescent="0.25">
      <c r="A2501" s="2" t="s">
        <v>77</v>
      </c>
      <c r="B2501" s="2">
        <v>2017</v>
      </c>
      <c r="C2501" s="2" t="s">
        <v>33</v>
      </c>
      <c r="D2501" s="2" t="s">
        <v>45</v>
      </c>
      <c r="E2501" s="2" t="s">
        <v>78</v>
      </c>
      <c r="F2501" s="2" t="s">
        <v>84</v>
      </c>
      <c r="G2501" s="2">
        <f t="shared" si="39"/>
        <v>0.93256997455470736</v>
      </c>
      <c r="H2501" s="5">
        <v>4.3630952380952381</v>
      </c>
      <c r="I2501" s="2">
        <v>84</v>
      </c>
      <c r="J2501" s="12">
        <f>I2501/Pondération!$F$150</f>
        <v>0.21374045801526717</v>
      </c>
    </row>
    <row r="2502" spans="1:10" x14ac:dyDescent="0.25">
      <c r="A2502" s="2" t="s">
        <v>77</v>
      </c>
      <c r="B2502" s="2">
        <v>2017</v>
      </c>
      <c r="C2502" s="2" t="s">
        <v>34</v>
      </c>
      <c r="D2502" s="2" t="s">
        <v>45</v>
      </c>
      <c r="E2502" s="2" t="s">
        <v>78</v>
      </c>
      <c r="F2502" s="2" t="s">
        <v>84</v>
      </c>
      <c r="G2502" s="2">
        <f t="shared" si="39"/>
        <v>0.92493638676844792</v>
      </c>
      <c r="H2502" s="5">
        <v>4.3795180722891569</v>
      </c>
      <c r="I2502" s="2">
        <v>83</v>
      </c>
      <c r="J2502" s="12">
        <f>I2502/Pondération!$F$150</f>
        <v>0.21119592875318066</v>
      </c>
    </row>
    <row r="2503" spans="1:10" x14ac:dyDescent="0.25">
      <c r="A2503" s="2" t="s">
        <v>77</v>
      </c>
      <c r="B2503" s="2">
        <v>2017</v>
      </c>
      <c r="C2503" s="2" t="s">
        <v>80</v>
      </c>
      <c r="D2503" s="2" t="s">
        <v>45</v>
      </c>
      <c r="E2503" s="2" t="s">
        <v>78</v>
      </c>
      <c r="F2503" s="2" t="s">
        <v>84</v>
      </c>
      <c r="G2503" s="2">
        <f t="shared" si="39"/>
        <v>0.3944020356234097</v>
      </c>
      <c r="H2503" s="5">
        <v>4.4285714285714288</v>
      </c>
      <c r="I2503" s="2">
        <v>35</v>
      </c>
      <c r="J2503" s="12">
        <f>I2503/Pondération!$F$150</f>
        <v>8.9058524173027995E-2</v>
      </c>
    </row>
    <row r="2504" spans="1:10" x14ac:dyDescent="0.25">
      <c r="A2504" s="2" t="s">
        <v>77</v>
      </c>
      <c r="B2504" s="2">
        <v>2013</v>
      </c>
      <c r="C2504" s="2" t="s">
        <v>49</v>
      </c>
      <c r="D2504" s="2" t="s">
        <v>46</v>
      </c>
      <c r="E2504" s="2" t="s">
        <v>78</v>
      </c>
      <c r="F2504" s="2" t="s">
        <v>79</v>
      </c>
      <c r="G2504" s="2">
        <f t="shared" si="39"/>
        <v>0.14356905552918842</v>
      </c>
      <c r="H2504" s="5">
        <v>4.1438356164383565</v>
      </c>
      <c r="I2504" s="2">
        <v>73</v>
      </c>
      <c r="J2504" s="12">
        <f>I2504/Pondération!$J$160</f>
        <v>3.4646416706217369E-2</v>
      </c>
    </row>
    <row r="2505" spans="1:10" x14ac:dyDescent="0.25">
      <c r="A2505" s="2" t="s">
        <v>77</v>
      </c>
      <c r="B2505" s="2">
        <v>2013</v>
      </c>
      <c r="C2505" s="2" t="s">
        <v>50</v>
      </c>
      <c r="D2505" s="2" t="s">
        <v>46</v>
      </c>
      <c r="E2505" s="2" t="s">
        <v>78</v>
      </c>
      <c r="F2505" s="2" t="s">
        <v>79</v>
      </c>
      <c r="G2505" s="2">
        <f t="shared" si="39"/>
        <v>0.15757000474608449</v>
      </c>
      <c r="H2505" s="5">
        <v>4.2564102564102564</v>
      </c>
      <c r="I2505" s="2">
        <v>78</v>
      </c>
      <c r="J2505" s="12">
        <f>I2505/Pondération!$J$160</f>
        <v>3.7019458946369245E-2</v>
      </c>
    </row>
    <row r="2506" spans="1:10" x14ac:dyDescent="0.25">
      <c r="A2506" s="2" t="s">
        <v>77</v>
      </c>
      <c r="B2506" s="2">
        <v>2013</v>
      </c>
      <c r="C2506" s="2" t="s">
        <v>51</v>
      </c>
      <c r="D2506" s="2" t="s">
        <v>46</v>
      </c>
      <c r="E2506" s="2" t="s">
        <v>78</v>
      </c>
      <c r="F2506" s="2" t="s">
        <v>79</v>
      </c>
      <c r="G2506" s="2">
        <f t="shared" si="39"/>
        <v>0.19909824394874229</v>
      </c>
      <c r="H2506" s="5">
        <v>4.1534653465346532</v>
      </c>
      <c r="I2506" s="2">
        <v>101</v>
      </c>
      <c r="J2506" s="12">
        <f>I2506/Pondération!$J$160</f>
        <v>4.7935453251067871E-2</v>
      </c>
    </row>
    <row r="2507" spans="1:10" x14ac:dyDescent="0.25">
      <c r="A2507" s="2" t="s">
        <v>77</v>
      </c>
      <c r="B2507" s="2">
        <v>2013</v>
      </c>
      <c r="C2507" s="2" t="s">
        <v>52</v>
      </c>
      <c r="D2507" s="2" t="s">
        <v>46</v>
      </c>
      <c r="E2507" s="2" t="s">
        <v>78</v>
      </c>
      <c r="F2507" s="2" t="s">
        <v>79</v>
      </c>
      <c r="G2507" s="2">
        <f t="shared" si="39"/>
        <v>0.22377788324632178</v>
      </c>
      <c r="H2507" s="5">
        <v>4.3256880733944953</v>
      </c>
      <c r="I2507" s="2">
        <v>109</v>
      </c>
      <c r="J2507" s="12">
        <f>I2507/Pondération!$J$160</f>
        <v>5.1732320835310867E-2</v>
      </c>
    </row>
    <row r="2508" spans="1:10" x14ac:dyDescent="0.25">
      <c r="A2508" s="2" t="s">
        <v>77</v>
      </c>
      <c r="B2508" s="2">
        <v>2013</v>
      </c>
      <c r="C2508" s="2" t="s">
        <v>53</v>
      </c>
      <c r="D2508" s="2" t="s">
        <v>46</v>
      </c>
      <c r="E2508" s="2" t="s">
        <v>78</v>
      </c>
      <c r="F2508" s="2" t="s">
        <v>79</v>
      </c>
      <c r="G2508" s="2">
        <f t="shared" si="39"/>
        <v>0.32012339819648794</v>
      </c>
      <c r="H2508" s="5">
        <v>4.3798701298701301</v>
      </c>
      <c r="I2508" s="2">
        <v>154</v>
      </c>
      <c r="J2508" s="12">
        <f>I2508/Pondération!$J$160</f>
        <v>7.3089700996677748E-2</v>
      </c>
    </row>
    <row r="2509" spans="1:10" x14ac:dyDescent="0.25">
      <c r="A2509" s="2" t="s">
        <v>77</v>
      </c>
      <c r="B2509" s="2">
        <v>2013</v>
      </c>
      <c r="C2509" s="2" t="s">
        <v>54</v>
      </c>
      <c r="D2509" s="2" t="s">
        <v>46</v>
      </c>
      <c r="E2509" s="2" t="s">
        <v>78</v>
      </c>
      <c r="F2509" s="2" t="s">
        <v>79</v>
      </c>
      <c r="G2509" s="2">
        <f t="shared" si="39"/>
        <v>0.36995728523967725</v>
      </c>
      <c r="H2509" s="5">
        <v>4.4289772727272725</v>
      </c>
      <c r="I2509" s="2">
        <v>176</v>
      </c>
      <c r="J2509" s="12">
        <f>I2509/Pondération!$J$160</f>
        <v>8.3531086853345995E-2</v>
      </c>
    </row>
    <row r="2510" spans="1:10" x14ac:dyDescent="0.25">
      <c r="A2510" s="2" t="s">
        <v>77</v>
      </c>
      <c r="B2510" s="2">
        <v>2013</v>
      </c>
      <c r="C2510" s="2" t="s">
        <v>55</v>
      </c>
      <c r="D2510" s="2" t="s">
        <v>46</v>
      </c>
      <c r="E2510" s="2" t="s">
        <v>78</v>
      </c>
      <c r="F2510" s="2" t="s">
        <v>79</v>
      </c>
      <c r="G2510" s="2">
        <f t="shared" si="39"/>
        <v>0.5811580446131942</v>
      </c>
      <c r="H2510" s="5">
        <v>4.4046762589928061</v>
      </c>
      <c r="I2510" s="2">
        <v>278</v>
      </c>
      <c r="J2510" s="12">
        <f>I2510/Pondération!$J$160</f>
        <v>0.13194114855244424</v>
      </c>
    </row>
    <row r="2511" spans="1:10" x14ac:dyDescent="0.25">
      <c r="A2511" s="2" t="s">
        <v>77</v>
      </c>
      <c r="B2511" s="2">
        <v>2013</v>
      </c>
      <c r="C2511" s="2" t="s">
        <v>56</v>
      </c>
      <c r="D2511" s="2" t="s">
        <v>46</v>
      </c>
      <c r="E2511" s="2" t="s">
        <v>78</v>
      </c>
      <c r="F2511" s="2" t="s">
        <v>79</v>
      </c>
      <c r="G2511" s="2">
        <f t="shared" si="39"/>
        <v>1.119364024679639</v>
      </c>
      <c r="H2511" s="5">
        <v>4.3195970695970693</v>
      </c>
      <c r="I2511" s="2">
        <v>546</v>
      </c>
      <c r="J2511" s="12">
        <f>I2511/Pondération!$J$160</f>
        <v>0.25913621262458469</v>
      </c>
    </row>
    <row r="2512" spans="1:10" x14ac:dyDescent="0.25">
      <c r="A2512" s="2" t="s">
        <v>77</v>
      </c>
      <c r="B2512" s="2">
        <v>2013</v>
      </c>
      <c r="C2512" s="2" t="s">
        <v>57</v>
      </c>
      <c r="D2512" s="2" t="s">
        <v>46</v>
      </c>
      <c r="E2512" s="2" t="s">
        <v>78</v>
      </c>
      <c r="F2512" s="2" t="s">
        <v>79</v>
      </c>
      <c r="G2512" s="2">
        <f t="shared" si="39"/>
        <v>0.56217370669197908</v>
      </c>
      <c r="H2512" s="5">
        <v>4.3708487084870846</v>
      </c>
      <c r="I2512" s="2">
        <v>271</v>
      </c>
      <c r="J2512" s="12">
        <f>I2512/Pondération!$J$160</f>
        <v>0.12861888941623162</v>
      </c>
    </row>
    <row r="2513" spans="1:10" x14ac:dyDescent="0.25">
      <c r="A2513" s="2" t="s">
        <v>77</v>
      </c>
      <c r="B2513" s="2">
        <v>2013</v>
      </c>
      <c r="C2513" s="2" t="s">
        <v>58</v>
      </c>
      <c r="D2513" s="2" t="s">
        <v>46</v>
      </c>
      <c r="E2513" s="2" t="s">
        <v>78</v>
      </c>
      <c r="F2513" s="2" t="s">
        <v>79</v>
      </c>
      <c r="G2513" s="2">
        <f t="shared" si="39"/>
        <v>0.29069767441860467</v>
      </c>
      <c r="H2513" s="5">
        <v>4.4384057971014492</v>
      </c>
      <c r="I2513" s="2">
        <v>138</v>
      </c>
      <c r="J2513" s="12">
        <f>I2513/Pondération!$J$160</f>
        <v>6.5495965828191741E-2</v>
      </c>
    </row>
    <row r="2514" spans="1:10" x14ac:dyDescent="0.25">
      <c r="A2514" s="2" t="s">
        <v>77</v>
      </c>
      <c r="B2514" s="2">
        <v>2013</v>
      </c>
      <c r="C2514" s="2" t="s">
        <v>59</v>
      </c>
      <c r="D2514" s="2" t="s">
        <v>46</v>
      </c>
      <c r="E2514" s="2" t="s">
        <v>78</v>
      </c>
      <c r="F2514" s="2" t="s">
        <v>79</v>
      </c>
      <c r="G2514" s="2">
        <f t="shared" si="39"/>
        <v>0.1945894636924537</v>
      </c>
      <c r="H2514" s="5">
        <v>4.408602150537634</v>
      </c>
      <c r="I2514" s="2">
        <v>93</v>
      </c>
      <c r="J2514" s="12">
        <f>I2514/Pondération!$J$160</f>
        <v>4.4138585666824867E-2</v>
      </c>
    </row>
    <row r="2515" spans="1:10" x14ac:dyDescent="0.25">
      <c r="A2515" s="2" t="s">
        <v>77</v>
      </c>
      <c r="B2515" s="2">
        <v>2013</v>
      </c>
      <c r="C2515" s="2" t="s">
        <v>60</v>
      </c>
      <c r="D2515" s="2" t="s">
        <v>46</v>
      </c>
      <c r="E2515" s="2" t="s">
        <v>78</v>
      </c>
      <c r="F2515" s="2" t="s">
        <v>79</v>
      </c>
      <c r="G2515" s="2">
        <f t="shared" si="39"/>
        <v>0.18652112007593735</v>
      </c>
      <c r="H2515" s="5">
        <v>4.3666666666666663</v>
      </c>
      <c r="I2515" s="2">
        <v>90</v>
      </c>
      <c r="J2515" s="12">
        <f>I2515/Pondération!$J$160</f>
        <v>4.2714760322733747E-2</v>
      </c>
    </row>
    <row r="2516" spans="1:10" x14ac:dyDescent="0.25">
      <c r="A2516" s="2" t="s">
        <v>77</v>
      </c>
      <c r="B2516" s="2">
        <v>2014</v>
      </c>
      <c r="C2516" s="2" t="s">
        <v>61</v>
      </c>
      <c r="D2516" s="2" t="s">
        <v>46</v>
      </c>
      <c r="E2516" s="2" t="s">
        <v>78</v>
      </c>
      <c r="F2516" s="2" t="s">
        <v>79</v>
      </c>
      <c r="G2516" s="2">
        <f t="shared" si="39"/>
        <v>0.12319277108433735</v>
      </c>
      <c r="H2516" s="5">
        <v>4.29020979020979</v>
      </c>
      <c r="I2516" s="2">
        <v>143</v>
      </c>
      <c r="J2516" s="12">
        <f>I2516/Pondération!$I$160</f>
        <v>2.8714859437751004E-2</v>
      </c>
    </row>
    <row r="2517" spans="1:10" x14ac:dyDescent="0.25">
      <c r="A2517" s="2" t="s">
        <v>77</v>
      </c>
      <c r="B2517" s="2">
        <v>2014</v>
      </c>
      <c r="C2517" s="2" t="s">
        <v>62</v>
      </c>
      <c r="D2517" s="2" t="s">
        <v>46</v>
      </c>
      <c r="E2517" s="2" t="s">
        <v>78</v>
      </c>
      <c r="F2517" s="2" t="s">
        <v>79</v>
      </c>
      <c r="G2517" s="2">
        <f t="shared" si="39"/>
        <v>8.6044176706827305E-2</v>
      </c>
      <c r="H2517" s="5">
        <v>4.2850000000000001</v>
      </c>
      <c r="I2517" s="2">
        <v>100</v>
      </c>
      <c r="J2517" s="12">
        <f>I2517/Pondération!$I$160</f>
        <v>2.0080321285140562E-2</v>
      </c>
    </row>
    <row r="2518" spans="1:10" x14ac:dyDescent="0.25">
      <c r="A2518" s="2" t="s">
        <v>77</v>
      </c>
      <c r="B2518" s="2">
        <v>2014</v>
      </c>
      <c r="C2518" s="2" t="s">
        <v>63</v>
      </c>
      <c r="D2518" s="2" t="s">
        <v>46</v>
      </c>
      <c r="E2518" s="2" t="s">
        <v>78</v>
      </c>
      <c r="F2518" s="2" t="s">
        <v>79</v>
      </c>
      <c r="G2518" s="2">
        <f t="shared" si="39"/>
        <v>0.14708835341365462</v>
      </c>
      <c r="H2518" s="5">
        <v>4.3088235294117645</v>
      </c>
      <c r="I2518" s="2">
        <v>170</v>
      </c>
      <c r="J2518" s="12">
        <f>I2518/Pondération!$I$160</f>
        <v>3.4136546184738957E-2</v>
      </c>
    </row>
    <row r="2519" spans="1:10" x14ac:dyDescent="0.25">
      <c r="A2519" s="2" t="s">
        <v>77</v>
      </c>
      <c r="B2519" s="2">
        <v>2014</v>
      </c>
      <c r="C2519" s="2" t="s">
        <v>64</v>
      </c>
      <c r="D2519" s="2" t="s">
        <v>46</v>
      </c>
      <c r="E2519" s="2" t="s">
        <v>78</v>
      </c>
      <c r="F2519" s="2" t="s">
        <v>79</v>
      </c>
      <c r="G2519" s="2">
        <f t="shared" si="39"/>
        <v>0.18403614457831327</v>
      </c>
      <c r="H2519" s="5">
        <v>4.3851674641148328</v>
      </c>
      <c r="I2519" s="2">
        <v>209</v>
      </c>
      <c r="J2519" s="12">
        <f>I2519/Pondération!$I$160</f>
        <v>4.1967871485943775E-2</v>
      </c>
    </row>
    <row r="2520" spans="1:10" x14ac:dyDescent="0.25">
      <c r="A2520" s="2" t="s">
        <v>77</v>
      </c>
      <c r="B2520" s="2">
        <v>2014</v>
      </c>
      <c r="C2520" s="2" t="s">
        <v>65</v>
      </c>
      <c r="D2520" s="2" t="s">
        <v>46</v>
      </c>
      <c r="E2520" s="2" t="s">
        <v>78</v>
      </c>
      <c r="F2520" s="2" t="s">
        <v>79</v>
      </c>
      <c r="G2520" s="2">
        <f t="shared" si="39"/>
        <v>0.34869477911646585</v>
      </c>
      <c r="H2520" s="5">
        <v>4.4298469387755102</v>
      </c>
      <c r="I2520" s="2">
        <v>392</v>
      </c>
      <c r="J2520" s="12">
        <f>I2520/Pondération!$I$160</f>
        <v>7.8714859437751E-2</v>
      </c>
    </row>
    <row r="2521" spans="1:10" x14ac:dyDescent="0.25">
      <c r="A2521" s="2" t="s">
        <v>77</v>
      </c>
      <c r="B2521" s="2">
        <v>2014</v>
      </c>
      <c r="C2521" s="2" t="s">
        <v>66</v>
      </c>
      <c r="D2521" s="2" t="s">
        <v>46</v>
      </c>
      <c r="E2521" s="2" t="s">
        <v>78</v>
      </c>
      <c r="F2521" s="2" t="s">
        <v>79</v>
      </c>
      <c r="G2521" s="2">
        <f t="shared" si="39"/>
        <v>0.3393574297188755</v>
      </c>
      <c r="H2521" s="5">
        <v>4.4946808510638299</v>
      </c>
      <c r="I2521" s="2">
        <v>376</v>
      </c>
      <c r="J2521" s="12">
        <f>I2521/Pondération!$I$160</f>
        <v>7.5502008032128518E-2</v>
      </c>
    </row>
    <row r="2522" spans="1:10" x14ac:dyDescent="0.25">
      <c r="A2522" s="2" t="s">
        <v>77</v>
      </c>
      <c r="B2522" s="2">
        <v>2014</v>
      </c>
      <c r="C2522" s="2" t="s">
        <v>67</v>
      </c>
      <c r="D2522" s="2" t="s">
        <v>46</v>
      </c>
      <c r="E2522" s="2" t="s">
        <v>78</v>
      </c>
      <c r="F2522" s="2" t="s">
        <v>79</v>
      </c>
      <c r="G2522" s="2">
        <f t="shared" si="39"/>
        <v>0.62550200803212852</v>
      </c>
      <c r="H2522" s="5">
        <v>4.4563662374821176</v>
      </c>
      <c r="I2522" s="2">
        <v>699</v>
      </c>
      <c r="J2522" s="12">
        <f>I2522/Pondération!$I$160</f>
        <v>0.14036144578313253</v>
      </c>
    </row>
    <row r="2523" spans="1:10" x14ac:dyDescent="0.25">
      <c r="A2523" s="2" t="s">
        <v>77</v>
      </c>
      <c r="B2523" s="2">
        <v>2014</v>
      </c>
      <c r="C2523" s="2" t="s">
        <v>68</v>
      </c>
      <c r="D2523" s="2" t="s">
        <v>46</v>
      </c>
      <c r="E2523" s="2" t="s">
        <v>78</v>
      </c>
      <c r="F2523" s="2" t="s">
        <v>79</v>
      </c>
      <c r="G2523" s="2">
        <f t="shared" si="39"/>
        <v>1.2126506024096388</v>
      </c>
      <c r="H2523" s="5">
        <v>4.3888081395348841</v>
      </c>
      <c r="I2523" s="2">
        <v>1376</v>
      </c>
      <c r="J2523" s="12">
        <f>I2523/Pondération!$I$160</f>
        <v>0.27630522088353415</v>
      </c>
    </row>
    <row r="2524" spans="1:10" x14ac:dyDescent="0.25">
      <c r="A2524" s="2" t="s">
        <v>77</v>
      </c>
      <c r="B2524" s="2">
        <v>2014</v>
      </c>
      <c r="C2524" s="2" t="s">
        <v>69</v>
      </c>
      <c r="D2524" s="2" t="s">
        <v>46</v>
      </c>
      <c r="E2524" s="2" t="s">
        <v>78</v>
      </c>
      <c r="F2524" s="2" t="s">
        <v>79</v>
      </c>
      <c r="G2524" s="2">
        <f t="shared" si="39"/>
        <v>0.64056224899598402</v>
      </c>
      <c r="H2524" s="5">
        <v>4.4615384615384617</v>
      </c>
      <c r="I2524" s="2">
        <v>715</v>
      </c>
      <c r="J2524" s="12">
        <f>I2524/Pondération!$I$160</f>
        <v>0.14357429718875503</v>
      </c>
    </row>
    <row r="2525" spans="1:10" x14ac:dyDescent="0.25">
      <c r="A2525" s="2" t="s">
        <v>77</v>
      </c>
      <c r="B2525" s="2">
        <v>2014</v>
      </c>
      <c r="C2525" s="2" t="s">
        <v>70</v>
      </c>
      <c r="D2525" s="2" t="s">
        <v>46</v>
      </c>
      <c r="E2525" s="2" t="s">
        <v>78</v>
      </c>
      <c r="F2525" s="2" t="s">
        <v>79</v>
      </c>
      <c r="G2525" s="2">
        <f t="shared" si="39"/>
        <v>0.30833333333333335</v>
      </c>
      <c r="H2525" s="5">
        <v>4.4507246376811596</v>
      </c>
      <c r="I2525" s="2">
        <v>345</v>
      </c>
      <c r="J2525" s="12">
        <f>I2525/Pondération!$I$160</f>
        <v>6.9277108433734941E-2</v>
      </c>
    </row>
    <row r="2526" spans="1:10" x14ac:dyDescent="0.25">
      <c r="A2526" s="2" t="s">
        <v>77</v>
      </c>
      <c r="B2526" s="2">
        <v>2014</v>
      </c>
      <c r="C2526" s="2" t="s">
        <v>71</v>
      </c>
      <c r="D2526" s="2" t="s">
        <v>46</v>
      </c>
      <c r="E2526" s="2" t="s">
        <v>78</v>
      </c>
      <c r="F2526" s="2" t="s">
        <v>79</v>
      </c>
      <c r="G2526" s="2">
        <f t="shared" si="39"/>
        <v>0.23253012048192773</v>
      </c>
      <c r="H2526" s="5">
        <v>4.4710424710424714</v>
      </c>
      <c r="I2526" s="2">
        <v>259</v>
      </c>
      <c r="J2526" s="12">
        <f>I2526/Pondération!$I$160</f>
        <v>5.2008032128514056E-2</v>
      </c>
    </row>
    <row r="2527" spans="1:10" x14ac:dyDescent="0.25">
      <c r="A2527" s="2" t="s">
        <v>77</v>
      </c>
      <c r="B2527" s="2">
        <v>2014</v>
      </c>
      <c r="C2527" s="2" t="s">
        <v>72</v>
      </c>
      <c r="D2527" s="2" t="s">
        <v>46</v>
      </c>
      <c r="E2527" s="2" t="s">
        <v>78</v>
      </c>
      <c r="F2527" s="2" t="s">
        <v>79</v>
      </c>
      <c r="G2527" s="2">
        <f t="shared" si="39"/>
        <v>0.1756024096385542</v>
      </c>
      <c r="H2527" s="5">
        <v>4.4617346938775508</v>
      </c>
      <c r="I2527" s="2">
        <v>196</v>
      </c>
      <c r="J2527" s="12">
        <f>I2527/Pondération!$I$160</f>
        <v>3.93574297188755E-2</v>
      </c>
    </row>
    <row r="2528" spans="1:10" x14ac:dyDescent="0.25">
      <c r="A2528" s="2" t="s">
        <v>77</v>
      </c>
      <c r="B2528" s="2">
        <v>2015</v>
      </c>
      <c r="C2528" s="2" t="s">
        <v>73</v>
      </c>
      <c r="D2528" s="2" t="s">
        <v>46</v>
      </c>
      <c r="E2528" s="2" t="s">
        <v>78</v>
      </c>
      <c r="F2528" s="2" t="s">
        <v>79</v>
      </c>
      <c r="G2528" s="2">
        <f t="shared" si="39"/>
        <v>0.11105328892589508</v>
      </c>
      <c r="H2528" s="5">
        <v>4.3373983739837394</v>
      </c>
      <c r="I2528" s="2">
        <v>246</v>
      </c>
      <c r="J2528" s="12">
        <f>I2528/Pondération!$H$160</f>
        <v>2.5603663613655289E-2</v>
      </c>
    </row>
    <row r="2529" spans="1:10" x14ac:dyDescent="0.25">
      <c r="A2529" s="2" t="s">
        <v>77</v>
      </c>
      <c r="B2529" s="2">
        <v>2015</v>
      </c>
      <c r="C2529" s="2" t="s">
        <v>74</v>
      </c>
      <c r="D2529" s="2" t="s">
        <v>46</v>
      </c>
      <c r="E2529" s="2" t="s">
        <v>78</v>
      </c>
      <c r="F2529" s="2" t="s">
        <v>79</v>
      </c>
      <c r="G2529" s="2">
        <f t="shared" si="39"/>
        <v>0.12125312239800166</v>
      </c>
      <c r="H2529" s="5">
        <v>4.3148148148148149</v>
      </c>
      <c r="I2529" s="2">
        <v>270</v>
      </c>
      <c r="J2529" s="12">
        <f>I2529/Pondération!$H$160</f>
        <v>2.8101582014987511E-2</v>
      </c>
    </row>
    <row r="2530" spans="1:10" x14ac:dyDescent="0.25">
      <c r="A2530" s="2" t="s">
        <v>77</v>
      </c>
      <c r="B2530" s="2">
        <v>2015</v>
      </c>
      <c r="C2530" s="2" t="s">
        <v>75</v>
      </c>
      <c r="D2530" s="2" t="s">
        <v>46</v>
      </c>
      <c r="E2530" s="2" t="s">
        <v>78</v>
      </c>
      <c r="F2530" s="2" t="s">
        <v>79</v>
      </c>
      <c r="G2530" s="2">
        <f t="shared" si="39"/>
        <v>0.1503955037468776</v>
      </c>
      <c r="H2530" s="5">
        <v>4.3655589123867067</v>
      </c>
      <c r="I2530" s="2">
        <v>331</v>
      </c>
      <c r="J2530" s="12">
        <f>I2530/Pondération!$H$160</f>
        <v>3.4450457951706911E-2</v>
      </c>
    </row>
    <row r="2531" spans="1:10" x14ac:dyDescent="0.25">
      <c r="A2531" s="2" t="s">
        <v>77</v>
      </c>
      <c r="B2531" s="2">
        <v>2015</v>
      </c>
      <c r="C2531" s="2" t="s">
        <v>76</v>
      </c>
      <c r="D2531" s="2" t="s">
        <v>46</v>
      </c>
      <c r="E2531" s="2" t="s">
        <v>78</v>
      </c>
      <c r="F2531" s="2" t="s">
        <v>79</v>
      </c>
      <c r="G2531" s="2">
        <f t="shared" si="39"/>
        <v>0.2187239800166528</v>
      </c>
      <c r="H2531" s="5">
        <v>4.4056603773584904</v>
      </c>
      <c r="I2531" s="2">
        <v>477</v>
      </c>
      <c r="J2531" s="12">
        <f>I2531/Pondération!$H$160</f>
        <v>4.9646128226477938E-2</v>
      </c>
    </row>
    <row r="2532" spans="1:10" x14ac:dyDescent="0.25">
      <c r="A2532" s="2" t="s">
        <v>77</v>
      </c>
      <c r="B2532" s="2">
        <v>2015</v>
      </c>
      <c r="C2532" s="2" t="s">
        <v>7</v>
      </c>
      <c r="D2532" s="2" t="s">
        <v>46</v>
      </c>
      <c r="E2532" s="2" t="s">
        <v>78</v>
      </c>
      <c r="F2532" s="2" t="s">
        <v>79</v>
      </c>
      <c r="G2532" s="2">
        <f t="shared" si="39"/>
        <v>0.39196502914238135</v>
      </c>
      <c r="H2532" s="5">
        <v>4.4673784104389087</v>
      </c>
      <c r="I2532" s="2">
        <v>843</v>
      </c>
      <c r="J2532" s="12">
        <f>I2532/Pondération!$H$160</f>
        <v>8.7739383846794333E-2</v>
      </c>
    </row>
    <row r="2533" spans="1:10" x14ac:dyDescent="0.25">
      <c r="A2533" s="2" t="s">
        <v>77</v>
      </c>
      <c r="B2533" s="2">
        <v>2015</v>
      </c>
      <c r="C2533" s="2" t="s">
        <v>11</v>
      </c>
      <c r="D2533" s="2" t="s">
        <v>46</v>
      </c>
      <c r="E2533" s="2" t="s">
        <v>78</v>
      </c>
      <c r="F2533" s="2" t="s">
        <v>79</v>
      </c>
      <c r="G2533" s="2">
        <f t="shared" si="39"/>
        <v>0.34164238134887598</v>
      </c>
      <c r="H2533" s="5">
        <v>4.4781718963165078</v>
      </c>
      <c r="I2533" s="2">
        <v>733</v>
      </c>
      <c r="J2533" s="12">
        <f>I2533/Pondération!$H$160</f>
        <v>7.6290591174021649E-2</v>
      </c>
    </row>
    <row r="2534" spans="1:10" x14ac:dyDescent="0.25">
      <c r="A2534" s="2" t="s">
        <v>77</v>
      </c>
      <c r="B2534" s="2">
        <v>2015</v>
      </c>
      <c r="C2534" s="2" t="s">
        <v>12</v>
      </c>
      <c r="D2534" s="2" t="s">
        <v>46</v>
      </c>
      <c r="E2534" s="2" t="s">
        <v>78</v>
      </c>
      <c r="F2534" s="2" t="s">
        <v>79</v>
      </c>
      <c r="G2534" s="2">
        <f t="shared" si="39"/>
        <v>0.74620108243130734</v>
      </c>
      <c r="H2534" s="5">
        <v>4.4503414028553694</v>
      </c>
      <c r="I2534" s="2">
        <v>1611</v>
      </c>
      <c r="J2534" s="12">
        <f>I2534/Pondération!$H$160</f>
        <v>0.16767277268942549</v>
      </c>
    </row>
    <row r="2535" spans="1:10" x14ac:dyDescent="0.25">
      <c r="A2535" s="2" t="s">
        <v>77</v>
      </c>
      <c r="B2535" s="2">
        <v>2015</v>
      </c>
      <c r="C2535" s="2" t="s">
        <v>13</v>
      </c>
      <c r="D2535" s="2" t="s">
        <v>46</v>
      </c>
      <c r="E2535" s="2" t="s">
        <v>78</v>
      </c>
      <c r="F2535" s="2" t="s">
        <v>79</v>
      </c>
      <c r="G2535" s="2">
        <f t="shared" si="39"/>
        <v>1.316455037468776</v>
      </c>
      <c r="H2535" s="5">
        <v>4.4411867977528088</v>
      </c>
      <c r="I2535" s="2">
        <v>2848</v>
      </c>
      <c r="J2535" s="12">
        <f>I2535/Pondération!$H$160</f>
        <v>0.29641965029142381</v>
      </c>
    </row>
    <row r="2536" spans="1:10" x14ac:dyDescent="0.25">
      <c r="A2536" s="2" t="s">
        <v>77</v>
      </c>
      <c r="B2536" s="2">
        <v>2015</v>
      </c>
      <c r="C2536" s="2" t="s">
        <v>14</v>
      </c>
      <c r="D2536" s="2" t="s">
        <v>46</v>
      </c>
      <c r="E2536" s="2" t="s">
        <v>78</v>
      </c>
      <c r="F2536" s="2" t="s">
        <v>79</v>
      </c>
      <c r="G2536" s="2">
        <f t="shared" si="39"/>
        <v>0.5424646128226478</v>
      </c>
      <c r="H2536" s="5">
        <v>4.4508966695132361</v>
      </c>
      <c r="I2536" s="2">
        <v>1171</v>
      </c>
      <c r="J2536" s="12">
        <f>I2536/Pondération!$H$160</f>
        <v>0.12187760199833472</v>
      </c>
    </row>
    <row r="2537" spans="1:10" x14ac:dyDescent="0.25">
      <c r="A2537" s="2" t="s">
        <v>77</v>
      </c>
      <c r="B2537" s="2">
        <v>2015</v>
      </c>
      <c r="C2537" s="2" t="s">
        <v>15</v>
      </c>
      <c r="D2537" s="2" t="s">
        <v>46</v>
      </c>
      <c r="E2537" s="2" t="s">
        <v>78</v>
      </c>
      <c r="F2537" s="2" t="s">
        <v>79</v>
      </c>
      <c r="G2537" s="2">
        <f t="shared" si="39"/>
        <v>0.2409970857618651</v>
      </c>
      <c r="H2537" s="5">
        <v>4.4273422562141489</v>
      </c>
      <c r="I2537" s="2">
        <v>523</v>
      </c>
      <c r="J2537" s="12">
        <f>I2537/Pondération!$H$160</f>
        <v>5.4433805162364693E-2</v>
      </c>
    </row>
    <row r="2538" spans="1:10" x14ac:dyDescent="0.25">
      <c r="A2538" s="2" t="s">
        <v>77</v>
      </c>
      <c r="B2538" s="2">
        <v>2015</v>
      </c>
      <c r="C2538" s="2" t="s">
        <v>16</v>
      </c>
      <c r="D2538" s="2" t="s">
        <v>46</v>
      </c>
      <c r="E2538" s="2" t="s">
        <v>78</v>
      </c>
      <c r="F2538" s="2" t="s">
        <v>79</v>
      </c>
      <c r="G2538" s="2">
        <f t="shared" si="39"/>
        <v>0.13905079100749376</v>
      </c>
      <c r="H2538" s="5">
        <v>4.4832214765100673</v>
      </c>
      <c r="I2538" s="2">
        <v>298</v>
      </c>
      <c r="J2538" s="12">
        <f>I2538/Pondération!$H$160</f>
        <v>3.1015820149875105E-2</v>
      </c>
    </row>
    <row r="2539" spans="1:10" x14ac:dyDescent="0.25">
      <c r="A2539" s="2" t="s">
        <v>77</v>
      </c>
      <c r="B2539" s="2">
        <v>2015</v>
      </c>
      <c r="C2539" s="2" t="s">
        <v>17</v>
      </c>
      <c r="D2539" s="2" t="s">
        <v>46</v>
      </c>
      <c r="E2539" s="2" t="s">
        <v>78</v>
      </c>
      <c r="F2539" s="2" t="s">
        <v>79</v>
      </c>
      <c r="G2539" s="2">
        <f t="shared" si="39"/>
        <v>0.11797460449625313</v>
      </c>
      <c r="H2539" s="5">
        <v>4.4105058365758758</v>
      </c>
      <c r="I2539" s="2">
        <v>257</v>
      </c>
      <c r="J2539" s="12">
        <f>I2539/Pondération!$H$160</f>
        <v>2.6748542880932556E-2</v>
      </c>
    </row>
    <row r="2540" spans="1:10" x14ac:dyDescent="0.25">
      <c r="A2540" s="2" t="s">
        <v>77</v>
      </c>
      <c r="B2540" s="2">
        <v>2016</v>
      </c>
      <c r="C2540" s="2" t="s">
        <v>18</v>
      </c>
      <c r="D2540" s="2" t="s">
        <v>46</v>
      </c>
      <c r="E2540" s="2" t="s">
        <v>78</v>
      </c>
      <c r="F2540" s="2" t="s">
        <v>79</v>
      </c>
      <c r="G2540" s="2">
        <f t="shared" si="39"/>
        <v>9.465968586387434E-2</v>
      </c>
      <c r="H2540" s="5">
        <v>4.3461538461538458</v>
      </c>
      <c r="I2540" s="2">
        <v>312</v>
      </c>
      <c r="J2540" s="12">
        <f>I2540/Pondération!$G$160</f>
        <v>2.1780104712041885E-2</v>
      </c>
    </row>
    <row r="2541" spans="1:10" x14ac:dyDescent="0.25">
      <c r="A2541" s="2" t="s">
        <v>77</v>
      </c>
      <c r="B2541" s="2">
        <v>2016</v>
      </c>
      <c r="C2541" s="2" t="s">
        <v>19</v>
      </c>
      <c r="D2541" s="2" t="s">
        <v>46</v>
      </c>
      <c r="E2541" s="2" t="s">
        <v>78</v>
      </c>
      <c r="F2541" s="2" t="s">
        <v>79</v>
      </c>
      <c r="G2541" s="2">
        <f t="shared" si="39"/>
        <v>0.17947643979057593</v>
      </c>
      <c r="H2541" s="5">
        <v>4.4023972602739727</v>
      </c>
      <c r="I2541" s="2">
        <v>584</v>
      </c>
      <c r="J2541" s="12">
        <f>I2541/Pondération!$G$160</f>
        <v>4.0767888307155324E-2</v>
      </c>
    </row>
    <row r="2542" spans="1:10" x14ac:dyDescent="0.25">
      <c r="A2542" s="2" t="s">
        <v>77</v>
      </c>
      <c r="B2542" s="2">
        <v>2016</v>
      </c>
      <c r="C2542" s="2" t="s">
        <v>20</v>
      </c>
      <c r="D2542" s="2" t="s">
        <v>46</v>
      </c>
      <c r="E2542" s="2" t="s">
        <v>78</v>
      </c>
      <c r="F2542" s="2" t="s">
        <v>79</v>
      </c>
      <c r="G2542" s="2">
        <f t="shared" si="39"/>
        <v>0.17989528795811519</v>
      </c>
      <c r="H2542" s="5">
        <v>4.4126712328767121</v>
      </c>
      <c r="I2542" s="2">
        <v>584</v>
      </c>
      <c r="J2542" s="12">
        <f>I2542/Pondération!$G$160</f>
        <v>4.0767888307155324E-2</v>
      </c>
    </row>
    <row r="2543" spans="1:10" x14ac:dyDescent="0.25">
      <c r="A2543" s="2" t="s">
        <v>77</v>
      </c>
      <c r="B2543" s="2">
        <v>2016</v>
      </c>
      <c r="C2543" s="2" t="s">
        <v>21</v>
      </c>
      <c r="D2543" s="2" t="s">
        <v>46</v>
      </c>
      <c r="E2543" s="2" t="s">
        <v>78</v>
      </c>
      <c r="F2543" s="2" t="s">
        <v>79</v>
      </c>
      <c r="G2543" s="2">
        <f t="shared" si="39"/>
        <v>0.28746945898778353</v>
      </c>
      <c r="H2543" s="5">
        <v>4.4518918918918917</v>
      </c>
      <c r="I2543" s="2">
        <v>925</v>
      </c>
      <c r="J2543" s="12">
        <f>I2543/Pondération!$G$160</f>
        <v>6.4572425828970326E-2</v>
      </c>
    </row>
    <row r="2544" spans="1:10" x14ac:dyDescent="0.25">
      <c r="A2544" s="2" t="s">
        <v>77</v>
      </c>
      <c r="B2544" s="2">
        <v>2016</v>
      </c>
      <c r="C2544" s="2" t="s">
        <v>22</v>
      </c>
      <c r="D2544" s="2" t="s">
        <v>46</v>
      </c>
      <c r="E2544" s="2" t="s">
        <v>78</v>
      </c>
      <c r="F2544" s="2" t="s">
        <v>79</v>
      </c>
      <c r="G2544" s="2">
        <f t="shared" si="39"/>
        <v>0.3054450261780105</v>
      </c>
      <c r="H2544" s="5">
        <v>4.4739263803680984</v>
      </c>
      <c r="I2544" s="2">
        <v>978</v>
      </c>
      <c r="J2544" s="12">
        <f>I2544/Pondération!$G$160</f>
        <v>6.8272251308900522E-2</v>
      </c>
    </row>
    <row r="2545" spans="1:10" x14ac:dyDescent="0.25">
      <c r="A2545" s="2" t="s">
        <v>77</v>
      </c>
      <c r="B2545" s="2">
        <v>2016</v>
      </c>
      <c r="C2545" s="2" t="s">
        <v>23</v>
      </c>
      <c r="D2545" s="2" t="s">
        <v>46</v>
      </c>
      <c r="E2545" s="2" t="s">
        <v>78</v>
      </c>
      <c r="F2545" s="2" t="s">
        <v>79</v>
      </c>
      <c r="G2545" s="2">
        <f t="shared" si="39"/>
        <v>0.32970331588132629</v>
      </c>
      <c r="H2545" s="5">
        <v>4.4980952380952379</v>
      </c>
      <c r="I2545" s="2">
        <v>1050</v>
      </c>
      <c r="J2545" s="12">
        <f>I2545/Pondération!$G$160</f>
        <v>7.3298429319371722E-2</v>
      </c>
    </row>
    <row r="2546" spans="1:10" x14ac:dyDescent="0.25">
      <c r="A2546" s="2" t="s">
        <v>77</v>
      </c>
      <c r="B2546" s="2">
        <v>2016</v>
      </c>
      <c r="C2546" s="2" t="s">
        <v>24</v>
      </c>
      <c r="D2546" s="2" t="s">
        <v>46</v>
      </c>
      <c r="E2546" s="2" t="s">
        <v>78</v>
      </c>
      <c r="F2546" s="2" t="s">
        <v>79</v>
      </c>
      <c r="G2546" s="2">
        <f t="shared" si="39"/>
        <v>0.71242582897033169</v>
      </c>
      <c r="H2546" s="5">
        <v>4.4682574430823117</v>
      </c>
      <c r="I2546" s="2">
        <v>2284</v>
      </c>
      <c r="J2546" s="12">
        <f>I2546/Pondération!$G$160</f>
        <v>0.15944153577661432</v>
      </c>
    </row>
    <row r="2547" spans="1:10" x14ac:dyDescent="0.25">
      <c r="A2547" s="2" t="s">
        <v>77</v>
      </c>
      <c r="B2547" s="2">
        <v>2016</v>
      </c>
      <c r="C2547" s="2" t="s">
        <v>25</v>
      </c>
      <c r="D2547" s="2" t="s">
        <v>46</v>
      </c>
      <c r="E2547" s="2" t="s">
        <v>78</v>
      </c>
      <c r="F2547" s="2" t="s">
        <v>79</v>
      </c>
      <c r="G2547" s="2">
        <f t="shared" si="39"/>
        <v>1.3561605584642231</v>
      </c>
      <c r="H2547" s="5">
        <v>4.452670181068072</v>
      </c>
      <c r="I2547" s="2">
        <v>4363</v>
      </c>
      <c r="J2547" s="12">
        <f>I2547/Pondération!$G$160</f>
        <v>0.30457242582897032</v>
      </c>
    </row>
    <row r="2548" spans="1:10" x14ac:dyDescent="0.25">
      <c r="A2548" s="2" t="s">
        <v>77</v>
      </c>
      <c r="B2548" s="2">
        <v>2016</v>
      </c>
      <c r="C2548" s="2" t="s">
        <v>26</v>
      </c>
      <c r="D2548" s="2" t="s">
        <v>46</v>
      </c>
      <c r="E2548" s="2" t="s">
        <v>78</v>
      </c>
      <c r="F2548" s="2" t="s">
        <v>79</v>
      </c>
      <c r="G2548" s="2">
        <f t="shared" si="39"/>
        <v>0.53085514834205938</v>
      </c>
      <c r="H2548" s="5">
        <v>4.4653552554315912</v>
      </c>
      <c r="I2548" s="2">
        <v>1703</v>
      </c>
      <c r="J2548" s="12">
        <f>I2548/Pondération!$G$160</f>
        <v>0.11888307155322862</v>
      </c>
    </row>
    <row r="2549" spans="1:10" x14ac:dyDescent="0.25">
      <c r="A2549" s="2" t="s">
        <v>77</v>
      </c>
      <c r="B2549" s="2">
        <v>2016</v>
      </c>
      <c r="C2549" s="2" t="s">
        <v>27</v>
      </c>
      <c r="D2549" s="2" t="s">
        <v>46</v>
      </c>
      <c r="E2549" s="2" t="s">
        <v>78</v>
      </c>
      <c r="F2549" s="2" t="s">
        <v>79</v>
      </c>
      <c r="G2549" s="2">
        <f t="shared" si="39"/>
        <v>0.22150087260034901</v>
      </c>
      <c r="H2549" s="5">
        <v>4.4690140845070419</v>
      </c>
      <c r="I2549" s="2">
        <v>710</v>
      </c>
      <c r="J2549" s="12">
        <f>I2549/Pondération!$G$160</f>
        <v>4.956369982547993E-2</v>
      </c>
    </row>
    <row r="2550" spans="1:10" x14ac:dyDescent="0.25">
      <c r="A2550" s="2" t="s">
        <v>77</v>
      </c>
      <c r="B2550" s="2">
        <v>2016</v>
      </c>
      <c r="C2550" s="2" t="s">
        <v>28</v>
      </c>
      <c r="D2550" s="2" t="s">
        <v>46</v>
      </c>
      <c r="E2550" s="2" t="s">
        <v>78</v>
      </c>
      <c r="F2550" s="2" t="s">
        <v>79</v>
      </c>
      <c r="G2550" s="2">
        <f t="shared" si="39"/>
        <v>0.15996509598603842</v>
      </c>
      <c r="H2550" s="5">
        <v>4.4067307692307693</v>
      </c>
      <c r="I2550" s="2">
        <v>520</v>
      </c>
      <c r="J2550" s="12">
        <f>I2550/Pondération!$G$160</f>
        <v>3.6300174520069811E-2</v>
      </c>
    </row>
    <row r="2551" spans="1:10" x14ac:dyDescent="0.25">
      <c r="A2551" s="2" t="s">
        <v>77</v>
      </c>
      <c r="B2551" s="2">
        <v>2016</v>
      </c>
      <c r="C2551" s="2" t="s">
        <v>29</v>
      </c>
      <c r="D2551" s="2" t="s">
        <v>46</v>
      </c>
      <c r="E2551" s="2" t="s">
        <v>78</v>
      </c>
      <c r="F2551" s="2" t="s">
        <v>79</v>
      </c>
      <c r="G2551" s="2">
        <f t="shared" si="39"/>
        <v>9.4520069808027921E-2</v>
      </c>
      <c r="H2551" s="5">
        <v>4.3397435897435894</v>
      </c>
      <c r="I2551" s="2">
        <v>312</v>
      </c>
      <c r="J2551" s="12">
        <f>I2551/Pondération!$G$160</f>
        <v>2.1780104712041885E-2</v>
      </c>
    </row>
    <row r="2552" spans="1:10" x14ac:dyDescent="0.25">
      <c r="A2552" s="2" t="s">
        <v>77</v>
      </c>
      <c r="B2552" s="2">
        <v>2017</v>
      </c>
      <c r="C2552" s="2" t="s">
        <v>30</v>
      </c>
      <c r="D2552" s="2" t="s">
        <v>46</v>
      </c>
      <c r="E2552" s="2" t="s">
        <v>78</v>
      </c>
      <c r="F2552" s="2" t="s">
        <v>79</v>
      </c>
      <c r="G2552" s="2">
        <f t="shared" si="39"/>
        <v>0.31125299281723862</v>
      </c>
      <c r="H2552" s="5">
        <v>4.333333333333333</v>
      </c>
      <c r="I2552" s="2">
        <v>360</v>
      </c>
      <c r="J2552" s="12">
        <f>I2552/Pondération!$F$160</f>
        <v>7.1827613727055067E-2</v>
      </c>
    </row>
    <row r="2553" spans="1:10" x14ac:dyDescent="0.25">
      <c r="A2553" s="2" t="s">
        <v>77</v>
      </c>
      <c r="B2553" s="2">
        <v>2017</v>
      </c>
      <c r="C2553" s="2" t="s">
        <v>31</v>
      </c>
      <c r="D2553" s="2" t="s">
        <v>46</v>
      </c>
      <c r="E2553" s="2" t="s">
        <v>78</v>
      </c>
      <c r="F2553" s="2" t="s">
        <v>79</v>
      </c>
      <c r="G2553" s="2">
        <f t="shared" si="39"/>
        <v>0.55865921787709505</v>
      </c>
      <c r="H2553" s="5">
        <v>4.3343653250773997</v>
      </c>
      <c r="I2553" s="2">
        <v>646</v>
      </c>
      <c r="J2553" s="12">
        <f>I2553/Pondération!$F$160</f>
        <v>0.12889066241021549</v>
      </c>
    </row>
    <row r="2554" spans="1:10" x14ac:dyDescent="0.25">
      <c r="A2554" s="2" t="s">
        <v>77</v>
      </c>
      <c r="B2554" s="2">
        <v>2017</v>
      </c>
      <c r="C2554" s="2" t="s">
        <v>32</v>
      </c>
      <c r="D2554" s="2" t="s">
        <v>46</v>
      </c>
      <c r="E2554" s="2" t="s">
        <v>78</v>
      </c>
      <c r="F2554" s="2" t="s">
        <v>79</v>
      </c>
      <c r="G2554" s="2">
        <f t="shared" si="39"/>
        <v>0.5827015163607342</v>
      </c>
      <c r="H2554" s="5">
        <v>4.3785607196401797</v>
      </c>
      <c r="I2554" s="2">
        <v>667</v>
      </c>
      <c r="J2554" s="12">
        <f>I2554/Pondération!$F$160</f>
        <v>0.13308060654429368</v>
      </c>
    </row>
    <row r="2555" spans="1:10" x14ac:dyDescent="0.25">
      <c r="A2555" s="2" t="s">
        <v>77</v>
      </c>
      <c r="B2555" s="2">
        <v>2017</v>
      </c>
      <c r="C2555" s="2" t="s">
        <v>33</v>
      </c>
      <c r="D2555" s="2" t="s">
        <v>46</v>
      </c>
      <c r="E2555" s="2" t="s">
        <v>78</v>
      </c>
      <c r="F2555" s="2" t="s">
        <v>79</v>
      </c>
      <c r="G2555" s="2">
        <f t="shared" si="39"/>
        <v>1.0183559457302473</v>
      </c>
      <c r="H2555" s="5">
        <v>4.4459930313588849</v>
      </c>
      <c r="I2555" s="2">
        <v>1148</v>
      </c>
      <c r="J2555" s="12">
        <f>I2555/Pondération!$F$160</f>
        <v>0.22905027932960895</v>
      </c>
    </row>
    <row r="2556" spans="1:10" x14ac:dyDescent="0.25">
      <c r="A2556" s="2" t="s">
        <v>77</v>
      </c>
      <c r="B2556" s="2">
        <v>2017</v>
      </c>
      <c r="C2556" s="2" t="s">
        <v>34</v>
      </c>
      <c r="D2556" s="2" t="s">
        <v>46</v>
      </c>
      <c r="E2556" s="2" t="s">
        <v>78</v>
      </c>
      <c r="F2556" s="2" t="s">
        <v>79</v>
      </c>
      <c r="G2556" s="2">
        <f t="shared" si="39"/>
        <v>1.2025139664804467</v>
      </c>
      <c r="H2556" s="5">
        <v>4.4743875278396432</v>
      </c>
      <c r="I2556" s="2">
        <v>1347</v>
      </c>
      <c r="J2556" s="12">
        <f>I2556/Pondération!$F$160</f>
        <v>0.26875498802873105</v>
      </c>
    </row>
    <row r="2557" spans="1:10" x14ac:dyDescent="0.25">
      <c r="A2557" s="2" t="s">
        <v>77</v>
      </c>
      <c r="B2557" s="2">
        <v>2017</v>
      </c>
      <c r="C2557" s="2" t="s">
        <v>80</v>
      </c>
      <c r="D2557" s="2" t="s">
        <v>46</v>
      </c>
      <c r="E2557" s="2" t="s">
        <v>78</v>
      </c>
      <c r="F2557" s="2" t="s">
        <v>79</v>
      </c>
      <c r="G2557" s="2">
        <f t="shared" si="39"/>
        <v>0.76725857940941744</v>
      </c>
      <c r="H2557" s="5">
        <v>4.5562796208530809</v>
      </c>
      <c r="I2557" s="2">
        <v>844</v>
      </c>
      <c r="J2557" s="12">
        <f>I2557/Pondération!$F$160</f>
        <v>0.16839584996009577</v>
      </c>
    </row>
    <row r="2558" spans="1:10" x14ac:dyDescent="0.25">
      <c r="A2558" s="2" t="s">
        <v>77</v>
      </c>
      <c r="B2558" s="2">
        <v>2013</v>
      </c>
      <c r="C2558" s="2" t="s">
        <v>49</v>
      </c>
      <c r="D2558" s="2" t="s">
        <v>46</v>
      </c>
      <c r="E2558" s="2" t="s">
        <v>78</v>
      </c>
      <c r="F2558" s="2" t="s">
        <v>81</v>
      </c>
      <c r="G2558" s="2">
        <f t="shared" si="39"/>
        <v>0.1683848797250859</v>
      </c>
      <c r="H2558" s="5">
        <v>4.083333333333333</v>
      </c>
      <c r="I2558" s="2">
        <v>12</v>
      </c>
      <c r="J2558" s="12">
        <f>I2558/Pondération!$J$161</f>
        <v>4.1237113402061855E-2</v>
      </c>
    </row>
    <row r="2559" spans="1:10" x14ac:dyDescent="0.25">
      <c r="A2559" s="2" t="s">
        <v>77</v>
      </c>
      <c r="B2559" s="2">
        <v>2013</v>
      </c>
      <c r="C2559" s="2" t="s">
        <v>50</v>
      </c>
      <c r="D2559" s="2" t="s">
        <v>46</v>
      </c>
      <c r="E2559" s="2" t="s">
        <v>78</v>
      </c>
      <c r="F2559" s="2" t="s">
        <v>81</v>
      </c>
      <c r="G2559" s="2">
        <f t="shared" si="39"/>
        <v>0.23024054982817868</v>
      </c>
      <c r="H2559" s="5">
        <v>4.1875</v>
      </c>
      <c r="I2559" s="2">
        <v>16</v>
      </c>
      <c r="J2559" s="12">
        <f>I2559/Pondération!$J$161</f>
        <v>5.4982817869415807E-2</v>
      </c>
    </row>
    <row r="2560" spans="1:10" x14ac:dyDescent="0.25">
      <c r="A2560" s="2" t="s">
        <v>77</v>
      </c>
      <c r="B2560" s="2">
        <v>2013</v>
      </c>
      <c r="C2560" s="2" t="s">
        <v>51</v>
      </c>
      <c r="D2560" s="2" t="s">
        <v>46</v>
      </c>
      <c r="E2560" s="2" t="s">
        <v>78</v>
      </c>
      <c r="F2560" s="2" t="s">
        <v>81</v>
      </c>
      <c r="G2560" s="2">
        <f t="shared" si="39"/>
        <v>0.21649484536082475</v>
      </c>
      <c r="H2560" s="5">
        <v>4.2</v>
      </c>
      <c r="I2560" s="2">
        <v>15</v>
      </c>
      <c r="J2560" s="12">
        <f>I2560/Pondération!$J$161</f>
        <v>5.1546391752577317E-2</v>
      </c>
    </row>
    <row r="2561" spans="1:10" x14ac:dyDescent="0.25">
      <c r="A2561" s="2" t="s">
        <v>77</v>
      </c>
      <c r="B2561" s="2">
        <v>2013</v>
      </c>
      <c r="C2561" s="2" t="s">
        <v>52</v>
      </c>
      <c r="D2561" s="2" t="s">
        <v>46</v>
      </c>
      <c r="E2561" s="2" t="s">
        <v>78</v>
      </c>
      <c r="F2561" s="2" t="s">
        <v>81</v>
      </c>
      <c r="G2561" s="2">
        <f t="shared" si="39"/>
        <v>0.28178694158075601</v>
      </c>
      <c r="H2561" s="5">
        <v>4.3157894736842106</v>
      </c>
      <c r="I2561" s="2">
        <v>19</v>
      </c>
      <c r="J2561" s="12">
        <f>I2561/Pondération!$J$161</f>
        <v>6.5292096219931275E-2</v>
      </c>
    </row>
    <row r="2562" spans="1:10" x14ac:dyDescent="0.25">
      <c r="A2562" s="2" t="s">
        <v>77</v>
      </c>
      <c r="B2562" s="2">
        <v>2013</v>
      </c>
      <c r="C2562" s="2" t="s">
        <v>53</v>
      </c>
      <c r="D2562" s="2" t="s">
        <v>46</v>
      </c>
      <c r="E2562" s="2" t="s">
        <v>78</v>
      </c>
      <c r="F2562" s="2" t="s">
        <v>81</v>
      </c>
      <c r="G2562" s="2">
        <f t="shared" ref="G2562:G2625" si="40">H2562*J2562</f>
        <v>0.31099656357388311</v>
      </c>
      <c r="H2562" s="5">
        <v>4.3095238095238093</v>
      </c>
      <c r="I2562" s="2">
        <v>21</v>
      </c>
      <c r="J2562" s="12">
        <f>I2562/Pondération!$J$161</f>
        <v>7.2164948453608241E-2</v>
      </c>
    </row>
    <row r="2563" spans="1:10" x14ac:dyDescent="0.25">
      <c r="A2563" s="2" t="s">
        <v>77</v>
      </c>
      <c r="B2563" s="2">
        <v>2013</v>
      </c>
      <c r="C2563" s="2" t="s">
        <v>54</v>
      </c>
      <c r="D2563" s="2" t="s">
        <v>46</v>
      </c>
      <c r="E2563" s="2" t="s">
        <v>78</v>
      </c>
      <c r="F2563" s="2" t="s">
        <v>81</v>
      </c>
      <c r="G2563" s="2">
        <f t="shared" si="40"/>
        <v>0.24742268041237114</v>
      </c>
      <c r="H2563" s="5">
        <v>4.5</v>
      </c>
      <c r="I2563" s="2">
        <v>16</v>
      </c>
      <c r="J2563" s="12">
        <f>I2563/Pondération!$J$161</f>
        <v>5.4982817869415807E-2</v>
      </c>
    </row>
    <row r="2564" spans="1:10" x14ac:dyDescent="0.25">
      <c r="A2564" s="2" t="s">
        <v>77</v>
      </c>
      <c r="B2564" s="2">
        <v>2013</v>
      </c>
      <c r="C2564" s="2" t="s">
        <v>55</v>
      </c>
      <c r="D2564" s="2" t="s">
        <v>46</v>
      </c>
      <c r="E2564" s="2" t="s">
        <v>78</v>
      </c>
      <c r="F2564" s="2" t="s">
        <v>81</v>
      </c>
      <c r="G2564" s="2">
        <f t="shared" si="40"/>
        <v>0.40206185567010311</v>
      </c>
      <c r="H2564" s="5">
        <v>4.333333333333333</v>
      </c>
      <c r="I2564" s="2">
        <v>27</v>
      </c>
      <c r="J2564" s="12">
        <f>I2564/Pondération!$J$161</f>
        <v>9.2783505154639179E-2</v>
      </c>
    </row>
    <row r="2565" spans="1:10" x14ac:dyDescent="0.25">
      <c r="A2565" s="2" t="s">
        <v>77</v>
      </c>
      <c r="B2565" s="2">
        <v>2013</v>
      </c>
      <c r="C2565" s="2" t="s">
        <v>56</v>
      </c>
      <c r="D2565" s="2" t="s">
        <v>46</v>
      </c>
      <c r="E2565" s="2" t="s">
        <v>78</v>
      </c>
      <c r="F2565" s="2" t="s">
        <v>81</v>
      </c>
      <c r="G2565" s="2">
        <f t="shared" si="40"/>
        <v>0.79725085910652915</v>
      </c>
      <c r="H2565" s="5">
        <v>4.2181818181818178</v>
      </c>
      <c r="I2565" s="2">
        <v>55</v>
      </c>
      <c r="J2565" s="12">
        <f>I2565/Pondération!$J$161</f>
        <v>0.18900343642611683</v>
      </c>
    </row>
    <row r="2566" spans="1:10" x14ac:dyDescent="0.25">
      <c r="A2566" s="2" t="s">
        <v>77</v>
      </c>
      <c r="B2566" s="2">
        <v>2013</v>
      </c>
      <c r="C2566" s="2" t="s">
        <v>57</v>
      </c>
      <c r="D2566" s="2" t="s">
        <v>46</v>
      </c>
      <c r="E2566" s="2" t="s">
        <v>78</v>
      </c>
      <c r="F2566" s="2" t="s">
        <v>81</v>
      </c>
      <c r="G2566" s="2">
        <f t="shared" si="40"/>
        <v>0.66666666666666663</v>
      </c>
      <c r="H2566" s="5">
        <v>4.2173913043478262</v>
      </c>
      <c r="I2566" s="2">
        <v>46</v>
      </c>
      <c r="J2566" s="12">
        <f>I2566/Pondération!$J$161</f>
        <v>0.15807560137457044</v>
      </c>
    </row>
    <row r="2567" spans="1:10" x14ac:dyDescent="0.25">
      <c r="A2567" s="2" t="s">
        <v>77</v>
      </c>
      <c r="B2567" s="2">
        <v>2013</v>
      </c>
      <c r="C2567" s="2" t="s">
        <v>58</v>
      </c>
      <c r="D2567" s="2" t="s">
        <v>46</v>
      </c>
      <c r="E2567" s="2" t="s">
        <v>78</v>
      </c>
      <c r="F2567" s="2" t="s">
        <v>81</v>
      </c>
      <c r="G2567" s="2">
        <f t="shared" si="40"/>
        <v>0.39690721649484539</v>
      </c>
      <c r="H2567" s="5">
        <v>4.2777777777777777</v>
      </c>
      <c r="I2567" s="2">
        <v>27</v>
      </c>
      <c r="J2567" s="12">
        <f>I2567/Pondération!$J$161</f>
        <v>9.2783505154639179E-2</v>
      </c>
    </row>
    <row r="2568" spans="1:10" x14ac:dyDescent="0.25">
      <c r="A2568" s="2" t="s">
        <v>77</v>
      </c>
      <c r="B2568" s="2">
        <v>2013</v>
      </c>
      <c r="C2568" s="2" t="s">
        <v>59</v>
      </c>
      <c r="D2568" s="2" t="s">
        <v>46</v>
      </c>
      <c r="E2568" s="2" t="s">
        <v>78</v>
      </c>
      <c r="F2568" s="2" t="s">
        <v>81</v>
      </c>
      <c r="G2568" s="2">
        <f t="shared" si="40"/>
        <v>0.19587628865979381</v>
      </c>
      <c r="H2568" s="5">
        <v>4.0714285714285712</v>
      </c>
      <c r="I2568" s="2">
        <v>14</v>
      </c>
      <c r="J2568" s="12">
        <f>I2568/Pondération!$J$161</f>
        <v>4.8109965635738834E-2</v>
      </c>
    </row>
    <row r="2569" spans="1:10" x14ac:dyDescent="0.25">
      <c r="A2569" s="2" t="s">
        <v>77</v>
      </c>
      <c r="B2569" s="2">
        <v>2013</v>
      </c>
      <c r="C2569" s="2" t="s">
        <v>60</v>
      </c>
      <c r="D2569" s="2" t="s">
        <v>46</v>
      </c>
      <c r="E2569" s="2" t="s">
        <v>78</v>
      </c>
      <c r="F2569" s="2" t="s">
        <v>81</v>
      </c>
      <c r="G2569" s="2">
        <f t="shared" si="40"/>
        <v>0.35051546391752575</v>
      </c>
      <c r="H2569" s="5">
        <v>4.4347826086956523</v>
      </c>
      <c r="I2569" s="2">
        <v>23</v>
      </c>
      <c r="J2569" s="12">
        <f>I2569/Pondération!$J$161</f>
        <v>7.903780068728522E-2</v>
      </c>
    </row>
    <row r="2570" spans="1:10" x14ac:dyDescent="0.25">
      <c r="A2570" s="2" t="s">
        <v>77</v>
      </c>
      <c r="B2570" s="2">
        <v>2014</v>
      </c>
      <c r="C2570" s="2" t="s">
        <v>61</v>
      </c>
      <c r="D2570" s="2" t="s">
        <v>46</v>
      </c>
      <c r="E2570" s="2" t="s">
        <v>78</v>
      </c>
      <c r="F2570" s="2" t="s">
        <v>81</v>
      </c>
      <c r="G2570" s="2">
        <f t="shared" si="40"/>
        <v>9.1687041564792168E-2</v>
      </c>
      <c r="H2570" s="5">
        <v>3.9473684210526314</v>
      </c>
      <c r="I2570" s="2">
        <v>19</v>
      </c>
      <c r="J2570" s="12">
        <f>I2570/Pondération!$I$161</f>
        <v>2.3227383863080684E-2</v>
      </c>
    </row>
    <row r="2571" spans="1:10" x14ac:dyDescent="0.25">
      <c r="A2571" s="2" t="s">
        <v>77</v>
      </c>
      <c r="B2571" s="2">
        <v>2014</v>
      </c>
      <c r="C2571" s="2" t="s">
        <v>62</v>
      </c>
      <c r="D2571" s="2" t="s">
        <v>46</v>
      </c>
      <c r="E2571" s="2" t="s">
        <v>78</v>
      </c>
      <c r="F2571" s="2" t="s">
        <v>81</v>
      </c>
      <c r="G2571" s="2">
        <f t="shared" si="40"/>
        <v>0.11063569682151589</v>
      </c>
      <c r="H2571" s="5">
        <v>4.3095238095238093</v>
      </c>
      <c r="I2571" s="2">
        <v>21</v>
      </c>
      <c r="J2571" s="12">
        <f>I2571/Pondération!$I$161</f>
        <v>2.567237163814181E-2</v>
      </c>
    </row>
    <row r="2572" spans="1:10" x14ac:dyDescent="0.25">
      <c r="A2572" s="2" t="s">
        <v>77</v>
      </c>
      <c r="B2572" s="2">
        <v>2014</v>
      </c>
      <c r="C2572" s="2" t="s">
        <v>63</v>
      </c>
      <c r="D2572" s="2" t="s">
        <v>46</v>
      </c>
      <c r="E2572" s="2" t="s">
        <v>78</v>
      </c>
      <c r="F2572" s="2" t="s">
        <v>81</v>
      </c>
      <c r="G2572" s="2">
        <f t="shared" si="40"/>
        <v>0.19132029339853299</v>
      </c>
      <c r="H2572" s="5">
        <v>4.1184210526315788</v>
      </c>
      <c r="I2572" s="2">
        <v>38</v>
      </c>
      <c r="J2572" s="12">
        <f>I2572/Pondération!$I$161</f>
        <v>4.6454767726161368E-2</v>
      </c>
    </row>
    <row r="2573" spans="1:10" x14ac:dyDescent="0.25">
      <c r="A2573" s="2" t="s">
        <v>77</v>
      </c>
      <c r="B2573" s="2">
        <v>2014</v>
      </c>
      <c r="C2573" s="2" t="s">
        <v>64</v>
      </c>
      <c r="D2573" s="2" t="s">
        <v>46</v>
      </c>
      <c r="E2573" s="2" t="s">
        <v>78</v>
      </c>
      <c r="F2573" s="2" t="s">
        <v>81</v>
      </c>
      <c r="G2573" s="2">
        <f t="shared" si="40"/>
        <v>0.16809290953545231</v>
      </c>
      <c r="H2573" s="5">
        <v>4.0441176470588234</v>
      </c>
      <c r="I2573" s="2">
        <v>34</v>
      </c>
      <c r="J2573" s="12">
        <f>I2573/Pondération!$I$161</f>
        <v>4.1564792176039117E-2</v>
      </c>
    </row>
    <row r="2574" spans="1:10" x14ac:dyDescent="0.25">
      <c r="A2574" s="2" t="s">
        <v>77</v>
      </c>
      <c r="B2574" s="2">
        <v>2014</v>
      </c>
      <c r="C2574" s="2" t="s">
        <v>65</v>
      </c>
      <c r="D2574" s="2" t="s">
        <v>46</v>
      </c>
      <c r="E2574" s="2" t="s">
        <v>78</v>
      </c>
      <c r="F2574" s="2" t="s">
        <v>81</v>
      </c>
      <c r="G2574" s="2">
        <f t="shared" si="40"/>
        <v>0.31662591687041569</v>
      </c>
      <c r="H2574" s="5">
        <v>4.17741935483871</v>
      </c>
      <c r="I2574" s="2">
        <v>62</v>
      </c>
      <c r="J2574" s="12">
        <f>I2574/Pondération!$I$161</f>
        <v>7.5794621026894868E-2</v>
      </c>
    </row>
    <row r="2575" spans="1:10" x14ac:dyDescent="0.25">
      <c r="A2575" s="2" t="s">
        <v>77</v>
      </c>
      <c r="B2575" s="2">
        <v>2014</v>
      </c>
      <c r="C2575" s="2" t="s">
        <v>66</v>
      </c>
      <c r="D2575" s="2" t="s">
        <v>46</v>
      </c>
      <c r="E2575" s="2" t="s">
        <v>78</v>
      </c>
      <c r="F2575" s="2" t="s">
        <v>81</v>
      </c>
      <c r="G2575" s="2">
        <f t="shared" si="40"/>
        <v>0.24694376528117357</v>
      </c>
      <c r="H2575" s="5">
        <v>4.208333333333333</v>
      </c>
      <c r="I2575" s="2">
        <v>48</v>
      </c>
      <c r="J2575" s="12">
        <f>I2575/Pondération!$I$161</f>
        <v>5.8679706601466992E-2</v>
      </c>
    </row>
    <row r="2576" spans="1:10" x14ac:dyDescent="0.25">
      <c r="A2576" s="2" t="s">
        <v>77</v>
      </c>
      <c r="B2576" s="2">
        <v>2014</v>
      </c>
      <c r="C2576" s="2" t="s">
        <v>67</v>
      </c>
      <c r="D2576" s="2" t="s">
        <v>46</v>
      </c>
      <c r="E2576" s="2" t="s">
        <v>78</v>
      </c>
      <c r="F2576" s="2" t="s">
        <v>81</v>
      </c>
      <c r="G2576" s="2">
        <f t="shared" si="40"/>
        <v>0.5965770171149144</v>
      </c>
      <c r="H2576" s="5">
        <v>4.1709401709401712</v>
      </c>
      <c r="I2576" s="2">
        <v>117</v>
      </c>
      <c r="J2576" s="12">
        <f>I2576/Pondération!$I$161</f>
        <v>0.14303178484107579</v>
      </c>
    </row>
    <row r="2577" spans="1:10" x14ac:dyDescent="0.25">
      <c r="A2577" s="2" t="s">
        <v>77</v>
      </c>
      <c r="B2577" s="2">
        <v>2014</v>
      </c>
      <c r="C2577" s="2" t="s">
        <v>68</v>
      </c>
      <c r="D2577" s="2" t="s">
        <v>46</v>
      </c>
      <c r="E2577" s="2" t="s">
        <v>78</v>
      </c>
      <c r="F2577" s="2" t="s">
        <v>81</v>
      </c>
      <c r="G2577" s="2">
        <f t="shared" si="40"/>
        <v>0.96210268948655264</v>
      </c>
      <c r="H2577" s="5">
        <v>4.2085561497326207</v>
      </c>
      <c r="I2577" s="2">
        <v>187</v>
      </c>
      <c r="J2577" s="12">
        <f>I2577/Pondération!$I$161</f>
        <v>0.22860635696821516</v>
      </c>
    </row>
    <row r="2578" spans="1:10" x14ac:dyDescent="0.25">
      <c r="A2578" s="2" t="s">
        <v>77</v>
      </c>
      <c r="B2578" s="2">
        <v>2014</v>
      </c>
      <c r="C2578" s="2" t="s">
        <v>69</v>
      </c>
      <c r="D2578" s="2" t="s">
        <v>46</v>
      </c>
      <c r="E2578" s="2" t="s">
        <v>78</v>
      </c>
      <c r="F2578" s="2" t="s">
        <v>81</v>
      </c>
      <c r="G2578" s="2">
        <f t="shared" si="40"/>
        <v>0.4834963325183374</v>
      </c>
      <c r="H2578" s="5">
        <v>4.207446808510638</v>
      </c>
      <c r="I2578" s="2">
        <v>94</v>
      </c>
      <c r="J2578" s="12">
        <f>I2578/Pondération!$I$161</f>
        <v>0.11491442542787286</v>
      </c>
    </row>
    <row r="2579" spans="1:10" x14ac:dyDescent="0.25">
      <c r="A2579" s="2" t="s">
        <v>77</v>
      </c>
      <c r="B2579" s="2">
        <v>2014</v>
      </c>
      <c r="C2579" s="2" t="s">
        <v>70</v>
      </c>
      <c r="D2579" s="2" t="s">
        <v>46</v>
      </c>
      <c r="E2579" s="2" t="s">
        <v>78</v>
      </c>
      <c r="F2579" s="2" t="s">
        <v>81</v>
      </c>
      <c r="G2579" s="2">
        <f t="shared" si="40"/>
        <v>0.47371638141809286</v>
      </c>
      <c r="H2579" s="5">
        <v>4.3055555555555554</v>
      </c>
      <c r="I2579" s="2">
        <v>90</v>
      </c>
      <c r="J2579" s="12">
        <f>I2579/Pondération!$I$161</f>
        <v>0.1100244498777506</v>
      </c>
    </row>
    <row r="2580" spans="1:10" x14ac:dyDescent="0.25">
      <c r="A2580" s="2" t="s">
        <v>77</v>
      </c>
      <c r="B2580" s="2">
        <v>2014</v>
      </c>
      <c r="C2580" s="2" t="s">
        <v>71</v>
      </c>
      <c r="D2580" s="2" t="s">
        <v>46</v>
      </c>
      <c r="E2580" s="2" t="s">
        <v>78</v>
      </c>
      <c r="F2580" s="2" t="s">
        <v>81</v>
      </c>
      <c r="G2580" s="2">
        <f t="shared" si="40"/>
        <v>0.29584352078239606</v>
      </c>
      <c r="H2580" s="5">
        <v>4.1724137931034484</v>
      </c>
      <c r="I2580" s="2">
        <v>58</v>
      </c>
      <c r="J2580" s="12">
        <f>I2580/Pondération!$I$161</f>
        <v>7.090464547677261E-2</v>
      </c>
    </row>
    <row r="2581" spans="1:10" x14ac:dyDescent="0.25">
      <c r="A2581" s="2" t="s">
        <v>77</v>
      </c>
      <c r="B2581" s="2">
        <v>2014</v>
      </c>
      <c r="C2581" s="2" t="s">
        <v>72</v>
      </c>
      <c r="D2581" s="2" t="s">
        <v>46</v>
      </c>
      <c r="E2581" s="2" t="s">
        <v>78</v>
      </c>
      <c r="F2581" s="2" t="s">
        <v>81</v>
      </c>
      <c r="G2581" s="2">
        <f t="shared" si="40"/>
        <v>0.26161369193154033</v>
      </c>
      <c r="H2581" s="5">
        <v>4.28</v>
      </c>
      <c r="I2581" s="2">
        <v>50</v>
      </c>
      <c r="J2581" s="12">
        <f>I2581/Pondération!$I$161</f>
        <v>6.1124694376528114E-2</v>
      </c>
    </row>
    <row r="2582" spans="1:10" x14ac:dyDescent="0.25">
      <c r="A2582" s="2" t="s">
        <v>77</v>
      </c>
      <c r="B2582" s="2">
        <v>2015</v>
      </c>
      <c r="C2582" s="2" t="s">
        <v>73</v>
      </c>
      <c r="D2582" s="2" t="s">
        <v>46</v>
      </c>
      <c r="E2582" s="2" t="s">
        <v>78</v>
      </c>
      <c r="F2582" s="2" t="s">
        <v>81</v>
      </c>
      <c r="G2582" s="2">
        <f t="shared" si="40"/>
        <v>0.15701914311759343</v>
      </c>
      <c r="H2582" s="5">
        <v>4.2530864197530862</v>
      </c>
      <c r="I2582" s="2">
        <v>81</v>
      </c>
      <c r="J2582" s="12">
        <f>I2582/Pondération!$H$161</f>
        <v>3.6918869644484958E-2</v>
      </c>
    </row>
    <row r="2583" spans="1:10" x14ac:dyDescent="0.25">
      <c r="A2583" s="2" t="s">
        <v>77</v>
      </c>
      <c r="B2583" s="2">
        <v>2015</v>
      </c>
      <c r="C2583" s="2" t="s">
        <v>74</v>
      </c>
      <c r="D2583" s="2" t="s">
        <v>46</v>
      </c>
      <c r="E2583" s="2" t="s">
        <v>78</v>
      </c>
      <c r="F2583" s="2" t="s">
        <v>81</v>
      </c>
      <c r="G2583" s="2">
        <f t="shared" si="40"/>
        <v>0.17730173199635368</v>
      </c>
      <c r="H2583" s="5">
        <v>4.2747252747252746</v>
      </c>
      <c r="I2583" s="2">
        <v>91</v>
      </c>
      <c r="J2583" s="12">
        <f>I2583/Pondération!$H$161</f>
        <v>4.1476754785779398E-2</v>
      </c>
    </row>
    <row r="2584" spans="1:10" x14ac:dyDescent="0.25">
      <c r="A2584" s="2" t="s">
        <v>77</v>
      </c>
      <c r="B2584" s="2">
        <v>2015</v>
      </c>
      <c r="C2584" s="2" t="s">
        <v>75</v>
      </c>
      <c r="D2584" s="2" t="s">
        <v>46</v>
      </c>
      <c r="E2584" s="2" t="s">
        <v>78</v>
      </c>
      <c r="F2584" s="2" t="s">
        <v>81</v>
      </c>
      <c r="G2584" s="2">
        <f t="shared" si="40"/>
        <v>0.20989061075660895</v>
      </c>
      <c r="H2584" s="5">
        <v>4.2638888888888893</v>
      </c>
      <c r="I2584" s="2">
        <v>108</v>
      </c>
      <c r="J2584" s="12">
        <f>I2584/Pondération!$H$161</f>
        <v>4.9225159525979945E-2</v>
      </c>
    </row>
    <row r="2585" spans="1:10" x14ac:dyDescent="0.25">
      <c r="A2585" s="2" t="s">
        <v>77</v>
      </c>
      <c r="B2585" s="2">
        <v>2015</v>
      </c>
      <c r="C2585" s="2" t="s">
        <v>76</v>
      </c>
      <c r="D2585" s="2" t="s">
        <v>46</v>
      </c>
      <c r="E2585" s="2" t="s">
        <v>78</v>
      </c>
      <c r="F2585" s="2" t="s">
        <v>81</v>
      </c>
      <c r="G2585" s="2">
        <f t="shared" si="40"/>
        <v>0.19667274384685507</v>
      </c>
      <c r="H2585" s="5">
        <v>4.2303921568627452</v>
      </c>
      <c r="I2585" s="2">
        <v>102</v>
      </c>
      <c r="J2585" s="12">
        <f>I2585/Pondération!$H$161</f>
        <v>4.6490428441203283E-2</v>
      </c>
    </row>
    <row r="2586" spans="1:10" x14ac:dyDescent="0.25">
      <c r="A2586" s="2" t="s">
        <v>77</v>
      </c>
      <c r="B2586" s="2">
        <v>2015</v>
      </c>
      <c r="C2586" s="2" t="s">
        <v>7</v>
      </c>
      <c r="D2586" s="2" t="s">
        <v>46</v>
      </c>
      <c r="E2586" s="2" t="s">
        <v>78</v>
      </c>
      <c r="F2586" s="2" t="s">
        <v>81</v>
      </c>
      <c r="G2586" s="2">
        <f t="shared" si="40"/>
        <v>0.26686417502278942</v>
      </c>
      <c r="H2586" s="5">
        <v>4.337037037037037</v>
      </c>
      <c r="I2586" s="2">
        <v>135</v>
      </c>
      <c r="J2586" s="12">
        <f>I2586/Pondération!$H$161</f>
        <v>6.1531449407474931E-2</v>
      </c>
    </row>
    <row r="2587" spans="1:10" x14ac:dyDescent="0.25">
      <c r="A2587" s="2" t="s">
        <v>77</v>
      </c>
      <c r="B2587" s="2">
        <v>2015</v>
      </c>
      <c r="C2587" s="2" t="s">
        <v>11</v>
      </c>
      <c r="D2587" s="2" t="s">
        <v>46</v>
      </c>
      <c r="E2587" s="2" t="s">
        <v>78</v>
      </c>
      <c r="F2587" s="2" t="s">
        <v>81</v>
      </c>
      <c r="G2587" s="2">
        <f t="shared" si="40"/>
        <v>0.27711941659070194</v>
      </c>
      <c r="H2587" s="5">
        <v>4.4705882352941178</v>
      </c>
      <c r="I2587" s="2">
        <v>136</v>
      </c>
      <c r="J2587" s="12">
        <f>I2587/Pondération!$H$161</f>
        <v>6.1987237921604377E-2</v>
      </c>
    </row>
    <row r="2588" spans="1:10" x14ac:dyDescent="0.25">
      <c r="A2588" s="2" t="s">
        <v>77</v>
      </c>
      <c r="B2588" s="2">
        <v>2015</v>
      </c>
      <c r="C2588" s="2" t="s">
        <v>12</v>
      </c>
      <c r="D2588" s="2" t="s">
        <v>46</v>
      </c>
      <c r="E2588" s="2" t="s">
        <v>78</v>
      </c>
      <c r="F2588" s="2" t="s">
        <v>81</v>
      </c>
      <c r="G2588" s="2">
        <f t="shared" si="40"/>
        <v>0.65337283500455778</v>
      </c>
      <c r="H2588" s="5">
        <v>4.4796874999999998</v>
      </c>
      <c r="I2588" s="2">
        <v>320</v>
      </c>
      <c r="J2588" s="12">
        <f>I2588/Pondération!$H$161</f>
        <v>0.14585232452142205</v>
      </c>
    </row>
    <row r="2589" spans="1:10" x14ac:dyDescent="0.25">
      <c r="A2589" s="2" t="s">
        <v>77</v>
      </c>
      <c r="B2589" s="2">
        <v>2015</v>
      </c>
      <c r="C2589" s="2" t="s">
        <v>13</v>
      </c>
      <c r="D2589" s="2" t="s">
        <v>46</v>
      </c>
      <c r="E2589" s="2" t="s">
        <v>78</v>
      </c>
      <c r="F2589" s="2" t="s">
        <v>81</v>
      </c>
      <c r="G2589" s="2">
        <f t="shared" si="40"/>
        <v>1.0257520510483136</v>
      </c>
      <c r="H2589" s="5">
        <v>4.4301181102362204</v>
      </c>
      <c r="I2589" s="2">
        <v>508</v>
      </c>
      <c r="J2589" s="12">
        <f>I2589/Pondération!$H$161</f>
        <v>0.23154056517775751</v>
      </c>
    </row>
    <row r="2590" spans="1:10" x14ac:dyDescent="0.25">
      <c r="A2590" s="2" t="s">
        <v>77</v>
      </c>
      <c r="B2590" s="2">
        <v>2015</v>
      </c>
      <c r="C2590" s="2" t="s">
        <v>14</v>
      </c>
      <c r="D2590" s="2" t="s">
        <v>46</v>
      </c>
      <c r="E2590" s="2" t="s">
        <v>78</v>
      </c>
      <c r="F2590" s="2" t="s">
        <v>81</v>
      </c>
      <c r="G2590" s="2">
        <f t="shared" si="40"/>
        <v>0.43824065633546039</v>
      </c>
      <c r="H2590" s="5">
        <v>4.4308755760368665</v>
      </c>
      <c r="I2590" s="2">
        <v>217</v>
      </c>
      <c r="J2590" s="12">
        <f>I2590/Pondération!$H$161</f>
        <v>9.8906107566089335E-2</v>
      </c>
    </row>
    <row r="2591" spans="1:10" x14ac:dyDescent="0.25">
      <c r="A2591" s="2" t="s">
        <v>77</v>
      </c>
      <c r="B2591" s="2">
        <v>2015</v>
      </c>
      <c r="C2591" s="2" t="s">
        <v>15</v>
      </c>
      <c r="D2591" s="2" t="s">
        <v>46</v>
      </c>
      <c r="E2591" s="2" t="s">
        <v>78</v>
      </c>
      <c r="F2591" s="2" t="s">
        <v>81</v>
      </c>
      <c r="G2591" s="2">
        <f t="shared" si="40"/>
        <v>0.33659981768459435</v>
      </c>
      <c r="H2591" s="5">
        <v>4.5030487804878048</v>
      </c>
      <c r="I2591" s="2">
        <v>164</v>
      </c>
      <c r="J2591" s="12">
        <f>I2591/Pondération!$H$161</f>
        <v>7.4749316317228809E-2</v>
      </c>
    </row>
    <row r="2592" spans="1:10" x14ac:dyDescent="0.25">
      <c r="A2592" s="2" t="s">
        <v>77</v>
      </c>
      <c r="B2592" s="2">
        <v>2015</v>
      </c>
      <c r="C2592" s="2" t="s">
        <v>16</v>
      </c>
      <c r="D2592" s="2" t="s">
        <v>46</v>
      </c>
      <c r="E2592" s="2" t="s">
        <v>78</v>
      </c>
      <c r="F2592" s="2" t="s">
        <v>81</v>
      </c>
      <c r="G2592" s="2">
        <f t="shared" si="40"/>
        <v>0.33340929808568825</v>
      </c>
      <c r="H2592" s="5">
        <v>4.5434782608695654</v>
      </c>
      <c r="I2592" s="2">
        <v>161</v>
      </c>
      <c r="J2592" s="12">
        <f>I2592/Pondération!$H$161</f>
        <v>7.3381950774840471E-2</v>
      </c>
    </row>
    <row r="2593" spans="1:10" x14ac:dyDescent="0.25">
      <c r="A2593" s="2" t="s">
        <v>77</v>
      </c>
      <c r="B2593" s="2">
        <v>2015</v>
      </c>
      <c r="C2593" s="2" t="s">
        <v>17</v>
      </c>
      <c r="D2593" s="2" t="s">
        <v>46</v>
      </c>
      <c r="E2593" s="2" t="s">
        <v>78</v>
      </c>
      <c r="F2593" s="2" t="s">
        <v>81</v>
      </c>
      <c r="G2593" s="2">
        <f t="shared" si="40"/>
        <v>0.36098450319051961</v>
      </c>
      <c r="H2593" s="5">
        <v>4.6315789473684212</v>
      </c>
      <c r="I2593" s="2">
        <v>171</v>
      </c>
      <c r="J2593" s="12">
        <f>I2593/Pondération!$H$161</f>
        <v>7.7939835916134917E-2</v>
      </c>
    </row>
    <row r="2594" spans="1:10" x14ac:dyDescent="0.25">
      <c r="A2594" s="2" t="s">
        <v>77</v>
      </c>
      <c r="B2594" s="2">
        <v>2016</v>
      </c>
      <c r="C2594" s="2" t="s">
        <v>18</v>
      </c>
      <c r="D2594" s="2" t="s">
        <v>46</v>
      </c>
      <c r="E2594" s="2" t="s">
        <v>78</v>
      </c>
      <c r="F2594" s="2" t="s">
        <v>81</v>
      </c>
      <c r="G2594" s="2">
        <f t="shared" si="40"/>
        <v>0.19598354706024679</v>
      </c>
      <c r="H2594" s="5">
        <v>4.5762711864406782</v>
      </c>
      <c r="I2594" s="2">
        <v>177</v>
      </c>
      <c r="J2594" s="12">
        <f>I2594/Pondération!$G$161</f>
        <v>4.2826034357609483E-2</v>
      </c>
    </row>
    <row r="2595" spans="1:10" x14ac:dyDescent="0.25">
      <c r="A2595" s="2" t="s">
        <v>77</v>
      </c>
      <c r="B2595" s="2">
        <v>2016</v>
      </c>
      <c r="C2595" s="2" t="s">
        <v>19</v>
      </c>
      <c r="D2595" s="2" t="s">
        <v>46</v>
      </c>
      <c r="E2595" s="2" t="s">
        <v>78</v>
      </c>
      <c r="F2595" s="2" t="s">
        <v>81</v>
      </c>
      <c r="G2595" s="2">
        <f t="shared" si="40"/>
        <v>0.3001451729978224</v>
      </c>
      <c r="H2595" s="5">
        <v>4.4783393501805051</v>
      </c>
      <c r="I2595" s="2">
        <v>277</v>
      </c>
      <c r="J2595" s="12">
        <f>I2595/Pondération!$G$161</f>
        <v>6.7021533994676988E-2</v>
      </c>
    </row>
    <row r="2596" spans="1:10" x14ac:dyDescent="0.25">
      <c r="A2596" s="2" t="s">
        <v>77</v>
      </c>
      <c r="B2596" s="2">
        <v>2016</v>
      </c>
      <c r="C2596" s="2" t="s">
        <v>20</v>
      </c>
      <c r="D2596" s="2" t="s">
        <v>46</v>
      </c>
      <c r="E2596" s="2" t="s">
        <v>78</v>
      </c>
      <c r="F2596" s="2" t="s">
        <v>81</v>
      </c>
      <c r="G2596" s="2">
        <f t="shared" si="40"/>
        <v>0.22296152915557707</v>
      </c>
      <c r="H2596" s="5">
        <v>4.5618811881188117</v>
      </c>
      <c r="I2596" s="2">
        <v>202</v>
      </c>
      <c r="J2596" s="12">
        <f>I2596/Pondération!$G$161</f>
        <v>4.8874909266876362E-2</v>
      </c>
    </row>
    <row r="2597" spans="1:10" x14ac:dyDescent="0.25">
      <c r="A2597" s="2" t="s">
        <v>77</v>
      </c>
      <c r="B2597" s="2">
        <v>2016</v>
      </c>
      <c r="C2597" s="2" t="s">
        <v>21</v>
      </c>
      <c r="D2597" s="2" t="s">
        <v>46</v>
      </c>
      <c r="E2597" s="2" t="s">
        <v>78</v>
      </c>
      <c r="F2597" s="2" t="s">
        <v>81</v>
      </c>
      <c r="G2597" s="2">
        <f t="shared" si="40"/>
        <v>0.38107911928381316</v>
      </c>
      <c r="H2597" s="5">
        <v>4.5652173913043477</v>
      </c>
      <c r="I2597" s="2">
        <v>345</v>
      </c>
      <c r="J2597" s="12">
        <f>I2597/Pondération!$G$161</f>
        <v>8.3474473747882888E-2</v>
      </c>
    </row>
    <row r="2598" spans="1:10" x14ac:dyDescent="0.25">
      <c r="A2598" s="2" t="s">
        <v>77</v>
      </c>
      <c r="B2598" s="2">
        <v>2016</v>
      </c>
      <c r="C2598" s="2" t="s">
        <v>22</v>
      </c>
      <c r="D2598" s="2" t="s">
        <v>46</v>
      </c>
      <c r="E2598" s="2" t="s">
        <v>78</v>
      </c>
      <c r="F2598" s="2" t="s">
        <v>81</v>
      </c>
      <c r="G2598" s="2">
        <f t="shared" si="40"/>
        <v>0.34260827486087586</v>
      </c>
      <c r="H2598" s="5">
        <v>4.553054662379421</v>
      </c>
      <c r="I2598" s="2">
        <v>311</v>
      </c>
      <c r="J2598" s="12">
        <f>I2598/Pondération!$G$161</f>
        <v>7.5248003871279945E-2</v>
      </c>
    </row>
    <row r="2599" spans="1:10" x14ac:dyDescent="0.25">
      <c r="A2599" s="2" t="s">
        <v>77</v>
      </c>
      <c r="B2599" s="2">
        <v>2016</v>
      </c>
      <c r="C2599" s="2" t="s">
        <v>23</v>
      </c>
      <c r="D2599" s="2" t="s">
        <v>46</v>
      </c>
      <c r="E2599" s="2" t="s">
        <v>78</v>
      </c>
      <c r="F2599" s="2" t="s">
        <v>81</v>
      </c>
      <c r="G2599" s="2">
        <f t="shared" si="40"/>
        <v>0.33583353496249696</v>
      </c>
      <c r="H2599" s="5">
        <v>4.5508196721311478</v>
      </c>
      <c r="I2599" s="2">
        <v>305</v>
      </c>
      <c r="J2599" s="12">
        <f>I2599/Pondération!$G$161</f>
        <v>7.3796273893055889E-2</v>
      </c>
    </row>
    <row r="2600" spans="1:10" x14ac:dyDescent="0.25">
      <c r="A2600" s="2" t="s">
        <v>77</v>
      </c>
      <c r="B2600" s="2">
        <v>2016</v>
      </c>
      <c r="C2600" s="2" t="s">
        <v>24</v>
      </c>
      <c r="D2600" s="2" t="s">
        <v>46</v>
      </c>
      <c r="E2600" s="2" t="s">
        <v>78</v>
      </c>
      <c r="F2600" s="2" t="s">
        <v>81</v>
      </c>
      <c r="G2600" s="2">
        <f t="shared" si="40"/>
        <v>0.55189934672150986</v>
      </c>
      <c r="H2600" s="5">
        <v>4.4463937621832361</v>
      </c>
      <c r="I2600" s="2">
        <v>513</v>
      </c>
      <c r="J2600" s="12">
        <f>I2600/Pondération!$G$161</f>
        <v>0.12412291313815631</v>
      </c>
    </row>
    <row r="2601" spans="1:10" x14ac:dyDescent="0.25">
      <c r="A2601" s="2" t="s">
        <v>77</v>
      </c>
      <c r="B2601" s="2">
        <v>2016</v>
      </c>
      <c r="C2601" s="2" t="s">
        <v>25</v>
      </c>
      <c r="D2601" s="2" t="s">
        <v>46</v>
      </c>
      <c r="E2601" s="2" t="s">
        <v>78</v>
      </c>
      <c r="F2601" s="2" t="s">
        <v>81</v>
      </c>
      <c r="G2601" s="2">
        <f t="shared" si="40"/>
        <v>0.78913622066295663</v>
      </c>
      <c r="H2601" s="5">
        <v>4.4253731343283578</v>
      </c>
      <c r="I2601" s="2">
        <v>737</v>
      </c>
      <c r="J2601" s="12">
        <f>I2601/Pondération!$G$161</f>
        <v>0.17832083232518753</v>
      </c>
    </row>
    <row r="2602" spans="1:10" x14ac:dyDescent="0.25">
      <c r="A2602" s="2" t="s">
        <v>77</v>
      </c>
      <c r="B2602" s="2">
        <v>2016</v>
      </c>
      <c r="C2602" s="2" t="s">
        <v>26</v>
      </c>
      <c r="D2602" s="2" t="s">
        <v>46</v>
      </c>
      <c r="E2602" s="2" t="s">
        <v>78</v>
      </c>
      <c r="F2602" s="2" t="s">
        <v>81</v>
      </c>
      <c r="G2602" s="2">
        <f t="shared" si="40"/>
        <v>0.36825550447616745</v>
      </c>
      <c r="H2602" s="5">
        <v>4.4502923976608191</v>
      </c>
      <c r="I2602" s="2">
        <v>342</v>
      </c>
      <c r="J2602" s="12">
        <f>I2602/Pondération!$G$161</f>
        <v>8.2748608758770867E-2</v>
      </c>
    </row>
    <row r="2603" spans="1:10" x14ac:dyDescent="0.25">
      <c r="A2603" s="2" t="s">
        <v>77</v>
      </c>
      <c r="B2603" s="2">
        <v>2016</v>
      </c>
      <c r="C2603" s="2" t="s">
        <v>27</v>
      </c>
      <c r="D2603" s="2" t="s">
        <v>46</v>
      </c>
      <c r="E2603" s="2" t="s">
        <v>78</v>
      </c>
      <c r="F2603" s="2" t="s">
        <v>81</v>
      </c>
      <c r="G2603" s="2">
        <f t="shared" si="40"/>
        <v>0.40442777643358341</v>
      </c>
      <c r="H2603" s="5">
        <v>4.5053908355795151</v>
      </c>
      <c r="I2603" s="2">
        <v>371</v>
      </c>
      <c r="J2603" s="12">
        <f>I2603/Pondération!$G$161</f>
        <v>8.9765303653520451E-2</v>
      </c>
    </row>
    <row r="2604" spans="1:10" x14ac:dyDescent="0.25">
      <c r="A2604" s="2" t="s">
        <v>77</v>
      </c>
      <c r="B2604" s="2">
        <v>2016</v>
      </c>
      <c r="C2604" s="2" t="s">
        <v>28</v>
      </c>
      <c r="D2604" s="2" t="s">
        <v>46</v>
      </c>
      <c r="E2604" s="2" t="s">
        <v>78</v>
      </c>
      <c r="F2604" s="2" t="s">
        <v>81</v>
      </c>
      <c r="G2604" s="2">
        <f t="shared" si="40"/>
        <v>0.29941930800871042</v>
      </c>
      <c r="H2604" s="5">
        <v>4.5664206642066425</v>
      </c>
      <c r="I2604" s="2">
        <v>271</v>
      </c>
      <c r="J2604" s="12">
        <f>I2604/Pondération!$G$161</f>
        <v>6.5569804016452946E-2</v>
      </c>
    </row>
    <row r="2605" spans="1:10" x14ac:dyDescent="0.25">
      <c r="A2605" s="2" t="s">
        <v>77</v>
      </c>
      <c r="B2605" s="2">
        <v>2016</v>
      </c>
      <c r="C2605" s="2" t="s">
        <v>29</v>
      </c>
      <c r="D2605" s="2" t="s">
        <v>46</v>
      </c>
      <c r="E2605" s="2" t="s">
        <v>78</v>
      </c>
      <c r="F2605" s="2" t="s">
        <v>81</v>
      </c>
      <c r="G2605" s="2">
        <f t="shared" si="40"/>
        <v>0.31224292281635613</v>
      </c>
      <c r="H2605" s="5">
        <v>4.5762411347517729</v>
      </c>
      <c r="I2605" s="2">
        <v>282</v>
      </c>
      <c r="J2605" s="12">
        <f>I2605/Pondération!$G$161</f>
        <v>6.8231308976530361E-2</v>
      </c>
    </row>
    <row r="2606" spans="1:10" x14ac:dyDescent="0.25">
      <c r="A2606" s="2" t="s">
        <v>77</v>
      </c>
      <c r="B2606" s="2">
        <v>2017</v>
      </c>
      <c r="C2606" s="2" t="s">
        <v>30</v>
      </c>
      <c r="D2606" s="2" t="s">
        <v>46</v>
      </c>
      <c r="E2606" s="2" t="s">
        <v>78</v>
      </c>
      <c r="F2606" s="2" t="s">
        <v>81</v>
      </c>
      <c r="G2606" s="2">
        <f t="shared" si="40"/>
        <v>0.69072737368128811</v>
      </c>
      <c r="H2606" s="5">
        <v>4.5567765567765566</v>
      </c>
      <c r="I2606" s="2">
        <v>273</v>
      </c>
      <c r="J2606" s="12">
        <f>I2606/Pondération!$F$161</f>
        <v>0.1515824541921155</v>
      </c>
    </row>
    <row r="2607" spans="1:10" x14ac:dyDescent="0.25">
      <c r="A2607" s="2" t="s">
        <v>77</v>
      </c>
      <c r="B2607" s="2">
        <v>2017</v>
      </c>
      <c r="C2607" s="2" t="s">
        <v>31</v>
      </c>
      <c r="D2607" s="2" t="s">
        <v>46</v>
      </c>
      <c r="E2607" s="2" t="s">
        <v>78</v>
      </c>
      <c r="F2607" s="2" t="s">
        <v>81</v>
      </c>
      <c r="G2607" s="2">
        <f t="shared" si="40"/>
        <v>0.9361465852304276</v>
      </c>
      <c r="H2607" s="5">
        <v>4.5691056910569108</v>
      </c>
      <c r="I2607" s="2">
        <v>369</v>
      </c>
      <c r="J2607" s="12">
        <f>I2607/Pondération!$F$161</f>
        <v>0.20488617434758469</v>
      </c>
    </row>
    <row r="2608" spans="1:10" x14ac:dyDescent="0.25">
      <c r="A2608" s="2" t="s">
        <v>77</v>
      </c>
      <c r="B2608" s="2">
        <v>2017</v>
      </c>
      <c r="C2608" s="2" t="s">
        <v>32</v>
      </c>
      <c r="D2608" s="2" t="s">
        <v>46</v>
      </c>
      <c r="E2608" s="2" t="s">
        <v>78</v>
      </c>
      <c r="F2608" s="2" t="s">
        <v>81</v>
      </c>
      <c r="G2608" s="2">
        <f t="shared" si="40"/>
        <v>0.68073292615213765</v>
      </c>
      <c r="H2608" s="5">
        <v>4.5407407407407403</v>
      </c>
      <c r="I2608" s="2">
        <v>270</v>
      </c>
      <c r="J2608" s="12">
        <f>I2608/Pondération!$F$161</f>
        <v>0.14991671293725709</v>
      </c>
    </row>
    <row r="2609" spans="1:10" x14ac:dyDescent="0.25">
      <c r="A2609" s="2" t="s">
        <v>77</v>
      </c>
      <c r="B2609" s="2">
        <v>2017</v>
      </c>
      <c r="C2609" s="2" t="s">
        <v>33</v>
      </c>
      <c r="D2609" s="2" t="s">
        <v>46</v>
      </c>
      <c r="E2609" s="2" t="s">
        <v>78</v>
      </c>
      <c r="F2609" s="2" t="s">
        <v>81</v>
      </c>
      <c r="G2609" s="2">
        <f t="shared" si="40"/>
        <v>1.0202665186007773</v>
      </c>
      <c r="H2609" s="5">
        <v>4.5370370370370372</v>
      </c>
      <c r="I2609" s="2">
        <v>405</v>
      </c>
      <c r="J2609" s="12">
        <f>I2609/Pondération!$F$161</f>
        <v>0.22487506940588561</v>
      </c>
    </row>
    <row r="2610" spans="1:10" x14ac:dyDescent="0.25">
      <c r="A2610" s="2" t="s">
        <v>77</v>
      </c>
      <c r="B2610" s="2">
        <v>2017</v>
      </c>
      <c r="C2610" s="2" t="s">
        <v>34</v>
      </c>
      <c r="D2610" s="2" t="s">
        <v>46</v>
      </c>
      <c r="E2610" s="2" t="s">
        <v>78</v>
      </c>
      <c r="F2610" s="2" t="s">
        <v>81</v>
      </c>
      <c r="G2610" s="2">
        <f t="shared" si="40"/>
        <v>0.82343142698500837</v>
      </c>
      <c r="H2610" s="5">
        <v>4.5351681957186543</v>
      </c>
      <c r="I2610" s="2">
        <v>327</v>
      </c>
      <c r="J2610" s="12">
        <f>I2610/Pondération!$F$161</f>
        <v>0.18156579677956691</v>
      </c>
    </row>
    <row r="2611" spans="1:10" x14ac:dyDescent="0.25">
      <c r="A2611" s="2" t="s">
        <v>77</v>
      </c>
      <c r="B2611" s="2">
        <v>2017</v>
      </c>
      <c r="C2611" s="2" t="s">
        <v>80</v>
      </c>
      <c r="D2611" s="2" t="s">
        <v>46</v>
      </c>
      <c r="E2611" s="2" t="s">
        <v>78</v>
      </c>
      <c r="F2611" s="2" t="s">
        <v>81</v>
      </c>
      <c r="G2611" s="2">
        <f t="shared" si="40"/>
        <v>0.3972792892837313</v>
      </c>
      <c r="H2611" s="5">
        <v>4.5573248407643314</v>
      </c>
      <c r="I2611" s="2">
        <v>157</v>
      </c>
      <c r="J2611" s="12">
        <f>I2611/Pondération!$F$161</f>
        <v>8.7173792337590233E-2</v>
      </c>
    </row>
    <row r="2612" spans="1:10" x14ac:dyDescent="0.25">
      <c r="A2612" s="2" t="s">
        <v>77</v>
      </c>
      <c r="B2612" s="2">
        <v>2013</v>
      </c>
      <c r="C2612" s="2" t="s">
        <v>49</v>
      </c>
      <c r="D2612" s="2" t="s">
        <v>46</v>
      </c>
      <c r="E2612" s="2" t="s">
        <v>78</v>
      </c>
      <c r="F2612" s="2" t="s">
        <v>83</v>
      </c>
      <c r="G2612" s="2">
        <f t="shared" si="40"/>
        <v>7.4906367041198504E-2</v>
      </c>
      <c r="H2612" s="5">
        <v>4</v>
      </c>
      <c r="I2612" s="2">
        <v>5</v>
      </c>
      <c r="J2612" s="12">
        <f>I2612/Pondération!$J$162</f>
        <v>1.8726591760299626E-2</v>
      </c>
    </row>
    <row r="2613" spans="1:10" x14ac:dyDescent="0.25">
      <c r="A2613" s="2" t="s">
        <v>77</v>
      </c>
      <c r="B2613" s="2">
        <v>2013</v>
      </c>
      <c r="C2613" s="2" t="s">
        <v>50</v>
      </c>
      <c r="D2613" s="2" t="s">
        <v>46</v>
      </c>
      <c r="E2613" s="2" t="s">
        <v>78</v>
      </c>
      <c r="F2613" s="2" t="s">
        <v>83</v>
      </c>
      <c r="G2613" s="2">
        <f t="shared" si="40"/>
        <v>0.11235955056179775</v>
      </c>
      <c r="H2613" s="5">
        <v>4.2857142857142856</v>
      </c>
      <c r="I2613" s="2">
        <v>7</v>
      </c>
      <c r="J2613" s="12">
        <f>I2613/Pondération!$J$162</f>
        <v>2.6217228464419477E-2</v>
      </c>
    </row>
    <row r="2614" spans="1:10" x14ac:dyDescent="0.25">
      <c r="A2614" s="2" t="s">
        <v>77</v>
      </c>
      <c r="B2614" s="2">
        <v>2013</v>
      </c>
      <c r="C2614" s="2" t="s">
        <v>51</v>
      </c>
      <c r="D2614" s="2" t="s">
        <v>46</v>
      </c>
      <c r="E2614" s="2" t="s">
        <v>78</v>
      </c>
      <c r="F2614" s="2" t="s">
        <v>83</v>
      </c>
      <c r="G2614" s="2">
        <f t="shared" si="40"/>
        <v>9.5505617977528087E-2</v>
      </c>
      <c r="H2614" s="5">
        <v>4.25</v>
      </c>
      <c r="I2614" s="2">
        <v>6</v>
      </c>
      <c r="J2614" s="12">
        <f>I2614/Pondération!$J$162</f>
        <v>2.247191011235955E-2</v>
      </c>
    </row>
    <row r="2615" spans="1:10" x14ac:dyDescent="0.25">
      <c r="A2615" s="2" t="s">
        <v>77</v>
      </c>
      <c r="B2615" s="2">
        <v>2013</v>
      </c>
      <c r="C2615" s="2" t="s">
        <v>52</v>
      </c>
      <c r="D2615" s="2" t="s">
        <v>46</v>
      </c>
      <c r="E2615" s="2" t="s">
        <v>78</v>
      </c>
      <c r="F2615" s="2" t="s">
        <v>83</v>
      </c>
      <c r="G2615" s="2">
        <f t="shared" si="40"/>
        <v>0.31835205992509363</v>
      </c>
      <c r="H2615" s="5">
        <v>4.4736842105263159</v>
      </c>
      <c r="I2615" s="2">
        <v>19</v>
      </c>
      <c r="J2615" s="12">
        <f>I2615/Pondération!$J$162</f>
        <v>7.116104868913857E-2</v>
      </c>
    </row>
    <row r="2616" spans="1:10" x14ac:dyDescent="0.25">
      <c r="A2616" s="2" t="s">
        <v>77</v>
      </c>
      <c r="B2616" s="2">
        <v>2013</v>
      </c>
      <c r="C2616" s="2" t="s">
        <v>53</v>
      </c>
      <c r="D2616" s="2" t="s">
        <v>46</v>
      </c>
      <c r="E2616" s="2" t="s">
        <v>78</v>
      </c>
      <c r="F2616" s="2" t="s">
        <v>83</v>
      </c>
      <c r="G2616" s="2">
        <f t="shared" si="40"/>
        <v>0.31835205992509363</v>
      </c>
      <c r="H2616" s="5">
        <v>4.4736842105263159</v>
      </c>
      <c r="I2616" s="2">
        <v>19</v>
      </c>
      <c r="J2616" s="12">
        <f>I2616/Pondération!$J$162</f>
        <v>7.116104868913857E-2</v>
      </c>
    </row>
    <row r="2617" spans="1:10" x14ac:dyDescent="0.25">
      <c r="A2617" s="2" t="s">
        <v>77</v>
      </c>
      <c r="B2617" s="2">
        <v>2013</v>
      </c>
      <c r="C2617" s="2" t="s">
        <v>54</v>
      </c>
      <c r="D2617" s="2" t="s">
        <v>46</v>
      </c>
      <c r="E2617" s="2" t="s">
        <v>78</v>
      </c>
      <c r="F2617" s="2" t="s">
        <v>83</v>
      </c>
      <c r="G2617" s="2">
        <f t="shared" si="40"/>
        <v>0.26217228464419479</v>
      </c>
      <c r="H2617" s="5">
        <v>4.375</v>
      </c>
      <c r="I2617" s="2">
        <v>16</v>
      </c>
      <c r="J2617" s="12">
        <f>I2617/Pondération!$J$162</f>
        <v>5.9925093632958802E-2</v>
      </c>
    </row>
    <row r="2618" spans="1:10" x14ac:dyDescent="0.25">
      <c r="A2618" s="2" t="s">
        <v>77</v>
      </c>
      <c r="B2618" s="2">
        <v>2013</v>
      </c>
      <c r="C2618" s="2" t="s">
        <v>55</v>
      </c>
      <c r="D2618" s="2" t="s">
        <v>46</v>
      </c>
      <c r="E2618" s="2" t="s">
        <v>78</v>
      </c>
      <c r="F2618" s="2" t="s">
        <v>83</v>
      </c>
      <c r="G2618" s="2">
        <f t="shared" si="40"/>
        <v>0.32771535580524347</v>
      </c>
      <c r="H2618" s="5">
        <v>4.166666666666667</v>
      </c>
      <c r="I2618" s="2">
        <v>21</v>
      </c>
      <c r="J2618" s="12">
        <f>I2618/Pondération!$J$162</f>
        <v>7.8651685393258425E-2</v>
      </c>
    </row>
    <row r="2619" spans="1:10" x14ac:dyDescent="0.25">
      <c r="A2619" s="2" t="s">
        <v>77</v>
      </c>
      <c r="B2619" s="2">
        <v>2013</v>
      </c>
      <c r="C2619" s="2" t="s">
        <v>56</v>
      </c>
      <c r="D2619" s="2" t="s">
        <v>46</v>
      </c>
      <c r="E2619" s="2" t="s">
        <v>78</v>
      </c>
      <c r="F2619" s="2" t="s">
        <v>83</v>
      </c>
      <c r="G2619" s="2">
        <f t="shared" si="40"/>
        <v>1.106741573033708</v>
      </c>
      <c r="H2619" s="5">
        <v>4.41044776119403</v>
      </c>
      <c r="I2619" s="2">
        <v>67</v>
      </c>
      <c r="J2619" s="12">
        <f>I2619/Pondération!$J$162</f>
        <v>0.25093632958801498</v>
      </c>
    </row>
    <row r="2620" spans="1:10" x14ac:dyDescent="0.25">
      <c r="A2620" s="2" t="s">
        <v>77</v>
      </c>
      <c r="B2620" s="2">
        <v>2013</v>
      </c>
      <c r="C2620" s="2" t="s">
        <v>57</v>
      </c>
      <c r="D2620" s="2" t="s">
        <v>46</v>
      </c>
      <c r="E2620" s="2" t="s">
        <v>78</v>
      </c>
      <c r="F2620" s="2" t="s">
        <v>83</v>
      </c>
      <c r="G2620" s="2">
        <f t="shared" si="40"/>
        <v>0.64794007490636707</v>
      </c>
      <c r="H2620" s="5">
        <v>4.3250000000000002</v>
      </c>
      <c r="I2620" s="2">
        <v>40</v>
      </c>
      <c r="J2620" s="12">
        <f>I2620/Pondération!$J$162</f>
        <v>0.14981273408239701</v>
      </c>
    </row>
    <row r="2621" spans="1:10" x14ac:dyDescent="0.25">
      <c r="A2621" s="2" t="s">
        <v>77</v>
      </c>
      <c r="B2621" s="2">
        <v>2013</v>
      </c>
      <c r="C2621" s="2" t="s">
        <v>58</v>
      </c>
      <c r="D2621" s="2" t="s">
        <v>46</v>
      </c>
      <c r="E2621" s="2" t="s">
        <v>78</v>
      </c>
      <c r="F2621" s="2" t="s">
        <v>83</v>
      </c>
      <c r="G2621" s="2">
        <f t="shared" si="40"/>
        <v>0.47565543071161048</v>
      </c>
      <c r="H2621" s="5">
        <v>4.3793103448275863</v>
      </c>
      <c r="I2621" s="2">
        <v>29</v>
      </c>
      <c r="J2621" s="12">
        <f>I2621/Pondération!$J$162</f>
        <v>0.10861423220973783</v>
      </c>
    </row>
    <row r="2622" spans="1:10" x14ac:dyDescent="0.25">
      <c r="A2622" s="2" t="s">
        <v>77</v>
      </c>
      <c r="B2622" s="2">
        <v>2013</v>
      </c>
      <c r="C2622" s="2" t="s">
        <v>59</v>
      </c>
      <c r="D2622" s="2" t="s">
        <v>46</v>
      </c>
      <c r="E2622" s="2" t="s">
        <v>78</v>
      </c>
      <c r="F2622" s="2" t="s">
        <v>83</v>
      </c>
      <c r="G2622" s="2">
        <f t="shared" si="40"/>
        <v>0.24157303370786515</v>
      </c>
      <c r="H2622" s="5">
        <v>4.3</v>
      </c>
      <c r="I2622" s="2">
        <v>15</v>
      </c>
      <c r="J2622" s="12">
        <f>I2622/Pondération!$J$162</f>
        <v>5.6179775280898875E-2</v>
      </c>
    </row>
    <row r="2623" spans="1:10" x14ac:dyDescent="0.25">
      <c r="A2623" s="2" t="s">
        <v>77</v>
      </c>
      <c r="B2623" s="2">
        <v>2013</v>
      </c>
      <c r="C2623" s="2" t="s">
        <v>60</v>
      </c>
      <c r="D2623" s="2" t="s">
        <v>46</v>
      </c>
      <c r="E2623" s="2" t="s">
        <v>78</v>
      </c>
      <c r="F2623" s="2" t="s">
        <v>83</v>
      </c>
      <c r="G2623" s="2">
        <f t="shared" si="40"/>
        <v>0.36704119850187267</v>
      </c>
      <c r="H2623" s="5">
        <v>4.2608695652173916</v>
      </c>
      <c r="I2623" s="2">
        <v>23</v>
      </c>
      <c r="J2623" s="12">
        <f>I2623/Pondération!$J$162</f>
        <v>8.6142322097378279E-2</v>
      </c>
    </row>
    <row r="2624" spans="1:10" x14ac:dyDescent="0.25">
      <c r="A2624" s="2" t="s">
        <v>77</v>
      </c>
      <c r="B2624" s="2">
        <v>2014</v>
      </c>
      <c r="C2624" s="2" t="s">
        <v>61</v>
      </c>
      <c r="D2624" s="2" t="s">
        <v>46</v>
      </c>
      <c r="E2624" s="2" t="s">
        <v>78</v>
      </c>
      <c r="F2624" s="2" t="s">
        <v>83</v>
      </c>
      <c r="G2624" s="2">
        <f t="shared" si="40"/>
        <v>0.14731494920174165</v>
      </c>
      <c r="H2624" s="5">
        <v>4.229166666666667</v>
      </c>
      <c r="I2624" s="2">
        <v>24</v>
      </c>
      <c r="J2624" s="12">
        <f>I2624/Pondération!$I$162</f>
        <v>3.483309143686502E-2</v>
      </c>
    </row>
    <row r="2625" spans="1:10" x14ac:dyDescent="0.25">
      <c r="A2625" s="2" t="s">
        <v>77</v>
      </c>
      <c r="B2625" s="2">
        <v>2014</v>
      </c>
      <c r="C2625" s="2" t="s">
        <v>62</v>
      </c>
      <c r="D2625" s="2" t="s">
        <v>46</v>
      </c>
      <c r="E2625" s="2" t="s">
        <v>78</v>
      </c>
      <c r="F2625" s="2" t="s">
        <v>83</v>
      </c>
      <c r="G2625" s="2">
        <f t="shared" si="40"/>
        <v>0.13425253991291727</v>
      </c>
      <c r="H2625" s="5">
        <v>4.4047619047619051</v>
      </c>
      <c r="I2625" s="2">
        <v>21</v>
      </c>
      <c r="J2625" s="12">
        <f>I2625/Pondération!$I$162</f>
        <v>3.0478955007256895E-2</v>
      </c>
    </row>
    <row r="2626" spans="1:10" x14ac:dyDescent="0.25">
      <c r="A2626" s="2" t="s">
        <v>77</v>
      </c>
      <c r="B2626" s="2">
        <v>2014</v>
      </c>
      <c r="C2626" s="2" t="s">
        <v>63</v>
      </c>
      <c r="D2626" s="2" t="s">
        <v>46</v>
      </c>
      <c r="E2626" s="2" t="s">
        <v>78</v>
      </c>
      <c r="F2626" s="2" t="s">
        <v>83</v>
      </c>
      <c r="G2626" s="2">
        <f t="shared" ref="G2626:G2689" si="41">H2626*J2626</f>
        <v>0.2460087082728592</v>
      </c>
      <c r="H2626" s="5">
        <v>4.1341463414634143</v>
      </c>
      <c r="I2626" s="2">
        <v>41</v>
      </c>
      <c r="J2626" s="12">
        <f>I2626/Pondération!$I$162</f>
        <v>5.9506531204644414E-2</v>
      </c>
    </row>
    <row r="2627" spans="1:10" x14ac:dyDescent="0.25">
      <c r="A2627" s="2" t="s">
        <v>77</v>
      </c>
      <c r="B2627" s="2">
        <v>2014</v>
      </c>
      <c r="C2627" s="2" t="s">
        <v>64</v>
      </c>
      <c r="D2627" s="2" t="s">
        <v>46</v>
      </c>
      <c r="E2627" s="2" t="s">
        <v>78</v>
      </c>
      <c r="F2627" s="2" t="s">
        <v>83</v>
      </c>
      <c r="G2627" s="2">
        <f t="shared" si="41"/>
        <v>0.2554426705370102</v>
      </c>
      <c r="H2627" s="5">
        <v>4.4000000000000004</v>
      </c>
      <c r="I2627" s="2">
        <v>40</v>
      </c>
      <c r="J2627" s="12">
        <f>I2627/Pondération!$I$162</f>
        <v>5.8055152394775038E-2</v>
      </c>
    </row>
    <row r="2628" spans="1:10" x14ac:dyDescent="0.25">
      <c r="A2628" s="2" t="s">
        <v>77</v>
      </c>
      <c r="B2628" s="2">
        <v>2014</v>
      </c>
      <c r="C2628" s="2" t="s">
        <v>65</v>
      </c>
      <c r="D2628" s="2" t="s">
        <v>46</v>
      </c>
      <c r="E2628" s="2" t="s">
        <v>78</v>
      </c>
      <c r="F2628" s="2" t="s">
        <v>83</v>
      </c>
      <c r="G2628" s="2">
        <f t="shared" si="41"/>
        <v>0.29027576197387517</v>
      </c>
      <c r="H2628" s="5">
        <v>4.2553191489361701</v>
      </c>
      <c r="I2628" s="2">
        <v>47</v>
      </c>
      <c r="J2628" s="12">
        <f>I2628/Pondération!$I$162</f>
        <v>6.8214804063860671E-2</v>
      </c>
    </row>
    <row r="2629" spans="1:10" x14ac:dyDescent="0.25">
      <c r="A2629" s="2" t="s">
        <v>77</v>
      </c>
      <c r="B2629" s="2">
        <v>2014</v>
      </c>
      <c r="C2629" s="2" t="s">
        <v>66</v>
      </c>
      <c r="D2629" s="2" t="s">
        <v>46</v>
      </c>
      <c r="E2629" s="2" t="s">
        <v>78</v>
      </c>
      <c r="F2629" s="2" t="s">
        <v>83</v>
      </c>
      <c r="G2629" s="2">
        <f t="shared" si="41"/>
        <v>0.21698113207547171</v>
      </c>
      <c r="H2629" s="5">
        <v>4.3970588235294121</v>
      </c>
      <c r="I2629" s="2">
        <v>34</v>
      </c>
      <c r="J2629" s="12">
        <f>I2629/Pondération!$I$162</f>
        <v>4.9346879535558781E-2</v>
      </c>
    </row>
    <row r="2630" spans="1:10" x14ac:dyDescent="0.25">
      <c r="A2630" s="2" t="s">
        <v>77</v>
      </c>
      <c r="B2630" s="2">
        <v>2014</v>
      </c>
      <c r="C2630" s="2" t="s">
        <v>67</v>
      </c>
      <c r="D2630" s="2" t="s">
        <v>46</v>
      </c>
      <c r="E2630" s="2" t="s">
        <v>78</v>
      </c>
      <c r="F2630" s="2" t="s">
        <v>83</v>
      </c>
      <c r="G2630" s="2">
        <f t="shared" si="41"/>
        <v>0.49274310595065313</v>
      </c>
      <c r="H2630" s="5">
        <v>4.4090909090909092</v>
      </c>
      <c r="I2630" s="2">
        <v>77</v>
      </c>
      <c r="J2630" s="12">
        <f>I2630/Pondération!$I$162</f>
        <v>0.11175616835994194</v>
      </c>
    </row>
    <row r="2631" spans="1:10" x14ac:dyDescent="0.25">
      <c r="A2631" s="2" t="s">
        <v>77</v>
      </c>
      <c r="B2631" s="2">
        <v>2014</v>
      </c>
      <c r="C2631" s="2" t="s">
        <v>68</v>
      </c>
      <c r="D2631" s="2" t="s">
        <v>46</v>
      </c>
      <c r="E2631" s="2" t="s">
        <v>78</v>
      </c>
      <c r="F2631" s="2" t="s">
        <v>83</v>
      </c>
      <c r="G2631" s="2">
        <f t="shared" si="41"/>
        <v>0.92307692307692313</v>
      </c>
      <c r="H2631" s="5">
        <v>4.4475524475524475</v>
      </c>
      <c r="I2631" s="2">
        <v>143</v>
      </c>
      <c r="J2631" s="12">
        <f>I2631/Pondération!$I$162</f>
        <v>0.20754716981132076</v>
      </c>
    </row>
    <row r="2632" spans="1:10" x14ac:dyDescent="0.25">
      <c r="A2632" s="2" t="s">
        <v>77</v>
      </c>
      <c r="B2632" s="2">
        <v>2014</v>
      </c>
      <c r="C2632" s="2" t="s">
        <v>69</v>
      </c>
      <c r="D2632" s="2" t="s">
        <v>46</v>
      </c>
      <c r="E2632" s="2" t="s">
        <v>78</v>
      </c>
      <c r="F2632" s="2" t="s">
        <v>83</v>
      </c>
      <c r="G2632" s="2">
        <f t="shared" si="41"/>
        <v>0.54571843251088537</v>
      </c>
      <c r="H2632" s="5">
        <v>4.3720930232558137</v>
      </c>
      <c r="I2632" s="2">
        <v>86</v>
      </c>
      <c r="J2632" s="12">
        <f>I2632/Pondération!$I$162</f>
        <v>0.12481857764876633</v>
      </c>
    </row>
    <row r="2633" spans="1:10" x14ac:dyDescent="0.25">
      <c r="A2633" s="2" t="s">
        <v>77</v>
      </c>
      <c r="B2633" s="2">
        <v>2014</v>
      </c>
      <c r="C2633" s="2" t="s">
        <v>70</v>
      </c>
      <c r="D2633" s="2" t="s">
        <v>46</v>
      </c>
      <c r="E2633" s="2" t="s">
        <v>78</v>
      </c>
      <c r="F2633" s="2" t="s">
        <v>83</v>
      </c>
      <c r="G2633" s="2">
        <f t="shared" si="41"/>
        <v>0.35341074020319307</v>
      </c>
      <c r="H2633" s="5">
        <v>4.4272727272727277</v>
      </c>
      <c r="I2633" s="2">
        <v>55</v>
      </c>
      <c r="J2633" s="12">
        <f>I2633/Pondération!$I$162</f>
        <v>7.982583454281568E-2</v>
      </c>
    </row>
    <row r="2634" spans="1:10" x14ac:dyDescent="0.25">
      <c r="A2634" s="2" t="s">
        <v>77</v>
      </c>
      <c r="B2634" s="2">
        <v>2014</v>
      </c>
      <c r="C2634" s="2" t="s">
        <v>71</v>
      </c>
      <c r="D2634" s="2" t="s">
        <v>46</v>
      </c>
      <c r="E2634" s="2" t="s">
        <v>78</v>
      </c>
      <c r="F2634" s="2" t="s">
        <v>83</v>
      </c>
      <c r="G2634" s="2">
        <f t="shared" si="41"/>
        <v>0.43323657474600868</v>
      </c>
      <c r="H2634" s="5">
        <v>4.3897058823529411</v>
      </c>
      <c r="I2634" s="2">
        <v>68</v>
      </c>
      <c r="J2634" s="12">
        <f>I2634/Pondération!$I$162</f>
        <v>9.8693759071117562E-2</v>
      </c>
    </row>
    <row r="2635" spans="1:10" x14ac:dyDescent="0.25">
      <c r="A2635" s="2" t="s">
        <v>77</v>
      </c>
      <c r="B2635" s="2">
        <v>2014</v>
      </c>
      <c r="C2635" s="2" t="s">
        <v>72</v>
      </c>
      <c r="D2635" s="2" t="s">
        <v>46</v>
      </c>
      <c r="E2635" s="2" t="s">
        <v>78</v>
      </c>
      <c r="F2635" s="2" t="s">
        <v>83</v>
      </c>
      <c r="G2635" s="2">
        <f t="shared" si="41"/>
        <v>0.34034833091436867</v>
      </c>
      <c r="H2635" s="5">
        <v>4.4245283018867925</v>
      </c>
      <c r="I2635" s="2">
        <v>53</v>
      </c>
      <c r="J2635" s="12">
        <f>I2635/Pondération!$I$162</f>
        <v>7.6923076923076927E-2</v>
      </c>
    </row>
    <row r="2636" spans="1:10" x14ac:dyDescent="0.25">
      <c r="A2636" s="2" t="s">
        <v>77</v>
      </c>
      <c r="B2636" s="2">
        <v>2015</v>
      </c>
      <c r="C2636" s="2" t="s">
        <v>73</v>
      </c>
      <c r="D2636" s="2" t="s">
        <v>46</v>
      </c>
      <c r="E2636" s="2" t="s">
        <v>78</v>
      </c>
      <c r="F2636" s="2" t="s">
        <v>83</v>
      </c>
      <c r="G2636" s="2">
        <f t="shared" si="41"/>
        <v>0.1168355855855856</v>
      </c>
      <c r="H2636" s="5">
        <v>4.4148936170212769</v>
      </c>
      <c r="I2636" s="2">
        <v>47</v>
      </c>
      <c r="J2636" s="12">
        <f>I2636/Pondération!$H$162</f>
        <v>2.6463963963963964E-2</v>
      </c>
    </row>
    <row r="2637" spans="1:10" x14ac:dyDescent="0.25">
      <c r="A2637" s="2" t="s">
        <v>77</v>
      </c>
      <c r="B2637" s="2">
        <v>2015</v>
      </c>
      <c r="C2637" s="2" t="s">
        <v>74</v>
      </c>
      <c r="D2637" s="2" t="s">
        <v>46</v>
      </c>
      <c r="E2637" s="2" t="s">
        <v>78</v>
      </c>
      <c r="F2637" s="2" t="s">
        <v>83</v>
      </c>
      <c r="G2637" s="2">
        <f t="shared" si="41"/>
        <v>0.10754504504504504</v>
      </c>
      <c r="H2637" s="5">
        <v>4.441860465116279</v>
      </c>
      <c r="I2637" s="2">
        <v>43</v>
      </c>
      <c r="J2637" s="12">
        <f>I2637/Pondération!$H$162</f>
        <v>2.4211711711711711E-2</v>
      </c>
    </row>
    <row r="2638" spans="1:10" x14ac:dyDescent="0.25">
      <c r="A2638" s="2" t="s">
        <v>77</v>
      </c>
      <c r="B2638" s="2">
        <v>2015</v>
      </c>
      <c r="C2638" s="2" t="s">
        <v>75</v>
      </c>
      <c r="D2638" s="2" t="s">
        <v>46</v>
      </c>
      <c r="E2638" s="2" t="s">
        <v>78</v>
      </c>
      <c r="F2638" s="2" t="s">
        <v>83</v>
      </c>
      <c r="G2638" s="2">
        <f t="shared" si="41"/>
        <v>0.19059684684684686</v>
      </c>
      <c r="H2638" s="5">
        <v>4.5133333333333336</v>
      </c>
      <c r="I2638" s="2">
        <v>75</v>
      </c>
      <c r="J2638" s="12">
        <f>I2638/Pondération!$H$162</f>
        <v>4.2229729729729729E-2</v>
      </c>
    </row>
    <row r="2639" spans="1:10" x14ac:dyDescent="0.25">
      <c r="A2639" s="2" t="s">
        <v>77</v>
      </c>
      <c r="B2639" s="2">
        <v>2015</v>
      </c>
      <c r="C2639" s="2" t="s">
        <v>76</v>
      </c>
      <c r="D2639" s="2" t="s">
        <v>46</v>
      </c>
      <c r="E2639" s="2" t="s">
        <v>78</v>
      </c>
      <c r="F2639" s="2" t="s">
        <v>83</v>
      </c>
      <c r="G2639" s="2">
        <f t="shared" si="41"/>
        <v>0.24859234234234232</v>
      </c>
      <c r="H2639" s="5">
        <v>4.4595959595959593</v>
      </c>
      <c r="I2639" s="2">
        <v>99</v>
      </c>
      <c r="J2639" s="12">
        <f>I2639/Pondération!$H$162</f>
        <v>5.5743243243243243E-2</v>
      </c>
    </row>
    <row r="2640" spans="1:10" x14ac:dyDescent="0.25">
      <c r="A2640" s="2" t="s">
        <v>77</v>
      </c>
      <c r="B2640" s="2">
        <v>2015</v>
      </c>
      <c r="C2640" s="2" t="s">
        <v>7</v>
      </c>
      <c r="D2640" s="2" t="s">
        <v>46</v>
      </c>
      <c r="E2640" s="2" t="s">
        <v>78</v>
      </c>
      <c r="F2640" s="2" t="s">
        <v>83</v>
      </c>
      <c r="G2640" s="2">
        <f t="shared" si="41"/>
        <v>0.29842342342342343</v>
      </c>
      <c r="H2640" s="5">
        <v>4.3801652892561984</v>
      </c>
      <c r="I2640" s="2">
        <v>121</v>
      </c>
      <c r="J2640" s="12">
        <f>I2640/Pondération!$H$162</f>
        <v>6.8130630630630629E-2</v>
      </c>
    </row>
    <row r="2641" spans="1:10" x14ac:dyDescent="0.25">
      <c r="A2641" s="2" t="s">
        <v>77</v>
      </c>
      <c r="B2641" s="2">
        <v>2015</v>
      </c>
      <c r="C2641" s="2" t="s">
        <v>11</v>
      </c>
      <c r="D2641" s="2" t="s">
        <v>46</v>
      </c>
      <c r="E2641" s="2" t="s">
        <v>78</v>
      </c>
      <c r="F2641" s="2" t="s">
        <v>83</v>
      </c>
      <c r="G2641" s="2">
        <f t="shared" si="41"/>
        <v>0.28772522522522526</v>
      </c>
      <c r="H2641" s="5">
        <v>4.4824561403508776</v>
      </c>
      <c r="I2641" s="2">
        <v>114</v>
      </c>
      <c r="J2641" s="12">
        <f>I2641/Pondération!$H$162</f>
        <v>6.4189189189189186E-2</v>
      </c>
    </row>
    <row r="2642" spans="1:10" x14ac:dyDescent="0.25">
      <c r="A2642" s="2" t="s">
        <v>77</v>
      </c>
      <c r="B2642" s="2">
        <v>2015</v>
      </c>
      <c r="C2642" s="2" t="s">
        <v>12</v>
      </c>
      <c r="D2642" s="2" t="s">
        <v>46</v>
      </c>
      <c r="E2642" s="2" t="s">
        <v>78</v>
      </c>
      <c r="F2642" s="2" t="s">
        <v>83</v>
      </c>
      <c r="G2642" s="2">
        <f t="shared" si="41"/>
        <v>0.52815315315315314</v>
      </c>
      <c r="H2642" s="5">
        <v>4.4245283018867925</v>
      </c>
      <c r="I2642" s="2">
        <v>212</v>
      </c>
      <c r="J2642" s="12">
        <f>I2642/Pondération!$H$162</f>
        <v>0.11936936936936937</v>
      </c>
    </row>
    <row r="2643" spans="1:10" x14ac:dyDescent="0.25">
      <c r="A2643" s="2" t="s">
        <v>77</v>
      </c>
      <c r="B2643" s="2">
        <v>2015</v>
      </c>
      <c r="C2643" s="2" t="s">
        <v>13</v>
      </c>
      <c r="D2643" s="2" t="s">
        <v>46</v>
      </c>
      <c r="E2643" s="2" t="s">
        <v>78</v>
      </c>
      <c r="F2643" s="2" t="s">
        <v>83</v>
      </c>
      <c r="G2643" s="2">
        <f t="shared" si="41"/>
        <v>0.89076576576576583</v>
      </c>
      <c r="H2643" s="5">
        <v>4.4189944134078214</v>
      </c>
      <c r="I2643" s="2">
        <v>358</v>
      </c>
      <c r="J2643" s="12">
        <f>I2643/Pondération!$H$162</f>
        <v>0.20157657657657657</v>
      </c>
    </row>
    <row r="2644" spans="1:10" x14ac:dyDescent="0.25">
      <c r="A2644" s="2" t="s">
        <v>77</v>
      </c>
      <c r="B2644" s="2">
        <v>2015</v>
      </c>
      <c r="C2644" s="2" t="s">
        <v>14</v>
      </c>
      <c r="D2644" s="2" t="s">
        <v>46</v>
      </c>
      <c r="E2644" s="2" t="s">
        <v>78</v>
      </c>
      <c r="F2644" s="2" t="s">
        <v>83</v>
      </c>
      <c r="G2644" s="2">
        <f t="shared" si="41"/>
        <v>0.57798423423423417</v>
      </c>
      <c r="H2644" s="5">
        <v>4.3867521367521372</v>
      </c>
      <c r="I2644" s="2">
        <v>234</v>
      </c>
      <c r="J2644" s="12">
        <f>I2644/Pondération!$H$162</f>
        <v>0.13175675675675674</v>
      </c>
    </row>
    <row r="2645" spans="1:10" x14ac:dyDescent="0.25">
      <c r="A2645" s="2" t="s">
        <v>77</v>
      </c>
      <c r="B2645" s="2">
        <v>2015</v>
      </c>
      <c r="C2645" s="2" t="s">
        <v>15</v>
      </c>
      <c r="D2645" s="2" t="s">
        <v>46</v>
      </c>
      <c r="E2645" s="2" t="s">
        <v>78</v>
      </c>
      <c r="F2645" s="2" t="s">
        <v>83</v>
      </c>
      <c r="G2645" s="2">
        <f t="shared" si="41"/>
        <v>0.54898648648648651</v>
      </c>
      <c r="H2645" s="5">
        <v>4.4724770642201834</v>
      </c>
      <c r="I2645" s="2">
        <v>218</v>
      </c>
      <c r="J2645" s="12">
        <f>I2645/Pondération!$H$162</f>
        <v>0.12274774774774774</v>
      </c>
    </row>
    <row r="2646" spans="1:10" x14ac:dyDescent="0.25">
      <c r="A2646" s="2" t="s">
        <v>77</v>
      </c>
      <c r="B2646" s="2">
        <v>2015</v>
      </c>
      <c r="C2646" s="2" t="s">
        <v>16</v>
      </c>
      <c r="D2646" s="2" t="s">
        <v>46</v>
      </c>
      <c r="E2646" s="2" t="s">
        <v>78</v>
      </c>
      <c r="F2646" s="2" t="s">
        <v>83</v>
      </c>
      <c r="G2646" s="2">
        <f t="shared" si="41"/>
        <v>0.3108108108108108</v>
      </c>
      <c r="H2646" s="5">
        <v>4.3809523809523814</v>
      </c>
      <c r="I2646" s="2">
        <v>126</v>
      </c>
      <c r="J2646" s="12">
        <f>I2646/Pondération!$H$162</f>
        <v>7.0945945945945943E-2</v>
      </c>
    </row>
    <row r="2647" spans="1:10" x14ac:dyDescent="0.25">
      <c r="A2647" s="2" t="s">
        <v>77</v>
      </c>
      <c r="B2647" s="2">
        <v>2015</v>
      </c>
      <c r="C2647" s="2" t="s">
        <v>17</v>
      </c>
      <c r="D2647" s="2" t="s">
        <v>46</v>
      </c>
      <c r="E2647" s="2" t="s">
        <v>78</v>
      </c>
      <c r="F2647" s="2" t="s">
        <v>83</v>
      </c>
      <c r="G2647" s="2">
        <f t="shared" si="41"/>
        <v>0.31587837837837834</v>
      </c>
      <c r="H2647" s="5">
        <v>4.3488372093023253</v>
      </c>
      <c r="I2647" s="2">
        <v>129</v>
      </c>
      <c r="J2647" s="12">
        <f>I2647/Pondération!$H$162</f>
        <v>7.2635135135135129E-2</v>
      </c>
    </row>
    <row r="2648" spans="1:10" x14ac:dyDescent="0.25">
      <c r="A2648" s="2" t="s">
        <v>77</v>
      </c>
      <c r="B2648" s="2">
        <v>2016</v>
      </c>
      <c r="C2648" s="2" t="s">
        <v>18</v>
      </c>
      <c r="D2648" s="2" t="s">
        <v>46</v>
      </c>
      <c r="E2648" s="2" t="s">
        <v>78</v>
      </c>
      <c r="F2648" s="2" t="s">
        <v>83</v>
      </c>
      <c r="G2648" s="2">
        <f t="shared" si="41"/>
        <v>0.17689075630252102</v>
      </c>
      <c r="H2648" s="5">
        <v>4.385416666666667</v>
      </c>
      <c r="I2648" s="2">
        <v>144</v>
      </c>
      <c r="J2648" s="12">
        <f>I2648/Pondération!$G$162</f>
        <v>4.0336134453781515E-2</v>
      </c>
    </row>
    <row r="2649" spans="1:10" x14ac:dyDescent="0.25">
      <c r="A2649" s="2" t="s">
        <v>77</v>
      </c>
      <c r="B2649" s="2">
        <v>2016</v>
      </c>
      <c r="C2649" s="2" t="s">
        <v>19</v>
      </c>
      <c r="D2649" s="2" t="s">
        <v>46</v>
      </c>
      <c r="E2649" s="2" t="s">
        <v>78</v>
      </c>
      <c r="F2649" s="2" t="s">
        <v>83</v>
      </c>
      <c r="G2649" s="2">
        <f t="shared" si="41"/>
        <v>0.21568627450980393</v>
      </c>
      <c r="H2649" s="5">
        <v>4.4000000000000004</v>
      </c>
      <c r="I2649" s="2">
        <v>175</v>
      </c>
      <c r="J2649" s="12">
        <f>I2649/Pondération!$G$162</f>
        <v>4.9019607843137254E-2</v>
      </c>
    </row>
    <row r="2650" spans="1:10" x14ac:dyDescent="0.25">
      <c r="A2650" s="2" t="s">
        <v>77</v>
      </c>
      <c r="B2650" s="2">
        <v>2016</v>
      </c>
      <c r="C2650" s="2" t="s">
        <v>20</v>
      </c>
      <c r="D2650" s="2" t="s">
        <v>46</v>
      </c>
      <c r="E2650" s="2" t="s">
        <v>78</v>
      </c>
      <c r="F2650" s="2" t="s">
        <v>83</v>
      </c>
      <c r="G2650" s="2">
        <f t="shared" si="41"/>
        <v>0.23669467787114842</v>
      </c>
      <c r="H2650" s="5">
        <v>4.4240837696335076</v>
      </c>
      <c r="I2650" s="2">
        <v>191</v>
      </c>
      <c r="J2650" s="12">
        <f>I2650/Pondération!$G$162</f>
        <v>5.3501400560224087E-2</v>
      </c>
    </row>
    <row r="2651" spans="1:10" x14ac:dyDescent="0.25">
      <c r="A2651" s="2" t="s">
        <v>77</v>
      </c>
      <c r="B2651" s="2">
        <v>2016</v>
      </c>
      <c r="C2651" s="2" t="s">
        <v>21</v>
      </c>
      <c r="D2651" s="2" t="s">
        <v>46</v>
      </c>
      <c r="E2651" s="2" t="s">
        <v>78</v>
      </c>
      <c r="F2651" s="2" t="s">
        <v>83</v>
      </c>
      <c r="G2651" s="2">
        <f t="shared" si="41"/>
        <v>0.33151260504201679</v>
      </c>
      <c r="H2651" s="5">
        <v>4.3833333333333337</v>
      </c>
      <c r="I2651" s="2">
        <v>270</v>
      </c>
      <c r="J2651" s="12">
        <f>I2651/Pondération!$G$162</f>
        <v>7.5630252100840331E-2</v>
      </c>
    </row>
    <row r="2652" spans="1:10" x14ac:dyDescent="0.25">
      <c r="A2652" s="2" t="s">
        <v>77</v>
      </c>
      <c r="B2652" s="2">
        <v>2016</v>
      </c>
      <c r="C2652" s="2" t="s">
        <v>22</v>
      </c>
      <c r="D2652" s="2" t="s">
        <v>46</v>
      </c>
      <c r="E2652" s="2" t="s">
        <v>78</v>
      </c>
      <c r="F2652" s="2" t="s">
        <v>83</v>
      </c>
      <c r="G2652" s="2">
        <f t="shared" si="41"/>
        <v>0.32310924369747901</v>
      </c>
      <c r="H2652" s="5">
        <v>4.3693181818181817</v>
      </c>
      <c r="I2652" s="2">
        <v>264</v>
      </c>
      <c r="J2652" s="12">
        <f>I2652/Pondération!$G$162</f>
        <v>7.3949579831932774E-2</v>
      </c>
    </row>
    <row r="2653" spans="1:10" x14ac:dyDescent="0.25">
      <c r="A2653" s="2" t="s">
        <v>77</v>
      </c>
      <c r="B2653" s="2">
        <v>2016</v>
      </c>
      <c r="C2653" s="2" t="s">
        <v>23</v>
      </c>
      <c r="D2653" s="2" t="s">
        <v>46</v>
      </c>
      <c r="E2653" s="2" t="s">
        <v>78</v>
      </c>
      <c r="F2653" s="2" t="s">
        <v>83</v>
      </c>
      <c r="G2653" s="2">
        <f t="shared" si="41"/>
        <v>0.35826330532212891</v>
      </c>
      <c r="H2653" s="5">
        <v>4.3951890034364265</v>
      </c>
      <c r="I2653" s="2">
        <v>291</v>
      </c>
      <c r="J2653" s="12">
        <f>I2653/Pondération!$G$162</f>
        <v>8.1512605042016809E-2</v>
      </c>
    </row>
    <row r="2654" spans="1:10" x14ac:dyDescent="0.25">
      <c r="A2654" s="2" t="s">
        <v>77</v>
      </c>
      <c r="B2654" s="2">
        <v>2016</v>
      </c>
      <c r="C2654" s="2" t="s">
        <v>24</v>
      </c>
      <c r="D2654" s="2" t="s">
        <v>46</v>
      </c>
      <c r="E2654" s="2" t="s">
        <v>78</v>
      </c>
      <c r="F2654" s="2" t="s">
        <v>83</v>
      </c>
      <c r="G2654" s="2">
        <f t="shared" si="41"/>
        <v>0.50504201680672267</v>
      </c>
      <c r="H2654" s="5">
        <v>4.4083129584352081</v>
      </c>
      <c r="I2654" s="2">
        <v>409</v>
      </c>
      <c r="J2654" s="12">
        <f>I2654/Pondération!$G$162</f>
        <v>0.11456582633053221</v>
      </c>
    </row>
    <row r="2655" spans="1:10" x14ac:dyDescent="0.25">
      <c r="A2655" s="2" t="s">
        <v>77</v>
      </c>
      <c r="B2655" s="2">
        <v>2016</v>
      </c>
      <c r="C2655" s="2" t="s">
        <v>25</v>
      </c>
      <c r="D2655" s="2" t="s">
        <v>46</v>
      </c>
      <c r="E2655" s="2" t="s">
        <v>78</v>
      </c>
      <c r="F2655" s="2" t="s">
        <v>83</v>
      </c>
      <c r="G2655" s="2">
        <f t="shared" si="41"/>
        <v>0.87913165266106452</v>
      </c>
      <c r="H2655" s="5">
        <v>4.3772663877266389</v>
      </c>
      <c r="I2655" s="2">
        <v>717</v>
      </c>
      <c r="J2655" s="12">
        <f>I2655/Pondération!$G$162</f>
        <v>0.20084033613445379</v>
      </c>
    </row>
    <row r="2656" spans="1:10" x14ac:dyDescent="0.25">
      <c r="A2656" s="2" t="s">
        <v>77</v>
      </c>
      <c r="B2656" s="2">
        <v>2016</v>
      </c>
      <c r="C2656" s="2" t="s">
        <v>26</v>
      </c>
      <c r="D2656" s="2" t="s">
        <v>46</v>
      </c>
      <c r="E2656" s="2" t="s">
        <v>78</v>
      </c>
      <c r="F2656" s="2" t="s">
        <v>83</v>
      </c>
      <c r="G2656" s="2">
        <f t="shared" si="41"/>
        <v>0.4787114845938375</v>
      </c>
      <c r="H2656" s="5">
        <v>4.4274611398963728</v>
      </c>
      <c r="I2656" s="2">
        <v>386</v>
      </c>
      <c r="J2656" s="12">
        <f>I2656/Pondération!$G$162</f>
        <v>0.10812324929971989</v>
      </c>
    </row>
    <row r="2657" spans="1:10" x14ac:dyDescent="0.25">
      <c r="A2657" s="2" t="s">
        <v>77</v>
      </c>
      <c r="B2657" s="2">
        <v>2016</v>
      </c>
      <c r="C2657" s="2" t="s">
        <v>27</v>
      </c>
      <c r="D2657" s="2" t="s">
        <v>46</v>
      </c>
      <c r="E2657" s="2" t="s">
        <v>78</v>
      </c>
      <c r="F2657" s="2" t="s">
        <v>83</v>
      </c>
      <c r="G2657" s="2">
        <f t="shared" si="41"/>
        <v>0.35742296918767508</v>
      </c>
      <c r="H2657" s="5">
        <v>4.3698630136986303</v>
      </c>
      <c r="I2657" s="2">
        <v>292</v>
      </c>
      <c r="J2657" s="12">
        <f>I2657/Pondération!$G$162</f>
        <v>8.1792717086834735E-2</v>
      </c>
    </row>
    <row r="2658" spans="1:10" x14ac:dyDescent="0.25">
      <c r="A2658" s="2" t="s">
        <v>77</v>
      </c>
      <c r="B2658" s="2">
        <v>2016</v>
      </c>
      <c r="C2658" s="2" t="s">
        <v>28</v>
      </c>
      <c r="D2658" s="2" t="s">
        <v>46</v>
      </c>
      <c r="E2658" s="2" t="s">
        <v>78</v>
      </c>
      <c r="F2658" s="2" t="s">
        <v>83</v>
      </c>
      <c r="G2658" s="2">
        <f t="shared" si="41"/>
        <v>0.28921568627450983</v>
      </c>
      <c r="H2658" s="5">
        <v>4.3565400843881861</v>
      </c>
      <c r="I2658" s="2">
        <v>237</v>
      </c>
      <c r="J2658" s="12">
        <f>I2658/Pondération!$G$162</f>
        <v>6.638655462184874E-2</v>
      </c>
    </row>
    <row r="2659" spans="1:10" x14ac:dyDescent="0.25">
      <c r="A2659" s="2" t="s">
        <v>77</v>
      </c>
      <c r="B2659" s="2">
        <v>2016</v>
      </c>
      <c r="C2659" s="2" t="s">
        <v>29</v>
      </c>
      <c r="D2659" s="2" t="s">
        <v>46</v>
      </c>
      <c r="E2659" s="2" t="s">
        <v>78</v>
      </c>
      <c r="F2659" s="2" t="s">
        <v>83</v>
      </c>
      <c r="G2659" s="2">
        <f t="shared" si="41"/>
        <v>0.23627450980392156</v>
      </c>
      <c r="H2659" s="5">
        <v>4.3479381443298966</v>
      </c>
      <c r="I2659" s="2">
        <v>194</v>
      </c>
      <c r="J2659" s="12">
        <f>I2659/Pondération!$G$162</f>
        <v>5.4341736694677872E-2</v>
      </c>
    </row>
    <row r="2660" spans="1:10" x14ac:dyDescent="0.25">
      <c r="A2660" s="2" t="s">
        <v>77</v>
      </c>
      <c r="B2660" s="2">
        <v>2017</v>
      </c>
      <c r="C2660" s="2" t="s">
        <v>30</v>
      </c>
      <c r="D2660" s="2" t="s">
        <v>46</v>
      </c>
      <c r="E2660" s="2" t="s">
        <v>78</v>
      </c>
      <c r="F2660" s="2" t="s">
        <v>83</v>
      </c>
      <c r="G2660" s="2">
        <f t="shared" si="41"/>
        <v>0.57026022304832713</v>
      </c>
      <c r="H2660" s="5">
        <v>4.333333333333333</v>
      </c>
      <c r="I2660" s="2">
        <v>177</v>
      </c>
      <c r="J2660" s="12">
        <f>I2660/Pondération!$F$162</f>
        <v>0.13159851301115241</v>
      </c>
    </row>
    <row r="2661" spans="1:10" x14ac:dyDescent="0.25">
      <c r="A2661" s="2" t="s">
        <v>77</v>
      </c>
      <c r="B2661" s="2">
        <v>2017</v>
      </c>
      <c r="C2661" s="2" t="s">
        <v>31</v>
      </c>
      <c r="D2661" s="2" t="s">
        <v>46</v>
      </c>
      <c r="E2661" s="2" t="s">
        <v>78</v>
      </c>
      <c r="F2661" s="2" t="s">
        <v>83</v>
      </c>
      <c r="G2661" s="2">
        <f t="shared" si="41"/>
        <v>0.72565055762081787</v>
      </c>
      <c r="H2661" s="5">
        <v>4.376681614349776</v>
      </c>
      <c r="I2661" s="2">
        <v>223</v>
      </c>
      <c r="J2661" s="12">
        <f>I2661/Pondération!$F$162</f>
        <v>0.1657992565055762</v>
      </c>
    </row>
    <row r="2662" spans="1:10" x14ac:dyDescent="0.25">
      <c r="A2662" s="2" t="s">
        <v>77</v>
      </c>
      <c r="B2662" s="2">
        <v>2017</v>
      </c>
      <c r="C2662" s="2" t="s">
        <v>32</v>
      </c>
      <c r="D2662" s="2" t="s">
        <v>46</v>
      </c>
      <c r="E2662" s="2" t="s">
        <v>78</v>
      </c>
      <c r="F2662" s="2" t="s">
        <v>83</v>
      </c>
      <c r="G2662" s="2">
        <f t="shared" si="41"/>
        <v>0.95278810408921943</v>
      </c>
      <c r="H2662" s="5">
        <v>4.5604982206405698</v>
      </c>
      <c r="I2662" s="2">
        <v>281</v>
      </c>
      <c r="J2662" s="12">
        <f>I2662/Pondération!$F$162</f>
        <v>0.20892193308550186</v>
      </c>
    </row>
    <row r="2663" spans="1:10" x14ac:dyDescent="0.25">
      <c r="A2663" s="2" t="s">
        <v>77</v>
      </c>
      <c r="B2663" s="2">
        <v>2017</v>
      </c>
      <c r="C2663" s="2" t="s">
        <v>33</v>
      </c>
      <c r="D2663" s="2" t="s">
        <v>46</v>
      </c>
      <c r="E2663" s="2" t="s">
        <v>78</v>
      </c>
      <c r="F2663" s="2" t="s">
        <v>83</v>
      </c>
      <c r="G2663" s="2">
        <f t="shared" si="41"/>
        <v>0.89479553903345732</v>
      </c>
      <c r="H2663" s="5">
        <v>4.4246323529411766</v>
      </c>
      <c r="I2663" s="2">
        <v>272</v>
      </c>
      <c r="J2663" s="12">
        <f>I2663/Pondération!$F$162</f>
        <v>0.20223048327137547</v>
      </c>
    </row>
    <row r="2664" spans="1:10" x14ac:dyDescent="0.25">
      <c r="A2664" s="2" t="s">
        <v>77</v>
      </c>
      <c r="B2664" s="2">
        <v>2017</v>
      </c>
      <c r="C2664" s="2" t="s">
        <v>34</v>
      </c>
      <c r="D2664" s="2" t="s">
        <v>46</v>
      </c>
      <c r="E2664" s="2" t="s">
        <v>78</v>
      </c>
      <c r="F2664" s="2" t="s">
        <v>83</v>
      </c>
      <c r="G2664" s="2">
        <f t="shared" si="41"/>
        <v>0.87769516728624541</v>
      </c>
      <c r="H2664" s="5">
        <v>4.3884758364312271</v>
      </c>
      <c r="I2664" s="2">
        <v>269</v>
      </c>
      <c r="J2664" s="12">
        <f>I2664/Pondération!$F$162</f>
        <v>0.2</v>
      </c>
    </row>
    <row r="2665" spans="1:10" x14ac:dyDescent="0.25">
      <c r="A2665" s="2" t="s">
        <v>77</v>
      </c>
      <c r="B2665" s="2">
        <v>2017</v>
      </c>
      <c r="C2665" s="2" t="s">
        <v>80</v>
      </c>
      <c r="D2665" s="2" t="s">
        <v>46</v>
      </c>
      <c r="E2665" s="2" t="s">
        <v>78</v>
      </c>
      <c r="F2665" s="2" t="s">
        <v>83</v>
      </c>
      <c r="G2665" s="2">
        <f t="shared" si="41"/>
        <v>0.40297397769516724</v>
      </c>
      <c r="H2665" s="5">
        <v>4.4065040650406502</v>
      </c>
      <c r="I2665" s="2">
        <v>123</v>
      </c>
      <c r="J2665" s="12">
        <f>I2665/Pondération!$F$162</f>
        <v>9.1449814126394052E-2</v>
      </c>
    </row>
    <row r="2666" spans="1:10" x14ac:dyDescent="0.25">
      <c r="A2666" s="2" t="s">
        <v>77</v>
      </c>
      <c r="B2666" s="2">
        <v>2013</v>
      </c>
      <c r="C2666" s="2" t="s">
        <v>49</v>
      </c>
      <c r="D2666" s="2" t="s">
        <v>46</v>
      </c>
      <c r="E2666" s="2" t="s">
        <v>78</v>
      </c>
      <c r="F2666" s="2" t="s">
        <v>84</v>
      </c>
      <c r="G2666" s="2">
        <f t="shared" si="41"/>
        <v>0.15829145728643215</v>
      </c>
      <c r="H2666" s="5">
        <v>4.5</v>
      </c>
      <c r="I2666" s="2">
        <v>7</v>
      </c>
      <c r="J2666" s="12">
        <f>I2666/Pondération!$J$163</f>
        <v>3.5175879396984924E-2</v>
      </c>
    </row>
    <row r="2667" spans="1:10" x14ac:dyDescent="0.25">
      <c r="A2667" s="2" t="s">
        <v>77</v>
      </c>
      <c r="B2667" s="2">
        <v>2013</v>
      </c>
      <c r="C2667" s="2" t="s">
        <v>50</v>
      </c>
      <c r="D2667" s="2" t="s">
        <v>46</v>
      </c>
      <c r="E2667" s="2" t="s">
        <v>78</v>
      </c>
      <c r="F2667" s="2" t="s">
        <v>84</v>
      </c>
      <c r="G2667" s="2">
        <f t="shared" si="41"/>
        <v>6.5326633165829137E-2</v>
      </c>
      <c r="H2667" s="5">
        <v>4.333333333333333</v>
      </c>
      <c r="I2667" s="2">
        <v>3</v>
      </c>
      <c r="J2667" s="12">
        <f>I2667/Pondération!$J$163</f>
        <v>1.507537688442211E-2</v>
      </c>
    </row>
    <row r="2668" spans="1:10" x14ac:dyDescent="0.25">
      <c r="A2668" s="2" t="s">
        <v>77</v>
      </c>
      <c r="B2668" s="2">
        <v>2013</v>
      </c>
      <c r="C2668" s="2" t="s">
        <v>51</v>
      </c>
      <c r="D2668" s="2" t="s">
        <v>46</v>
      </c>
      <c r="E2668" s="2" t="s">
        <v>78</v>
      </c>
      <c r="F2668" s="2" t="s">
        <v>84</v>
      </c>
      <c r="G2668" s="2">
        <f t="shared" si="41"/>
        <v>0.22361809045226133</v>
      </c>
      <c r="H2668" s="5">
        <v>4.45</v>
      </c>
      <c r="I2668" s="2">
        <v>10</v>
      </c>
      <c r="J2668" s="12">
        <f>I2668/Pondération!$J$163</f>
        <v>5.0251256281407038E-2</v>
      </c>
    </row>
    <row r="2669" spans="1:10" x14ac:dyDescent="0.25">
      <c r="A2669" s="2" t="s">
        <v>77</v>
      </c>
      <c r="B2669" s="2">
        <v>2013</v>
      </c>
      <c r="C2669" s="2" t="s">
        <v>52</v>
      </c>
      <c r="D2669" s="2" t="s">
        <v>46</v>
      </c>
      <c r="E2669" s="2" t="s">
        <v>78</v>
      </c>
      <c r="F2669" s="2" t="s">
        <v>84</v>
      </c>
      <c r="G2669" s="2">
        <f t="shared" si="41"/>
        <v>0.25879396984924624</v>
      </c>
      <c r="H2669" s="5">
        <v>4.291666666666667</v>
      </c>
      <c r="I2669" s="2">
        <v>12</v>
      </c>
      <c r="J2669" s="12">
        <f>I2669/Pondération!$J$163</f>
        <v>6.030150753768844E-2</v>
      </c>
    </row>
    <row r="2670" spans="1:10" x14ac:dyDescent="0.25">
      <c r="A2670" s="2" t="s">
        <v>77</v>
      </c>
      <c r="B2670" s="2">
        <v>2013</v>
      </c>
      <c r="C2670" s="2" t="s">
        <v>53</v>
      </c>
      <c r="D2670" s="2" t="s">
        <v>46</v>
      </c>
      <c r="E2670" s="2" t="s">
        <v>78</v>
      </c>
      <c r="F2670" s="2" t="s">
        <v>84</v>
      </c>
      <c r="G2670" s="2">
        <f t="shared" si="41"/>
        <v>0.54522613065326642</v>
      </c>
      <c r="H2670" s="5">
        <v>4.1730769230769234</v>
      </c>
      <c r="I2670" s="2">
        <v>26</v>
      </c>
      <c r="J2670" s="12">
        <f>I2670/Pondération!$J$163</f>
        <v>0.1306532663316583</v>
      </c>
    </row>
    <row r="2671" spans="1:10" x14ac:dyDescent="0.25">
      <c r="A2671" s="2" t="s">
        <v>77</v>
      </c>
      <c r="B2671" s="2">
        <v>2013</v>
      </c>
      <c r="C2671" s="2" t="s">
        <v>54</v>
      </c>
      <c r="D2671" s="2" t="s">
        <v>46</v>
      </c>
      <c r="E2671" s="2" t="s">
        <v>78</v>
      </c>
      <c r="F2671" s="2" t="s">
        <v>84</v>
      </c>
      <c r="G2671" s="2">
        <f t="shared" si="41"/>
        <v>0.12814070351758794</v>
      </c>
      <c r="H2671" s="5">
        <v>4.25</v>
      </c>
      <c r="I2671" s="2">
        <v>6</v>
      </c>
      <c r="J2671" s="12">
        <f>I2671/Pondération!$J$163</f>
        <v>3.015075376884422E-2</v>
      </c>
    </row>
    <row r="2672" spans="1:10" x14ac:dyDescent="0.25">
      <c r="A2672" s="2" t="s">
        <v>77</v>
      </c>
      <c r="B2672" s="2">
        <v>2013</v>
      </c>
      <c r="C2672" s="2" t="s">
        <v>55</v>
      </c>
      <c r="D2672" s="2" t="s">
        <v>46</v>
      </c>
      <c r="E2672" s="2" t="s">
        <v>78</v>
      </c>
      <c r="F2672" s="2" t="s">
        <v>84</v>
      </c>
      <c r="G2672" s="2">
        <f t="shared" si="41"/>
        <v>0.86432160804020097</v>
      </c>
      <c r="H2672" s="5">
        <v>4.5263157894736841</v>
      </c>
      <c r="I2672" s="2">
        <v>38</v>
      </c>
      <c r="J2672" s="12">
        <f>I2672/Pondération!$J$163</f>
        <v>0.19095477386934673</v>
      </c>
    </row>
    <row r="2673" spans="1:10" x14ac:dyDescent="0.25">
      <c r="A2673" s="2" t="s">
        <v>77</v>
      </c>
      <c r="B2673" s="2">
        <v>2013</v>
      </c>
      <c r="C2673" s="2" t="s">
        <v>56</v>
      </c>
      <c r="D2673" s="2" t="s">
        <v>46</v>
      </c>
      <c r="E2673" s="2" t="s">
        <v>78</v>
      </c>
      <c r="F2673" s="2" t="s">
        <v>84</v>
      </c>
      <c r="G2673" s="2">
        <f t="shared" si="41"/>
        <v>0.94221105527638194</v>
      </c>
      <c r="H2673" s="5">
        <v>4.4642857142857144</v>
      </c>
      <c r="I2673" s="2">
        <v>42</v>
      </c>
      <c r="J2673" s="12">
        <f>I2673/Pondération!$J$163</f>
        <v>0.21105527638190955</v>
      </c>
    </row>
    <row r="2674" spans="1:10" x14ac:dyDescent="0.25">
      <c r="A2674" s="2" t="s">
        <v>77</v>
      </c>
      <c r="B2674" s="2">
        <v>2013</v>
      </c>
      <c r="C2674" s="2" t="s">
        <v>57</v>
      </c>
      <c r="D2674" s="2" t="s">
        <v>46</v>
      </c>
      <c r="E2674" s="2" t="s">
        <v>78</v>
      </c>
      <c r="F2674" s="2" t="s">
        <v>84</v>
      </c>
      <c r="G2674" s="2">
        <f t="shared" si="41"/>
        <v>0.42964824120603012</v>
      </c>
      <c r="H2674" s="5">
        <v>4.5</v>
      </c>
      <c r="I2674" s="2">
        <v>19</v>
      </c>
      <c r="J2674" s="12">
        <f>I2674/Pondération!$J$163</f>
        <v>9.5477386934673364E-2</v>
      </c>
    </row>
    <row r="2675" spans="1:10" x14ac:dyDescent="0.25">
      <c r="A2675" s="2" t="s">
        <v>77</v>
      </c>
      <c r="B2675" s="2">
        <v>2013</v>
      </c>
      <c r="C2675" s="2" t="s">
        <v>58</v>
      </c>
      <c r="D2675" s="2" t="s">
        <v>46</v>
      </c>
      <c r="E2675" s="2" t="s">
        <v>78</v>
      </c>
      <c r="F2675" s="2" t="s">
        <v>84</v>
      </c>
      <c r="G2675" s="2">
        <f t="shared" si="41"/>
        <v>0.18090452261306533</v>
      </c>
      <c r="H2675" s="5">
        <v>4.5</v>
      </c>
      <c r="I2675" s="2">
        <v>8</v>
      </c>
      <c r="J2675" s="12">
        <f>I2675/Pondération!$J$163</f>
        <v>4.0201005025125629E-2</v>
      </c>
    </row>
    <row r="2676" spans="1:10" x14ac:dyDescent="0.25">
      <c r="A2676" s="2" t="s">
        <v>77</v>
      </c>
      <c r="B2676" s="2">
        <v>2013</v>
      </c>
      <c r="C2676" s="2" t="s">
        <v>59</v>
      </c>
      <c r="D2676" s="2" t="s">
        <v>46</v>
      </c>
      <c r="E2676" s="2" t="s">
        <v>78</v>
      </c>
      <c r="F2676" s="2" t="s">
        <v>84</v>
      </c>
      <c r="G2676" s="2">
        <f t="shared" si="41"/>
        <v>0.31155778894472363</v>
      </c>
      <c r="H2676" s="5">
        <v>4.4285714285714288</v>
      </c>
      <c r="I2676" s="2">
        <v>14</v>
      </c>
      <c r="J2676" s="12">
        <f>I2676/Pondération!$J$163</f>
        <v>7.0351758793969849E-2</v>
      </c>
    </row>
    <row r="2677" spans="1:10" x14ac:dyDescent="0.25">
      <c r="A2677" s="2" t="s">
        <v>77</v>
      </c>
      <c r="B2677" s="2">
        <v>2013</v>
      </c>
      <c r="C2677" s="2" t="s">
        <v>60</v>
      </c>
      <c r="D2677" s="2" t="s">
        <v>46</v>
      </c>
      <c r="E2677" s="2" t="s">
        <v>78</v>
      </c>
      <c r="F2677" s="2" t="s">
        <v>84</v>
      </c>
      <c r="G2677" s="2">
        <f t="shared" si="41"/>
        <v>0.32160804020100503</v>
      </c>
      <c r="H2677" s="5">
        <v>4.5714285714285712</v>
      </c>
      <c r="I2677" s="2">
        <v>14</v>
      </c>
      <c r="J2677" s="12">
        <f>I2677/Pondération!$J$163</f>
        <v>7.0351758793969849E-2</v>
      </c>
    </row>
    <row r="2678" spans="1:10" x14ac:dyDescent="0.25">
      <c r="A2678" s="2" t="s">
        <v>77</v>
      </c>
      <c r="B2678" s="2">
        <v>2014</v>
      </c>
      <c r="C2678" s="2" t="s">
        <v>61</v>
      </c>
      <c r="D2678" s="2" t="s">
        <v>46</v>
      </c>
      <c r="E2678" s="2" t="s">
        <v>78</v>
      </c>
      <c r="F2678" s="2" t="s">
        <v>84</v>
      </c>
      <c r="G2678" s="2">
        <f t="shared" si="41"/>
        <v>0.1081081081081081</v>
      </c>
      <c r="H2678" s="5">
        <v>4.3636363636363633</v>
      </c>
      <c r="I2678" s="2">
        <v>11</v>
      </c>
      <c r="J2678" s="12">
        <f>I2678/Pondération!$I$163</f>
        <v>2.4774774774774775E-2</v>
      </c>
    </row>
    <row r="2679" spans="1:10" x14ac:dyDescent="0.25">
      <c r="A2679" s="2" t="s">
        <v>77</v>
      </c>
      <c r="B2679" s="2">
        <v>2014</v>
      </c>
      <c r="C2679" s="2" t="s">
        <v>62</v>
      </c>
      <c r="D2679" s="2" t="s">
        <v>46</v>
      </c>
      <c r="E2679" s="2" t="s">
        <v>78</v>
      </c>
      <c r="F2679" s="2" t="s">
        <v>84</v>
      </c>
      <c r="G2679" s="2">
        <f t="shared" si="41"/>
        <v>0.125</v>
      </c>
      <c r="H2679" s="5">
        <v>4.625</v>
      </c>
      <c r="I2679" s="2">
        <v>12</v>
      </c>
      <c r="J2679" s="12">
        <f>I2679/Pondération!$I$163</f>
        <v>2.7027027027027029E-2</v>
      </c>
    </row>
    <row r="2680" spans="1:10" x14ac:dyDescent="0.25">
      <c r="A2680" s="2" t="s">
        <v>77</v>
      </c>
      <c r="B2680" s="2">
        <v>2014</v>
      </c>
      <c r="C2680" s="2" t="s">
        <v>63</v>
      </c>
      <c r="D2680" s="2" t="s">
        <v>46</v>
      </c>
      <c r="E2680" s="2" t="s">
        <v>78</v>
      </c>
      <c r="F2680" s="2" t="s">
        <v>84</v>
      </c>
      <c r="G2680" s="2">
        <f t="shared" si="41"/>
        <v>0.1858108108108108</v>
      </c>
      <c r="H2680" s="5">
        <v>4.583333333333333</v>
      </c>
      <c r="I2680" s="2">
        <v>18</v>
      </c>
      <c r="J2680" s="12">
        <f>I2680/Pondération!$I$163</f>
        <v>4.0540540540540543E-2</v>
      </c>
    </row>
    <row r="2681" spans="1:10" x14ac:dyDescent="0.25">
      <c r="A2681" s="2" t="s">
        <v>77</v>
      </c>
      <c r="B2681" s="2">
        <v>2014</v>
      </c>
      <c r="C2681" s="2" t="s">
        <v>64</v>
      </c>
      <c r="D2681" s="2" t="s">
        <v>46</v>
      </c>
      <c r="E2681" s="2" t="s">
        <v>78</v>
      </c>
      <c r="F2681" s="2" t="s">
        <v>84</v>
      </c>
      <c r="G2681" s="2">
        <f t="shared" si="41"/>
        <v>0.2826576576576576</v>
      </c>
      <c r="H2681" s="5">
        <v>4.4821428571428568</v>
      </c>
      <c r="I2681" s="2">
        <v>28</v>
      </c>
      <c r="J2681" s="12">
        <f>I2681/Pondération!$I$163</f>
        <v>6.3063063063063057E-2</v>
      </c>
    </row>
    <row r="2682" spans="1:10" x14ac:dyDescent="0.25">
      <c r="A2682" s="2" t="s">
        <v>77</v>
      </c>
      <c r="B2682" s="2">
        <v>2014</v>
      </c>
      <c r="C2682" s="2" t="s">
        <v>65</v>
      </c>
      <c r="D2682" s="2" t="s">
        <v>46</v>
      </c>
      <c r="E2682" s="2" t="s">
        <v>78</v>
      </c>
      <c r="F2682" s="2" t="s">
        <v>84</v>
      </c>
      <c r="G2682" s="2">
        <f t="shared" si="41"/>
        <v>0.4358108108108108</v>
      </c>
      <c r="H2682" s="5">
        <v>4.6071428571428568</v>
      </c>
      <c r="I2682" s="2">
        <v>42</v>
      </c>
      <c r="J2682" s="12">
        <f>I2682/Pondération!$I$163</f>
        <v>9.45945945945946E-2</v>
      </c>
    </row>
    <row r="2683" spans="1:10" x14ac:dyDescent="0.25">
      <c r="A2683" s="2" t="s">
        <v>77</v>
      </c>
      <c r="B2683" s="2">
        <v>2014</v>
      </c>
      <c r="C2683" s="2" t="s">
        <v>66</v>
      </c>
      <c r="D2683" s="2" t="s">
        <v>46</v>
      </c>
      <c r="E2683" s="2" t="s">
        <v>78</v>
      </c>
      <c r="F2683" s="2" t="s">
        <v>84</v>
      </c>
      <c r="G2683" s="2">
        <f t="shared" si="41"/>
        <v>0.34572072072072074</v>
      </c>
      <c r="H2683" s="5">
        <v>4.3857142857142861</v>
      </c>
      <c r="I2683" s="2">
        <v>35</v>
      </c>
      <c r="J2683" s="12">
        <f>I2683/Pondération!$I$163</f>
        <v>7.8828828828828829E-2</v>
      </c>
    </row>
    <row r="2684" spans="1:10" x14ac:dyDescent="0.25">
      <c r="A2684" s="2" t="s">
        <v>77</v>
      </c>
      <c r="B2684" s="2">
        <v>2014</v>
      </c>
      <c r="C2684" s="2" t="s">
        <v>67</v>
      </c>
      <c r="D2684" s="2" t="s">
        <v>46</v>
      </c>
      <c r="E2684" s="2" t="s">
        <v>78</v>
      </c>
      <c r="F2684" s="2" t="s">
        <v>84</v>
      </c>
      <c r="G2684" s="2">
        <f t="shared" si="41"/>
        <v>0.38851351351351354</v>
      </c>
      <c r="H2684" s="5">
        <v>4.4230769230769234</v>
      </c>
      <c r="I2684" s="2">
        <v>39</v>
      </c>
      <c r="J2684" s="12">
        <f>I2684/Pondération!$I$163</f>
        <v>8.7837837837837843E-2</v>
      </c>
    </row>
    <row r="2685" spans="1:10" x14ac:dyDescent="0.25">
      <c r="A2685" s="2" t="s">
        <v>77</v>
      </c>
      <c r="B2685" s="2">
        <v>2014</v>
      </c>
      <c r="C2685" s="2" t="s">
        <v>68</v>
      </c>
      <c r="D2685" s="2" t="s">
        <v>46</v>
      </c>
      <c r="E2685" s="2" t="s">
        <v>78</v>
      </c>
      <c r="F2685" s="2" t="s">
        <v>84</v>
      </c>
      <c r="G2685" s="2">
        <f t="shared" si="41"/>
        <v>0.85135135135135132</v>
      </c>
      <c r="H2685" s="5">
        <v>4.447058823529412</v>
      </c>
      <c r="I2685" s="2">
        <v>85</v>
      </c>
      <c r="J2685" s="12">
        <f>I2685/Pondération!$I$163</f>
        <v>0.19144144144144143</v>
      </c>
    </row>
    <row r="2686" spans="1:10" x14ac:dyDescent="0.25">
      <c r="A2686" s="2" t="s">
        <v>77</v>
      </c>
      <c r="B2686" s="2">
        <v>2014</v>
      </c>
      <c r="C2686" s="2" t="s">
        <v>69</v>
      </c>
      <c r="D2686" s="2" t="s">
        <v>46</v>
      </c>
      <c r="E2686" s="2" t="s">
        <v>78</v>
      </c>
      <c r="F2686" s="2" t="s">
        <v>84</v>
      </c>
      <c r="G2686" s="2">
        <f t="shared" si="41"/>
        <v>0.45720720720720714</v>
      </c>
      <c r="H2686" s="5">
        <v>4.4130434782608692</v>
      </c>
      <c r="I2686" s="2">
        <v>46</v>
      </c>
      <c r="J2686" s="12">
        <f>I2686/Pondération!$I$163</f>
        <v>0.1036036036036036</v>
      </c>
    </row>
    <row r="2687" spans="1:10" x14ac:dyDescent="0.25">
      <c r="A2687" s="2" t="s">
        <v>77</v>
      </c>
      <c r="B2687" s="2">
        <v>2014</v>
      </c>
      <c r="C2687" s="2" t="s">
        <v>70</v>
      </c>
      <c r="D2687" s="2" t="s">
        <v>46</v>
      </c>
      <c r="E2687" s="2" t="s">
        <v>78</v>
      </c>
      <c r="F2687" s="2" t="s">
        <v>84</v>
      </c>
      <c r="G2687" s="2">
        <f t="shared" si="41"/>
        <v>0.42004504504504508</v>
      </c>
      <c r="H2687" s="5">
        <v>4.4404761904761907</v>
      </c>
      <c r="I2687" s="2">
        <v>42</v>
      </c>
      <c r="J2687" s="12">
        <f>I2687/Pondération!$I$163</f>
        <v>9.45945945945946E-2</v>
      </c>
    </row>
    <row r="2688" spans="1:10" x14ac:dyDescent="0.25">
      <c r="A2688" s="2" t="s">
        <v>77</v>
      </c>
      <c r="B2688" s="2">
        <v>2014</v>
      </c>
      <c r="C2688" s="2" t="s">
        <v>71</v>
      </c>
      <c r="D2688" s="2" t="s">
        <v>46</v>
      </c>
      <c r="E2688" s="2" t="s">
        <v>78</v>
      </c>
      <c r="F2688" s="2" t="s">
        <v>84</v>
      </c>
      <c r="G2688" s="2">
        <f t="shared" si="41"/>
        <v>0.375</v>
      </c>
      <c r="H2688" s="5">
        <v>4.5</v>
      </c>
      <c r="I2688" s="2">
        <v>37</v>
      </c>
      <c r="J2688" s="12">
        <f>I2688/Pondération!$I$163</f>
        <v>8.3333333333333329E-2</v>
      </c>
    </row>
    <row r="2689" spans="1:10" x14ac:dyDescent="0.25">
      <c r="A2689" s="2" t="s">
        <v>77</v>
      </c>
      <c r="B2689" s="2">
        <v>2014</v>
      </c>
      <c r="C2689" s="2" t="s">
        <v>72</v>
      </c>
      <c r="D2689" s="2" t="s">
        <v>46</v>
      </c>
      <c r="E2689" s="2" t="s">
        <v>78</v>
      </c>
      <c r="F2689" s="2" t="s">
        <v>84</v>
      </c>
      <c r="G2689" s="2">
        <f t="shared" si="41"/>
        <v>0.50450450450450446</v>
      </c>
      <c r="H2689" s="5">
        <v>4.5714285714285712</v>
      </c>
      <c r="I2689" s="2">
        <v>49</v>
      </c>
      <c r="J2689" s="12">
        <f>I2689/Pondération!$I$163</f>
        <v>0.11036036036036036</v>
      </c>
    </row>
    <row r="2690" spans="1:10" x14ac:dyDescent="0.25">
      <c r="A2690" s="2" t="s">
        <v>77</v>
      </c>
      <c r="B2690" s="2">
        <v>2015</v>
      </c>
      <c r="C2690" s="2" t="s">
        <v>73</v>
      </c>
      <c r="D2690" s="2" t="s">
        <v>46</v>
      </c>
      <c r="E2690" s="2" t="s">
        <v>78</v>
      </c>
      <c r="F2690" s="2" t="s">
        <v>84</v>
      </c>
      <c r="G2690" s="2">
        <f t="shared" ref="G2690:G2719" si="42">H2690*J2690</f>
        <v>0.10499139414802065</v>
      </c>
      <c r="H2690" s="5">
        <v>4.3571428571428568</v>
      </c>
      <c r="I2690" s="2">
        <v>28</v>
      </c>
      <c r="J2690" s="12">
        <f>I2690/Pondération!$H$163</f>
        <v>2.4096385542168676E-2</v>
      </c>
    </row>
    <row r="2691" spans="1:10" x14ac:dyDescent="0.25">
      <c r="A2691" s="2" t="s">
        <v>77</v>
      </c>
      <c r="B2691" s="2">
        <v>2015</v>
      </c>
      <c r="C2691" s="2" t="s">
        <v>74</v>
      </c>
      <c r="D2691" s="2" t="s">
        <v>46</v>
      </c>
      <c r="E2691" s="2" t="s">
        <v>78</v>
      </c>
      <c r="F2691" s="2" t="s">
        <v>84</v>
      </c>
      <c r="G2691" s="2">
        <f t="shared" si="42"/>
        <v>0.14457831325301204</v>
      </c>
      <c r="H2691" s="5">
        <v>4.5405405405405403</v>
      </c>
      <c r="I2691" s="2">
        <v>37</v>
      </c>
      <c r="J2691" s="12">
        <f>I2691/Pondération!$H$163</f>
        <v>3.1841652323580036E-2</v>
      </c>
    </row>
    <row r="2692" spans="1:10" x14ac:dyDescent="0.25">
      <c r="A2692" s="2" t="s">
        <v>77</v>
      </c>
      <c r="B2692" s="2">
        <v>2015</v>
      </c>
      <c r="C2692" s="2" t="s">
        <v>75</v>
      </c>
      <c r="D2692" s="2" t="s">
        <v>46</v>
      </c>
      <c r="E2692" s="2" t="s">
        <v>78</v>
      </c>
      <c r="F2692" s="2" t="s">
        <v>84</v>
      </c>
      <c r="G2692" s="2">
        <f t="shared" si="42"/>
        <v>0.25559380378657487</v>
      </c>
      <c r="H2692" s="5">
        <v>4.5</v>
      </c>
      <c r="I2692" s="2">
        <v>66</v>
      </c>
      <c r="J2692" s="12">
        <f>I2692/Pondération!$H$163</f>
        <v>5.6798623063683308E-2</v>
      </c>
    </row>
    <row r="2693" spans="1:10" x14ac:dyDescent="0.25">
      <c r="A2693" s="2" t="s">
        <v>77</v>
      </c>
      <c r="B2693" s="2">
        <v>2015</v>
      </c>
      <c r="C2693" s="2" t="s">
        <v>76</v>
      </c>
      <c r="D2693" s="2" t="s">
        <v>46</v>
      </c>
      <c r="E2693" s="2" t="s">
        <v>78</v>
      </c>
      <c r="F2693" s="2" t="s">
        <v>84</v>
      </c>
      <c r="G2693" s="2">
        <f t="shared" si="42"/>
        <v>0.23106712564543888</v>
      </c>
      <c r="H2693" s="5">
        <v>4.5508474576271185</v>
      </c>
      <c r="I2693" s="2">
        <v>59</v>
      </c>
      <c r="J2693" s="12">
        <f>I2693/Pondération!$H$163</f>
        <v>5.0774526678141134E-2</v>
      </c>
    </row>
    <row r="2694" spans="1:10" x14ac:dyDescent="0.25">
      <c r="A2694" s="2" t="s">
        <v>77</v>
      </c>
      <c r="B2694" s="2">
        <v>2015</v>
      </c>
      <c r="C2694" s="2" t="s">
        <v>7</v>
      </c>
      <c r="D2694" s="2" t="s">
        <v>46</v>
      </c>
      <c r="E2694" s="2" t="s">
        <v>78</v>
      </c>
      <c r="F2694" s="2" t="s">
        <v>84</v>
      </c>
      <c r="G2694" s="2">
        <f t="shared" si="42"/>
        <v>0.41781411359724607</v>
      </c>
      <c r="H2694" s="5">
        <v>4.537383177570093</v>
      </c>
      <c r="I2694" s="2">
        <v>107</v>
      </c>
      <c r="J2694" s="12">
        <f>I2694/Pondération!$H$163</f>
        <v>9.2082616179001722E-2</v>
      </c>
    </row>
    <row r="2695" spans="1:10" x14ac:dyDescent="0.25">
      <c r="A2695" s="2" t="s">
        <v>77</v>
      </c>
      <c r="B2695" s="2">
        <v>2015</v>
      </c>
      <c r="C2695" s="2" t="s">
        <v>11</v>
      </c>
      <c r="D2695" s="2" t="s">
        <v>46</v>
      </c>
      <c r="E2695" s="2" t="s">
        <v>78</v>
      </c>
      <c r="F2695" s="2" t="s">
        <v>84</v>
      </c>
      <c r="G2695" s="2">
        <f t="shared" si="42"/>
        <v>0.31927710843373491</v>
      </c>
      <c r="H2695" s="5">
        <v>4.3647058823529408</v>
      </c>
      <c r="I2695" s="2">
        <v>85</v>
      </c>
      <c r="J2695" s="12">
        <f>I2695/Pondération!$H$163</f>
        <v>7.3149741824440617E-2</v>
      </c>
    </row>
    <row r="2696" spans="1:10" x14ac:dyDescent="0.25">
      <c r="A2696" s="2" t="s">
        <v>77</v>
      </c>
      <c r="B2696" s="2">
        <v>2015</v>
      </c>
      <c r="C2696" s="2" t="s">
        <v>12</v>
      </c>
      <c r="D2696" s="2" t="s">
        <v>46</v>
      </c>
      <c r="E2696" s="2" t="s">
        <v>78</v>
      </c>
      <c r="F2696" s="2" t="s">
        <v>84</v>
      </c>
      <c r="G2696" s="2">
        <f t="shared" si="42"/>
        <v>0.66480206540447517</v>
      </c>
      <c r="H2696" s="5">
        <v>4.4142857142857146</v>
      </c>
      <c r="I2696" s="2">
        <v>175</v>
      </c>
      <c r="J2696" s="12">
        <f>I2696/Pondération!$H$163</f>
        <v>0.15060240963855423</v>
      </c>
    </row>
    <row r="2697" spans="1:10" x14ac:dyDescent="0.25">
      <c r="A2697" s="2" t="s">
        <v>77</v>
      </c>
      <c r="B2697" s="2">
        <v>2015</v>
      </c>
      <c r="C2697" s="2" t="s">
        <v>13</v>
      </c>
      <c r="D2697" s="2" t="s">
        <v>46</v>
      </c>
      <c r="E2697" s="2" t="s">
        <v>78</v>
      </c>
      <c r="F2697" s="2" t="s">
        <v>84</v>
      </c>
      <c r="G2697" s="2">
        <f t="shared" si="42"/>
        <v>0.9543889845094663</v>
      </c>
      <c r="H2697" s="5">
        <v>4.4183266932270913</v>
      </c>
      <c r="I2697" s="2">
        <v>251</v>
      </c>
      <c r="J2697" s="12">
        <f>I2697/Pondération!$H$163</f>
        <v>0.21600688468158347</v>
      </c>
    </row>
    <row r="2698" spans="1:10" x14ac:dyDescent="0.25">
      <c r="A2698" s="2" t="s">
        <v>77</v>
      </c>
      <c r="B2698" s="2">
        <v>2015</v>
      </c>
      <c r="C2698" s="2" t="s">
        <v>14</v>
      </c>
      <c r="D2698" s="2" t="s">
        <v>46</v>
      </c>
      <c r="E2698" s="2" t="s">
        <v>78</v>
      </c>
      <c r="F2698" s="2" t="s">
        <v>84</v>
      </c>
      <c r="G2698" s="2">
        <f t="shared" si="42"/>
        <v>0.47117039586919107</v>
      </c>
      <c r="H2698" s="5">
        <v>4.4512195121951219</v>
      </c>
      <c r="I2698" s="2">
        <v>123</v>
      </c>
      <c r="J2698" s="12">
        <f>I2698/Pondération!$H$163</f>
        <v>0.10585197934595525</v>
      </c>
    </row>
    <row r="2699" spans="1:10" x14ac:dyDescent="0.25">
      <c r="A2699" s="2" t="s">
        <v>77</v>
      </c>
      <c r="B2699" s="2">
        <v>2015</v>
      </c>
      <c r="C2699" s="2" t="s">
        <v>15</v>
      </c>
      <c r="D2699" s="2" t="s">
        <v>46</v>
      </c>
      <c r="E2699" s="2" t="s">
        <v>78</v>
      </c>
      <c r="F2699" s="2" t="s">
        <v>84</v>
      </c>
      <c r="G2699" s="2">
        <f t="shared" si="42"/>
        <v>0.31669535283993117</v>
      </c>
      <c r="H2699" s="5">
        <v>4.4337349397590362</v>
      </c>
      <c r="I2699" s="2">
        <v>83</v>
      </c>
      <c r="J2699" s="12">
        <f>I2699/Pondération!$H$163</f>
        <v>7.1428571428571425E-2</v>
      </c>
    </row>
    <row r="2700" spans="1:10" x14ac:dyDescent="0.25">
      <c r="A2700" s="2" t="s">
        <v>77</v>
      </c>
      <c r="B2700" s="2">
        <v>2015</v>
      </c>
      <c r="C2700" s="2" t="s">
        <v>16</v>
      </c>
      <c r="D2700" s="2" t="s">
        <v>46</v>
      </c>
      <c r="E2700" s="2" t="s">
        <v>78</v>
      </c>
      <c r="F2700" s="2" t="s">
        <v>84</v>
      </c>
      <c r="G2700" s="2">
        <f t="shared" si="42"/>
        <v>0.24268502581755594</v>
      </c>
      <c r="H2700" s="5">
        <v>4.3384615384615381</v>
      </c>
      <c r="I2700" s="2">
        <v>65</v>
      </c>
      <c r="J2700" s="12">
        <f>I2700/Pondération!$H$163</f>
        <v>5.5938037865748712E-2</v>
      </c>
    </row>
    <row r="2701" spans="1:10" x14ac:dyDescent="0.25">
      <c r="A2701" s="2" t="s">
        <v>77</v>
      </c>
      <c r="B2701" s="2">
        <v>2015</v>
      </c>
      <c r="C2701" s="2" t="s">
        <v>17</v>
      </c>
      <c r="D2701" s="2" t="s">
        <v>46</v>
      </c>
      <c r="E2701" s="2" t="s">
        <v>78</v>
      </c>
      <c r="F2701" s="2" t="s">
        <v>84</v>
      </c>
      <c r="G2701" s="2">
        <f t="shared" si="42"/>
        <v>0.3214285714285714</v>
      </c>
      <c r="H2701" s="5">
        <v>4.5</v>
      </c>
      <c r="I2701" s="2">
        <v>83</v>
      </c>
      <c r="J2701" s="12">
        <f>I2701/Pondération!$H$163</f>
        <v>7.1428571428571425E-2</v>
      </c>
    </row>
    <row r="2702" spans="1:10" x14ac:dyDescent="0.25">
      <c r="A2702" s="2" t="s">
        <v>77</v>
      </c>
      <c r="B2702" s="2">
        <v>2016</v>
      </c>
      <c r="C2702" s="2" t="s">
        <v>18</v>
      </c>
      <c r="D2702" s="2" t="s">
        <v>46</v>
      </c>
      <c r="E2702" s="2" t="s">
        <v>78</v>
      </c>
      <c r="F2702" s="2" t="s">
        <v>84</v>
      </c>
      <c r="G2702" s="2">
        <f t="shared" si="42"/>
        <v>0.26415612974161629</v>
      </c>
      <c r="H2702" s="5">
        <v>4.3681818181818182</v>
      </c>
      <c r="I2702" s="2">
        <v>110</v>
      </c>
      <c r="J2702" s="12">
        <f>I2702/Pondération!$G$163</f>
        <v>6.0472787245739415E-2</v>
      </c>
    </row>
    <row r="2703" spans="1:10" x14ac:dyDescent="0.25">
      <c r="A2703" s="2" t="s">
        <v>77</v>
      </c>
      <c r="B2703" s="2">
        <v>2016</v>
      </c>
      <c r="C2703" s="2" t="s">
        <v>19</v>
      </c>
      <c r="D2703" s="2" t="s">
        <v>46</v>
      </c>
      <c r="E2703" s="2" t="s">
        <v>78</v>
      </c>
      <c r="F2703" s="2" t="s">
        <v>84</v>
      </c>
      <c r="G2703" s="2">
        <f t="shared" si="42"/>
        <v>0.27597581088510176</v>
      </c>
      <c r="H2703" s="5">
        <v>4.4424778761061949</v>
      </c>
      <c r="I2703" s="2">
        <v>113</v>
      </c>
      <c r="J2703" s="12">
        <f>I2703/Pondération!$G$163</f>
        <v>6.2122045079714132E-2</v>
      </c>
    </row>
    <row r="2704" spans="1:10" x14ac:dyDescent="0.25">
      <c r="A2704" s="2" t="s">
        <v>77</v>
      </c>
      <c r="B2704" s="2">
        <v>2016</v>
      </c>
      <c r="C2704" s="2" t="s">
        <v>20</v>
      </c>
      <c r="D2704" s="2" t="s">
        <v>46</v>
      </c>
      <c r="E2704" s="2" t="s">
        <v>78</v>
      </c>
      <c r="F2704" s="2" t="s">
        <v>84</v>
      </c>
      <c r="G2704" s="2">
        <f t="shared" si="42"/>
        <v>0.30483782297965917</v>
      </c>
      <c r="H2704" s="5">
        <v>4.471774193548387</v>
      </c>
      <c r="I2704" s="2">
        <v>124</v>
      </c>
      <c r="J2704" s="12">
        <f>I2704/Pondération!$G$163</f>
        <v>6.8169323804288071E-2</v>
      </c>
    </row>
    <row r="2705" spans="1:10" x14ac:dyDescent="0.25">
      <c r="A2705" s="2" t="s">
        <v>77</v>
      </c>
      <c r="B2705" s="2">
        <v>2016</v>
      </c>
      <c r="C2705" s="2" t="s">
        <v>21</v>
      </c>
      <c r="D2705" s="2" t="s">
        <v>46</v>
      </c>
      <c r="E2705" s="2" t="s">
        <v>78</v>
      </c>
      <c r="F2705" s="2" t="s">
        <v>84</v>
      </c>
      <c r="G2705" s="2">
        <f t="shared" si="42"/>
        <v>0.29521715228147333</v>
      </c>
      <c r="H2705" s="5">
        <v>4.4749999999999996</v>
      </c>
      <c r="I2705" s="2">
        <v>120</v>
      </c>
      <c r="J2705" s="12">
        <f>I2705/Pondération!$G$163</f>
        <v>6.5970313358988453E-2</v>
      </c>
    </row>
    <row r="2706" spans="1:10" x14ac:dyDescent="0.25">
      <c r="A2706" s="2" t="s">
        <v>77</v>
      </c>
      <c r="B2706" s="2">
        <v>2016</v>
      </c>
      <c r="C2706" s="2" t="s">
        <v>22</v>
      </c>
      <c r="D2706" s="2" t="s">
        <v>46</v>
      </c>
      <c r="E2706" s="2" t="s">
        <v>78</v>
      </c>
      <c r="F2706" s="2" t="s">
        <v>84</v>
      </c>
      <c r="G2706" s="2">
        <f t="shared" si="42"/>
        <v>0.3949972512369434</v>
      </c>
      <c r="H2706" s="5">
        <v>4.4351851851851851</v>
      </c>
      <c r="I2706" s="2">
        <v>162</v>
      </c>
      <c r="J2706" s="12">
        <f>I2706/Pondération!$G$163</f>
        <v>8.905992303463442E-2</v>
      </c>
    </row>
    <row r="2707" spans="1:10" x14ac:dyDescent="0.25">
      <c r="A2707" s="2" t="s">
        <v>77</v>
      </c>
      <c r="B2707" s="2">
        <v>2016</v>
      </c>
      <c r="C2707" s="2" t="s">
        <v>23</v>
      </c>
      <c r="D2707" s="2" t="s">
        <v>46</v>
      </c>
      <c r="E2707" s="2" t="s">
        <v>78</v>
      </c>
      <c r="F2707" s="2" t="s">
        <v>84</v>
      </c>
      <c r="G2707" s="2">
        <f t="shared" si="42"/>
        <v>0.3815283122594833</v>
      </c>
      <c r="H2707" s="5">
        <v>4.283950617283951</v>
      </c>
      <c r="I2707" s="2">
        <v>162</v>
      </c>
      <c r="J2707" s="12">
        <f>I2707/Pondération!$G$163</f>
        <v>8.905992303463442E-2</v>
      </c>
    </row>
    <row r="2708" spans="1:10" x14ac:dyDescent="0.25">
      <c r="A2708" s="2" t="s">
        <v>77</v>
      </c>
      <c r="B2708" s="2">
        <v>2016</v>
      </c>
      <c r="C2708" s="2" t="s">
        <v>24</v>
      </c>
      <c r="D2708" s="2" t="s">
        <v>46</v>
      </c>
      <c r="E2708" s="2" t="s">
        <v>78</v>
      </c>
      <c r="F2708" s="2" t="s">
        <v>84</v>
      </c>
      <c r="G2708" s="2">
        <f t="shared" si="42"/>
        <v>0.49835074216602526</v>
      </c>
      <c r="H2708" s="5">
        <v>4.3581730769230766</v>
      </c>
      <c r="I2708" s="2">
        <v>208</v>
      </c>
      <c r="J2708" s="12">
        <f>I2708/Pondération!$G$163</f>
        <v>0.11434854315557999</v>
      </c>
    </row>
    <row r="2709" spans="1:10" x14ac:dyDescent="0.25">
      <c r="A2709" s="2" t="s">
        <v>77</v>
      </c>
      <c r="B2709" s="2">
        <v>2016</v>
      </c>
      <c r="C2709" s="2" t="s">
        <v>25</v>
      </c>
      <c r="D2709" s="2" t="s">
        <v>46</v>
      </c>
      <c r="E2709" s="2" t="s">
        <v>78</v>
      </c>
      <c r="F2709" s="2" t="s">
        <v>84</v>
      </c>
      <c r="G2709" s="2">
        <f t="shared" si="42"/>
        <v>0.85046728971962604</v>
      </c>
      <c r="H2709" s="5">
        <v>4.3948863636363633</v>
      </c>
      <c r="I2709" s="2">
        <v>352</v>
      </c>
      <c r="J2709" s="12">
        <f>I2709/Pondération!$G$163</f>
        <v>0.19351291918636612</v>
      </c>
    </row>
    <row r="2710" spans="1:10" x14ac:dyDescent="0.25">
      <c r="A2710" s="2" t="s">
        <v>77</v>
      </c>
      <c r="B2710" s="2">
        <v>2016</v>
      </c>
      <c r="C2710" s="2" t="s">
        <v>26</v>
      </c>
      <c r="D2710" s="2" t="s">
        <v>46</v>
      </c>
      <c r="E2710" s="2" t="s">
        <v>78</v>
      </c>
      <c r="F2710" s="2" t="s">
        <v>84</v>
      </c>
      <c r="G2710" s="2">
        <f t="shared" si="42"/>
        <v>0.44365035733919739</v>
      </c>
      <c r="H2710" s="5">
        <v>4.4098360655737707</v>
      </c>
      <c r="I2710" s="2">
        <v>183</v>
      </c>
      <c r="J2710" s="12">
        <f>I2710/Pondération!$G$163</f>
        <v>0.10060472787245739</v>
      </c>
    </row>
    <row r="2711" spans="1:10" x14ac:dyDescent="0.25">
      <c r="A2711" s="2" t="s">
        <v>77</v>
      </c>
      <c r="B2711" s="2">
        <v>2016</v>
      </c>
      <c r="C2711" s="2" t="s">
        <v>27</v>
      </c>
      <c r="D2711" s="2" t="s">
        <v>46</v>
      </c>
      <c r="E2711" s="2" t="s">
        <v>78</v>
      </c>
      <c r="F2711" s="2" t="s">
        <v>84</v>
      </c>
      <c r="G2711" s="2">
        <f t="shared" si="42"/>
        <v>0.26745464540956571</v>
      </c>
      <c r="H2711" s="5">
        <v>4.34375</v>
      </c>
      <c r="I2711" s="2">
        <v>112</v>
      </c>
      <c r="J2711" s="12">
        <f>I2711/Pondération!$G$163</f>
        <v>6.1572292468389224E-2</v>
      </c>
    </row>
    <row r="2712" spans="1:10" x14ac:dyDescent="0.25">
      <c r="A2712" s="2" t="s">
        <v>77</v>
      </c>
      <c r="B2712" s="2">
        <v>2016</v>
      </c>
      <c r="C2712" s="2" t="s">
        <v>28</v>
      </c>
      <c r="D2712" s="2" t="s">
        <v>46</v>
      </c>
      <c r="E2712" s="2" t="s">
        <v>78</v>
      </c>
      <c r="F2712" s="2" t="s">
        <v>84</v>
      </c>
      <c r="G2712" s="2">
        <f t="shared" si="42"/>
        <v>0.23584387025838374</v>
      </c>
      <c r="H2712" s="5">
        <v>4.3775510204081636</v>
      </c>
      <c r="I2712" s="2">
        <v>98</v>
      </c>
      <c r="J2712" s="12">
        <f>I2712/Pondération!$G$163</f>
        <v>5.3875755909840568E-2</v>
      </c>
    </row>
    <row r="2713" spans="1:10" x14ac:dyDescent="0.25">
      <c r="A2713" s="2" t="s">
        <v>77</v>
      </c>
      <c r="B2713" s="2">
        <v>2016</v>
      </c>
      <c r="C2713" s="2" t="s">
        <v>29</v>
      </c>
      <c r="D2713" s="2" t="s">
        <v>46</v>
      </c>
      <c r="E2713" s="2" t="s">
        <v>78</v>
      </c>
      <c r="F2713" s="2" t="s">
        <v>84</v>
      </c>
      <c r="G2713" s="2">
        <f t="shared" si="42"/>
        <v>0.17976910390324355</v>
      </c>
      <c r="H2713" s="5">
        <v>4.3600000000000003</v>
      </c>
      <c r="I2713" s="2">
        <v>75</v>
      </c>
      <c r="J2713" s="12">
        <f>I2713/Pondération!$G$163</f>
        <v>4.1231445849367783E-2</v>
      </c>
    </row>
    <row r="2714" spans="1:10" x14ac:dyDescent="0.25">
      <c r="A2714" s="2" t="s">
        <v>77</v>
      </c>
      <c r="B2714" s="2">
        <v>2017</v>
      </c>
      <c r="C2714" s="2" t="s">
        <v>30</v>
      </c>
      <c r="D2714" s="2" t="s">
        <v>46</v>
      </c>
      <c r="E2714" s="2" t="s">
        <v>78</v>
      </c>
      <c r="F2714" s="2" t="s">
        <v>84</v>
      </c>
      <c r="G2714" s="2">
        <f t="shared" si="42"/>
        <v>0.73653198653198648</v>
      </c>
      <c r="H2714" s="5">
        <v>4.2892156862745097</v>
      </c>
      <c r="I2714" s="2">
        <v>102</v>
      </c>
      <c r="J2714" s="12">
        <f>I2714/Pondération!$F$163</f>
        <v>0.17171717171717171</v>
      </c>
    </row>
    <row r="2715" spans="1:10" x14ac:dyDescent="0.25">
      <c r="A2715" s="2" t="s">
        <v>77</v>
      </c>
      <c r="B2715" s="2">
        <v>2017</v>
      </c>
      <c r="C2715" s="2" t="s">
        <v>31</v>
      </c>
      <c r="D2715" s="2" t="s">
        <v>46</v>
      </c>
      <c r="E2715" s="2" t="s">
        <v>78</v>
      </c>
      <c r="F2715" s="2" t="s">
        <v>84</v>
      </c>
      <c r="G2715" s="2">
        <f t="shared" si="42"/>
        <v>0.65740740740740733</v>
      </c>
      <c r="H2715" s="5">
        <v>4.3388888888888886</v>
      </c>
      <c r="I2715" s="2">
        <v>90</v>
      </c>
      <c r="J2715" s="12">
        <f>I2715/Pondération!$F$163</f>
        <v>0.15151515151515152</v>
      </c>
    </row>
    <row r="2716" spans="1:10" x14ac:dyDescent="0.25">
      <c r="A2716" s="2" t="s">
        <v>77</v>
      </c>
      <c r="B2716" s="2">
        <v>2017</v>
      </c>
      <c r="C2716" s="2" t="s">
        <v>32</v>
      </c>
      <c r="D2716" s="2" t="s">
        <v>46</v>
      </c>
      <c r="E2716" s="2" t="s">
        <v>78</v>
      </c>
      <c r="F2716" s="2" t="s">
        <v>84</v>
      </c>
      <c r="G2716" s="2">
        <f t="shared" si="42"/>
        <v>0.72979797979797978</v>
      </c>
      <c r="H2716" s="5">
        <v>4.4234693877551017</v>
      </c>
      <c r="I2716" s="2">
        <v>98</v>
      </c>
      <c r="J2716" s="12">
        <f>I2716/Pondération!$F$163</f>
        <v>0.16498316498316498</v>
      </c>
    </row>
    <row r="2717" spans="1:10" x14ac:dyDescent="0.25">
      <c r="A2717" s="2" t="s">
        <v>77</v>
      </c>
      <c r="B2717" s="2">
        <v>2017</v>
      </c>
      <c r="C2717" s="2" t="s">
        <v>33</v>
      </c>
      <c r="D2717" s="2" t="s">
        <v>46</v>
      </c>
      <c r="E2717" s="2" t="s">
        <v>78</v>
      </c>
      <c r="F2717" s="2" t="s">
        <v>84</v>
      </c>
      <c r="G2717" s="2">
        <f t="shared" si="42"/>
        <v>0.76515151515151514</v>
      </c>
      <c r="H2717" s="5">
        <v>4.4558823529411766</v>
      </c>
      <c r="I2717" s="2">
        <v>102</v>
      </c>
      <c r="J2717" s="12">
        <f>I2717/Pondération!$F$163</f>
        <v>0.17171717171717171</v>
      </c>
    </row>
    <row r="2718" spans="1:10" x14ac:dyDescent="0.25">
      <c r="A2718" s="2" t="s">
        <v>77</v>
      </c>
      <c r="B2718" s="2">
        <v>2017</v>
      </c>
      <c r="C2718" s="2" t="s">
        <v>34</v>
      </c>
      <c r="D2718" s="2" t="s">
        <v>46</v>
      </c>
      <c r="E2718" s="2" t="s">
        <v>78</v>
      </c>
      <c r="F2718" s="2" t="s">
        <v>84</v>
      </c>
      <c r="G2718" s="2">
        <f t="shared" si="42"/>
        <v>0.99579124579124589</v>
      </c>
      <c r="H2718" s="5">
        <v>4.3492647058823533</v>
      </c>
      <c r="I2718" s="2">
        <v>136</v>
      </c>
      <c r="J2718" s="12">
        <f>I2718/Pondération!$F$163</f>
        <v>0.22895622895622897</v>
      </c>
    </row>
    <row r="2719" spans="1:10" x14ac:dyDescent="0.25">
      <c r="A2719" s="2" t="s">
        <v>77</v>
      </c>
      <c r="B2719" s="2">
        <v>2017</v>
      </c>
      <c r="C2719" s="2" t="s">
        <v>80</v>
      </c>
      <c r="D2719" s="2" t="s">
        <v>46</v>
      </c>
      <c r="E2719" s="2" t="s">
        <v>78</v>
      </c>
      <c r="F2719" s="2" t="s">
        <v>84</v>
      </c>
      <c r="G2719" s="2">
        <f t="shared" si="42"/>
        <v>0.49326599326599324</v>
      </c>
      <c r="H2719" s="5">
        <v>4.4393939393939394</v>
      </c>
      <c r="I2719" s="2">
        <v>66</v>
      </c>
      <c r="J2719" s="12">
        <f>I2719/Pondération!$F$163</f>
        <v>0.1111111111111111</v>
      </c>
    </row>
    <row r="2720" spans="1:10" x14ac:dyDescent="0.25">
      <c r="J2720" s="2"/>
    </row>
  </sheetData>
  <autoFilter ref="A1:J2719">
    <sortState ref="A2:M2719">
      <sortCondition ref="D2:D2719"/>
      <sortCondition ref="C2:C2719"/>
      <sortCondition ref="E2:E2719"/>
      <sortCondition ref="F2:F2719"/>
    </sortState>
  </autoFilter>
  <sortState ref="A2:M2719">
    <sortCondition ref="D2:D2719"/>
    <sortCondition ref="E2:E2719"/>
    <sortCondition ref="F2:F271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topLeftCell="C1" workbookViewId="0">
      <selection activeCell="E19" sqref="E19"/>
    </sheetView>
  </sheetViews>
  <sheetFormatPr baseColWidth="10" defaultRowHeight="15" x14ac:dyDescent="0.25"/>
  <cols>
    <col min="1" max="1" width="1.5703125" customWidth="1"/>
    <col min="2" max="2" width="15.7109375" bestFit="1" customWidth="1"/>
    <col min="3" max="3" width="22.140625" bestFit="1" customWidth="1"/>
    <col min="4" max="4" width="6.28515625" bestFit="1" customWidth="1"/>
    <col min="5" max="5" width="15" customWidth="1"/>
    <col min="6" max="7" width="8.7109375" customWidth="1"/>
    <col min="9" max="10" width="8.7109375" customWidth="1"/>
    <col min="12" max="13" width="8.7109375" customWidth="1"/>
    <col min="15" max="16" width="8.7109375" customWidth="1"/>
    <col min="18" max="19" width="8.7109375" customWidth="1"/>
  </cols>
  <sheetData>
    <row r="2" spans="2:19" x14ac:dyDescent="0.25">
      <c r="B2" s="62" t="s">
        <v>86</v>
      </c>
      <c r="C2" s="62" t="s">
        <v>87</v>
      </c>
      <c r="D2" s="62" t="s">
        <v>128</v>
      </c>
      <c r="E2" s="60">
        <v>2017</v>
      </c>
      <c r="F2" s="60"/>
      <c r="G2" s="61"/>
      <c r="H2" s="59">
        <v>2016</v>
      </c>
      <c r="I2" s="63"/>
      <c r="J2" s="61"/>
      <c r="K2" s="59">
        <v>2015</v>
      </c>
      <c r="L2" s="63"/>
      <c r="M2" s="61"/>
      <c r="N2" s="59">
        <v>2014</v>
      </c>
      <c r="O2" s="60"/>
      <c r="P2" s="61"/>
      <c r="Q2" s="59">
        <v>2013</v>
      </c>
      <c r="R2" s="60"/>
      <c r="S2" s="60"/>
    </row>
    <row r="3" spans="2:19" ht="30" x14ac:dyDescent="0.25">
      <c r="B3" s="62"/>
      <c r="C3" s="62"/>
      <c r="D3" s="62"/>
      <c r="E3" s="32" t="s">
        <v>95</v>
      </c>
      <c r="F3" s="32" t="s">
        <v>119</v>
      </c>
      <c r="G3" s="41" t="s">
        <v>120</v>
      </c>
      <c r="H3" s="32" t="s">
        <v>95</v>
      </c>
      <c r="I3" s="32" t="s">
        <v>119</v>
      </c>
      <c r="J3" s="41" t="s">
        <v>120</v>
      </c>
      <c r="K3" s="32" t="s">
        <v>95</v>
      </c>
      <c r="L3" s="32" t="s">
        <v>119</v>
      </c>
      <c r="M3" s="41" t="s">
        <v>120</v>
      </c>
      <c r="N3" s="32" t="s">
        <v>95</v>
      </c>
      <c r="O3" s="32" t="s">
        <v>119</v>
      </c>
      <c r="P3" s="41" t="s">
        <v>120</v>
      </c>
      <c r="Q3" s="32" t="s">
        <v>95</v>
      </c>
      <c r="R3" s="32" t="s">
        <v>119</v>
      </c>
      <c r="S3" s="32" t="s">
        <v>120</v>
      </c>
    </row>
    <row r="4" spans="2:19" x14ac:dyDescent="0.25">
      <c r="B4" s="16" t="s">
        <v>88</v>
      </c>
      <c r="C4" s="8" t="s">
        <v>101</v>
      </c>
      <c r="D4" s="8"/>
      <c r="E4" s="51">
        <f>AVERAGE(E5,E10,E14)</f>
        <v>4.3147040414574933</v>
      </c>
      <c r="F4" s="46">
        <f>Pondération!F54</f>
        <v>4673</v>
      </c>
      <c r="G4" s="47"/>
      <c r="H4" s="51">
        <f>AVERAGE(H5,H10,H14)</f>
        <v>4.2497663031267088</v>
      </c>
      <c r="I4" s="10">
        <f>Pondération!G54</f>
        <v>19866</v>
      </c>
      <c r="J4" s="40"/>
      <c r="K4" s="51">
        <f>AVERAGE(K5,K10,K14)</f>
        <v>4.2440979935697314</v>
      </c>
      <c r="L4" s="46">
        <f>Pondération!H54</f>
        <v>11344</v>
      </c>
      <c r="M4" s="37"/>
      <c r="N4" s="51">
        <f>AVERAGE(N5,N10,N14)</f>
        <v>4.3945452302373091</v>
      </c>
      <c r="O4" s="10">
        <f>Pondération!I54</f>
        <v>3399</v>
      </c>
      <c r="P4" s="40"/>
      <c r="Q4" s="51">
        <f>AVERAGE(Q5,Q10,Q14)</f>
        <v>4.4130191770164533</v>
      </c>
      <c r="R4" s="10">
        <f>Pondération!J54</f>
        <v>1431</v>
      </c>
      <c r="S4" s="28"/>
    </row>
    <row r="5" spans="2:19" x14ac:dyDescent="0.25">
      <c r="B5" s="17" t="s">
        <v>78</v>
      </c>
      <c r="C5" s="4" t="s">
        <v>101</v>
      </c>
      <c r="D5" s="4"/>
      <c r="E5" s="50">
        <f>(E6*G6)+(E7*G7)+(E8*G8)+(E9*G9)</f>
        <v>4.6453010948905114</v>
      </c>
      <c r="F5" s="34">
        <f>SUMIFS('Extraction Offre de loisirs'!I:I,'Extraction Offre de loisirs'!D:D,"corse", 'Extraction Offre de loisirs'!E:E,"offre de loisirs", 'Extraction Offre de loisirs'!B:B,"2017")</f>
        <v>2192</v>
      </c>
      <c r="G5" s="38">
        <f>F5/$F$4</f>
        <v>0.46907768029103358</v>
      </c>
      <c r="H5" s="50">
        <f>(H6*J6)+(H7*J7)+(H8*J8)+(H9*J9)</f>
        <v>4.6299655451965958</v>
      </c>
      <c r="I5" s="34">
        <f>SUMIFS('Extraction Offre de loisirs'!I:I,'Extraction Offre de loisirs'!D:D,"corse", 'Extraction Offre de loisirs'!E:E,"offre de loisirs", 'Extraction Offre de loisirs'!B:B,"2016")</f>
        <v>9868</v>
      </c>
      <c r="J5" s="38">
        <f>I5/$I$4</f>
        <v>0.49672807812342695</v>
      </c>
      <c r="K5" s="50">
        <f>(K6*M6)+(K7*M7)+(K8*M8)+(K9*M9)</f>
        <v>4.6479945845320696</v>
      </c>
      <c r="L5" s="34">
        <f>SUMIFS('Extraction Offre de loisirs'!I:I,'Extraction Offre de loisirs'!D:D,"corse", 'Extraction Offre de loisirs'!E:E,"offre de loisirs", 'Extraction Offre de loisirs'!B:B,"2015")</f>
        <v>5909</v>
      </c>
      <c r="M5" s="38">
        <f>L5/$L$4</f>
        <v>0.52089210155148091</v>
      </c>
      <c r="N5" s="50">
        <f>(N6*P6)+(N7*P7)+(N8*P8)+(N9*P9)</f>
        <v>4.6426214049976435</v>
      </c>
      <c r="O5" s="11">
        <f>SUMIFS('Extraction Offre de loisirs'!I:I,'Extraction Offre de loisirs'!D:D,"corse", 'Extraction Offre de loisirs'!E:E,"offre de loisirs", 'Extraction Offre de loisirs'!B:B,"2014")</f>
        <v>2121</v>
      </c>
      <c r="P5" s="38">
        <f>O5/$O$4</f>
        <v>0.62400706090026481</v>
      </c>
      <c r="Q5" s="50">
        <f>(Q6*S6)+(Q7*S7)+(Q8*S8)+(Q9*S9)</f>
        <v>4.6260932944606399</v>
      </c>
      <c r="R5" s="11">
        <f>SUMIFS('Extraction Offre de loisirs'!I:I,'Extraction Offre de loisirs'!D:D,"corse", 'Extraction Offre de loisirs'!E:E,"offre de loisirs", 'Extraction Offre de loisirs'!B:B,"2013")</f>
        <v>686</v>
      </c>
      <c r="S5" s="35">
        <f>R5/$R$4</f>
        <v>0.47938504542278126</v>
      </c>
    </row>
    <row r="6" spans="2:19" x14ac:dyDescent="0.25">
      <c r="B6" s="15" t="s">
        <v>78</v>
      </c>
      <c r="C6" s="2" t="s">
        <v>79</v>
      </c>
      <c r="D6" s="2"/>
      <c r="E6" s="29">
        <f>SUMIFS('Extraction Offre de loisirs'!G:G,'Extraction Offre de loisirs'!D:D,"corse", 'Extraction Offre de loisirs'!F:F,"activites de plein air", 'Extraction Offre de loisirs'!B:B,"2017")</f>
        <v>4.6588717454194795</v>
      </c>
      <c r="F6" s="33">
        <f>SUMIFS('Extraction Offre de loisirs'!I:I,'Extraction Offre de loisirs'!D:D,"corse", 'Extraction Offre de loisirs'!F:F,"activites de plein air", 'Extraction Offre de loisirs'!B:B,"2017")</f>
        <v>2074</v>
      </c>
      <c r="G6" s="39">
        <f>F6/$F$5</f>
        <v>0.94616788321167888</v>
      </c>
      <c r="H6" s="30">
        <f>SUMIFS('Extraction Offre de loisirs'!G:G,'Extraction Offre de loisirs'!D:D,"corse", 'Extraction Offre de loisirs'!F:F,"activites de plein air", 'Extraction Offre de loisirs'!B:B,"2016")</f>
        <v>4.648327417446489</v>
      </c>
      <c r="I6" s="33">
        <f>SUMIFS('Extraction Offre de loisirs'!I:I,'Extraction Offre de loisirs'!D:D,"corse", 'Extraction Offre de loisirs'!F:F,"activites de plein air", 'Extraction Offre de loisirs'!B:B,"2016")</f>
        <v>9297</v>
      </c>
      <c r="J6" s="39">
        <f>I6/$I$5</f>
        <v>0.94213619781110658</v>
      </c>
      <c r="K6" s="29">
        <f>SUMIFS('Extraction Offre de loisirs'!G:G,'Extraction Offre de loisirs'!D:D,"corse", 'Extraction Offre de loisirs'!F:F,"activites de plein air", 'Extraction Offre de loisirs'!B:B,"2015")</f>
        <v>4.6702800361336942</v>
      </c>
      <c r="L6" s="33">
        <f>SUMIFS('Extraction Offre de loisirs'!I:I,'Extraction Offre de loisirs'!D:D,"corse", 'Extraction Offre de loisirs'!F:F,"activites de plein air", 'Extraction Offre de loisirs'!B:B,"2015")</f>
        <v>5535</v>
      </c>
      <c r="M6" s="39">
        <f>L6/$L$5</f>
        <v>0.93670671856490095</v>
      </c>
      <c r="N6" s="30">
        <f>SUMIFS('Extraction Offre de loisirs'!G:G,'Extraction Offre de loisirs'!D:D,"corse", 'Extraction Offre de loisirs'!F:F,"activites de plein air", 'Extraction Offre de loisirs'!B:B,"2014")</f>
        <v>4.6548274137068537</v>
      </c>
      <c r="O6" s="33">
        <f>SUMIFS('Extraction Offre de loisirs'!I:I,'Extraction Offre de loisirs'!D:D,"corse", 'Extraction Offre de loisirs'!F:F,"activites de plein air", 'Extraction Offre de loisirs'!B:B,"2014")</f>
        <v>1999</v>
      </c>
      <c r="P6" s="39">
        <f>O6/$O$5</f>
        <v>0.94247996228194253</v>
      </c>
      <c r="Q6" s="29">
        <f>SUMIFS('Extraction Offre de loisirs'!G:G,'Extraction Offre de loisirs'!D:D,"corse", 'Extraction Offre de loisirs'!F:F,"activites de plein air", 'Extraction Offre de loisirs'!B:B,"2013")</f>
        <v>4.6265060240963845</v>
      </c>
      <c r="R6" s="33">
        <f>SUMIFS('Extraction Offre de loisirs'!I:I,'Extraction Offre de loisirs'!D:D,"corse", 'Extraction Offre de loisirs'!F:F,"activites de plein air", 'Extraction Offre de loisirs'!B:B,"2013")</f>
        <v>664</v>
      </c>
      <c r="S6" s="31">
        <f>R6/$R$5</f>
        <v>0.96793002915451898</v>
      </c>
    </row>
    <row r="7" spans="2:19" x14ac:dyDescent="0.25">
      <c r="B7" s="15" t="s">
        <v>78</v>
      </c>
      <c r="C7" s="2" t="s">
        <v>81</v>
      </c>
      <c r="D7" s="2"/>
      <c r="E7" s="29">
        <f>SUMIFS('Extraction Offre de loisirs'!G:G,'Extraction Offre de loisirs'!D:D,"corse", 'Extraction Offre de loisirs'!F:F,"jeux et divertissements", 'Extraction Offre de loisirs'!B:B,"2017")</f>
        <v>4.5454545454545459</v>
      </c>
      <c r="F7" s="33">
        <f>SUMIFS('Extraction Offre de loisirs'!I:I,'Extraction Offre de loisirs'!D:D,"corse", 'Extraction Offre de loisirs'!F:F,"jeux et divertissements", 'Extraction Offre de loisirs'!B:B,"2017")</f>
        <v>11</v>
      </c>
      <c r="G7" s="39">
        <f>F7/$F$5</f>
        <v>5.0182481751824817E-3</v>
      </c>
      <c r="H7" s="30">
        <f>SUMIFS('Extraction Offre de loisirs'!G:G,'Extraction Offre de loisirs'!D:D,"corse", 'Extraction Offre de loisirs'!F:F,"jeux et divertissements", 'Extraction Offre de loisirs'!B:B,"2016")</f>
        <v>4.5449999999999999</v>
      </c>
      <c r="I7" s="33">
        <f>SUMIFS('Extraction Offre de loisirs'!I:I,'Extraction Offre de loisirs'!D:D,"corse", 'Extraction Offre de loisirs'!F:F,"jeux et divertissements", 'Extraction Offre de loisirs'!B:B,"2016")</f>
        <v>100</v>
      </c>
      <c r="J7" s="39">
        <f>I7/$I$5</f>
        <v>1.0133765707336847E-2</v>
      </c>
      <c r="K7" s="29">
        <f>SUMIFS('Extraction Offre de loisirs'!G:G,'Extraction Offre de loisirs'!D:D,"corse", 'Extraction Offre de loisirs'!F:F,"jeux et divertissements", 'Extraction Offre de loisirs'!B:B,"2015")</f>
        <v>4.5769230769230766</v>
      </c>
      <c r="L7" s="33">
        <f>SUMIFS('Extraction Offre de loisirs'!I:I,'Extraction Offre de loisirs'!D:D,"corse", 'Extraction Offre de loisirs'!F:F,"jeux et divertissements", 'Extraction Offre de loisirs'!B:B,"2015")</f>
        <v>78</v>
      </c>
      <c r="M7" s="39">
        <f>L7/$L$5</f>
        <v>1.3200203080047386E-2</v>
      </c>
      <c r="N7" s="30">
        <f>SUMIFS('Extraction Offre de loisirs'!G:G,'Extraction Offre de loisirs'!D:D,"corse", 'Extraction Offre de loisirs'!F:F,"jeux et divertissements", 'Extraction Offre de loisirs'!B:B,"2014")</f>
        <v>4.4024390243902438</v>
      </c>
      <c r="O7" s="33">
        <f>SUMIFS('Extraction Offre de loisirs'!I:I,'Extraction Offre de loisirs'!D:D,"corse", 'Extraction Offre de loisirs'!F:F,"jeux et divertissements", 'Extraction Offre de loisirs'!B:B,"2014")</f>
        <v>41</v>
      </c>
      <c r="P7" s="39">
        <f>O7/$O$5</f>
        <v>1.933050447901933E-2</v>
      </c>
      <c r="Q7" s="29">
        <f>SUMIFS('Extraction Offre de loisirs'!G:G,'Extraction Offre de loisirs'!D:D,"corse", 'Extraction Offre de loisirs'!F:F,"jeux et divertissements", 'Extraction Offre de loisirs'!B:B,"2013")</f>
        <v>4.875</v>
      </c>
      <c r="R7" s="33">
        <f>SUMIFS('Extraction Offre de loisirs'!I:I,'Extraction Offre de loisirs'!D:D,"corse", 'Extraction Offre de loisirs'!F:F,"jeux et divertissements", 'Extraction Offre de loisirs'!B:B,"2013")</f>
        <v>4</v>
      </c>
      <c r="S7" s="31">
        <f>R7/$R$5</f>
        <v>5.8309037900874635E-3</v>
      </c>
    </row>
    <row r="8" spans="2:19" x14ac:dyDescent="0.25">
      <c r="B8" s="15" t="s">
        <v>78</v>
      </c>
      <c r="C8" s="2" t="s">
        <v>83</v>
      </c>
      <c r="D8" s="2"/>
      <c r="E8" s="29">
        <f>SUMIFS('Extraction Offre de loisirs'!G:G,'Extraction Offre de loisirs'!D:D,"corse", 'Extraction Offre de loisirs'!F:F,"shopping", 'Extraction Offre de loisirs'!B:B,"2017")</f>
        <v>4.5625</v>
      </c>
      <c r="F8" s="33">
        <f>SUMIFS('Extraction Offre de loisirs'!I:I,'Extraction Offre de loisirs'!D:D,"corse", 'Extraction Offre de loisirs'!F:F,"shopping", 'Extraction Offre de loisirs'!B:B,"2017")</f>
        <v>56</v>
      </c>
      <c r="G8" s="39">
        <f>F8/$F$5</f>
        <v>2.5547445255474453E-2</v>
      </c>
      <c r="H8" s="30">
        <f>SUMIFS('Extraction Offre de loisirs'!G:G,'Extraction Offre de loisirs'!D:D,"corse", 'Extraction Offre de loisirs'!F:F,"shopping", 'Extraction Offre de loisirs'!B:B,"2016")</f>
        <v>4.5562015503875974</v>
      </c>
      <c r="I8" s="33">
        <f>SUMIFS('Extraction Offre de loisirs'!I:I,'Extraction Offre de loisirs'!D:D,"corse", 'Extraction Offre de loisirs'!F:F,"shopping", 'Extraction Offre de loisirs'!B:B,"2016")</f>
        <v>258</v>
      </c>
      <c r="J8" s="39">
        <f>I8/$I$5</f>
        <v>2.6145115524929062E-2</v>
      </c>
      <c r="K8" s="29">
        <f>SUMIFS('Extraction Offre de loisirs'!G:G,'Extraction Offre de loisirs'!D:D,"corse", 'Extraction Offre de loisirs'!F:F,"shopping", 'Extraction Offre de loisirs'!B:B,"2015")</f>
        <v>4.5942028985507246</v>
      </c>
      <c r="L8" s="33">
        <f>SUMIFS('Extraction Offre de loisirs'!I:I,'Extraction Offre de loisirs'!D:D,"corse", 'Extraction Offre de loisirs'!F:F,"shopping", 'Extraction Offre de loisirs'!B:B,"2015")</f>
        <v>138</v>
      </c>
      <c r="M8" s="39">
        <f>L8/$L$5</f>
        <v>2.3354205449314606E-2</v>
      </c>
      <c r="N8" s="30">
        <f>SUMIFS('Extraction Offre de loisirs'!G:G,'Extraction Offre de loisirs'!D:D,"corse", 'Extraction Offre de loisirs'!F:F,"shopping", 'Extraction Offre de loisirs'!B:B,"2014")</f>
        <v>4.6527777777777786</v>
      </c>
      <c r="O8" s="33">
        <f>SUMIFS('Extraction Offre de loisirs'!I:I,'Extraction Offre de loisirs'!D:D,"corse", 'Extraction Offre de loisirs'!F:F,"shopping", 'Extraction Offre de loisirs'!B:B,"2014")</f>
        <v>36</v>
      </c>
      <c r="P8" s="39">
        <f>O8/$O$5</f>
        <v>1.6973125884016973E-2</v>
      </c>
      <c r="Q8" s="29">
        <f>SUMIFS('Extraction Offre de loisirs'!G:G,'Extraction Offre de loisirs'!D:D,"corse", 'Extraction Offre de loisirs'!F:F,"shopping", 'Extraction Offre de loisirs'!B:B,"2013")</f>
        <v>4.6875</v>
      </c>
      <c r="R8" s="33">
        <f>SUMIFS('Extraction Offre de loisirs'!I:I,'Extraction Offre de loisirs'!D:D,"corse", 'Extraction Offre de loisirs'!F:F,"shopping", 'Extraction Offre de loisirs'!B:B,"2013")</f>
        <v>8</v>
      </c>
      <c r="S8" s="31">
        <f>R8/$R$5</f>
        <v>1.1661807580174927E-2</v>
      </c>
    </row>
    <row r="9" spans="2:19" x14ac:dyDescent="0.25">
      <c r="B9" s="15" t="s">
        <v>78</v>
      </c>
      <c r="C9" s="2" t="s">
        <v>84</v>
      </c>
      <c r="D9" s="2"/>
      <c r="E9" s="29">
        <f>SUMIFS('Extraction Offre de loisirs'!G:G,'Extraction Offre de loisirs'!D:D,"corse", 'Extraction Offre de loisirs'!F:F,"vie nocturne", 'Extraction Offre de loisirs'!B:B,"2017")</f>
        <v>4.2058823529411766</v>
      </c>
      <c r="F9" s="33">
        <f>SUMIFS('Extraction Offre de loisirs'!I:I,'Extraction Offre de loisirs'!D:D,"corse", 'Extraction Offre de loisirs'!F:F,"vie nocturne", 'Extraction Offre de loisirs'!B:B,"2017")</f>
        <v>51</v>
      </c>
      <c r="G9" s="39">
        <f>F9/$F$5</f>
        <v>2.3266423357664233E-2</v>
      </c>
      <c r="H9" s="30">
        <f>SUMIFS('Extraction Offre de loisirs'!G:G,'Extraction Offre de loisirs'!D:D,"corse", 'Extraction Offre de loisirs'!F:F,"vie nocturne", 'Extraction Offre de loisirs'!B:B,"2016")</f>
        <v>3.9577464788732399</v>
      </c>
      <c r="I9" s="33">
        <f>SUMIFS('Extraction Offre de loisirs'!I:I,'Extraction Offre de loisirs'!D:D,"corse", 'Extraction Offre de loisirs'!F:F,"vie nocturne", 'Extraction Offre de loisirs'!B:B,"2016")</f>
        <v>213</v>
      </c>
      <c r="J9" s="39">
        <f>I9/$I$5</f>
        <v>2.1584920956627483E-2</v>
      </c>
      <c r="K9" s="29">
        <f>SUMIFS('Extraction Offre de loisirs'!G:G,'Extraction Offre de loisirs'!D:D,"corse", 'Extraction Offre de loisirs'!F:F,"vie nocturne", 'Extraction Offre de loisirs'!B:B,"2015")</f>
        <v>3.9493670886075947</v>
      </c>
      <c r="L9" s="33">
        <f>SUMIFS('Extraction Offre de loisirs'!I:I,'Extraction Offre de loisirs'!D:D,"corse", 'Extraction Offre de loisirs'!F:F,"vie nocturne", 'Extraction Offre de loisirs'!B:B,"2015")</f>
        <v>158</v>
      </c>
      <c r="M9" s="39">
        <f>L9/$L$5</f>
        <v>2.673887290573701E-2</v>
      </c>
      <c r="N9" s="30">
        <f>SUMIFS('Extraction Offre de loisirs'!G:G,'Extraction Offre de loisirs'!D:D,"corse", 'Extraction Offre de loisirs'!F:F,"vie nocturne", 'Extraction Offre de loisirs'!B:B,"2014")</f>
        <v>4.3111111111111118</v>
      </c>
      <c r="O9" s="33">
        <f>SUMIFS('Extraction Offre de loisirs'!I:I,'Extraction Offre de loisirs'!D:D,"corse", 'Extraction Offre de loisirs'!F:F,"vie nocturne", 'Extraction Offre de loisirs'!B:B,"2014")</f>
        <v>45</v>
      </c>
      <c r="P9" s="39">
        <f>O9/$O$5</f>
        <v>2.1216407355021217E-2</v>
      </c>
      <c r="Q9" s="29">
        <f>SUMIFS('Extraction Offre de loisirs'!G:G,'Extraction Offre de loisirs'!D:D,"corse", 'Extraction Offre de loisirs'!F:F,"vie nocturne", 'Extraction Offre de loisirs'!B:B,"2013")</f>
        <v>4.45</v>
      </c>
      <c r="R9" s="33">
        <f>SUMIFS('Extraction Offre de loisirs'!I:I,'Extraction Offre de loisirs'!D:D,"corse", 'Extraction Offre de loisirs'!F:F,"vie nocturne", 'Extraction Offre de loisirs'!B:B,"2013")</f>
        <v>10</v>
      </c>
      <c r="S9" s="31">
        <f>R9/$R$5</f>
        <v>1.4577259475218658E-2</v>
      </c>
    </row>
    <row r="10" spans="2:19" x14ac:dyDescent="0.25">
      <c r="B10" s="17" t="s">
        <v>82</v>
      </c>
      <c r="C10" s="4" t="s">
        <v>101</v>
      </c>
      <c r="D10" s="4"/>
      <c r="E10" s="50">
        <f>(E11*G11)+(E12*G12)+(E13*G13)</f>
        <v>4.0936952714535897</v>
      </c>
      <c r="F10" s="34">
        <f>SUMIFS('Extraction Patrimoine'!I:I,'Extraction Patrimoine'!D:D,"corse", 'Extraction Patrimoine'!E:E,"patrimoine", 'Extraction Patrimoine'!B:B,"2017")</f>
        <v>1142</v>
      </c>
      <c r="G10" s="38">
        <f>F10/$F$4</f>
        <v>0.24438262358228119</v>
      </c>
      <c r="H10" s="50">
        <f>(H11*J11)+(H12*J12)+(H13*J13)</f>
        <v>4.0901597114889228</v>
      </c>
      <c r="I10" s="11">
        <f>SUMIFS('Extraction Patrimoine'!I:I,'Extraction Patrimoine'!D:D,"corse", 'Extraction Patrimoine'!E:E,"patrimoine", 'Extraction Patrimoine'!B:B,"2016")</f>
        <v>5823</v>
      </c>
      <c r="J10" s="48">
        <f>I10/$I$4</f>
        <v>0.29311386288130475</v>
      </c>
      <c r="K10" s="50">
        <f>(K11*M11)+(K12*M12)+(K13*M13)</f>
        <v>4.1287779237844937</v>
      </c>
      <c r="L10" s="34">
        <f>SUMIFS('Extraction Patrimoine'!I:I,'Extraction Patrimoine'!D:D,"corse", 'Extraction Patrimoine'!E:E,"patrimoine", 'Extraction Patrimoine'!B:B,"2015")</f>
        <v>3805</v>
      </c>
      <c r="M10" s="38">
        <f>L10/$L$4</f>
        <v>0.33541960507757407</v>
      </c>
      <c r="N10" s="50">
        <f>(N11*P11)+(N12*P12)+(N13*P13)</f>
        <v>4.1928000000000001</v>
      </c>
      <c r="O10" s="11">
        <f>SUMIFS('Extraction Patrimoine'!I:I,'Extraction Patrimoine'!D:D,"corse", 'Extraction Patrimoine'!E:E,"patrimoine", 'Extraction Patrimoine'!B:B,"2014")</f>
        <v>1250</v>
      </c>
      <c r="P10" s="48">
        <f>O10/$O$4</f>
        <v>0.36775522212415418</v>
      </c>
      <c r="Q10" s="50">
        <f>(Q11*S11)+(Q12*S12)+(Q13*S13)</f>
        <v>4.23796423658872</v>
      </c>
      <c r="R10" s="11">
        <f>SUMIFS('Extraction Patrimoine'!I:I,'Extraction Patrimoine'!D:D,"corse", 'Extraction Patrimoine'!E:E,"patrimoine", 'Extraction Patrimoine'!B:B,"2013")</f>
        <v>727</v>
      </c>
      <c r="S10" s="49">
        <f>R10/$R$4</f>
        <v>0.50803633822501748</v>
      </c>
    </row>
    <row r="11" spans="2:19" x14ac:dyDescent="0.25">
      <c r="B11" s="15" t="s">
        <v>82</v>
      </c>
      <c r="C11" s="15" t="s">
        <v>98</v>
      </c>
      <c r="D11" s="15"/>
      <c r="E11" s="29">
        <f>SUMIFS('Extraction Patrimoine'!G:G,'Extraction Patrimoine'!D:D,"corse", 'Extraction Patrimoine'!F:F,"nature et parcs", 'Extraction Patrimoine'!B:B,"2017")</f>
        <v>4.0936952714535897</v>
      </c>
      <c r="F11" s="23">
        <f>SUMIFS('Extraction Patrimoine'!I:I,'Extraction Patrimoine'!D:D,"corse", 'Extraction Patrimoine'!F:F,"nature et parcs", 'Extraction Patrimoine'!B:B,"2017")</f>
        <v>1142</v>
      </c>
      <c r="G11" s="39">
        <f>F11/$F$10</f>
        <v>1</v>
      </c>
      <c r="H11" s="29">
        <f>SUMIFS('Extraction Patrimoine'!G:G,'Extraction Patrimoine'!D:D,"corse", 'Extraction Patrimoine'!F:F,"nature et parcs", 'Extraction Patrimoine'!B:B,"2016")</f>
        <v>4.0901597114889228</v>
      </c>
      <c r="I11" s="23">
        <f>SUMIFS('Extraction Patrimoine'!I:I,'Extraction Patrimoine'!D:D,"corse", 'Extraction Patrimoine'!F:F,"nature et parcs", 'Extraction Patrimoine'!B:B,"2016")</f>
        <v>5823</v>
      </c>
      <c r="J11" s="39">
        <f>I11/$I$10</f>
        <v>1</v>
      </c>
      <c r="K11" s="29">
        <f>SUMIFS('Extraction Patrimoine'!G:G,'Extraction Patrimoine'!D:D,"corse", 'Extraction Patrimoine'!F:F,"nature et parcs", 'Extraction Patrimoine'!B:B,"2015")</f>
        <v>4.1287779237844937</v>
      </c>
      <c r="L11" s="23">
        <f>SUMIFS('Extraction Patrimoine'!I:I,'Extraction Patrimoine'!D:D,"corse", 'Extraction Patrimoine'!F:F,"nature et parcs", 'Extraction Patrimoine'!B:B,"2015")</f>
        <v>3805</v>
      </c>
      <c r="M11" s="39">
        <f>L11/$L$10</f>
        <v>1</v>
      </c>
      <c r="N11" s="29">
        <f>SUMIFS('Extraction Patrimoine'!G:G,'Extraction Patrimoine'!D:D,"corse", 'Extraction Patrimoine'!F:F,"nature et parcs", 'Extraction Patrimoine'!B:B,"2014")</f>
        <v>4.1928000000000001</v>
      </c>
      <c r="O11" s="23">
        <f>SUMIFS('Extraction Patrimoine'!I:I,'Extraction Patrimoine'!D:D,"corse", 'Extraction Patrimoine'!F:F,"nature et parcs", 'Extraction Patrimoine'!B:B,"2014")</f>
        <v>1250</v>
      </c>
      <c r="P11" s="39">
        <f>O11/$O$10</f>
        <v>1</v>
      </c>
      <c r="Q11" s="29">
        <f>SUMIFS('Extraction Patrimoine'!G:G,'Extraction Patrimoine'!D:D,"corse", 'Extraction Patrimoine'!F:F,"nature et parcs", 'Extraction Patrimoine'!B:B,"2013")</f>
        <v>4.23796423658872</v>
      </c>
      <c r="R11" s="23">
        <f>SUMIFS('Extraction Patrimoine'!I:I,'Extraction Patrimoine'!D:D,"corse", 'Extraction Patrimoine'!F:F,"nature et parcs", 'Extraction Patrimoine'!B:B,"2013")</f>
        <v>727</v>
      </c>
      <c r="S11" s="43">
        <f>R11/$R$10</f>
        <v>1</v>
      </c>
    </row>
    <row r="12" spans="2:19" x14ac:dyDescent="0.25">
      <c r="B12" s="15" t="s">
        <v>82</v>
      </c>
      <c r="C12" s="15" t="s">
        <v>99</v>
      </c>
      <c r="D12" s="15"/>
      <c r="E12" s="29">
        <f>SUMIFS('Extraction Patrimoine'!G:G,'Extraction Patrimoine'!D:D,"corse", 'Extraction Patrimoine'!F:F,"musées", 'Extraction Patrimoine'!B:B,"2017")</f>
        <v>0</v>
      </c>
      <c r="F12" s="23">
        <f>SUMIFS('Extraction Patrimoine'!I:I,'Extraction Patrimoine'!D:D,"corse", 'Extraction Patrimoine'!F:F,"musées", 'Extraction Patrimoine'!B:B,"2017")</f>
        <v>0</v>
      </c>
      <c r="G12" s="39">
        <f>F12/$F$10</f>
        <v>0</v>
      </c>
      <c r="H12" s="29">
        <f>SUMIFS('Extraction Patrimoine'!G:G,'Extraction Patrimoine'!D:D,"corse", 'Extraction Patrimoine'!F:F,"musées", 'Extraction Patrimoine'!B:B,"2016")</f>
        <v>0</v>
      </c>
      <c r="I12" s="23">
        <f>SUMIFS('Extraction Patrimoine'!I:I,'Extraction Patrimoine'!D:D,"corse", 'Extraction Patrimoine'!F:F,"musées", 'Extraction Patrimoine'!B:B,"2016")</f>
        <v>0</v>
      </c>
      <c r="J12" s="39">
        <f t="shared" ref="J12:J13" si="0">I12/$I$10</f>
        <v>0</v>
      </c>
      <c r="K12" s="29">
        <f>SUMIFS('Extraction Patrimoine'!G:G,'Extraction Patrimoine'!D:D,"corse", 'Extraction Patrimoine'!F:F,"musées", 'Extraction Patrimoine'!B:B,"2015")</f>
        <v>0</v>
      </c>
      <c r="L12" s="23">
        <f>SUMIFS('Extraction Patrimoine'!I:I,'Extraction Patrimoine'!D:D,"corse", 'Extraction Patrimoine'!F:F,"musées", 'Extraction Patrimoine'!B:B,"2015")</f>
        <v>0</v>
      </c>
      <c r="M12" s="39">
        <f t="shared" ref="M12:M13" si="1">L12/$L$10</f>
        <v>0</v>
      </c>
      <c r="N12" s="29">
        <f>SUMIFS('Extraction Patrimoine'!G:G,'Extraction Patrimoine'!D:D,"corse", 'Extraction Patrimoine'!F:F,"musées", 'Extraction Patrimoine'!B:B,"2014")</f>
        <v>0</v>
      </c>
      <c r="O12" s="23">
        <f>SUMIFS('Extraction Patrimoine'!I:I,'Extraction Patrimoine'!D:D,"corse", 'Extraction Patrimoine'!F:F,"musées", 'Extraction Patrimoine'!B:B,"2014")</f>
        <v>0</v>
      </c>
      <c r="P12" s="39">
        <f t="shared" ref="P12:P13" si="2">O12/$O$10</f>
        <v>0</v>
      </c>
      <c r="Q12" s="29">
        <f>SUMIFS('Extraction Patrimoine'!G:G,'Extraction Patrimoine'!D:D,"corse", 'Extraction Patrimoine'!F:F,"musées", 'Extraction Patrimoine'!B:B,"2013")</f>
        <v>0</v>
      </c>
      <c r="R12" s="23">
        <f>SUMIFS('Extraction Patrimoine'!I:I,'Extraction Patrimoine'!D:D,"corse", 'Extraction Patrimoine'!F:F,"musées", 'Extraction Patrimoine'!B:B,"2013")</f>
        <v>0</v>
      </c>
      <c r="S12" s="43">
        <f t="shared" ref="S12:S13" si="3">R12/$R$10</f>
        <v>0</v>
      </c>
    </row>
    <row r="13" spans="2:19" x14ac:dyDescent="0.25">
      <c r="B13" s="15" t="s">
        <v>82</v>
      </c>
      <c r="C13" s="15" t="s">
        <v>100</v>
      </c>
      <c r="D13" s="15"/>
      <c r="E13" s="29">
        <f>SUMIFS('Extraction Patrimoine'!G:G,'Extraction Patrimoine'!D:D,"corse", 'Extraction Patrimoine'!F:F,"sites et monuments", 'Extraction Patrimoine'!B:B,"2017")</f>
        <v>0</v>
      </c>
      <c r="F13" s="23">
        <f>SUMIFS('Extraction Patrimoine'!I:I,'Extraction Patrimoine'!D:D,"corse", 'Extraction Patrimoine'!F:F,"sites et monuments", 'Extraction Patrimoine'!B:B,"2017")</f>
        <v>0</v>
      </c>
      <c r="G13" s="39">
        <f>F13/$F$10</f>
        <v>0</v>
      </c>
      <c r="H13" s="29">
        <f>SUMIFS('Extraction Patrimoine'!G:G,'Extraction Patrimoine'!D:D,"corse", 'Extraction Patrimoine'!F:F,"sites et monuments", 'Extraction Patrimoine'!B:B,"2016")</f>
        <v>0</v>
      </c>
      <c r="I13" s="23">
        <f>SUMIFS('Extraction Patrimoine'!I:I,'Extraction Patrimoine'!D:D,"corse", 'Extraction Patrimoine'!F:F,"sites et monuments", 'Extraction Patrimoine'!B:B,"2016")</f>
        <v>0</v>
      </c>
      <c r="J13" s="39">
        <f t="shared" si="0"/>
        <v>0</v>
      </c>
      <c r="K13" s="29">
        <f>SUMIFS('Extraction Patrimoine'!G:G,'Extraction Patrimoine'!D:D,"corse", 'Extraction Patrimoine'!F:F,"sites et monuments", 'Extraction Patrimoine'!B:B,"2015")</f>
        <v>0</v>
      </c>
      <c r="L13" s="23">
        <f>SUMIFS('Extraction Patrimoine'!I:I,'Extraction Patrimoine'!D:D,"corse", 'Extraction Patrimoine'!F:F,"sites et monuments", 'Extraction Patrimoine'!B:B,"2015")</f>
        <v>0</v>
      </c>
      <c r="M13" s="39">
        <f t="shared" si="1"/>
        <v>0</v>
      </c>
      <c r="N13" s="29">
        <f>SUMIFS('Extraction Patrimoine'!G:G,'Extraction Patrimoine'!D:D,"corse", 'Extraction Patrimoine'!F:F,"sites et monuments", 'Extraction Patrimoine'!B:B,"2014")</f>
        <v>0</v>
      </c>
      <c r="O13" s="23">
        <f>SUMIFS('Extraction Patrimoine'!I:I,'Extraction Patrimoine'!D:D,"corse", 'Extraction Patrimoine'!F:F,"sites et monuments", 'Extraction Patrimoine'!B:B,"2014")</f>
        <v>0</v>
      </c>
      <c r="P13" s="39">
        <f t="shared" si="2"/>
        <v>0</v>
      </c>
      <c r="Q13" s="29">
        <f>SUMIFS('Extraction Patrimoine'!G:G,'Extraction Patrimoine'!D:D,"corse", 'Extraction Patrimoine'!F:F,"sites et monuments", 'Extraction Patrimoine'!B:B,"2013")</f>
        <v>0</v>
      </c>
      <c r="R13" s="23">
        <f>SUMIFS('Extraction Patrimoine'!I:I,'Extraction Patrimoine'!D:D,"corse", 'Extraction Patrimoine'!F:F,"sites et monuments", 'Extraction Patrimoine'!B:B,"2013")</f>
        <v>0</v>
      </c>
      <c r="S13" s="43">
        <f t="shared" si="3"/>
        <v>0</v>
      </c>
    </row>
    <row r="14" spans="2:19" x14ac:dyDescent="0.25">
      <c r="B14" s="17" t="s">
        <v>9</v>
      </c>
      <c r="C14" s="4" t="s">
        <v>101</v>
      </c>
      <c r="D14" s="4"/>
      <c r="E14" s="50">
        <f>(E15*G15)+(E16*G16)</f>
        <v>4.2051157580283798</v>
      </c>
      <c r="F14" s="34">
        <f>SUMIFS('Extraction Offre de services'!I:I,'Extraction Offre de services'!D:D,"corse", 'Extraction Offre de services'!E:E,"Offre de services", 'Extraction Offre de services'!B:B,"2017")</f>
        <v>1339</v>
      </c>
      <c r="G14" s="38">
        <f>F14/$F$4</f>
        <v>0.28653969612668523</v>
      </c>
      <c r="H14" s="50">
        <f>(H15*J15)+(H16*J16)</f>
        <v>4.0291736526946078</v>
      </c>
      <c r="I14" s="11">
        <f>SUMIFS('Extraction Offre de services'!I:I,'Extraction Offre de services'!D:D,"corse", 'Extraction Offre de services'!E:E,"Offre de services", 'Extraction Offre de services'!B:B,"2016")</f>
        <v>4175</v>
      </c>
      <c r="J14" s="48">
        <f>I14/$I$4</f>
        <v>0.21015805899526829</v>
      </c>
      <c r="K14" s="50">
        <f>(K15*M15)+(K16*M16)</f>
        <v>3.95552147239263</v>
      </c>
      <c r="L14" s="11">
        <f>SUMIFS('Extraction Offre de services'!I:I,'Extraction Offre de services'!D:D,"corse", 'Extraction Offre de services'!E:E,"Offre de services", 'Extraction Offre de services'!B:B,"2015")</f>
        <v>1630</v>
      </c>
      <c r="M14" s="38">
        <f>L14/$L$4</f>
        <v>0.14368829337094499</v>
      </c>
      <c r="N14" s="50">
        <f>(N15*P15)+(N16*P16)</f>
        <v>4.3482142857142856</v>
      </c>
      <c r="O14" s="11">
        <f>SUMIFS('Extraction Offre de services'!I:I,'Extraction Offre de services'!D:D,"corse", 'Extraction Offre de services'!E:E,"Offre de services", 'Extraction Offre de services'!B:B,"2014")</f>
        <v>28</v>
      </c>
      <c r="P14" s="48">
        <f>O14/$O$4</f>
        <v>8.2377169755810525E-3</v>
      </c>
      <c r="Q14" s="50">
        <f>(Q15*S15)+(Q16*S16)</f>
        <v>4.375</v>
      </c>
      <c r="R14" s="11">
        <f>SUMIFS('Extraction Offre de services'!I:I,'Extraction Offre de services'!D:D,"corse", 'Extraction Offre de services'!E:E,"Offre de services", 'Extraction Offre de services'!B:B,"2013")</f>
        <v>18</v>
      </c>
      <c r="S14" s="49">
        <f>R14/$R$4</f>
        <v>1.2578616352201259E-2</v>
      </c>
    </row>
    <row r="15" spans="2:19" x14ac:dyDescent="0.25">
      <c r="B15" s="15" t="s">
        <v>9</v>
      </c>
      <c r="C15" s="2" t="s">
        <v>10</v>
      </c>
      <c r="D15" s="2"/>
      <c r="E15" s="29">
        <f>SUMIFS('Extraction Offre de services'!G:G,'Extraction Offre de services'!D:D,"corse", 'Extraction Offre de services'!F:F,"hebergement", 'Extraction Offre de services'!B:B,"2017")</f>
        <v>4.1980000000000004</v>
      </c>
      <c r="F15" s="23">
        <f>SUMIFS('Extraction Offre de services'!I:I,'Extraction Offre de services'!D:D,"corse", 'Extraction Offre de services'!F:F,"hebergement", 'Extraction Offre de services'!B:B,"2017")</f>
        <v>1300</v>
      </c>
      <c r="G15" s="39">
        <f>F15/$F$14</f>
        <v>0.970873786407767</v>
      </c>
      <c r="H15" s="30">
        <f>SUMIFS('Extraction Offre de services'!G:G,'Extraction Offre de services'!D:D,"corse", 'Extraction Offre de services'!F:F,"hebergement", 'Extraction Offre de services'!B:B,"2016")</f>
        <v>4.0169426594167046</v>
      </c>
      <c r="I15" s="23">
        <f>SUMIFS('Extraction Offre de services'!I:I,'Extraction Offre de services'!D:D,"corse", 'Extraction Offre de services'!F:F,"hebergement", 'Extraction Offre de services'!B:B,"2016")</f>
        <v>4046</v>
      </c>
      <c r="J15" s="45">
        <f>I15/$I$14</f>
        <v>0.96910179640718563</v>
      </c>
      <c r="K15" s="29">
        <f>SUMIFS('Extraction Offre de services'!G:G,'Extraction Offre de services'!D:D,"corse", 'Extraction Offre de services'!F:F,"hebergement", 'Extraction Offre de services'!B:B,"2015")</f>
        <v>3.9304925469863816</v>
      </c>
      <c r="L15" s="23">
        <f>SUMIFS('Extraction Offre de services'!I:I,'Extraction Offre de services'!D:D,"corse", 'Extraction Offre de services'!F:F,"hebergement", 'Extraction Offre de services'!B:B,"2015")</f>
        <v>1543</v>
      </c>
      <c r="M15" s="45">
        <f>L15/$L$14</f>
        <v>0.94662576687116562</v>
      </c>
      <c r="N15" s="30">
        <f>SUMIFS('Extraction Offre de services'!G:G,'Extraction Offre de services'!D:D,"corse", 'Extraction Offre de services'!F:F,"hebergement", 'Extraction Offre de services'!B:B,"2014")</f>
        <v>0</v>
      </c>
      <c r="O15" s="23">
        <f>SUMIFS('Extraction Offre de services'!I:I,'Extraction Offre de services'!D:D,"corse", 'Extraction Offre de services'!F:F,"hebergement", 'Extraction Offre de services'!B:B,"2014")</f>
        <v>0</v>
      </c>
      <c r="P15" s="45">
        <f>O15/$O$14</f>
        <v>0</v>
      </c>
      <c r="Q15" s="29">
        <f>SUMIFS('Extraction Offre de services'!G:G,'Extraction Offre de services'!D:D,"corse", 'Extraction Offre de services'!F:F,"hebergement", 'Extraction Offre de services'!B:B,"2013")</f>
        <v>0</v>
      </c>
      <c r="R15" s="23">
        <f>SUMIFS('Extraction Offre de services'!I:I,'Extraction Offre de services'!D:D,"corse", 'Extraction Offre de services'!F:F,"hebergement", 'Extraction Offre de services'!B:B,"2013")</f>
        <v>0</v>
      </c>
      <c r="S15" s="42">
        <f>R15/$R$14</f>
        <v>0</v>
      </c>
    </row>
    <row r="16" spans="2:19" x14ac:dyDescent="0.25">
      <c r="B16" s="15" t="s">
        <v>9</v>
      </c>
      <c r="C16" s="2" t="s">
        <v>48</v>
      </c>
      <c r="D16" s="2"/>
      <c r="E16" s="29">
        <f>SUMIFS('Extraction Offre de services'!G:G,'Extraction Offre de services'!D:D,"corse", 'Extraction Offre de services'!F:F,"restauration", 'Extraction Offre de services'!B:B,"2017")</f>
        <v>4.4423076923076916</v>
      </c>
      <c r="F16" s="23">
        <f>SUMIFS('Extraction Offre de services'!I:I,'Extraction Offre de services'!D:D,"corse", 'Extraction Offre de services'!F:F,"restauration", 'Extraction Offre de services'!B:B,"2017")</f>
        <v>39</v>
      </c>
      <c r="G16" s="39">
        <f>F16/$F$14</f>
        <v>2.9126213592233011E-2</v>
      </c>
      <c r="H16" s="30">
        <f>SUMIFS('Extraction Offre de services'!G:G,'Extraction Offre de services'!D:D,"corse", 'Extraction Offre de services'!F:F,"restauration", 'Extraction Offre de services'!B:B,"2016")</f>
        <v>4.4127906976744189</v>
      </c>
      <c r="I16" s="23">
        <f>SUMIFS('Extraction Offre de services'!I:I,'Extraction Offre de services'!D:D,"corse", 'Extraction Offre de services'!F:F,"restauration", 'Extraction Offre de services'!B:B,"2016")</f>
        <v>129</v>
      </c>
      <c r="J16" s="45">
        <f>I16/$I$14</f>
        <v>3.089820359281437E-2</v>
      </c>
      <c r="K16" s="29">
        <f>SUMIFS('Extraction Offre de services'!G:G,'Extraction Offre de services'!D:D,"corse", 'Extraction Offre de services'!F:F,"restauration", 'Extraction Offre de services'!B:B,"2015")</f>
        <v>4.3994252873563227</v>
      </c>
      <c r="L16" s="23">
        <f>SUMIFS('Extraction Offre de services'!I:I,'Extraction Offre de services'!D:D,"corse", 'Extraction Offre de services'!F:F,"restauration", 'Extraction Offre de services'!B:B,"2015")</f>
        <v>87</v>
      </c>
      <c r="M16" s="45">
        <f>L16/$L$14</f>
        <v>5.3374233128834353E-2</v>
      </c>
      <c r="N16" s="30">
        <f>SUMIFS('Extraction Offre de services'!G:G,'Extraction Offre de services'!D:D,"corse", 'Extraction Offre de services'!F:F,"restauration", 'Extraction Offre de services'!B:B,"2014")</f>
        <v>4.3482142857142856</v>
      </c>
      <c r="O16" s="23">
        <f>SUMIFS('Extraction Offre de services'!I:I,'Extraction Offre de services'!D:D,"corse", 'Extraction Offre de services'!F:F,"restauration", 'Extraction Offre de services'!B:B,"2014")</f>
        <v>28</v>
      </c>
      <c r="P16" s="45">
        <f>O16/$O$14</f>
        <v>1</v>
      </c>
      <c r="Q16" s="29">
        <f>SUMIFS('Extraction Offre de services'!G:G,'Extraction Offre de services'!D:D,"corse", 'Extraction Offre de services'!F:F,"restauration", 'Extraction Offre de services'!B:B,"2013")</f>
        <v>4.375</v>
      </c>
      <c r="R16" s="23">
        <f>SUMIFS('Extraction Offre de services'!I:I,'Extraction Offre de services'!D:D,"corse", 'Extraction Offre de services'!F:F,"restauration", 'Extraction Offre de services'!B:B,"2013")</f>
        <v>18</v>
      </c>
      <c r="S16" s="42">
        <f>R16/$R$14</f>
        <v>1</v>
      </c>
    </row>
    <row r="17" spans="2:19" s="65" customFormat="1" x14ac:dyDescent="0.25">
      <c r="B17" s="68" t="s">
        <v>9</v>
      </c>
      <c r="C17" s="68" t="s">
        <v>48</v>
      </c>
      <c r="D17" s="68" t="s">
        <v>125</v>
      </c>
      <c r="E17" s="70">
        <f>SUMIFS('Extraction Offre de services'!L:L,'Extraction Offre de services'!D:D,"corse", 'Extraction Offre de services'!F:F,"restauration", 'Extraction Offre de services'!B:B,"2017")</f>
        <v>4.3589743589743586</v>
      </c>
      <c r="F17" s="71"/>
      <c r="G17" s="72"/>
      <c r="H17" s="70">
        <f>SUMIFS('Extraction Offre de services'!L:L,'Extraction Offre de services'!D:D,"corse", 'Extraction Offre de services'!F:F,"restauration", 'Extraction Offre de services'!B:B,"2016")</f>
        <v>4.3333333333333339</v>
      </c>
      <c r="I17" s="71"/>
      <c r="J17" s="72"/>
      <c r="K17" s="70">
        <f>SUMIFS('Extraction Offre de services'!L:L,'Extraction Offre de services'!D:D,"corse", 'Extraction Offre de services'!F:F,"restauration", 'Extraction Offre de services'!B:B,"2015")</f>
        <v>4.2528735632183912</v>
      </c>
      <c r="L17" s="68"/>
      <c r="M17" s="72"/>
      <c r="N17" s="70">
        <f>SUMIFS('Extraction Offre de services'!L:L,'Extraction Offre de services'!D:D,"corse", 'Extraction Offre de services'!F:F,"restauration", 'Extraction Offre de services'!B:B,"2014")</f>
        <v>4.3571428571428577</v>
      </c>
      <c r="O17" s="68"/>
      <c r="P17" s="68"/>
      <c r="Q17" s="73">
        <f>SUMIFS('Extraction Offre de services'!L:L,'Extraction Offre de services'!D:D,"corse", 'Extraction Offre de services'!F:F,"restauration", 'Extraction Offre de services'!B:B,"2013")</f>
        <v>4.3888888888888893</v>
      </c>
      <c r="R17" s="68"/>
      <c r="S17" s="68"/>
    </row>
    <row r="18" spans="2:19" s="65" customFormat="1" x14ac:dyDescent="0.25">
      <c r="B18" s="68" t="s">
        <v>9</v>
      </c>
      <c r="C18" s="68" t="s">
        <v>48</v>
      </c>
      <c r="D18" s="68" t="s">
        <v>127</v>
      </c>
      <c r="E18" s="70">
        <f>SUMIFS('Extraction Offre de services'!N:N,'Extraction Offre de services'!D:D,"corse", 'Extraction Offre de services'!F:F,"restauration", 'Extraction Offre de services'!B:B,"2017")</f>
        <v>4.5641025641025639</v>
      </c>
      <c r="F18" s="68"/>
      <c r="G18" s="72"/>
      <c r="H18" s="70">
        <f>SUMIFS('Extraction Offre de services'!N:N,'Extraction Offre de services'!D:D,"corse", 'Extraction Offre de services'!F:F,"restauration", 'Extraction Offre de services'!B:B,"2016")</f>
        <v>4.5193798449612403</v>
      </c>
      <c r="I18" s="68"/>
      <c r="J18" s="72"/>
      <c r="K18" s="70">
        <f>SUMIFS('Extraction Offre de services'!N:N,'Extraction Offre de services'!D:D,"corse", 'Extraction Offre de services'!F:F,"restauration", 'Extraction Offre de services'!B:B,"2015")</f>
        <v>4.5517241379310347</v>
      </c>
      <c r="L18" s="68"/>
      <c r="M18" s="72"/>
      <c r="N18" s="70">
        <f>SUMIFS('Extraction Offre de services'!N:N,'Extraction Offre de services'!D:D,"corse", 'Extraction Offre de services'!F:F,"restauration", 'Extraction Offre de services'!B:B,"2014")</f>
        <v>4.2857142857142856</v>
      </c>
      <c r="O18" s="68"/>
      <c r="P18" s="72"/>
      <c r="Q18" s="70">
        <f>SUMIFS('Extraction Offre de services'!N:N,'Extraction Offre de services'!D:D,"corse", 'Extraction Offre de services'!F:F,"restauration", 'Extraction Offre de services'!B:B,"2013")</f>
        <v>4.5</v>
      </c>
      <c r="R18" s="68"/>
      <c r="S18" s="68"/>
    </row>
    <row r="19" spans="2:19" s="65" customFormat="1" x14ac:dyDescent="0.25">
      <c r="B19" s="68" t="s">
        <v>9</v>
      </c>
      <c r="C19" s="68" t="s">
        <v>48</v>
      </c>
      <c r="D19" s="68" t="s">
        <v>126</v>
      </c>
      <c r="E19" s="70">
        <f>SUMIFS('Extraction Offre de services'!P:P,'Extraction Offre de services'!D:D,"corse", 'Extraction Offre de services'!F:F,"restauration", 'Extraction Offre de services'!B:B,"2017")</f>
        <v>4.4871794871794872</v>
      </c>
      <c r="F19" s="68"/>
      <c r="G19" s="72"/>
      <c r="H19" s="70">
        <f>SUMIFS('Extraction Offre de services'!P:P,'Extraction Offre de services'!D:D,"corse", 'Extraction Offre de services'!F:F,"restauration", 'Extraction Offre de services'!B:B,"2016")</f>
        <v>4.4651162790697674</v>
      </c>
      <c r="I19" s="68"/>
      <c r="J19" s="72"/>
      <c r="K19" s="70">
        <f>SUMIFS('Extraction Offre de services'!P:P,'Extraction Offre de services'!D:D,"corse", 'Extraction Offre de services'!F:F,"restauration", 'Extraction Offre de services'!B:B,"2015")</f>
        <v>4.5402298850574718</v>
      </c>
      <c r="L19" s="68"/>
      <c r="M19" s="72"/>
      <c r="N19" s="70">
        <f>SUMIFS('Extraction Offre de services'!P:P,'Extraction Offre de services'!D:D,"corse", 'Extraction Offre de services'!F:F,"restauration", 'Extraction Offre de services'!B:B,"2014")</f>
        <v>4.3928571428571432</v>
      </c>
      <c r="O19" s="68"/>
      <c r="P19" s="72"/>
      <c r="Q19" s="70">
        <f>SUMIFS('Extraction Offre de services'!P:P,'Extraction Offre de services'!D:D,"corse", 'Extraction Offre de services'!F:F,"restauration", 'Extraction Offre de services'!B:B,"2013")</f>
        <v>4.2222222222222214</v>
      </c>
      <c r="R19" s="68"/>
      <c r="S19" s="68"/>
    </row>
  </sheetData>
  <mergeCells count="8">
    <mergeCell ref="Q2:S2"/>
    <mergeCell ref="B2:B3"/>
    <mergeCell ref="C2:C3"/>
    <mergeCell ref="E2:G2"/>
    <mergeCell ref="H2:J2"/>
    <mergeCell ref="K2:M2"/>
    <mergeCell ref="N2:P2"/>
    <mergeCell ref="D2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topLeftCell="C1" workbookViewId="0">
      <selection activeCell="J19" sqref="J19"/>
    </sheetView>
  </sheetViews>
  <sheetFormatPr baseColWidth="10" defaultRowHeight="15" x14ac:dyDescent="0.25"/>
  <cols>
    <col min="1" max="1" width="1.5703125" customWidth="1"/>
    <col min="2" max="2" width="15.7109375" bestFit="1" customWidth="1"/>
    <col min="3" max="3" width="22.140625" bestFit="1" customWidth="1"/>
    <col min="4" max="4" width="6.28515625" bestFit="1" customWidth="1"/>
    <col min="5" max="5" width="15" customWidth="1"/>
    <col min="6" max="7" width="8.7109375" customWidth="1"/>
    <col min="9" max="10" width="8.7109375" customWidth="1"/>
    <col min="12" max="13" width="8.7109375" customWidth="1"/>
    <col min="15" max="16" width="8.7109375" customWidth="1"/>
    <col min="18" max="19" width="8.7109375" customWidth="1"/>
  </cols>
  <sheetData>
    <row r="2" spans="2:19" x14ac:dyDescent="0.25">
      <c r="B2" s="62" t="s">
        <v>86</v>
      </c>
      <c r="C2" s="62" t="s">
        <v>87</v>
      </c>
      <c r="D2" s="62" t="s">
        <v>128</v>
      </c>
      <c r="E2" s="60">
        <v>2017</v>
      </c>
      <c r="F2" s="60"/>
      <c r="G2" s="61"/>
      <c r="H2" s="59">
        <v>2016</v>
      </c>
      <c r="I2" s="63"/>
      <c r="J2" s="61"/>
      <c r="K2" s="59">
        <v>2015</v>
      </c>
      <c r="L2" s="63"/>
      <c r="M2" s="61"/>
      <c r="N2" s="59">
        <v>2014</v>
      </c>
      <c r="O2" s="60"/>
      <c r="P2" s="61"/>
      <c r="Q2" s="59">
        <v>2013</v>
      </c>
      <c r="R2" s="60"/>
      <c r="S2" s="60"/>
    </row>
    <row r="3" spans="2:19" ht="30" x14ac:dyDescent="0.25">
      <c r="B3" s="62"/>
      <c r="C3" s="62"/>
      <c r="D3" s="62"/>
      <c r="E3" s="32" t="s">
        <v>95</v>
      </c>
      <c r="F3" s="32" t="s">
        <v>119</v>
      </c>
      <c r="G3" s="41" t="s">
        <v>120</v>
      </c>
      <c r="H3" s="32" t="s">
        <v>95</v>
      </c>
      <c r="I3" s="32" t="s">
        <v>119</v>
      </c>
      <c r="J3" s="41" t="s">
        <v>120</v>
      </c>
      <c r="K3" s="32" t="s">
        <v>95</v>
      </c>
      <c r="L3" s="32" t="s">
        <v>119</v>
      </c>
      <c r="M3" s="41" t="s">
        <v>120</v>
      </c>
      <c r="N3" s="32" t="s">
        <v>95</v>
      </c>
      <c r="O3" s="32" t="s">
        <v>119</v>
      </c>
      <c r="P3" s="41" t="s">
        <v>120</v>
      </c>
      <c r="Q3" s="32" t="s">
        <v>95</v>
      </c>
      <c r="R3" s="32" t="s">
        <v>119</v>
      </c>
      <c r="S3" s="32" t="s">
        <v>120</v>
      </c>
    </row>
    <row r="4" spans="2:19" x14ac:dyDescent="0.25">
      <c r="B4" s="16" t="s">
        <v>88</v>
      </c>
      <c r="C4" s="8" t="s">
        <v>101</v>
      </c>
      <c r="D4" s="8"/>
      <c r="E4" s="51">
        <f>AVERAGE(E5,E10,E14)</f>
        <v>4.1278609219335651</v>
      </c>
      <c r="F4" s="46">
        <f>Pondération!F67</f>
        <v>17918</v>
      </c>
      <c r="G4" s="47"/>
      <c r="H4" s="51">
        <f>AVERAGE(H5,H10,H14)</f>
        <v>4.1016333672859515</v>
      </c>
      <c r="I4" s="10">
        <f>Pondération!G67</f>
        <v>37398</v>
      </c>
      <c r="J4" s="40"/>
      <c r="K4" s="51">
        <f>AVERAGE(K5,K10,K14)</f>
        <v>4.0968560764709032</v>
      </c>
      <c r="L4" s="46">
        <f>Pondération!H67</f>
        <v>17133</v>
      </c>
      <c r="M4" s="37"/>
      <c r="N4" s="51">
        <f>AVERAGE(N5,N10,N14)</f>
        <v>4.1450655217531986</v>
      </c>
      <c r="O4" s="10">
        <f>Pondération!I67</f>
        <v>7306</v>
      </c>
      <c r="P4" s="40"/>
      <c r="Q4" s="51">
        <f>AVERAGE(Q5,Q10,Q14)</f>
        <v>4.0997221545258089</v>
      </c>
      <c r="R4" s="10">
        <f>Pondération!J67</f>
        <v>5354</v>
      </c>
      <c r="S4" s="28"/>
    </row>
    <row r="5" spans="2:19" x14ac:dyDescent="0.25">
      <c r="B5" s="17" t="s">
        <v>78</v>
      </c>
      <c r="C5" s="4" t="s">
        <v>101</v>
      </c>
      <c r="D5" s="4"/>
      <c r="E5" s="50">
        <f>(E6*G6)+(E7*G7)+(E8*G8)+(E9*G9)</f>
        <v>4.2864154528182397</v>
      </c>
      <c r="F5" s="34">
        <f>SUMIFS('Extraction Offre de loisirs'!I:I,'Extraction Offre de loisirs'!D:D,"grand est", 'Extraction Offre de loisirs'!E:E,"offre de loisirs", 'Extraction Offre de loisirs'!B:B,"2017")</f>
        <v>3158</v>
      </c>
      <c r="G5" s="38">
        <f>F5/$F$4</f>
        <v>0.17624734903449046</v>
      </c>
      <c r="H5" s="50">
        <f>(H6*J6)+(H7*J7)+(H8*J8)+(H9*J9)</f>
        <v>4.2334490294382316</v>
      </c>
      <c r="I5" s="34">
        <f>SUMIFS('Extraction Offre de loisirs'!I:I,'Extraction Offre de loisirs'!D:D,"grand est", 'Extraction Offre de loisirs'!E:E,"offre de loisirs", 'Extraction Offre de loisirs'!B:B,"2016")</f>
        <v>7779</v>
      </c>
      <c r="J5" s="38">
        <f>I5/$I$4</f>
        <v>0.20800577570993101</v>
      </c>
      <c r="K5" s="50">
        <f>(K6*M6)+(K7*M7)+(K8*M8)+(K9*M9)</f>
        <v>4.1872877758913418</v>
      </c>
      <c r="L5" s="34">
        <f>SUMIFS('Extraction Offre de loisirs'!I:I,'Extraction Offre de loisirs'!D:D,"grand est", 'Extraction Offre de loisirs'!E:E,"offre de loisirs", 'Extraction Offre de loisirs'!B:B,"2015")</f>
        <v>4712</v>
      </c>
      <c r="M5" s="38">
        <f>L5/$L$4</f>
        <v>0.27502480593007644</v>
      </c>
      <c r="N5" s="50">
        <f>(N6*P6)+(N7*P7)+(N8*P8)+(N9*P9)</f>
        <v>4.1749397590361443</v>
      </c>
      <c r="O5" s="11">
        <f>SUMIFS('Extraction Offre de loisirs'!I:I,'Extraction Offre de loisirs'!D:D,"grand est", 'Extraction Offre de loisirs'!E:E,"offre de loisirs", 'Extraction Offre de loisirs'!B:B,"2014")</f>
        <v>2075</v>
      </c>
      <c r="P5" s="38">
        <f>O5/$O$4</f>
        <v>0.28401313988502602</v>
      </c>
      <c r="Q5" s="50">
        <f>(Q6*S6)+(Q7*S7)+(Q8*S8)+(Q9*S9)</f>
        <v>4.0740019474196698</v>
      </c>
      <c r="R5" s="11">
        <f>SUMIFS('Extraction Offre de loisirs'!I:I,'Extraction Offre de loisirs'!D:D,"grand est", 'Extraction Offre de loisirs'!E:E,"offre de loisirs", 'Extraction Offre de loisirs'!B:B,"2013")</f>
        <v>1027</v>
      </c>
      <c r="S5" s="35">
        <f>R5/$R$4</f>
        <v>0.19181920059768398</v>
      </c>
    </row>
    <row r="6" spans="2:19" x14ac:dyDescent="0.25">
      <c r="B6" s="15" t="s">
        <v>78</v>
      </c>
      <c r="C6" s="2" t="s">
        <v>79</v>
      </c>
      <c r="D6" s="2"/>
      <c r="E6" s="29">
        <f>SUMIFS('Extraction Offre de loisirs'!G:G,'Extraction Offre de loisirs'!D:D,"grand est", 'Extraction Offre de loisirs'!F:F,"activites de plein air", 'Extraction Offre de loisirs'!B:B,"2017")</f>
        <v>4.1755593803786573</v>
      </c>
      <c r="F6" s="33">
        <f>SUMIFS('Extraction Offre de loisirs'!I:I,'Extraction Offre de loisirs'!D:D,"grand est", 'Extraction Offre de loisirs'!F:F,"activites de plein air", 'Extraction Offre de loisirs'!B:B,"2017")</f>
        <v>1162</v>
      </c>
      <c r="G6" s="39">
        <f>F6/$F$5</f>
        <v>0.36795440151994935</v>
      </c>
      <c r="H6" s="30">
        <f>SUMIFS('Extraction Offre de loisirs'!G:G,'Extraction Offre de loisirs'!D:D,"grand est", 'Extraction Offre de loisirs'!F:F,"activites de plein air", 'Extraction Offre de loisirs'!B:B,"2016")</f>
        <v>4.1359932565327346</v>
      </c>
      <c r="I6" s="33">
        <f>SUMIFS('Extraction Offre de loisirs'!I:I,'Extraction Offre de loisirs'!D:D,"grand est", 'Extraction Offre de loisirs'!F:F,"activites de plein air", 'Extraction Offre de loisirs'!B:B,"2016")</f>
        <v>3559</v>
      </c>
      <c r="J6" s="39">
        <f>I6/$I$5</f>
        <v>0.45751381925697393</v>
      </c>
      <c r="K6" s="29">
        <f>SUMIFS('Extraction Offre de loisirs'!G:G,'Extraction Offre de loisirs'!D:D,"grand est", 'Extraction Offre de loisirs'!F:F,"activites de plein air", 'Extraction Offre de loisirs'!B:B,"2015")</f>
        <v>4.034454470877769</v>
      </c>
      <c r="L6" s="33">
        <f>SUMIFS('Extraction Offre de loisirs'!I:I,'Extraction Offre de loisirs'!D:D,"grand est", 'Extraction Offre de loisirs'!F:F,"activites de plein air", 'Extraction Offre de loisirs'!B:B,"2015")</f>
        <v>2438</v>
      </c>
      <c r="M6" s="39">
        <f>L6/$L$5</f>
        <v>0.517402376910017</v>
      </c>
      <c r="N6" s="30">
        <f>SUMIFS('Extraction Offre de loisirs'!G:G,'Extraction Offre de loisirs'!D:D,"grand est", 'Extraction Offre de loisirs'!F:F,"activites de plein air", 'Extraction Offre de loisirs'!B:B,"2014")</f>
        <v>4.0560828300258835</v>
      </c>
      <c r="O6" s="33">
        <f>SUMIFS('Extraction Offre de loisirs'!I:I,'Extraction Offre de loisirs'!D:D,"grand est", 'Extraction Offre de loisirs'!F:F,"activites de plein air", 'Extraction Offre de loisirs'!B:B,"2014")</f>
        <v>1159</v>
      </c>
      <c r="P6" s="39">
        <f>O6/$O$5</f>
        <v>0.55855421686746987</v>
      </c>
      <c r="Q6" s="29">
        <f>SUMIFS('Extraction Offre de loisirs'!G:G,'Extraction Offre de loisirs'!D:D,"grand est", 'Extraction Offre de loisirs'!F:F,"activites de plein air", 'Extraction Offre de loisirs'!B:B,"2013")</f>
        <v>3.9511149228130362</v>
      </c>
      <c r="R6" s="33">
        <f>SUMIFS('Extraction Offre de loisirs'!I:I,'Extraction Offre de loisirs'!D:D,"grand est", 'Extraction Offre de loisirs'!F:F,"activites de plein air", 'Extraction Offre de loisirs'!B:B,"2013")</f>
        <v>583</v>
      </c>
      <c r="S6" s="31">
        <f>R6/$R$5</f>
        <v>0.56767283349561826</v>
      </c>
    </row>
    <row r="7" spans="2:19" x14ac:dyDescent="0.25">
      <c r="B7" s="15" t="s">
        <v>78</v>
      </c>
      <c r="C7" s="2" t="s">
        <v>81</v>
      </c>
      <c r="D7" s="2"/>
      <c r="E7" s="29">
        <f>SUMIFS('Extraction Offre de loisirs'!G:G,'Extraction Offre de loisirs'!D:D,"grand est", 'Extraction Offre de loisirs'!F:F,"jeux et divertissements", 'Extraction Offre de loisirs'!B:B,"2017")</f>
        <v>4.3972332015810274</v>
      </c>
      <c r="F7" s="33">
        <f>SUMIFS('Extraction Offre de loisirs'!I:I,'Extraction Offre de loisirs'!D:D,"grand est", 'Extraction Offre de loisirs'!F:F,"jeux et divertissements", 'Extraction Offre de loisirs'!B:B,"2017")</f>
        <v>1012</v>
      </c>
      <c r="G7" s="39">
        <f>F7/$F$5</f>
        <v>0.32045598480050663</v>
      </c>
      <c r="H7" s="30">
        <f>SUMIFS('Extraction Offre de loisirs'!G:G,'Extraction Offre de loisirs'!D:D,"grand est", 'Extraction Offre de loisirs'!F:F,"jeux et divertissements", 'Extraction Offre de loisirs'!B:B,"2016")</f>
        <v>4.3504751257685852</v>
      </c>
      <c r="I7" s="33">
        <f>SUMIFS('Extraction Offre de loisirs'!I:I,'Extraction Offre de loisirs'!D:D,"grand est", 'Extraction Offre de loisirs'!F:F,"jeux et divertissements", 'Extraction Offre de loisirs'!B:B,"2016")</f>
        <v>1789</v>
      </c>
      <c r="J7" s="39">
        <f>I7/$I$5</f>
        <v>0.22997814629129709</v>
      </c>
      <c r="K7" s="29">
        <f>SUMIFS('Extraction Offre de loisirs'!G:G,'Extraction Offre de loisirs'!D:D,"grand est", 'Extraction Offre de loisirs'!F:F,"jeux et divertissements", 'Extraction Offre de loisirs'!B:B,"2015")</f>
        <v>4.3771228771228774</v>
      </c>
      <c r="L7" s="33">
        <f>SUMIFS('Extraction Offre de loisirs'!I:I,'Extraction Offre de loisirs'!D:D,"grand est", 'Extraction Offre de loisirs'!F:F,"jeux et divertissements", 'Extraction Offre de loisirs'!B:B,"2015")</f>
        <v>1001</v>
      </c>
      <c r="M7" s="39">
        <f>L7/$L$5</f>
        <v>0.21243633276740237</v>
      </c>
      <c r="N7" s="30">
        <f>SUMIFS('Extraction Offre de loisirs'!G:G,'Extraction Offre de loisirs'!D:D,"grand est", 'Extraction Offre de loisirs'!F:F,"jeux et divertissements", 'Extraction Offre de loisirs'!B:B,"2014")</f>
        <v>4.3017241379310347</v>
      </c>
      <c r="O7" s="33">
        <f>SUMIFS('Extraction Offre de loisirs'!I:I,'Extraction Offre de loisirs'!D:D,"grand est", 'Extraction Offre de loisirs'!F:F,"jeux et divertissements", 'Extraction Offre de loisirs'!B:B,"2014")</f>
        <v>406</v>
      </c>
      <c r="P7" s="39">
        <f>O7/$O$5</f>
        <v>0.19566265060240964</v>
      </c>
      <c r="Q7" s="29">
        <f>SUMIFS('Extraction Offre de loisirs'!G:G,'Extraction Offre de loisirs'!D:D,"grand est", 'Extraction Offre de loisirs'!F:F,"jeux et divertissements", 'Extraction Offre de loisirs'!B:B,"2013")</f>
        <v>4.205179282868527</v>
      </c>
      <c r="R7" s="33">
        <f>SUMIFS('Extraction Offre de loisirs'!I:I,'Extraction Offre de loisirs'!D:D,"grand est", 'Extraction Offre de loisirs'!F:F,"jeux et divertissements", 'Extraction Offre de loisirs'!B:B,"2013")</f>
        <v>251</v>
      </c>
      <c r="S7" s="31">
        <f>R7/$R$5</f>
        <v>0.24440116845180138</v>
      </c>
    </row>
    <row r="8" spans="2:19" x14ac:dyDescent="0.25">
      <c r="B8" s="15" t="s">
        <v>78</v>
      </c>
      <c r="C8" s="2" t="s">
        <v>83</v>
      </c>
      <c r="D8" s="2"/>
      <c r="E8" s="29">
        <f>SUMIFS('Extraction Offre de loisirs'!G:G,'Extraction Offre de loisirs'!D:D,"grand est", 'Extraction Offre de loisirs'!F:F,"shopping", 'Extraction Offre de loisirs'!B:B,"2017")</f>
        <v>4.2986111111111116</v>
      </c>
      <c r="F8" s="33">
        <f>SUMIFS('Extraction Offre de loisirs'!I:I,'Extraction Offre de loisirs'!D:D,"grand est", 'Extraction Offre de loisirs'!F:F,"shopping", 'Extraction Offre de loisirs'!B:B,"2017")</f>
        <v>648</v>
      </c>
      <c r="G8" s="39">
        <f>F8/$F$5</f>
        <v>0.20519316022799239</v>
      </c>
      <c r="H8" s="30">
        <f>SUMIFS('Extraction Offre de loisirs'!G:G,'Extraction Offre de loisirs'!D:D,"grand est", 'Extraction Offre de loisirs'!F:F,"shopping", 'Extraction Offre de loisirs'!B:B,"2016")</f>
        <v>4.2925995024875618</v>
      </c>
      <c r="I8" s="33">
        <f>SUMIFS('Extraction Offre de loisirs'!I:I,'Extraction Offre de loisirs'!D:D,"grand est", 'Extraction Offre de loisirs'!F:F,"shopping", 'Extraction Offre de loisirs'!B:B,"2016")</f>
        <v>1608</v>
      </c>
      <c r="J8" s="39">
        <f>I8/$I$5</f>
        <v>0.2067103740840725</v>
      </c>
      <c r="K8" s="29">
        <f>SUMIFS('Extraction Offre de loisirs'!G:G,'Extraction Offre de loisirs'!D:D,"grand est", 'Extraction Offre de loisirs'!F:F,"shopping", 'Extraction Offre de loisirs'!B:B,"2015")</f>
        <v>4.3231469440832244</v>
      </c>
      <c r="L8" s="33">
        <f>SUMIFS('Extraction Offre de loisirs'!I:I,'Extraction Offre de loisirs'!D:D,"grand est", 'Extraction Offre de loisirs'!F:F,"shopping", 'Extraction Offre de loisirs'!B:B,"2015")</f>
        <v>769</v>
      </c>
      <c r="M8" s="39">
        <f>L8/$L$5</f>
        <v>0.16320033955857385</v>
      </c>
      <c r="N8" s="30">
        <f>SUMIFS('Extraction Offre de loisirs'!G:G,'Extraction Offre de loisirs'!D:D,"grand est", 'Extraction Offre de loisirs'!F:F,"shopping", 'Extraction Offre de loisirs'!B:B,"2014")</f>
        <v>4.3466257668711661</v>
      </c>
      <c r="O8" s="33">
        <f>SUMIFS('Extraction Offre de loisirs'!I:I,'Extraction Offre de loisirs'!D:D,"grand est", 'Extraction Offre de loisirs'!F:F,"shopping", 'Extraction Offre de loisirs'!B:B,"2014")</f>
        <v>326</v>
      </c>
      <c r="P8" s="39">
        <f>O8/$O$5</f>
        <v>0.15710843373493977</v>
      </c>
      <c r="Q8" s="29">
        <f>SUMIFS('Extraction Offre de loisirs'!G:G,'Extraction Offre de loisirs'!D:D,"grand est", 'Extraction Offre de loisirs'!F:F,"shopping", 'Extraction Offre de loisirs'!B:B,"2013")</f>
        <v>4.2676056338028161</v>
      </c>
      <c r="R8" s="33">
        <f>SUMIFS('Extraction Offre de loisirs'!I:I,'Extraction Offre de loisirs'!D:D,"grand est", 'Extraction Offre de loisirs'!F:F,"shopping", 'Extraction Offre de loisirs'!B:B,"2013")</f>
        <v>142</v>
      </c>
      <c r="S8" s="31">
        <f>R8/$R$5</f>
        <v>0.1382667964946446</v>
      </c>
    </row>
    <row r="9" spans="2:19" x14ac:dyDescent="0.25">
      <c r="B9" s="15" t="s">
        <v>78</v>
      </c>
      <c r="C9" s="2" t="s">
        <v>84</v>
      </c>
      <c r="D9" s="2"/>
      <c r="E9" s="29">
        <f>SUMIFS('Extraction Offre de loisirs'!G:G,'Extraction Offre de loisirs'!D:D,"grand est", 'Extraction Offre de loisirs'!F:F,"vie nocturne", 'Extraction Offre de loisirs'!B:B,"2017")</f>
        <v>4.3125</v>
      </c>
      <c r="F9" s="33">
        <f>SUMIFS('Extraction Offre de loisirs'!I:I,'Extraction Offre de loisirs'!D:D,"grand est", 'Extraction Offre de loisirs'!F:F,"vie nocturne", 'Extraction Offre de loisirs'!B:B,"2017")</f>
        <v>336</v>
      </c>
      <c r="G9" s="39">
        <f>F9/$F$5</f>
        <v>0.10639645345155162</v>
      </c>
      <c r="H9" s="30">
        <f>SUMIFS('Extraction Offre de loisirs'!G:G,'Extraction Offre de loisirs'!D:D,"grand est", 'Extraction Offre de loisirs'!F:F,"vie nocturne", 'Extraction Offre de loisirs'!B:B,"2016")</f>
        <v>4.2849331713244228</v>
      </c>
      <c r="I9" s="33">
        <f>SUMIFS('Extraction Offre de loisirs'!I:I,'Extraction Offre de loisirs'!D:D,"grand est", 'Extraction Offre de loisirs'!F:F,"vie nocturne", 'Extraction Offre de loisirs'!B:B,"2016")</f>
        <v>823</v>
      </c>
      <c r="J9" s="39">
        <f>I9/$I$5</f>
        <v>0.10579766036765652</v>
      </c>
      <c r="K9" s="29">
        <f>SUMIFS('Extraction Offre de loisirs'!G:G,'Extraction Offre de loisirs'!D:D,"grand est", 'Extraction Offre de loisirs'!F:F,"vie nocturne", 'Extraction Offre de loisirs'!B:B,"2015")</f>
        <v>4.3422619047619051</v>
      </c>
      <c r="L9" s="33">
        <f>SUMIFS('Extraction Offre de loisirs'!I:I,'Extraction Offre de loisirs'!D:D,"grand est", 'Extraction Offre de loisirs'!F:F,"vie nocturne", 'Extraction Offre de loisirs'!B:B,"2015")</f>
        <v>504</v>
      </c>
      <c r="M9" s="39">
        <f>L9/$L$5</f>
        <v>0.10696095076400679</v>
      </c>
      <c r="N9" s="30">
        <f>SUMIFS('Extraction Offre de loisirs'!G:G,'Extraction Offre de loisirs'!D:D,"grand est", 'Extraction Offre de loisirs'!F:F,"vie nocturne", 'Extraction Offre de loisirs'!B:B,"2014")</f>
        <v>4.3396739130434785</v>
      </c>
      <c r="O9" s="33">
        <f>SUMIFS('Extraction Offre de loisirs'!I:I,'Extraction Offre de loisirs'!D:D,"grand est", 'Extraction Offre de loisirs'!F:F,"vie nocturne", 'Extraction Offre de loisirs'!B:B,"2014")</f>
        <v>184</v>
      </c>
      <c r="P9" s="39">
        <f>O9/$O$5</f>
        <v>8.8674698795180723E-2</v>
      </c>
      <c r="Q9" s="29">
        <f>SUMIFS('Extraction Offre de loisirs'!G:G,'Extraction Offre de loisirs'!D:D,"grand est", 'Extraction Offre de loisirs'!F:F,"vie nocturne", 'Extraction Offre de loisirs'!B:B,"2013")</f>
        <v>4.2941176470588234</v>
      </c>
      <c r="R9" s="33">
        <f>SUMIFS('Extraction Offre de loisirs'!I:I,'Extraction Offre de loisirs'!D:D,"grand est", 'Extraction Offre de loisirs'!F:F,"vie nocturne", 'Extraction Offre de loisirs'!B:B,"2013")</f>
        <v>51</v>
      </c>
      <c r="S9" s="31">
        <f>R9/$R$5</f>
        <v>4.9659201557935732E-2</v>
      </c>
    </row>
    <row r="10" spans="2:19" x14ac:dyDescent="0.25">
      <c r="B10" s="17" t="s">
        <v>82</v>
      </c>
      <c r="C10" s="4" t="s">
        <v>101</v>
      </c>
      <c r="D10" s="4"/>
      <c r="E10" s="50">
        <f>(E11*G11)+(E12*G12)+(E13*G13)</f>
        <v>3.9661319073083781</v>
      </c>
      <c r="F10" s="34">
        <f>SUMIFS('Extraction Patrimoine'!I:I,'Extraction Patrimoine'!D:D,"grand est", 'Extraction Patrimoine'!E:E,"patrimoine", 'Extraction Patrimoine'!B:B,"2017")</f>
        <v>1683</v>
      </c>
      <c r="G10" s="38">
        <f>F10/$F$4</f>
        <v>9.3927893738140422E-2</v>
      </c>
      <c r="H10" s="50">
        <f>(H11*J11)+(H12*J12)+(H13*J13)</f>
        <v>3.9544767661503588</v>
      </c>
      <c r="I10" s="11">
        <f>SUMIFS('Extraction Patrimoine'!I:I,'Extraction Patrimoine'!D:D,"grand est", 'Extraction Patrimoine'!E:E,"patrimoine", 'Extraction Patrimoine'!B:B,"2016")</f>
        <v>5294</v>
      </c>
      <c r="J10" s="48">
        <f>I10/$I$4</f>
        <v>0.14155837210546018</v>
      </c>
      <c r="K10" s="50">
        <f>(K11*M11)+(K12*M12)+(K13*M13)</f>
        <v>3.8941176470588235</v>
      </c>
      <c r="L10" s="34">
        <f>SUMIFS('Extraction Patrimoine'!I:I,'Extraction Patrimoine'!D:D,"grand est", 'Extraction Patrimoine'!E:E,"patrimoine", 'Extraction Patrimoine'!B:B,"2015")</f>
        <v>3570</v>
      </c>
      <c r="M10" s="38">
        <f>L10/$L$4</f>
        <v>0.20836981264226931</v>
      </c>
      <c r="N10" s="50">
        <f>(N11*P11)+(N12*P12)+(N13*P13)</f>
        <v>3.885290148448044</v>
      </c>
      <c r="O10" s="11">
        <f>SUMIFS('Extraction Patrimoine'!I:I,'Extraction Patrimoine'!D:D,"grand est", 'Extraction Patrimoine'!E:E,"patrimoine", 'Extraction Patrimoine'!B:B,"2014")</f>
        <v>1482</v>
      </c>
      <c r="P10" s="48">
        <f>O10/$O$4</f>
        <v>0.20284697508896798</v>
      </c>
      <c r="Q10" s="50">
        <f>(Q11*S11)+(Q12*S12)+(Q13*S13)</f>
        <v>3.8712121212121207</v>
      </c>
      <c r="R10" s="11">
        <f>SUMIFS('Extraction Patrimoine'!I:I,'Extraction Patrimoine'!D:D,"grand est", 'Extraction Patrimoine'!E:E,"patrimoine", 'Extraction Patrimoine'!B:B,"2013")</f>
        <v>924</v>
      </c>
      <c r="S10" s="49">
        <f>R10/$R$4</f>
        <v>0.17258124766529698</v>
      </c>
    </row>
    <row r="11" spans="2:19" x14ac:dyDescent="0.25">
      <c r="B11" s="15" t="s">
        <v>82</v>
      </c>
      <c r="C11" s="15" t="s">
        <v>98</v>
      </c>
      <c r="D11" s="15"/>
      <c r="E11" s="29">
        <f>SUMIFS('Extraction Patrimoine'!G:G,'Extraction Patrimoine'!D:D,"grand est", 'Extraction Patrimoine'!F:F,"nature et parcs", 'Extraction Patrimoine'!B:B,"2017")</f>
        <v>3.9661319073083781</v>
      </c>
      <c r="F11" s="23">
        <f>SUMIFS('Extraction Patrimoine'!I:I,'Extraction Patrimoine'!D:D,"grand est", 'Extraction Patrimoine'!F:F,"nature et parcs", 'Extraction Patrimoine'!B:B,"2017")</f>
        <v>1683</v>
      </c>
      <c r="G11" s="39">
        <f>F11/$F$10</f>
        <v>1</v>
      </c>
      <c r="H11" s="29">
        <f>SUMIFS('Extraction Patrimoine'!G:G,'Extraction Patrimoine'!D:D,"grand est", 'Extraction Patrimoine'!F:F,"nature et parcs", 'Extraction Patrimoine'!B:B,"2016")</f>
        <v>3.9544767661503588</v>
      </c>
      <c r="I11" s="23">
        <f>SUMIFS('Extraction Patrimoine'!I:I,'Extraction Patrimoine'!D:D,"grand est", 'Extraction Patrimoine'!F:F,"nature et parcs", 'Extraction Patrimoine'!B:B,"2016")</f>
        <v>5294</v>
      </c>
      <c r="J11" s="39">
        <f>I11/$I$10</f>
        <v>1</v>
      </c>
      <c r="K11" s="29">
        <f>SUMIFS('Extraction Patrimoine'!G:G,'Extraction Patrimoine'!D:D,"grand est", 'Extraction Patrimoine'!F:F,"nature et parcs", 'Extraction Patrimoine'!B:B,"2015")</f>
        <v>3.8941176470588235</v>
      </c>
      <c r="L11" s="23">
        <f>SUMIFS('Extraction Patrimoine'!I:I,'Extraction Patrimoine'!D:D,"grand est", 'Extraction Patrimoine'!F:F,"nature et parcs", 'Extraction Patrimoine'!B:B,"2015")</f>
        <v>3570</v>
      </c>
      <c r="M11" s="39">
        <f>L11/$L$10</f>
        <v>1</v>
      </c>
      <c r="N11" s="29">
        <f>SUMIFS('Extraction Patrimoine'!G:G,'Extraction Patrimoine'!D:D,"grand est", 'Extraction Patrimoine'!F:F,"nature et parcs", 'Extraction Patrimoine'!B:B,"2014")</f>
        <v>3.885290148448044</v>
      </c>
      <c r="O11" s="23">
        <f>SUMIFS('Extraction Patrimoine'!I:I,'Extraction Patrimoine'!D:D,"grand est", 'Extraction Patrimoine'!F:F,"nature et parcs", 'Extraction Patrimoine'!B:B,"2014")</f>
        <v>1482</v>
      </c>
      <c r="P11" s="39">
        <f>O11/$O$10</f>
        <v>1</v>
      </c>
      <c r="Q11" s="29">
        <f>SUMIFS('Extraction Patrimoine'!G:G,'Extraction Patrimoine'!D:D,"grand est", 'Extraction Patrimoine'!F:F,"nature et parcs", 'Extraction Patrimoine'!B:B,"2013")</f>
        <v>3.8712121212121207</v>
      </c>
      <c r="R11" s="23">
        <f>SUMIFS('Extraction Patrimoine'!I:I,'Extraction Patrimoine'!D:D,"grand est", 'Extraction Patrimoine'!F:F,"nature et parcs", 'Extraction Patrimoine'!B:B,"2013")</f>
        <v>924</v>
      </c>
      <c r="S11" s="43">
        <f>R11/$R$10</f>
        <v>1</v>
      </c>
    </row>
    <row r="12" spans="2:19" x14ac:dyDescent="0.25">
      <c r="B12" s="15" t="s">
        <v>82</v>
      </c>
      <c r="C12" s="15" t="s">
        <v>99</v>
      </c>
      <c r="D12" s="15"/>
      <c r="E12" s="29">
        <f>SUMIFS('Extraction Patrimoine'!G:G,'Extraction Patrimoine'!D:D,"grand est", 'Extraction Patrimoine'!F:F,"musées", 'Extraction Patrimoine'!B:B,"2017")</f>
        <v>0</v>
      </c>
      <c r="F12" s="23">
        <f>SUMIFS('Extraction Patrimoine'!I:I,'Extraction Patrimoine'!D:D,"grand est", 'Extraction Patrimoine'!F:F,"musées", 'Extraction Patrimoine'!B:B,"2017")</f>
        <v>0</v>
      </c>
      <c r="G12" s="39">
        <f>F12/$F$10</f>
        <v>0</v>
      </c>
      <c r="H12" s="29">
        <f>SUMIFS('Extraction Patrimoine'!G:G,'Extraction Patrimoine'!D:D,"grand est", 'Extraction Patrimoine'!F:F,"musées", 'Extraction Patrimoine'!B:B,"2016")</f>
        <v>0</v>
      </c>
      <c r="I12" s="23">
        <f>SUMIFS('Extraction Patrimoine'!I:I,'Extraction Patrimoine'!D:D,"grand est", 'Extraction Patrimoine'!F:F,"musées", 'Extraction Patrimoine'!B:B,"2016")</f>
        <v>0</v>
      </c>
      <c r="J12" s="39">
        <f t="shared" ref="J12:J13" si="0">I12/$I$10</f>
        <v>0</v>
      </c>
      <c r="K12" s="29">
        <f>SUMIFS('Extraction Patrimoine'!G:G,'Extraction Patrimoine'!D:D,"grand est", 'Extraction Patrimoine'!F:F,"musées", 'Extraction Patrimoine'!B:B,"2015")</f>
        <v>0</v>
      </c>
      <c r="L12" s="23">
        <f>SUMIFS('Extraction Patrimoine'!I:I,'Extraction Patrimoine'!D:D,"grand est", 'Extraction Patrimoine'!F:F,"musées", 'Extraction Patrimoine'!B:B,"2015")</f>
        <v>0</v>
      </c>
      <c r="M12" s="39">
        <f t="shared" ref="M12:M13" si="1">L12/$L$10</f>
        <v>0</v>
      </c>
      <c r="N12" s="29">
        <f>SUMIFS('Extraction Patrimoine'!G:G,'Extraction Patrimoine'!D:D,"grand est", 'Extraction Patrimoine'!F:F,"musées", 'Extraction Patrimoine'!B:B,"2014")</f>
        <v>0</v>
      </c>
      <c r="O12" s="23">
        <f>SUMIFS('Extraction Patrimoine'!I:I,'Extraction Patrimoine'!D:D,"grand est", 'Extraction Patrimoine'!F:F,"musées", 'Extraction Patrimoine'!B:B,"2014")</f>
        <v>0</v>
      </c>
      <c r="P12" s="39">
        <f t="shared" ref="P12:P13" si="2">O12/$O$10</f>
        <v>0</v>
      </c>
      <c r="Q12" s="29">
        <f>SUMIFS('Extraction Patrimoine'!G:G,'Extraction Patrimoine'!D:D,"grand est", 'Extraction Patrimoine'!F:F,"musées", 'Extraction Patrimoine'!B:B,"2013")</f>
        <v>0</v>
      </c>
      <c r="R12" s="23">
        <f>SUMIFS('Extraction Patrimoine'!I:I,'Extraction Patrimoine'!D:D,"grand est", 'Extraction Patrimoine'!F:F,"musées", 'Extraction Patrimoine'!B:B,"2013")</f>
        <v>0</v>
      </c>
      <c r="S12" s="43">
        <f t="shared" ref="S12:S13" si="3">R12/$R$10</f>
        <v>0</v>
      </c>
    </row>
    <row r="13" spans="2:19" x14ac:dyDescent="0.25">
      <c r="B13" s="15" t="s">
        <v>82</v>
      </c>
      <c r="C13" s="15" t="s">
        <v>100</v>
      </c>
      <c r="D13" s="15"/>
      <c r="E13" s="29">
        <f>SUMIFS('Extraction Patrimoine'!G:G,'Extraction Patrimoine'!D:D,"grand est", 'Extraction Patrimoine'!F:F,"sites et monuments", 'Extraction Patrimoine'!B:B,"2017")</f>
        <v>0</v>
      </c>
      <c r="F13" s="23">
        <f>SUMIFS('Extraction Patrimoine'!I:I,'Extraction Patrimoine'!D:D,"grand est", 'Extraction Patrimoine'!F:F,"sites et monuments", 'Extraction Patrimoine'!B:B,"2017")</f>
        <v>0</v>
      </c>
      <c r="G13" s="39">
        <f>F13/$F$10</f>
        <v>0</v>
      </c>
      <c r="H13" s="29">
        <f>SUMIFS('Extraction Patrimoine'!G:G,'Extraction Patrimoine'!D:D,"grand est", 'Extraction Patrimoine'!F:F,"sites et monuments", 'Extraction Patrimoine'!B:B,"2016")</f>
        <v>0</v>
      </c>
      <c r="I13" s="23">
        <f>SUMIFS('Extraction Patrimoine'!I:I,'Extraction Patrimoine'!D:D,"grand est", 'Extraction Patrimoine'!F:F,"sites et monuments", 'Extraction Patrimoine'!B:B,"2016")</f>
        <v>0</v>
      </c>
      <c r="J13" s="39">
        <f t="shared" si="0"/>
        <v>0</v>
      </c>
      <c r="K13" s="29">
        <f>SUMIFS('Extraction Patrimoine'!G:G,'Extraction Patrimoine'!D:D,"grand est", 'Extraction Patrimoine'!F:F,"sites et monuments", 'Extraction Patrimoine'!B:B,"2015")</f>
        <v>0</v>
      </c>
      <c r="L13" s="23">
        <f>SUMIFS('Extraction Patrimoine'!I:I,'Extraction Patrimoine'!D:D,"grand est", 'Extraction Patrimoine'!F:F,"sites et monuments", 'Extraction Patrimoine'!B:B,"2015")</f>
        <v>0</v>
      </c>
      <c r="M13" s="39">
        <f t="shared" si="1"/>
        <v>0</v>
      </c>
      <c r="N13" s="29">
        <f>SUMIFS('Extraction Patrimoine'!G:G,'Extraction Patrimoine'!D:D,"grand est", 'Extraction Patrimoine'!F:F,"sites et monuments", 'Extraction Patrimoine'!B:B,"2014")</f>
        <v>0</v>
      </c>
      <c r="O13" s="23">
        <f>SUMIFS('Extraction Patrimoine'!I:I,'Extraction Patrimoine'!D:D,"grand est", 'Extraction Patrimoine'!F:F,"sites et monuments", 'Extraction Patrimoine'!B:B,"2014")</f>
        <v>0</v>
      </c>
      <c r="P13" s="39">
        <f t="shared" si="2"/>
        <v>0</v>
      </c>
      <c r="Q13" s="29">
        <f>SUMIFS('Extraction Patrimoine'!G:G,'Extraction Patrimoine'!D:D,"grand est", 'Extraction Patrimoine'!F:F,"sites et monuments", 'Extraction Patrimoine'!B:B,"2013")</f>
        <v>0</v>
      </c>
      <c r="R13" s="23">
        <f>SUMIFS('Extraction Patrimoine'!I:I,'Extraction Patrimoine'!D:D,"grand est", 'Extraction Patrimoine'!F:F,"sites et monuments", 'Extraction Patrimoine'!B:B,"2013")</f>
        <v>0</v>
      </c>
      <c r="S13" s="43">
        <f t="shared" si="3"/>
        <v>0</v>
      </c>
    </row>
    <row r="14" spans="2:19" x14ac:dyDescent="0.25">
      <c r="B14" s="17" t="s">
        <v>9</v>
      </c>
      <c r="C14" s="4" t="s">
        <v>101</v>
      </c>
      <c r="D14" s="4"/>
      <c r="E14" s="50">
        <f>(E15*G15)+(E16*G16)</f>
        <v>4.131035405674079</v>
      </c>
      <c r="F14" s="34">
        <f>SUMIFS('Extraction Offre de services'!I:I,'Extraction Offre de services'!D:D,"grand est", 'Extraction Offre de services'!E:E,"Offre de services", 'Extraction Offre de services'!B:B,"2017")</f>
        <v>13077</v>
      </c>
      <c r="G14" s="38">
        <f>F14/$F$4</f>
        <v>0.72982475722736917</v>
      </c>
      <c r="H14" s="50">
        <f>(H15*J15)+(H16*J16)</f>
        <v>4.1169743062692632</v>
      </c>
      <c r="I14" s="11">
        <f>SUMIFS('Extraction Offre de services'!I:I,'Extraction Offre de services'!D:D,"grand est", 'Extraction Offre de services'!E:E,"Offre de services", 'Extraction Offre de services'!B:B,"2016")</f>
        <v>24325</v>
      </c>
      <c r="J14" s="48">
        <f>I14/$I$4</f>
        <v>0.65043585218460875</v>
      </c>
      <c r="K14" s="50">
        <f>(K15*M15)+(K16*M16)</f>
        <v>4.2091628064625448</v>
      </c>
      <c r="L14" s="11">
        <f>SUMIFS('Extraction Offre de services'!I:I,'Extraction Offre de services'!D:D,"grand est", 'Extraction Offre de services'!E:E,"Offre de services", 'Extraction Offre de services'!B:B,"2015")</f>
        <v>8851</v>
      </c>
      <c r="M14" s="38">
        <f>L14/$L$4</f>
        <v>0.51660538142765422</v>
      </c>
      <c r="N14" s="50">
        <f>(N15*P15)+(N16*P16)</f>
        <v>4.3749666577754072</v>
      </c>
      <c r="O14" s="11">
        <f>SUMIFS('Extraction Offre de services'!I:I,'Extraction Offre de services'!D:D,"grand est", 'Extraction Offre de services'!E:E,"Offre de services", 'Extraction Offre de services'!B:B,"2014")</f>
        <v>3749</v>
      </c>
      <c r="P14" s="48">
        <f>O14/$O$4</f>
        <v>0.51313988502600605</v>
      </c>
      <c r="Q14" s="50">
        <f>(Q15*S15)+(Q16*S16)</f>
        <v>4.3539523949456367</v>
      </c>
      <c r="R14" s="11">
        <f>SUMIFS('Extraction Offre de services'!I:I,'Extraction Offre de services'!D:D,"grand est", 'Extraction Offre de services'!E:E,"Offre de services", 'Extraction Offre de services'!B:B,"2013")</f>
        <v>3403</v>
      </c>
      <c r="S14" s="49">
        <f>R14/$R$4</f>
        <v>0.6355995517370191</v>
      </c>
    </row>
    <row r="15" spans="2:19" x14ac:dyDescent="0.25">
      <c r="B15" s="15" t="s">
        <v>9</v>
      </c>
      <c r="C15" s="2" t="s">
        <v>10</v>
      </c>
      <c r="D15" s="2"/>
      <c r="E15" s="29">
        <f>SUMIFS('Extraction Offre de services'!G:G,'Extraction Offre de services'!D:D,"grand est", 'Extraction Offre de services'!F:F,"hebergement", 'Extraction Offre de services'!B:B,"2017")</f>
        <v>3.9769888646538782</v>
      </c>
      <c r="F15" s="23">
        <f>SUMIFS('Extraction Offre de services'!I:I,'Extraction Offre de services'!D:D,"grand est", 'Extraction Offre de services'!F:F,"hebergement", 'Extraction Offre de services'!B:B,"2017")</f>
        <v>8711</v>
      </c>
      <c r="G15" s="39">
        <f>F15/$F$14</f>
        <v>0.66613137569779002</v>
      </c>
      <c r="H15" s="30">
        <f>SUMIFS('Extraction Offre de services'!G:G,'Extraction Offre de services'!D:D,"grand est", 'Extraction Offre de services'!F:F,"hebergement", 'Extraction Offre de services'!B:B,"2016")</f>
        <v>3.9410069127429126</v>
      </c>
      <c r="I15" s="23">
        <f>SUMIFS('Extraction Offre de services'!I:I,'Extraction Offre de services'!D:D,"grand est", 'Extraction Offre de services'!F:F,"hebergement", 'Extraction Offre de services'!B:B,"2016")</f>
        <v>15334</v>
      </c>
      <c r="J15" s="45">
        <f>I15/$I$14</f>
        <v>0.63038026721479956</v>
      </c>
      <c r="K15" s="29">
        <f>SUMIFS('Extraction Offre de services'!G:G,'Extraction Offre de services'!D:D,"grand est", 'Extraction Offre de services'!F:F,"hebergement", 'Extraction Offre de services'!B:B,"2015")</f>
        <v>3.9800262123197871</v>
      </c>
      <c r="L15" s="23">
        <f>SUMIFS('Extraction Offre de services'!I:I,'Extraction Offre de services'!D:D,"grand est", 'Extraction Offre de services'!F:F,"hebergement", 'Extraction Offre de services'!B:B,"2015")</f>
        <v>3815</v>
      </c>
      <c r="M15" s="45">
        <f>L15/$L$14</f>
        <v>0.43102474296689641</v>
      </c>
      <c r="N15" s="30">
        <f>SUMIFS('Extraction Offre de services'!G:G,'Extraction Offre de services'!D:D,"grand est", 'Extraction Offre de services'!F:F,"hebergement", 'Extraction Offre de services'!B:B,"2014")</f>
        <v>0</v>
      </c>
      <c r="O15" s="23">
        <f>SUMIFS('Extraction Offre de services'!I:I,'Extraction Offre de services'!D:D,"grand est", 'Extraction Offre de services'!F:F,"hebergement", 'Extraction Offre de services'!B:B,"2014")</f>
        <v>0</v>
      </c>
      <c r="P15" s="45">
        <f>O15/$O$14</f>
        <v>0</v>
      </c>
      <c r="Q15" s="29">
        <f>SUMIFS('Extraction Offre de services'!G:G,'Extraction Offre de services'!D:D,"grand est", 'Extraction Offre de services'!F:F,"hebergement", 'Extraction Offre de services'!B:B,"2013")</f>
        <v>0</v>
      </c>
      <c r="R15" s="23">
        <f>SUMIFS('Extraction Offre de services'!I:I,'Extraction Offre de services'!D:D,"grand est", 'Extraction Offre de services'!F:F,"hebergement", 'Extraction Offre de services'!B:B,"2013")</f>
        <v>0</v>
      </c>
      <c r="S15" s="42">
        <f>R15/$R$14</f>
        <v>0</v>
      </c>
    </row>
    <row r="16" spans="2:19" x14ac:dyDescent="0.25">
      <c r="B16" s="15" t="s">
        <v>9</v>
      </c>
      <c r="C16" s="2" t="s">
        <v>48</v>
      </c>
      <c r="D16" s="2"/>
      <c r="E16" s="29">
        <f>SUMIFS('Extraction Offre de services'!G:G,'Extraction Offre de services'!D:D,"grand est", 'Extraction Offre de services'!F:F,"restauration", 'Extraction Offre de services'!B:B,"2017")</f>
        <v>4.4383875400824557</v>
      </c>
      <c r="F16" s="23">
        <f>SUMIFS('Extraction Offre de services'!I:I,'Extraction Offre de services'!D:D,"grand est", 'Extraction Offre de services'!F:F,"restauration", 'Extraction Offre de services'!B:B,"2017")</f>
        <v>4366</v>
      </c>
      <c r="G16" s="39">
        <f>F16/$F$14</f>
        <v>0.33386862430220998</v>
      </c>
      <c r="H16" s="30">
        <f>SUMIFS('Extraction Offre de services'!G:G,'Extraction Offre de services'!D:D,"grand est", 'Extraction Offre de services'!F:F,"restauration", 'Extraction Offre de services'!B:B,"2016")</f>
        <v>4.4170837504170839</v>
      </c>
      <c r="I16" s="23">
        <f>SUMIFS('Extraction Offre de services'!I:I,'Extraction Offre de services'!D:D,"grand est", 'Extraction Offre de services'!F:F,"restauration", 'Extraction Offre de services'!B:B,"2016")</f>
        <v>8991</v>
      </c>
      <c r="J16" s="45">
        <f>I16/$I$14</f>
        <v>0.36961973278520044</v>
      </c>
      <c r="K16" s="29">
        <f>SUMIFS('Extraction Offre de services'!G:G,'Extraction Offre de services'!D:D,"grand est", 'Extraction Offre de services'!F:F,"restauration", 'Extraction Offre de services'!B:B,"2015")</f>
        <v>4.3827442414614772</v>
      </c>
      <c r="L16" s="23">
        <f>SUMIFS('Extraction Offre de services'!I:I,'Extraction Offre de services'!D:D,"grand est", 'Extraction Offre de services'!F:F,"restauration", 'Extraction Offre de services'!B:B,"2015")</f>
        <v>5036</v>
      </c>
      <c r="M16" s="45">
        <f>L16/$L$14</f>
        <v>0.56897525703310359</v>
      </c>
      <c r="N16" s="30">
        <f>SUMIFS('Extraction Offre de services'!G:G,'Extraction Offre de services'!D:D,"grand est", 'Extraction Offre de services'!F:F,"restauration", 'Extraction Offre de services'!B:B,"2014")</f>
        <v>4.3749666577754072</v>
      </c>
      <c r="O16" s="23">
        <f>SUMIFS('Extraction Offre de services'!I:I,'Extraction Offre de services'!D:D,"grand est", 'Extraction Offre de services'!F:F,"restauration", 'Extraction Offre de services'!B:B,"2014")</f>
        <v>3749</v>
      </c>
      <c r="P16" s="45">
        <f>O16/$O$14</f>
        <v>1</v>
      </c>
      <c r="Q16" s="29">
        <f>SUMIFS('Extraction Offre de services'!G:G,'Extraction Offre de services'!D:D,"grand est", 'Extraction Offre de services'!F:F,"restauration", 'Extraction Offre de services'!B:B,"2013")</f>
        <v>4.3539523949456367</v>
      </c>
      <c r="R16" s="23">
        <f>SUMIFS('Extraction Offre de services'!I:I,'Extraction Offre de services'!D:D,"grand est", 'Extraction Offre de services'!F:F,"restauration", 'Extraction Offre de services'!B:B,"2013")</f>
        <v>3403</v>
      </c>
      <c r="S16" s="42">
        <f>R16/$R$14</f>
        <v>1</v>
      </c>
    </row>
    <row r="17" spans="2:19" s="65" customFormat="1" x14ac:dyDescent="0.25">
      <c r="B17" s="68" t="s">
        <v>9</v>
      </c>
      <c r="C17" s="68" t="s">
        <v>48</v>
      </c>
      <c r="D17" s="68" t="s">
        <v>125</v>
      </c>
      <c r="E17" s="70">
        <f>SUMIFS('Extraction Offre de services'!L:L,'Extraction Offre de services'!D:D,"grand est", 'Extraction Offre de services'!F:F,"restauration", 'Extraction Offre de services'!B:B,"2017")</f>
        <v>4.4855703160787908</v>
      </c>
      <c r="F17" s="71"/>
      <c r="G17" s="72"/>
      <c r="H17" s="70">
        <f>SUMIFS('Extraction Offre de services'!L:L,'Extraction Offre de services'!D:D,"grand est", 'Extraction Offre de services'!F:F,"restauration", 'Extraction Offre de services'!B:B,"2016")</f>
        <v>4.4587921254587926</v>
      </c>
      <c r="I17" s="71"/>
      <c r="J17" s="72"/>
      <c r="K17" s="70">
        <f>SUMIFS('Extraction Offre de services'!L:L,'Extraction Offre de services'!D:D,"grand est", 'Extraction Offre de services'!F:F,"restauration", 'Extraction Offre de services'!B:B,"2015")</f>
        <v>4.4364575059571081</v>
      </c>
      <c r="L17" s="68"/>
      <c r="M17" s="72"/>
      <c r="N17" s="70">
        <f>SUMIFS('Extraction Offre de services'!L:L,'Extraction Offre de services'!D:D,"grand est", 'Extraction Offre de services'!F:F,"restauration", 'Extraction Offre de services'!B:B,"2014")</f>
        <v>4.4446519071752464</v>
      </c>
      <c r="O17" s="68"/>
      <c r="P17" s="68"/>
      <c r="Q17" s="73">
        <f>SUMIFS('Extraction Offre de services'!L:L,'Extraction Offre de services'!D:D,"grand est", 'Extraction Offre de services'!F:F,"restauration", 'Extraction Offre de services'!B:B,"2013")</f>
        <v>4.4069938289744339</v>
      </c>
      <c r="R17" s="68"/>
      <c r="S17" s="68"/>
    </row>
    <row r="18" spans="2:19" s="65" customFormat="1" x14ac:dyDescent="0.25">
      <c r="B18" s="68" t="s">
        <v>9</v>
      </c>
      <c r="C18" s="68" t="s">
        <v>48</v>
      </c>
      <c r="D18" s="68" t="s">
        <v>127</v>
      </c>
      <c r="E18" s="70">
        <f>SUMIFS('Extraction Offre de services'!N:N,'Extraction Offre de services'!D:D,"grand est", 'Extraction Offre de services'!F:F,"restauration", 'Extraction Offre de services'!B:B,"2017")</f>
        <v>4.5125973431058179</v>
      </c>
      <c r="F18" s="68"/>
      <c r="G18" s="72"/>
      <c r="H18" s="70">
        <f>SUMIFS('Extraction Offre de services'!N:N,'Extraction Offre de services'!D:D,"grand est", 'Extraction Offre de services'!F:F,"restauration", 'Extraction Offre de services'!B:B,"2016")</f>
        <v>4.4649093537982427</v>
      </c>
      <c r="I18" s="68"/>
      <c r="J18" s="72"/>
      <c r="K18" s="70">
        <f>SUMIFS('Extraction Offre de services'!N:N,'Extraction Offre de services'!D:D,"grand est", 'Extraction Offre de services'!F:F,"restauration", 'Extraction Offre de services'!B:B,"2015")</f>
        <v>4.4221604447974583</v>
      </c>
      <c r="L18" s="68"/>
      <c r="M18" s="72"/>
      <c r="N18" s="70">
        <f>SUMIFS('Extraction Offre de services'!N:N,'Extraction Offre de services'!D:D,"grand est", 'Extraction Offre de services'!F:F,"restauration", 'Extraction Offre de services'!B:B,"2014")</f>
        <v>4.3894371832488659</v>
      </c>
      <c r="O18" s="68"/>
      <c r="P18" s="72"/>
      <c r="Q18" s="70">
        <f>SUMIFS('Extraction Offre de services'!N:N,'Extraction Offre de services'!D:D,"grand est", 'Extraction Offre de services'!F:F,"restauration", 'Extraction Offre de services'!B:B,"2013")</f>
        <v>4.4111078460182194</v>
      </c>
      <c r="R18" s="68"/>
      <c r="S18" s="68"/>
    </row>
    <row r="19" spans="2:19" s="65" customFormat="1" x14ac:dyDescent="0.25">
      <c r="B19" s="68" t="s">
        <v>9</v>
      </c>
      <c r="C19" s="68" t="s">
        <v>48</v>
      </c>
      <c r="D19" s="68" t="s">
        <v>126</v>
      </c>
      <c r="E19" s="70">
        <f>SUMIFS('Extraction Offre de services'!P:P,'Extraction Offre de services'!D:D,"grand est", 'Extraction Offre de services'!F:F,"restauration", 'Extraction Offre de services'!B:B,"2017")</f>
        <v>4.2698121850664226</v>
      </c>
      <c r="F19" s="68"/>
      <c r="G19" s="72"/>
      <c r="H19" s="70">
        <f>SUMIFS('Extraction Offre de services'!P:P,'Extraction Offre de services'!D:D,"grand est", 'Extraction Offre de services'!F:F,"restauration", 'Extraction Offre de services'!B:B,"2016")</f>
        <v>4.2858413969525078</v>
      </c>
      <c r="I19" s="68"/>
      <c r="J19" s="72"/>
      <c r="K19" s="70">
        <f>SUMIFS('Extraction Offre de services'!P:P,'Extraction Offre de services'!D:D,"grand est", 'Extraction Offre de services'!F:F,"restauration", 'Extraction Offre de services'!B:B,"2015")</f>
        <v>4.2359015091342336</v>
      </c>
      <c r="L19" s="68"/>
      <c r="M19" s="72"/>
      <c r="N19" s="70">
        <f>SUMIFS('Extraction Offre de services'!P:P,'Extraction Offre de services'!D:D,"grand est", 'Extraction Offre de services'!F:F,"restauration", 'Extraction Offre de services'!B:B,"2014")</f>
        <v>4.2211256335022673</v>
      </c>
      <c r="O19" s="68"/>
      <c r="P19" s="72"/>
      <c r="Q19" s="70">
        <f>SUMIFS('Extraction Offre de services'!P:P,'Extraction Offre de services'!D:D,"grand est", 'Extraction Offre de services'!F:F,"restauration", 'Extraction Offre de services'!B:B,"2013")</f>
        <v>4.1907140758154569</v>
      </c>
      <c r="R19" s="68"/>
      <c r="S19" s="68"/>
    </row>
  </sheetData>
  <mergeCells count="8">
    <mergeCell ref="Q2:S2"/>
    <mergeCell ref="B2:B3"/>
    <mergeCell ref="C2:C3"/>
    <mergeCell ref="E2:G2"/>
    <mergeCell ref="H2:J2"/>
    <mergeCell ref="K2:M2"/>
    <mergeCell ref="N2:P2"/>
    <mergeCell ref="D2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topLeftCell="C1" workbookViewId="0">
      <selection activeCell="H20" sqref="H20"/>
    </sheetView>
  </sheetViews>
  <sheetFormatPr baseColWidth="10" defaultRowHeight="15" x14ac:dyDescent="0.25"/>
  <cols>
    <col min="1" max="1" width="1.5703125" customWidth="1"/>
    <col min="2" max="2" width="15.7109375" bestFit="1" customWidth="1"/>
    <col min="3" max="3" width="22.140625" bestFit="1" customWidth="1"/>
    <col min="4" max="4" width="6.28515625" bestFit="1" customWidth="1"/>
    <col min="5" max="5" width="15" customWidth="1"/>
    <col min="6" max="7" width="8.7109375" customWidth="1"/>
    <col min="9" max="10" width="8.7109375" customWidth="1"/>
    <col min="12" max="13" width="8.7109375" customWidth="1"/>
    <col min="15" max="16" width="8.7109375" customWidth="1"/>
    <col min="18" max="19" width="8.7109375" customWidth="1"/>
  </cols>
  <sheetData>
    <row r="2" spans="2:19" x14ac:dyDescent="0.25">
      <c r="B2" s="62" t="s">
        <v>86</v>
      </c>
      <c r="C2" s="62" t="s">
        <v>87</v>
      </c>
      <c r="D2" s="62" t="s">
        <v>128</v>
      </c>
      <c r="E2" s="60">
        <v>2017</v>
      </c>
      <c r="F2" s="60"/>
      <c r="G2" s="61"/>
      <c r="H2" s="59">
        <v>2016</v>
      </c>
      <c r="I2" s="63"/>
      <c r="J2" s="61"/>
      <c r="K2" s="59">
        <v>2015</v>
      </c>
      <c r="L2" s="63"/>
      <c r="M2" s="61"/>
      <c r="N2" s="59">
        <v>2014</v>
      </c>
      <c r="O2" s="60"/>
      <c r="P2" s="61"/>
      <c r="Q2" s="59">
        <v>2013</v>
      </c>
      <c r="R2" s="60"/>
      <c r="S2" s="60"/>
    </row>
    <row r="3" spans="2:19" ht="30" x14ac:dyDescent="0.25">
      <c r="B3" s="62"/>
      <c r="C3" s="62"/>
      <c r="D3" s="62"/>
      <c r="E3" s="32" t="s">
        <v>95</v>
      </c>
      <c r="F3" s="32" t="s">
        <v>119</v>
      </c>
      <c r="G3" s="41" t="s">
        <v>120</v>
      </c>
      <c r="H3" s="32" t="s">
        <v>95</v>
      </c>
      <c r="I3" s="32" t="s">
        <v>119</v>
      </c>
      <c r="J3" s="41" t="s">
        <v>120</v>
      </c>
      <c r="K3" s="32" t="s">
        <v>95</v>
      </c>
      <c r="L3" s="32" t="s">
        <v>119</v>
      </c>
      <c r="M3" s="41" t="s">
        <v>120</v>
      </c>
      <c r="N3" s="32" t="s">
        <v>95</v>
      </c>
      <c r="O3" s="32" t="s">
        <v>119</v>
      </c>
      <c r="P3" s="41" t="s">
        <v>120</v>
      </c>
      <c r="Q3" s="32" t="s">
        <v>95</v>
      </c>
      <c r="R3" s="32" t="s">
        <v>119</v>
      </c>
      <c r="S3" s="32" t="s">
        <v>120</v>
      </c>
    </row>
    <row r="4" spans="2:19" x14ac:dyDescent="0.25">
      <c r="B4" s="16" t="s">
        <v>88</v>
      </c>
      <c r="C4" s="8" t="s">
        <v>101</v>
      </c>
      <c r="D4" s="8"/>
      <c r="E4" s="51">
        <f>AVERAGE(E5,E10,E14)</f>
        <v>4.2226323837565998</v>
      </c>
      <c r="F4" s="46">
        <f>Pondération!F80</f>
        <v>12559</v>
      </c>
      <c r="G4" s="47"/>
      <c r="H4" s="51">
        <f>AVERAGE(H5,H10,H14)</f>
        <v>4.1994392196421328</v>
      </c>
      <c r="I4" s="10">
        <f>Pondération!G80</f>
        <v>24276</v>
      </c>
      <c r="J4" s="40"/>
      <c r="K4" s="51">
        <f>AVERAGE(K5,K10,K14)</f>
        <v>4.21852371083338</v>
      </c>
      <c r="L4" s="46">
        <f>Pondération!H80</f>
        <v>11828</v>
      </c>
      <c r="M4" s="37"/>
      <c r="N4" s="51">
        <f>AVERAGE(N5,N10,N14)</f>
        <v>4.2590705799597179</v>
      </c>
      <c r="O4" s="10">
        <f>Pondération!I80</f>
        <v>5166</v>
      </c>
      <c r="P4" s="40"/>
      <c r="Q4" s="51">
        <f>AVERAGE(Q5,Q10,Q14)</f>
        <v>4.2336510229611726</v>
      </c>
      <c r="R4" s="10">
        <f>Pondération!J80</f>
        <v>3188</v>
      </c>
      <c r="S4" s="28"/>
    </row>
    <row r="5" spans="2:19" x14ac:dyDescent="0.25">
      <c r="B5" s="17" t="s">
        <v>78</v>
      </c>
      <c r="C5" s="4" t="s">
        <v>101</v>
      </c>
      <c r="D5" s="4"/>
      <c r="E5" s="50">
        <f>(E6*G6)+(E7*G7)+(E8*G8)+(E9*G9)</f>
        <v>4.5469393761035901</v>
      </c>
      <c r="F5" s="34">
        <f>SUMIFS('Extraction Offre de loisirs'!I:I,'Extraction Offre de loisirs'!D:D,"hauts-de-france", 'Extraction Offre de loisirs'!E:E,"offre de loisirs", 'Extraction Offre de loisirs'!B:B,"2017")</f>
        <v>3398</v>
      </c>
      <c r="G5" s="38">
        <f>F5/$F$4</f>
        <v>0.27056294290946731</v>
      </c>
      <c r="H5" s="50">
        <f>(H6*J6)+(H7*J7)+(H8*J8)+(H9*J9)</f>
        <v>4.4789595533160842</v>
      </c>
      <c r="I5" s="34">
        <f>SUMIFS('Extraction Offre de loisirs'!I:I,'Extraction Offre de loisirs'!D:D,"hauts-de-france", 'Extraction Offre de loisirs'!E:E,"offre de loisirs", 'Extraction Offre de loisirs'!B:B,"2016")</f>
        <v>7343</v>
      </c>
      <c r="J5" s="38">
        <f>I5/$I$4</f>
        <v>0.30247981545559399</v>
      </c>
      <c r="K5" s="50">
        <f>(K6*M6)+(K7*M7)+(K8*M8)+(K9*M9)</f>
        <v>4.3901399878271459</v>
      </c>
      <c r="L5" s="34">
        <f>SUMIFS('Extraction Offre de loisirs'!I:I,'Extraction Offre de loisirs'!D:D,"hauts-de-france", 'Extraction Offre de loisirs'!E:E,"offre de loisirs", 'Extraction Offre de loisirs'!B:B,"2015")</f>
        <v>3286</v>
      </c>
      <c r="M5" s="38">
        <f>L5/$L$4</f>
        <v>0.27781535339871494</v>
      </c>
      <c r="N5" s="50">
        <f>(N6*P6)+(N7*P7)+(N8*P8)+(N9*P9)</f>
        <v>4.3238267148014442</v>
      </c>
      <c r="O5" s="11">
        <f>SUMIFS('Extraction Offre de loisirs'!I:I,'Extraction Offre de loisirs'!D:D,"hauts-de-france", 'Extraction Offre de loisirs'!E:E,"offre de loisirs", 'Extraction Offre de loisirs'!B:B,"2014")</f>
        <v>1385</v>
      </c>
      <c r="P5" s="38">
        <f>O5/$O$4</f>
        <v>0.2680991095625242</v>
      </c>
      <c r="Q5" s="50">
        <f>(Q6*S6)+(Q7*S7)+(Q8*S8)+(Q9*S9)</f>
        <v>4.2842565597667628</v>
      </c>
      <c r="R5" s="11">
        <f>SUMIFS('Extraction Offre de loisirs'!I:I,'Extraction Offre de loisirs'!D:D,"hauts-de-france", 'Extraction Offre de loisirs'!E:E,"offre de loisirs", 'Extraction Offre de loisirs'!B:B,"2013")</f>
        <v>686</v>
      </c>
      <c r="S5" s="35">
        <f>R5/$R$4</f>
        <v>0.21518193224592222</v>
      </c>
    </row>
    <row r="6" spans="2:19" x14ac:dyDescent="0.25">
      <c r="B6" s="15" t="s">
        <v>78</v>
      </c>
      <c r="C6" s="2" t="s">
        <v>79</v>
      </c>
      <c r="D6" s="2"/>
      <c r="E6" s="29">
        <f>SUMIFS('Extraction Offre de loisirs'!G:G,'Extraction Offre de loisirs'!D:D,"hauts-de-france", 'Extraction Offre de loisirs'!F:F,"activites de plein air", 'Extraction Offre de loisirs'!B:B,"2017")</f>
        <v>4.3269230769230766</v>
      </c>
      <c r="F6" s="33">
        <f>SUMIFS('Extraction Offre de loisirs'!I:I,'Extraction Offre de loisirs'!D:D,"hauts-de-france", 'Extraction Offre de loisirs'!F:F,"activites de plein air", 'Extraction Offre de loisirs'!B:B,"2017")</f>
        <v>1144</v>
      </c>
      <c r="G6" s="39">
        <f>F6/$F$5</f>
        <v>0.3366686286050618</v>
      </c>
      <c r="H6" s="30">
        <f>SUMIFS('Extraction Offre de loisirs'!G:G,'Extraction Offre de loisirs'!D:D,"hauts-de-france", 'Extraction Offre de loisirs'!F:F,"activites de plein air", 'Extraction Offre de loisirs'!B:B,"2016")</f>
        <v>4.296420207427234</v>
      </c>
      <c r="I6" s="33">
        <f>SUMIFS('Extraction Offre de loisirs'!I:I,'Extraction Offre de loisirs'!D:D,"hauts-de-france", 'Extraction Offre de loisirs'!F:F,"activites de plein air", 'Extraction Offre de loisirs'!B:B,"2016")</f>
        <v>2989</v>
      </c>
      <c r="J6" s="39">
        <f>I6/$I$5</f>
        <v>0.40705433746425168</v>
      </c>
      <c r="K6" s="29">
        <f>SUMIFS('Extraction Offre de loisirs'!G:G,'Extraction Offre de loisirs'!D:D,"hauts-de-france", 'Extraction Offre de loisirs'!F:F,"activites de plein air", 'Extraction Offre de loisirs'!B:B,"2015")</f>
        <v>4.2983870967741939</v>
      </c>
      <c r="L6" s="33">
        <f>SUMIFS('Extraction Offre de loisirs'!I:I,'Extraction Offre de loisirs'!D:D,"hauts-de-france", 'Extraction Offre de loisirs'!F:F,"activites de plein air", 'Extraction Offre de loisirs'!B:B,"2015")</f>
        <v>1612</v>
      </c>
      <c r="M6" s="39">
        <f>L6/$L$5</f>
        <v>0.49056603773584906</v>
      </c>
      <c r="N6" s="30">
        <f>SUMIFS('Extraction Offre de loisirs'!G:G,'Extraction Offre de loisirs'!D:D,"hauts-de-france", 'Extraction Offre de loisirs'!F:F,"activites de plein air", 'Extraction Offre de loisirs'!B:B,"2014")</f>
        <v>4.2983565107458919</v>
      </c>
      <c r="O6" s="33">
        <f>SUMIFS('Extraction Offre de loisirs'!I:I,'Extraction Offre de loisirs'!D:D,"hauts-de-france", 'Extraction Offre de loisirs'!F:F,"activites de plein air", 'Extraction Offre de loisirs'!B:B,"2014")</f>
        <v>791</v>
      </c>
      <c r="P6" s="39">
        <f>O6/$O$5</f>
        <v>0.57111913357400723</v>
      </c>
      <c r="Q6" s="29">
        <f>SUMIFS('Extraction Offre de loisirs'!G:G,'Extraction Offre de loisirs'!D:D,"hauts-de-france", 'Extraction Offre de loisirs'!F:F,"activites de plein air", 'Extraction Offre de loisirs'!B:B,"2013")</f>
        <v>4.2208737864077666</v>
      </c>
      <c r="R6" s="33">
        <f>SUMIFS('Extraction Offre de loisirs'!I:I,'Extraction Offre de loisirs'!D:D,"hauts-de-france", 'Extraction Offre de loisirs'!F:F,"activites de plein air", 'Extraction Offre de loisirs'!B:B,"2013")</f>
        <v>412</v>
      </c>
      <c r="S6" s="31">
        <f>R6/$R$5</f>
        <v>0.6005830903790087</v>
      </c>
    </row>
    <row r="7" spans="2:19" x14ac:dyDescent="0.25">
      <c r="B7" s="15" t="s">
        <v>78</v>
      </c>
      <c r="C7" s="2" t="s">
        <v>81</v>
      </c>
      <c r="D7" s="2"/>
      <c r="E7" s="29">
        <f>SUMIFS('Extraction Offre de loisirs'!G:G,'Extraction Offre de loisirs'!D:D,"hauts-de-france", 'Extraction Offre de loisirs'!F:F,"jeux et divertissements", 'Extraction Offre de loisirs'!B:B,"2017")</f>
        <v>4.7343283582089555</v>
      </c>
      <c r="F7" s="33">
        <f>SUMIFS('Extraction Offre de loisirs'!I:I,'Extraction Offre de loisirs'!D:D,"hauts-de-france", 'Extraction Offre de loisirs'!F:F,"jeux et divertissements", 'Extraction Offre de loisirs'!B:B,"2017")</f>
        <v>1675</v>
      </c>
      <c r="G7" s="39">
        <f>F7/$F$5</f>
        <v>0.49293702177751619</v>
      </c>
      <c r="H7" s="30">
        <f>SUMIFS('Extraction Offre de loisirs'!G:G,'Extraction Offre de loisirs'!D:D,"hauts-de-france", 'Extraction Offre de loisirs'!F:F,"jeux et divertissements", 'Extraction Offre de loisirs'!B:B,"2016")</f>
        <v>4.6876044102906782</v>
      </c>
      <c r="I7" s="33">
        <f>SUMIFS('Extraction Offre de loisirs'!I:I,'Extraction Offre de loisirs'!D:D,"hauts-de-france", 'Extraction Offre de loisirs'!F:F,"jeux et divertissements", 'Extraction Offre de loisirs'!B:B,"2016")</f>
        <v>2993</v>
      </c>
      <c r="J7" s="39">
        <f>I7/$I$5</f>
        <v>0.40759907394797767</v>
      </c>
      <c r="K7" s="29">
        <f>SUMIFS('Extraction Offre de loisirs'!G:G,'Extraction Offre de loisirs'!D:D,"hauts-de-france", 'Extraction Offre de loisirs'!F:F,"jeux et divertissements", 'Extraction Offre de loisirs'!B:B,"2015")</f>
        <v>4.5066350710900478</v>
      </c>
      <c r="L7" s="33">
        <f>SUMIFS('Extraction Offre de loisirs'!I:I,'Extraction Offre de loisirs'!D:D,"hauts-de-france", 'Extraction Offre de loisirs'!F:F,"jeux et divertissements", 'Extraction Offre de loisirs'!B:B,"2015")</f>
        <v>1055</v>
      </c>
      <c r="M7" s="39">
        <f>L7/$L$5</f>
        <v>0.32105903834449179</v>
      </c>
      <c r="N7" s="30">
        <f>SUMIFS('Extraction Offre de loisirs'!G:G,'Extraction Offre de loisirs'!D:D,"hauts-de-france", 'Extraction Offre de loisirs'!F:F,"jeux et divertissements", 'Extraction Offre de loisirs'!B:B,"2014")</f>
        <v>4.3438395415472772</v>
      </c>
      <c r="O7" s="33">
        <f>SUMIFS('Extraction Offre de loisirs'!I:I,'Extraction Offre de loisirs'!D:D,"hauts-de-france", 'Extraction Offre de loisirs'!F:F,"jeux et divertissements", 'Extraction Offre de loisirs'!B:B,"2014")</f>
        <v>349</v>
      </c>
      <c r="P7" s="39">
        <f>O7/$O$5</f>
        <v>0.25198555956678698</v>
      </c>
      <c r="Q7" s="29">
        <f>SUMIFS('Extraction Offre de loisirs'!G:G,'Extraction Offre de loisirs'!D:D,"hauts-de-france", 'Extraction Offre de loisirs'!F:F,"jeux et divertissements", 'Extraction Offre de loisirs'!B:B,"2013")</f>
        <v>4.4124087591240873</v>
      </c>
      <c r="R7" s="33">
        <f>SUMIFS('Extraction Offre de loisirs'!I:I,'Extraction Offre de loisirs'!D:D,"hauts-de-france", 'Extraction Offre de loisirs'!F:F,"jeux et divertissements", 'Extraction Offre de loisirs'!B:B,"2013")</f>
        <v>137</v>
      </c>
      <c r="S7" s="31">
        <f>R7/$R$5</f>
        <v>0.19970845481049562</v>
      </c>
    </row>
    <row r="8" spans="2:19" x14ac:dyDescent="0.25">
      <c r="B8" s="15" t="s">
        <v>78</v>
      </c>
      <c r="C8" s="2" t="s">
        <v>83</v>
      </c>
      <c r="D8" s="2"/>
      <c r="E8" s="29">
        <f>SUMIFS('Extraction Offre de loisirs'!G:G,'Extraction Offre de loisirs'!D:D,"hauts-de-france", 'Extraction Offre de loisirs'!F:F,"shopping", 'Extraction Offre de loisirs'!B:B,"2017")</f>
        <v>4.3542600896860986</v>
      </c>
      <c r="F8" s="33">
        <f>SUMIFS('Extraction Offre de loisirs'!I:I,'Extraction Offre de loisirs'!D:D,"hauts-de-france", 'Extraction Offre de loisirs'!F:F,"shopping", 'Extraction Offre de loisirs'!B:B,"2017")</f>
        <v>223</v>
      </c>
      <c r="G8" s="39">
        <f>F8/$F$5</f>
        <v>6.5626839317245445E-2</v>
      </c>
      <c r="H8" s="30">
        <f>SUMIFS('Extraction Offre de loisirs'!G:G,'Extraction Offre de loisirs'!D:D,"hauts-de-france", 'Extraction Offre de loisirs'!F:F,"shopping", 'Extraction Offre de loisirs'!B:B,"2016")</f>
        <v>4.3858695652173916</v>
      </c>
      <c r="I8" s="33">
        <f>SUMIFS('Extraction Offre de loisirs'!I:I,'Extraction Offre de loisirs'!D:D,"hauts-de-france", 'Extraction Offre de loisirs'!F:F,"shopping", 'Extraction Offre de loisirs'!B:B,"2016")</f>
        <v>644</v>
      </c>
      <c r="J8" s="39">
        <f>I8/$I$5</f>
        <v>8.7702573879885601E-2</v>
      </c>
      <c r="K8" s="29">
        <f>SUMIFS('Extraction Offre de loisirs'!G:G,'Extraction Offre de loisirs'!D:D,"hauts-de-france", 'Extraction Offre de loisirs'!F:F,"shopping", 'Extraction Offre de loisirs'!B:B,"2015")</f>
        <v>4.470491803278688</v>
      </c>
      <c r="L8" s="33">
        <f>SUMIFS('Extraction Offre de loisirs'!I:I,'Extraction Offre de loisirs'!D:D,"hauts-de-france", 'Extraction Offre de loisirs'!F:F,"shopping", 'Extraction Offre de loisirs'!B:B,"2015")</f>
        <v>305</v>
      </c>
      <c r="M8" s="39">
        <f>L8/$L$5</f>
        <v>9.2818015824710901E-2</v>
      </c>
      <c r="N8" s="30">
        <f>SUMIFS('Extraction Offre de loisirs'!G:G,'Extraction Offre de loisirs'!D:D,"hauts-de-france", 'Extraction Offre de loisirs'!F:F,"shopping", 'Extraction Offre de loisirs'!B:B,"2014")</f>
        <v>4.3837209302325579</v>
      </c>
      <c r="O8" s="33">
        <f>SUMIFS('Extraction Offre de loisirs'!I:I,'Extraction Offre de loisirs'!D:D,"hauts-de-france", 'Extraction Offre de loisirs'!F:F,"shopping", 'Extraction Offre de loisirs'!B:B,"2014")</f>
        <v>129</v>
      </c>
      <c r="P8" s="39">
        <f>O8/$O$5</f>
        <v>9.314079422382672E-2</v>
      </c>
      <c r="Q8" s="29">
        <f>SUMIFS('Extraction Offre de loisirs'!G:G,'Extraction Offre de loisirs'!D:D,"hauts-de-france", 'Extraction Offre de loisirs'!F:F,"shopping", 'Extraction Offre de loisirs'!B:B,"2013")</f>
        <v>4.334905660377359</v>
      </c>
      <c r="R8" s="33">
        <f>SUMIFS('Extraction Offre de loisirs'!I:I,'Extraction Offre de loisirs'!D:D,"hauts-de-france", 'Extraction Offre de loisirs'!F:F,"shopping", 'Extraction Offre de loisirs'!B:B,"2013")</f>
        <v>106</v>
      </c>
      <c r="S8" s="31">
        <f>R8/$R$5</f>
        <v>0.15451895043731778</v>
      </c>
    </row>
    <row r="9" spans="2:19" x14ac:dyDescent="0.25">
      <c r="B9" s="15" t="s">
        <v>78</v>
      </c>
      <c r="C9" s="2" t="s">
        <v>84</v>
      </c>
      <c r="D9" s="2"/>
      <c r="E9" s="29">
        <f>SUMIFS('Extraction Offre de loisirs'!G:G,'Extraction Offre de loisirs'!D:D,"hauts-de-france", 'Extraction Offre de loisirs'!F:F,"vie nocturne", 'Extraction Offre de loisirs'!B:B,"2017")</f>
        <v>4.4929775280898872</v>
      </c>
      <c r="F9" s="33">
        <f>SUMIFS('Extraction Offre de loisirs'!I:I,'Extraction Offre de loisirs'!D:D,"hauts-de-france", 'Extraction Offre de loisirs'!F:F,"vie nocturne", 'Extraction Offre de loisirs'!B:B,"2017")</f>
        <v>356</v>
      </c>
      <c r="G9" s="39">
        <f>F9/$F$5</f>
        <v>0.10476751030017657</v>
      </c>
      <c r="H9" s="30">
        <f>SUMIFS('Extraction Offre de loisirs'!G:G,'Extraction Offre de loisirs'!D:D,"hauts-de-france", 'Extraction Offre de loisirs'!F:F,"vie nocturne", 'Extraction Offre de loisirs'!B:B,"2016")</f>
        <v>4.4525801952580188</v>
      </c>
      <c r="I9" s="33">
        <f>SUMIFS('Extraction Offre de loisirs'!I:I,'Extraction Offre de loisirs'!D:D,"hauts-de-france", 'Extraction Offre de loisirs'!F:F,"vie nocturne", 'Extraction Offre de loisirs'!B:B,"2016")</f>
        <v>717</v>
      </c>
      <c r="J9" s="39">
        <f>I9/$I$5</f>
        <v>9.7644014707885057E-2</v>
      </c>
      <c r="K9" s="29">
        <f>SUMIFS('Extraction Offre de loisirs'!G:G,'Extraction Offre de loisirs'!D:D,"hauts-de-france", 'Extraction Offre de loisirs'!F:F,"vie nocturne", 'Extraction Offre de loisirs'!B:B,"2015")</f>
        <v>4.3917197452229297</v>
      </c>
      <c r="L9" s="33">
        <f>SUMIFS('Extraction Offre de loisirs'!I:I,'Extraction Offre de loisirs'!D:D,"hauts-de-france", 'Extraction Offre de loisirs'!F:F,"vie nocturne", 'Extraction Offre de loisirs'!B:B,"2015")</f>
        <v>314</v>
      </c>
      <c r="M9" s="39">
        <f>L9/$L$5</f>
        <v>9.5556908094948267E-2</v>
      </c>
      <c r="N9" s="30">
        <f>SUMIFS('Extraction Offre de loisirs'!G:G,'Extraction Offre de loisirs'!D:D,"hauts-de-france", 'Extraction Offre de loisirs'!F:F,"vie nocturne", 'Extraction Offre de loisirs'!B:B,"2014")</f>
        <v>4.3706896551724137</v>
      </c>
      <c r="O9" s="33">
        <f>SUMIFS('Extraction Offre de loisirs'!I:I,'Extraction Offre de loisirs'!D:D,"hauts-de-france", 'Extraction Offre de loisirs'!F:F,"vie nocturne", 'Extraction Offre de loisirs'!B:B,"2014")</f>
        <v>116</v>
      </c>
      <c r="P9" s="39">
        <f>O9/$O$5</f>
        <v>8.3754512635379058E-2</v>
      </c>
      <c r="Q9" s="29">
        <f>SUMIFS('Extraction Offre de loisirs'!G:G,'Extraction Offre de loisirs'!D:D,"hauts-de-france", 'Extraction Offre de loisirs'!F:F,"vie nocturne", 'Extraction Offre de loisirs'!B:B,"2013")</f>
        <v>4.387096774193548</v>
      </c>
      <c r="R9" s="33">
        <f>SUMIFS('Extraction Offre de loisirs'!I:I,'Extraction Offre de loisirs'!D:D,"hauts-de-france", 'Extraction Offre de loisirs'!F:F,"vie nocturne", 'Extraction Offre de loisirs'!B:B,"2013")</f>
        <v>31</v>
      </c>
      <c r="S9" s="31">
        <f>R9/$R$5</f>
        <v>4.5189504373177841E-2</v>
      </c>
    </row>
    <row r="10" spans="2:19" x14ac:dyDescent="0.25">
      <c r="B10" s="17" t="s">
        <v>82</v>
      </c>
      <c r="C10" s="4" t="s">
        <v>101</v>
      </c>
      <c r="D10" s="4"/>
      <c r="E10" s="50">
        <f>(E11*G11)+(E12*G12)+(E13*G13)</f>
        <v>3.9773662551440334</v>
      </c>
      <c r="F10" s="34">
        <f>SUMIFS('Extraction Patrimoine'!I:I,'Extraction Patrimoine'!D:D,"hauts-de-france", 'Extraction Patrimoine'!E:E,"patrimoine", 'Extraction Patrimoine'!B:B,"2017")</f>
        <v>1944</v>
      </c>
      <c r="G10" s="38">
        <f>F10/$F$4</f>
        <v>0.15478939406003664</v>
      </c>
      <c r="H10" s="50">
        <f>(H11*J11)+(H12*J12)+(H13*J13)</f>
        <v>3.9823064113238971</v>
      </c>
      <c r="I10" s="11">
        <f>SUMIFS('Extraction Patrimoine'!I:I,'Extraction Patrimoine'!D:D,"hauts-de-france", 'Extraction Patrimoine'!E:E,"patrimoine", 'Extraction Patrimoine'!B:B,"2016")</f>
        <v>4804</v>
      </c>
      <c r="J10" s="48">
        <f>I10/$I$4</f>
        <v>0.19789092107431208</v>
      </c>
      <c r="K10" s="50">
        <f>(K11*M11)+(K12*M12)+(K13*M13)</f>
        <v>3.9781795511221945</v>
      </c>
      <c r="L10" s="34">
        <f>SUMIFS('Extraction Patrimoine'!I:I,'Extraction Patrimoine'!D:D,"hauts-de-france", 'Extraction Patrimoine'!E:E,"patrimoine", 'Extraction Patrimoine'!B:B,"2015")</f>
        <v>3208</v>
      </c>
      <c r="M10" s="38">
        <f>L10/$L$4</f>
        <v>0.27122083192424756</v>
      </c>
      <c r="N10" s="50">
        <f>(N11*P11)+(N12*P12)+(N13*P13)</f>
        <v>3.9692197566213316</v>
      </c>
      <c r="O10" s="11">
        <f>SUMIFS('Extraction Patrimoine'!I:I,'Extraction Patrimoine'!D:D,"hauts-de-france", 'Extraction Patrimoine'!E:E,"patrimoine", 'Extraction Patrimoine'!B:B,"2014")</f>
        <v>1397</v>
      </c>
      <c r="P10" s="48">
        <f>O10/$O$4</f>
        <v>0.27042198993418504</v>
      </c>
      <c r="Q10" s="50">
        <f>(Q11*S11)+(Q12*S12)+(Q13*S13)</f>
        <v>3.9678111587982832</v>
      </c>
      <c r="R10" s="11">
        <f>SUMIFS('Extraction Patrimoine'!I:I,'Extraction Patrimoine'!D:D,"hauts-de-france", 'Extraction Patrimoine'!E:E,"patrimoine", 'Extraction Patrimoine'!B:B,"2013")</f>
        <v>932</v>
      </c>
      <c r="S10" s="49">
        <f>R10/$R$4</f>
        <v>0.29234629861982436</v>
      </c>
    </row>
    <row r="11" spans="2:19" x14ac:dyDescent="0.25">
      <c r="B11" s="15" t="s">
        <v>82</v>
      </c>
      <c r="C11" s="15" t="s">
        <v>98</v>
      </c>
      <c r="D11" s="15"/>
      <c r="E11" s="29">
        <f>SUMIFS('Extraction Patrimoine'!G:G,'Extraction Patrimoine'!D:D,"hauts-de-france", 'Extraction Patrimoine'!F:F,"nature et parcs", 'Extraction Patrimoine'!B:B,"2017")</f>
        <v>3.9773662551440334</v>
      </c>
      <c r="F11" s="23">
        <f>SUMIFS('Extraction Patrimoine'!I:I,'Extraction Patrimoine'!D:D,"hauts-de-france", 'Extraction Patrimoine'!F:F,"nature et parcs", 'Extraction Patrimoine'!B:B,"2017")</f>
        <v>1944</v>
      </c>
      <c r="G11" s="39">
        <f>F11/$F$10</f>
        <v>1</v>
      </c>
      <c r="H11" s="29">
        <f>SUMIFS('Extraction Patrimoine'!G:G,'Extraction Patrimoine'!D:D,"hauts-de-france", 'Extraction Patrimoine'!F:F,"nature et parcs", 'Extraction Patrimoine'!B:B,"2016")</f>
        <v>3.9823064113238971</v>
      </c>
      <c r="I11" s="23">
        <f>SUMIFS('Extraction Patrimoine'!I:I,'Extraction Patrimoine'!D:D,"hauts-de-france", 'Extraction Patrimoine'!F:F,"nature et parcs", 'Extraction Patrimoine'!B:B,"2016")</f>
        <v>4804</v>
      </c>
      <c r="J11" s="39">
        <f>I11/$I$10</f>
        <v>1</v>
      </c>
      <c r="K11" s="29">
        <f>SUMIFS('Extraction Patrimoine'!G:G,'Extraction Patrimoine'!D:D,"hauts-de-france", 'Extraction Patrimoine'!F:F,"nature et parcs", 'Extraction Patrimoine'!B:B,"2015")</f>
        <v>3.9781795511221945</v>
      </c>
      <c r="L11" s="23">
        <f>SUMIFS('Extraction Patrimoine'!I:I,'Extraction Patrimoine'!D:D,"hauts-de-france", 'Extraction Patrimoine'!F:F,"nature et parcs", 'Extraction Patrimoine'!B:B,"2015")</f>
        <v>3208</v>
      </c>
      <c r="M11" s="39">
        <f>L11/$L$10</f>
        <v>1</v>
      </c>
      <c r="N11" s="29">
        <f>SUMIFS('Extraction Patrimoine'!G:G,'Extraction Patrimoine'!D:D,"hauts-de-france", 'Extraction Patrimoine'!F:F,"nature et parcs", 'Extraction Patrimoine'!B:B,"2014")</f>
        <v>3.9692197566213316</v>
      </c>
      <c r="O11" s="23">
        <f>SUMIFS('Extraction Patrimoine'!I:I,'Extraction Patrimoine'!D:D,"hauts-de-france", 'Extraction Patrimoine'!F:F,"nature et parcs", 'Extraction Patrimoine'!B:B,"2014")</f>
        <v>1397</v>
      </c>
      <c r="P11" s="39">
        <f>O11/$O$10</f>
        <v>1</v>
      </c>
      <c r="Q11" s="29">
        <f>SUMIFS('Extraction Patrimoine'!G:G,'Extraction Patrimoine'!D:D,"hauts-de-france", 'Extraction Patrimoine'!F:F,"nature et parcs", 'Extraction Patrimoine'!B:B,"2013")</f>
        <v>3.9678111587982832</v>
      </c>
      <c r="R11" s="23">
        <f>SUMIFS('Extraction Patrimoine'!I:I,'Extraction Patrimoine'!D:D,"hauts-de-france", 'Extraction Patrimoine'!F:F,"nature et parcs", 'Extraction Patrimoine'!B:B,"2013")</f>
        <v>932</v>
      </c>
      <c r="S11" s="43">
        <f>R11/$R$10</f>
        <v>1</v>
      </c>
    </row>
    <row r="12" spans="2:19" x14ac:dyDescent="0.25">
      <c r="B12" s="15" t="s">
        <v>82</v>
      </c>
      <c r="C12" s="15" t="s">
        <v>99</v>
      </c>
      <c r="D12" s="15"/>
      <c r="E12" s="29">
        <f>SUMIFS('Extraction Patrimoine'!G:G,'Extraction Patrimoine'!D:D,"hauts-de-france", 'Extraction Patrimoine'!F:F,"musées", 'Extraction Patrimoine'!B:B,"2017")</f>
        <v>0</v>
      </c>
      <c r="F12" s="23">
        <f>SUMIFS('Extraction Patrimoine'!I:I,'Extraction Patrimoine'!D:D,"hauts-de-france", 'Extraction Patrimoine'!F:F,"musées", 'Extraction Patrimoine'!B:B,"2017")</f>
        <v>0</v>
      </c>
      <c r="G12" s="39">
        <f>F12/$F$10</f>
        <v>0</v>
      </c>
      <c r="H12" s="29">
        <f>SUMIFS('Extraction Patrimoine'!G:G,'Extraction Patrimoine'!D:D,"hauts-de-france", 'Extraction Patrimoine'!F:F,"musées", 'Extraction Patrimoine'!B:B,"2016")</f>
        <v>0</v>
      </c>
      <c r="I12" s="23">
        <f>SUMIFS('Extraction Patrimoine'!I:I,'Extraction Patrimoine'!D:D,"hauts-de-france", 'Extraction Patrimoine'!F:F,"musées", 'Extraction Patrimoine'!B:B,"2016")</f>
        <v>0</v>
      </c>
      <c r="J12" s="39">
        <f t="shared" ref="J12:J13" si="0">I12/$I$10</f>
        <v>0</v>
      </c>
      <c r="K12" s="29">
        <f>SUMIFS('Extraction Patrimoine'!G:G,'Extraction Patrimoine'!D:D,"hauts-de-france", 'Extraction Patrimoine'!F:F,"musées", 'Extraction Patrimoine'!B:B,"2015")</f>
        <v>0</v>
      </c>
      <c r="L12" s="23">
        <f>SUMIFS('Extraction Patrimoine'!I:I,'Extraction Patrimoine'!D:D,"hauts-de-france", 'Extraction Patrimoine'!F:F,"musées", 'Extraction Patrimoine'!B:B,"2015")</f>
        <v>0</v>
      </c>
      <c r="M12" s="39">
        <f t="shared" ref="M12:M13" si="1">L12/$L$10</f>
        <v>0</v>
      </c>
      <c r="N12" s="29">
        <f>SUMIFS('Extraction Patrimoine'!G:G,'Extraction Patrimoine'!D:D,"hauts-de-france", 'Extraction Patrimoine'!F:F,"musées", 'Extraction Patrimoine'!B:B,"2014")</f>
        <v>0</v>
      </c>
      <c r="O12" s="23">
        <f>SUMIFS('Extraction Patrimoine'!I:I,'Extraction Patrimoine'!D:D,"hauts-de-france", 'Extraction Patrimoine'!F:F,"musées", 'Extraction Patrimoine'!B:B,"2014")</f>
        <v>0</v>
      </c>
      <c r="P12" s="39">
        <f t="shared" ref="P12:P13" si="2">O12/$O$10</f>
        <v>0</v>
      </c>
      <c r="Q12" s="29">
        <f>SUMIFS('Extraction Patrimoine'!G:G,'Extraction Patrimoine'!D:D,"hauts-de-france", 'Extraction Patrimoine'!F:F,"musées", 'Extraction Patrimoine'!B:B,"2013")</f>
        <v>0</v>
      </c>
      <c r="R12" s="23">
        <f>SUMIFS('Extraction Patrimoine'!I:I,'Extraction Patrimoine'!D:D,"hauts-de-france", 'Extraction Patrimoine'!F:F,"musées", 'Extraction Patrimoine'!B:B,"2013")</f>
        <v>0</v>
      </c>
      <c r="S12" s="43">
        <f t="shared" ref="S12:S13" si="3">R12/$R$10</f>
        <v>0</v>
      </c>
    </row>
    <row r="13" spans="2:19" x14ac:dyDescent="0.25">
      <c r="B13" s="15" t="s">
        <v>82</v>
      </c>
      <c r="C13" s="15" t="s">
        <v>100</v>
      </c>
      <c r="D13" s="15"/>
      <c r="E13" s="29">
        <f>SUMIFS('Extraction Patrimoine'!G:G,'Extraction Patrimoine'!D:D,"hauts-de-france", 'Extraction Patrimoine'!F:F,"sites et monuments", 'Extraction Patrimoine'!B:B,"2017")</f>
        <v>0</v>
      </c>
      <c r="F13" s="23">
        <f>SUMIFS('Extraction Patrimoine'!I:I,'Extraction Patrimoine'!D:D,"hauts-de-france", 'Extraction Patrimoine'!F:F,"sites et monuments", 'Extraction Patrimoine'!B:B,"2017")</f>
        <v>0</v>
      </c>
      <c r="G13" s="39">
        <f>F13/$F$10</f>
        <v>0</v>
      </c>
      <c r="H13" s="29">
        <f>SUMIFS('Extraction Patrimoine'!G:G,'Extraction Patrimoine'!D:D,"hauts-de-france", 'Extraction Patrimoine'!F:F,"sites et monuments", 'Extraction Patrimoine'!B:B,"2016")</f>
        <v>0</v>
      </c>
      <c r="I13" s="23">
        <f>SUMIFS('Extraction Patrimoine'!I:I,'Extraction Patrimoine'!D:D,"hauts-de-france", 'Extraction Patrimoine'!F:F,"sites et monuments", 'Extraction Patrimoine'!B:B,"2016")</f>
        <v>0</v>
      </c>
      <c r="J13" s="39">
        <f t="shared" si="0"/>
        <v>0</v>
      </c>
      <c r="K13" s="29">
        <f>SUMIFS('Extraction Patrimoine'!G:G,'Extraction Patrimoine'!D:D,"hauts-de-france", 'Extraction Patrimoine'!F:F,"sites et monuments", 'Extraction Patrimoine'!B:B,"2015")</f>
        <v>0</v>
      </c>
      <c r="L13" s="23">
        <f>SUMIFS('Extraction Patrimoine'!I:I,'Extraction Patrimoine'!D:D,"hauts-de-france", 'Extraction Patrimoine'!F:F,"sites et monuments", 'Extraction Patrimoine'!B:B,"2015")</f>
        <v>0</v>
      </c>
      <c r="M13" s="39">
        <f t="shared" si="1"/>
        <v>0</v>
      </c>
      <c r="N13" s="29">
        <f>SUMIFS('Extraction Patrimoine'!G:G,'Extraction Patrimoine'!D:D,"hauts-de-france", 'Extraction Patrimoine'!F:F,"sites et monuments", 'Extraction Patrimoine'!B:B,"2014")</f>
        <v>0</v>
      </c>
      <c r="O13" s="23">
        <f>SUMIFS('Extraction Patrimoine'!I:I,'Extraction Patrimoine'!D:D,"hauts-de-france", 'Extraction Patrimoine'!F:F,"sites et monuments", 'Extraction Patrimoine'!B:B,"2014")</f>
        <v>0</v>
      </c>
      <c r="P13" s="39">
        <f t="shared" si="2"/>
        <v>0</v>
      </c>
      <c r="Q13" s="29">
        <f>SUMIFS('Extraction Patrimoine'!G:G,'Extraction Patrimoine'!D:D,"hauts-de-france", 'Extraction Patrimoine'!F:F,"sites et monuments", 'Extraction Patrimoine'!B:B,"2013")</f>
        <v>0</v>
      </c>
      <c r="R13" s="23">
        <f>SUMIFS('Extraction Patrimoine'!I:I,'Extraction Patrimoine'!D:D,"hauts-de-france", 'Extraction Patrimoine'!F:F,"sites et monuments", 'Extraction Patrimoine'!B:B,"2013")</f>
        <v>0</v>
      </c>
      <c r="S13" s="43">
        <f t="shared" si="3"/>
        <v>0</v>
      </c>
    </row>
    <row r="14" spans="2:19" x14ac:dyDescent="0.25">
      <c r="B14" s="17" t="s">
        <v>9</v>
      </c>
      <c r="C14" s="4" t="s">
        <v>101</v>
      </c>
      <c r="D14" s="4"/>
      <c r="E14" s="50">
        <f>(E15*G15)+(E16*G16)</f>
        <v>4.1435915200221745</v>
      </c>
      <c r="F14" s="34">
        <f>SUMIFS('Extraction Offre de services'!I:I,'Extraction Offre de services'!D:D,"hauts-de-france", 'Extraction Offre de services'!E:E,"Offre de services", 'Extraction Offre de services'!B:B,"2017")</f>
        <v>7217</v>
      </c>
      <c r="G14" s="38">
        <f>F14/$F$4</f>
        <v>0.57464766303049608</v>
      </c>
      <c r="H14" s="50">
        <f>(H15*J15)+(H16*J16)</f>
        <v>4.1370516942864182</v>
      </c>
      <c r="I14" s="11">
        <f>SUMIFS('Extraction Offre de services'!I:I,'Extraction Offre de services'!D:D,"hauts-de-france", 'Extraction Offre de services'!E:E,"Offre de services", 'Extraction Offre de services'!B:B,"2016")</f>
        <v>12129</v>
      </c>
      <c r="J14" s="48">
        <f>I14/$I$4</f>
        <v>0.4996292634700939</v>
      </c>
      <c r="K14" s="50">
        <f>(K15*M15)+(K16*M16)</f>
        <v>4.2872515935508</v>
      </c>
      <c r="L14" s="11">
        <f>SUMIFS('Extraction Offre de services'!I:I,'Extraction Offre de services'!D:D,"hauts-de-france", 'Extraction Offre de services'!E:E,"Offre de services", 'Extraction Offre de services'!B:B,"2015")</f>
        <v>5334</v>
      </c>
      <c r="M14" s="38">
        <f>L14/$L$4</f>
        <v>0.45096381467703756</v>
      </c>
      <c r="N14" s="50">
        <f>(N15*P15)+(N16*P16)</f>
        <v>4.4841652684563762</v>
      </c>
      <c r="O14" s="11">
        <f>SUMIFS('Extraction Offre de services'!I:I,'Extraction Offre de services'!D:D,"hauts-de-france", 'Extraction Offre de services'!E:E,"Offre de services", 'Extraction Offre de services'!B:B,"2014")</f>
        <v>2384</v>
      </c>
      <c r="P14" s="48">
        <f>O14/$O$4</f>
        <v>0.46147890050329077</v>
      </c>
      <c r="Q14" s="50">
        <f>(Q15*S15)+(Q16*S16)</f>
        <v>4.4488853503184718</v>
      </c>
      <c r="R14" s="11">
        <f>SUMIFS('Extraction Offre de services'!I:I,'Extraction Offre de services'!D:D,"hauts-de-france", 'Extraction Offre de services'!E:E,"Offre de services", 'Extraction Offre de services'!B:B,"2013")</f>
        <v>1570</v>
      </c>
      <c r="S14" s="49">
        <f>R14/$R$4</f>
        <v>0.49247176913425345</v>
      </c>
    </row>
    <row r="15" spans="2:19" x14ac:dyDescent="0.25">
      <c r="B15" s="15" t="s">
        <v>9</v>
      </c>
      <c r="C15" s="2" t="s">
        <v>10</v>
      </c>
      <c r="D15" s="2"/>
      <c r="E15" s="29">
        <f>SUMIFS('Extraction Offre de services'!G:G,'Extraction Offre de services'!D:D,"hauts-de-france", 'Extraction Offre de services'!F:F,"hebergement", 'Extraction Offre de services'!B:B,"2017")</f>
        <v>3.9937292358804046</v>
      </c>
      <c r="F15" s="23">
        <f>SUMIFS('Extraction Offre de services'!I:I,'Extraction Offre de services'!D:D,"hauts-de-france", 'Extraction Offre de services'!F:F,"hebergement", 'Extraction Offre de services'!B:B,"2017")</f>
        <v>4816</v>
      </c>
      <c r="G15" s="39">
        <f>F15/$F$14</f>
        <v>0.66731328806983514</v>
      </c>
      <c r="H15" s="30">
        <f>SUMIFS('Extraction Offre de services'!G:G,'Extraction Offre de services'!D:D,"hauts-de-france", 'Extraction Offre de services'!F:F,"hebergement", 'Extraction Offre de services'!B:B,"2016")</f>
        <v>3.9614423205453777</v>
      </c>
      <c r="I15" s="23">
        <f>SUMIFS('Extraction Offre de services'!I:I,'Extraction Offre de services'!D:D,"hauts-de-france", 'Extraction Offre de services'!F:F,"hebergement", 'Extraction Offre de services'!B:B,"2016")</f>
        <v>7481</v>
      </c>
      <c r="J15" s="45">
        <f>I15/$I$14</f>
        <v>0.6167862148569544</v>
      </c>
      <c r="K15" s="29">
        <f>SUMIFS('Extraction Offre de services'!G:G,'Extraction Offre de services'!D:D,"hauts-de-france", 'Extraction Offre de services'!F:F,"hebergement", 'Extraction Offre de services'!B:B,"2015")</f>
        <v>4.0832667332667176</v>
      </c>
      <c r="L15" s="23">
        <f>SUMIFS('Extraction Offre de services'!I:I,'Extraction Offre de services'!D:D,"hauts-de-france", 'Extraction Offre de services'!F:F,"hebergement", 'Extraction Offre de services'!B:B,"2015")</f>
        <v>2002</v>
      </c>
      <c r="M15" s="45">
        <f>L15/$L$14</f>
        <v>0.37532808398950129</v>
      </c>
      <c r="N15" s="30">
        <f>SUMIFS('Extraction Offre de services'!G:G,'Extraction Offre de services'!D:D,"hauts-de-france", 'Extraction Offre de services'!F:F,"hebergement", 'Extraction Offre de services'!B:B,"2014")</f>
        <v>0</v>
      </c>
      <c r="O15" s="23">
        <f>SUMIFS('Extraction Offre de services'!I:I,'Extraction Offre de services'!D:D,"hauts-de-france", 'Extraction Offre de services'!F:F,"hebergement", 'Extraction Offre de services'!B:B,"2014")</f>
        <v>0</v>
      </c>
      <c r="P15" s="45">
        <f>O15/$O$14</f>
        <v>0</v>
      </c>
      <c r="Q15" s="29">
        <f>SUMIFS('Extraction Offre de services'!G:G,'Extraction Offre de services'!D:D,"hauts-de-france", 'Extraction Offre de services'!F:F,"hebergement", 'Extraction Offre de services'!B:B,"2013")</f>
        <v>0</v>
      </c>
      <c r="R15" s="23">
        <f>SUMIFS('Extraction Offre de services'!I:I,'Extraction Offre de services'!D:D,"hauts-de-france", 'Extraction Offre de services'!F:F,"hebergement", 'Extraction Offre de services'!B:B,"2013")</f>
        <v>0</v>
      </c>
      <c r="S15" s="42">
        <f>R15/$R$14</f>
        <v>0</v>
      </c>
    </row>
    <row r="16" spans="2:19" x14ac:dyDescent="0.25">
      <c r="B16" s="15" t="s">
        <v>9</v>
      </c>
      <c r="C16" s="2" t="s">
        <v>48</v>
      </c>
      <c r="D16" s="2"/>
      <c r="E16" s="29">
        <f>SUMIFS('Extraction Offre de services'!G:G,'Extraction Offre de services'!D:D,"hauts-de-france", 'Extraction Offre de services'!F:F,"restauration", 'Extraction Offre de services'!B:B,"2017")</f>
        <v>4.4441899208663065</v>
      </c>
      <c r="F16" s="23">
        <f>SUMIFS('Extraction Offre de services'!I:I,'Extraction Offre de services'!D:D,"hauts-de-france", 'Extraction Offre de services'!F:F,"restauration", 'Extraction Offre de services'!B:B,"2017")</f>
        <v>2401</v>
      </c>
      <c r="G16" s="39">
        <f>F16/$F$14</f>
        <v>0.33268671193016491</v>
      </c>
      <c r="H16" s="30">
        <f>SUMIFS('Extraction Offre de services'!G:G,'Extraction Offre de services'!D:D,"hauts-de-france", 'Extraction Offre de services'!F:F,"restauration", 'Extraction Offre de services'!B:B,"2016")</f>
        <v>4.4196966437177281</v>
      </c>
      <c r="I16" s="23">
        <f>SUMIFS('Extraction Offre de services'!I:I,'Extraction Offre de services'!D:D,"hauts-de-france", 'Extraction Offre de services'!F:F,"restauration", 'Extraction Offre de services'!B:B,"2016")</f>
        <v>4648</v>
      </c>
      <c r="J16" s="45">
        <f>I16/$I$14</f>
        <v>0.3832137851430456</v>
      </c>
      <c r="K16" s="29">
        <f>SUMIFS('Extraction Offre de services'!G:G,'Extraction Offre de services'!D:D,"hauts-de-france", 'Extraction Offre de services'!F:F,"restauration", 'Extraction Offre de services'!B:B,"2015")</f>
        <v>4.4098139255702282</v>
      </c>
      <c r="L16" s="23">
        <f>SUMIFS('Extraction Offre de services'!I:I,'Extraction Offre de services'!D:D,"hauts-de-france", 'Extraction Offre de services'!F:F,"restauration", 'Extraction Offre de services'!B:B,"2015")</f>
        <v>3332</v>
      </c>
      <c r="M16" s="45">
        <f>L16/$L$14</f>
        <v>0.62467191601049865</v>
      </c>
      <c r="N16" s="30">
        <f>SUMIFS('Extraction Offre de services'!G:G,'Extraction Offre de services'!D:D,"hauts-de-france", 'Extraction Offre de services'!F:F,"restauration", 'Extraction Offre de services'!B:B,"2014")</f>
        <v>4.4841652684563762</v>
      </c>
      <c r="O16" s="23">
        <f>SUMIFS('Extraction Offre de services'!I:I,'Extraction Offre de services'!D:D,"hauts-de-france", 'Extraction Offre de services'!F:F,"restauration", 'Extraction Offre de services'!B:B,"2014")</f>
        <v>2384</v>
      </c>
      <c r="P16" s="45">
        <f>O16/$O$14</f>
        <v>1</v>
      </c>
      <c r="Q16" s="29">
        <f>SUMIFS('Extraction Offre de services'!G:G,'Extraction Offre de services'!D:D,"hauts-de-france", 'Extraction Offre de services'!F:F,"restauration", 'Extraction Offre de services'!B:B,"2013")</f>
        <v>4.4488853503184718</v>
      </c>
      <c r="R16" s="23">
        <f>SUMIFS('Extraction Offre de services'!I:I,'Extraction Offre de services'!D:D,"hauts-de-france", 'Extraction Offre de services'!F:F,"restauration", 'Extraction Offre de services'!B:B,"2013")</f>
        <v>1570</v>
      </c>
      <c r="S16" s="42">
        <f>R16/$R$14</f>
        <v>1</v>
      </c>
    </row>
    <row r="17" spans="2:19" s="65" customFormat="1" x14ac:dyDescent="0.25">
      <c r="B17" s="68" t="s">
        <v>9</v>
      </c>
      <c r="C17" s="68" t="s">
        <v>48</v>
      </c>
      <c r="D17" s="68" t="s">
        <v>125</v>
      </c>
      <c r="E17" s="70">
        <f>SUMIFS('Extraction Offre de services'!L:L,'Extraction Offre de services'!D:D,"hauts-de-france", 'Extraction Offre de services'!F:F,"restauration", 'Extraction Offre de services'!B:B,"2017")</f>
        <v>4.4822990420658062</v>
      </c>
      <c r="F17" s="71"/>
      <c r="G17" s="72"/>
      <c r="H17" s="70">
        <f>SUMIFS('Extraction Offre de services'!L:L,'Extraction Offre de services'!D:D,"hauts-de-france", 'Extraction Offre de services'!F:F,"restauration", 'Extraction Offre de services'!B:B,"2016")</f>
        <v>4.4582616179001722</v>
      </c>
      <c r="I17" s="71"/>
      <c r="J17" s="72"/>
      <c r="K17" s="70">
        <f>SUMIFS('Extraction Offre de services'!L:L,'Extraction Offre de services'!D:D,"hauts-de-france", 'Extraction Offre de services'!F:F,"restauration", 'Extraction Offre de services'!B:B,"2015")</f>
        <v>4.432472989195678</v>
      </c>
      <c r="L17" s="68"/>
      <c r="M17" s="72"/>
      <c r="N17" s="70">
        <f>SUMIFS('Extraction Offre de services'!L:L,'Extraction Offre de services'!D:D,"hauts-de-france", 'Extraction Offre de services'!F:F,"restauration", 'Extraction Offre de services'!B:B,"2014")</f>
        <v>4.5289429530201346</v>
      </c>
      <c r="O17" s="68"/>
      <c r="P17" s="68"/>
      <c r="Q17" s="73">
        <f>SUMIFS('Extraction Offre de services'!L:L,'Extraction Offre de services'!D:D,"hauts-de-france", 'Extraction Offre de services'!F:F,"restauration", 'Extraction Offre de services'!B:B,"2013")</f>
        <v>4.4974522292993635</v>
      </c>
      <c r="R17" s="68"/>
      <c r="S17" s="68"/>
    </row>
    <row r="18" spans="2:19" s="65" customFormat="1" x14ac:dyDescent="0.25">
      <c r="B18" s="68" t="s">
        <v>9</v>
      </c>
      <c r="C18" s="68" t="s">
        <v>48</v>
      </c>
      <c r="D18" s="68" t="s">
        <v>127</v>
      </c>
      <c r="E18" s="70">
        <f>SUMIFS('Extraction Offre de services'!N:N,'Extraction Offre de services'!D:D,"hauts-de-france", 'Extraction Offre de services'!F:F,"restauration", 'Extraction Offre de services'!B:B,"2017")</f>
        <v>4.5414410662224078</v>
      </c>
      <c r="F18" s="68"/>
      <c r="G18" s="72"/>
      <c r="H18" s="70">
        <f>SUMIFS('Extraction Offre de services'!N:N,'Extraction Offre de services'!D:D,"hauts-de-france", 'Extraction Offre de services'!F:F,"restauration", 'Extraction Offre de services'!B:B,"2016")</f>
        <v>4.5062392426850266</v>
      </c>
      <c r="I18" s="68"/>
      <c r="J18" s="72"/>
      <c r="K18" s="70">
        <f>SUMIFS('Extraction Offre de services'!N:N,'Extraction Offre de services'!D:D,"hauts-de-france", 'Extraction Offre de services'!F:F,"restauration", 'Extraction Offre de services'!B:B,"2015")</f>
        <v>4.4987995198079229</v>
      </c>
      <c r="L18" s="68"/>
      <c r="M18" s="72"/>
      <c r="N18" s="70">
        <f>SUMIFS('Extraction Offre de services'!N:N,'Extraction Offre de services'!D:D,"hauts-de-france", 'Extraction Offre de services'!F:F,"restauration", 'Extraction Offre de services'!B:B,"2014")</f>
        <v>4.5427852348993287</v>
      </c>
      <c r="O18" s="68"/>
      <c r="P18" s="72"/>
      <c r="Q18" s="70">
        <f>SUMIFS('Extraction Offre de services'!N:N,'Extraction Offre de services'!D:D,"hauts-de-france", 'Extraction Offre de services'!F:F,"restauration", 'Extraction Offre de services'!B:B,"2013")</f>
        <v>4.4757961783439484</v>
      </c>
      <c r="R18" s="68"/>
      <c r="S18" s="68"/>
    </row>
    <row r="19" spans="2:19" s="65" customFormat="1" x14ac:dyDescent="0.25">
      <c r="B19" s="68" t="s">
        <v>9</v>
      </c>
      <c r="C19" s="68" t="s">
        <v>48</v>
      </c>
      <c r="D19" s="68" t="s">
        <v>126</v>
      </c>
      <c r="E19" s="70">
        <f>SUMIFS('Extraction Offre de services'!P:P,'Extraction Offre de services'!D:D,"hauts-de-france", 'Extraction Offre de services'!F:F,"restauration", 'Extraction Offre de services'!B:B,"2017")</f>
        <v>4.270720533111203</v>
      </c>
      <c r="F19" s="68"/>
      <c r="G19" s="72"/>
      <c r="H19" s="70">
        <f>SUMIFS('Extraction Offre de services'!P:P,'Extraction Offre de services'!D:D,"hauts-de-france", 'Extraction Offre de services'!F:F,"restauration", 'Extraction Offre de services'!B:B,"2016")</f>
        <v>4.2560240963855422</v>
      </c>
      <c r="I19" s="68"/>
      <c r="J19" s="72"/>
      <c r="K19" s="70">
        <f>SUMIFS('Extraction Offre de services'!P:P,'Extraction Offre de services'!D:D,"hauts-de-france", 'Extraction Offre de services'!F:F,"restauration", 'Extraction Offre de services'!B:B,"2015")</f>
        <v>4.2755102040816322</v>
      </c>
      <c r="L19" s="68"/>
      <c r="M19" s="72"/>
      <c r="N19" s="70">
        <f>SUMIFS('Extraction Offre de services'!P:P,'Extraction Offre de services'!D:D,"hauts-de-france", 'Extraction Offre de services'!F:F,"restauration", 'Extraction Offre de services'!B:B,"2014")</f>
        <v>4.335989932885906</v>
      </c>
      <c r="O19" s="68"/>
      <c r="P19" s="72"/>
      <c r="Q19" s="70">
        <f>SUMIFS('Extraction Offre de services'!P:P,'Extraction Offre de services'!D:D,"hauts-de-france", 'Extraction Offre de services'!F:F,"restauration", 'Extraction Offre de services'!B:B,"2013")</f>
        <v>4.3248407643312099</v>
      </c>
      <c r="R19" s="68"/>
      <c r="S19" s="68"/>
    </row>
  </sheetData>
  <mergeCells count="8">
    <mergeCell ref="Q2:S2"/>
    <mergeCell ref="B2:B3"/>
    <mergeCell ref="C2:C3"/>
    <mergeCell ref="E2:G2"/>
    <mergeCell ref="H2:J2"/>
    <mergeCell ref="K2:M2"/>
    <mergeCell ref="N2:P2"/>
    <mergeCell ref="D2:D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topLeftCell="C1" workbookViewId="0">
      <selection activeCell="M21" sqref="M21"/>
    </sheetView>
  </sheetViews>
  <sheetFormatPr baseColWidth="10" defaultRowHeight="15" x14ac:dyDescent="0.25"/>
  <cols>
    <col min="1" max="1" width="1.5703125" customWidth="1"/>
    <col min="2" max="2" width="15.7109375" bestFit="1" customWidth="1"/>
    <col min="3" max="3" width="22.140625" bestFit="1" customWidth="1"/>
    <col min="4" max="4" width="6.28515625" bestFit="1" customWidth="1"/>
    <col min="5" max="5" width="15" customWidth="1"/>
    <col min="6" max="7" width="8.7109375" customWidth="1"/>
    <col min="9" max="10" width="8.7109375" customWidth="1"/>
    <col min="12" max="13" width="8.7109375" customWidth="1"/>
    <col min="15" max="16" width="8.7109375" customWidth="1"/>
    <col min="18" max="19" width="8.7109375" customWidth="1"/>
  </cols>
  <sheetData>
    <row r="2" spans="2:19" x14ac:dyDescent="0.25">
      <c r="B2" s="62" t="s">
        <v>86</v>
      </c>
      <c r="C2" s="62" t="s">
        <v>87</v>
      </c>
      <c r="D2" s="62" t="s">
        <v>128</v>
      </c>
      <c r="E2" s="60">
        <v>2017</v>
      </c>
      <c r="F2" s="60"/>
      <c r="G2" s="61"/>
      <c r="H2" s="59">
        <v>2016</v>
      </c>
      <c r="I2" s="63"/>
      <c r="J2" s="61"/>
      <c r="K2" s="59">
        <v>2015</v>
      </c>
      <c r="L2" s="63"/>
      <c r="M2" s="61"/>
      <c r="N2" s="59">
        <v>2014</v>
      </c>
      <c r="O2" s="60"/>
      <c r="P2" s="61"/>
      <c r="Q2" s="59">
        <v>2013</v>
      </c>
      <c r="R2" s="60"/>
      <c r="S2" s="60"/>
    </row>
    <row r="3" spans="2:19" ht="30" x14ac:dyDescent="0.25">
      <c r="B3" s="62"/>
      <c r="C3" s="62"/>
      <c r="D3" s="62"/>
      <c r="E3" s="32" t="s">
        <v>95</v>
      </c>
      <c r="F3" s="32" t="s">
        <v>119</v>
      </c>
      <c r="G3" s="41" t="s">
        <v>120</v>
      </c>
      <c r="H3" s="32" t="s">
        <v>95</v>
      </c>
      <c r="I3" s="32" t="s">
        <v>119</v>
      </c>
      <c r="J3" s="41" t="s">
        <v>120</v>
      </c>
      <c r="K3" s="32" t="s">
        <v>95</v>
      </c>
      <c r="L3" s="32" t="s">
        <v>119</v>
      </c>
      <c r="M3" s="41" t="s">
        <v>120</v>
      </c>
      <c r="N3" s="32" t="s">
        <v>95</v>
      </c>
      <c r="O3" s="32" t="s">
        <v>119</v>
      </c>
      <c r="P3" s="41" t="s">
        <v>120</v>
      </c>
      <c r="Q3" s="32" t="s">
        <v>95</v>
      </c>
      <c r="R3" s="32" t="s">
        <v>119</v>
      </c>
      <c r="S3" s="32" t="s">
        <v>120</v>
      </c>
    </row>
    <row r="4" spans="2:19" x14ac:dyDescent="0.25">
      <c r="B4" s="16" t="s">
        <v>88</v>
      </c>
      <c r="C4" s="8" t="s">
        <v>101</v>
      </c>
      <c r="D4" s="8"/>
      <c r="E4" s="51">
        <f>AVERAGE(E5,E10,E14)</f>
        <v>4.3089078207958655</v>
      </c>
      <c r="F4" s="46">
        <f>Pondération!F93</f>
        <v>42960</v>
      </c>
      <c r="G4" s="47"/>
      <c r="H4" s="51">
        <f>AVERAGE(H5,H10,H14)</f>
        <v>4.328598813007063</v>
      </c>
      <c r="I4" s="10">
        <f>Pondération!G93</f>
        <v>77787</v>
      </c>
      <c r="J4" s="40"/>
      <c r="K4" s="51">
        <f>AVERAGE(K5,K10,K14)</f>
        <v>4.3146515539553789</v>
      </c>
      <c r="L4" s="46">
        <f>Pondération!H93</f>
        <v>36227</v>
      </c>
      <c r="M4" s="37"/>
      <c r="N4" s="51">
        <f>AVERAGE(N5,N10,N14)</f>
        <v>4.3750480671684135</v>
      </c>
      <c r="O4" s="10">
        <f>Pondération!I93</f>
        <v>15814</v>
      </c>
      <c r="P4" s="40"/>
      <c r="Q4" s="51">
        <f>AVERAGE(Q5,Q10,Q14)</f>
        <v>4.3963234436499201</v>
      </c>
      <c r="R4" s="10">
        <f>Pondération!J93</f>
        <v>9597</v>
      </c>
      <c r="S4" s="28"/>
    </row>
    <row r="5" spans="2:19" x14ac:dyDescent="0.25">
      <c r="B5" s="17" t="s">
        <v>78</v>
      </c>
      <c r="C5" s="4" t="s">
        <v>101</v>
      </c>
      <c r="D5" s="4"/>
      <c r="E5" s="50">
        <f>(E6*G6)+(E7*G7)+(E8*G8)+(E9*G9)</f>
        <v>4.5073853913356743</v>
      </c>
      <c r="F5" s="34">
        <f>SUMIFS('Extraction Offre de loisirs'!I:I,'Extraction Offre de loisirs'!D:D,"ile-de-france", 'Extraction Offre de loisirs'!E:E,"offre de loisirs", 'Extraction Offre de loisirs'!B:B,"2017")</f>
        <v>11103</v>
      </c>
      <c r="G5" s="38">
        <f>F5/$F$4</f>
        <v>0.25844972067039107</v>
      </c>
      <c r="H5" s="50">
        <f>(H6*J6)+(H7*J7)+(H8*J8)+(H9*J9)</f>
        <v>4.5355149783472477</v>
      </c>
      <c r="I5" s="34">
        <f>SUMIFS('Extraction Offre de loisirs'!I:I,'Extraction Offre de loisirs'!D:D,"ile-de-france", 'Extraction Offre de loisirs'!E:E,"offre de loisirs", 'Extraction Offre de loisirs'!B:B,"2016")</f>
        <v>22399</v>
      </c>
      <c r="J5" s="38">
        <f>I5/$I$4</f>
        <v>0.28795299985858819</v>
      </c>
      <c r="K5" s="50">
        <f>(K6*M6)+(K7*M7)+(K8*M8)+(K9*M9)</f>
        <v>4.4235586893405223</v>
      </c>
      <c r="L5" s="34">
        <f>SUMIFS('Extraction Offre de loisirs'!I:I,'Extraction Offre de loisirs'!D:D,"ile-de-france", 'Extraction Offre de loisirs'!E:E,"offre de loisirs", 'Extraction Offre de loisirs'!B:B,"2015")</f>
        <v>12055</v>
      </c>
      <c r="M5" s="38">
        <f>L5/$L$4</f>
        <v>0.33276285643304715</v>
      </c>
      <c r="N5" s="50">
        <f>(N6*P6)+(N7*P7)+(N8*P8)+(N9*P9)</f>
        <v>4.3888314374353676</v>
      </c>
      <c r="O5" s="11">
        <f>SUMIFS('Extraction Offre de loisirs'!I:I,'Extraction Offre de loisirs'!D:D,"ile-de-france", 'Extraction Offre de loisirs'!E:E,"offre de loisirs", 'Extraction Offre de loisirs'!B:B,"2014")</f>
        <v>5802</v>
      </c>
      <c r="P5" s="38">
        <f>O5/$O$4</f>
        <v>0.36689009738206652</v>
      </c>
      <c r="Q5" s="50">
        <f>(Q6*S6)+(Q7*S7)+(Q8*S8)+(Q9*S9)</f>
        <v>4.3548596112311015</v>
      </c>
      <c r="R5" s="11">
        <f>SUMIFS('Extraction Offre de loisirs'!I:I,'Extraction Offre de loisirs'!D:D,"ile-de-france", 'Extraction Offre de loisirs'!E:E,"offre de loisirs", 'Extraction Offre de loisirs'!B:B,"2013")</f>
        <v>2315</v>
      </c>
      <c r="S5" s="35">
        <f>R5/$R$4</f>
        <v>0.24122121496300927</v>
      </c>
    </row>
    <row r="6" spans="2:19" x14ac:dyDescent="0.25">
      <c r="B6" s="15" t="s">
        <v>78</v>
      </c>
      <c r="C6" s="2" t="s">
        <v>79</v>
      </c>
      <c r="D6" s="2"/>
      <c r="E6" s="29">
        <f>SUMIFS('Extraction Offre de loisirs'!G:G,'Extraction Offre de loisirs'!D:D,"ile-de-france", 'Extraction Offre de loisirs'!F:F,"activites de plein air", 'Extraction Offre de loisirs'!B:B,"2017")</f>
        <v>4.2371931696905021</v>
      </c>
      <c r="F6" s="33">
        <f>SUMIFS('Extraction Offre de loisirs'!I:I,'Extraction Offre de loisirs'!D:D,"ile-de-france", 'Extraction Offre de loisirs'!F:F,"activites de plein air", 'Extraction Offre de loisirs'!B:B,"2017")</f>
        <v>1874</v>
      </c>
      <c r="G6" s="39">
        <f>F6/$F$5</f>
        <v>0.16878321174457353</v>
      </c>
      <c r="H6" s="30">
        <f>SUMIFS('Extraction Offre de loisirs'!G:G,'Extraction Offre de loisirs'!D:D,"ile-de-france", 'Extraction Offre de loisirs'!F:F,"activites de plein air", 'Extraction Offre de loisirs'!B:B,"2016")</f>
        <v>4.3242061665899678</v>
      </c>
      <c r="I6" s="33">
        <f>SUMIFS('Extraction Offre de loisirs'!I:I,'Extraction Offre de loisirs'!D:D,"ile-de-france", 'Extraction Offre de loisirs'!F:F,"activites de plein air", 'Extraction Offre de loisirs'!B:B,"2016")</f>
        <v>4346</v>
      </c>
      <c r="J6" s="39">
        <f>I6/$I$5</f>
        <v>0.19402651904102861</v>
      </c>
      <c r="K6" s="29">
        <f>SUMIFS('Extraction Offre de loisirs'!G:G,'Extraction Offre de loisirs'!D:D,"ile-de-france", 'Extraction Offre de loisirs'!F:F,"activites de plein air", 'Extraction Offre de loisirs'!B:B,"2015")</f>
        <v>4.2283661877714662</v>
      </c>
      <c r="L6" s="33">
        <f>SUMIFS('Extraction Offre de loisirs'!I:I,'Extraction Offre de loisirs'!D:D,"ile-de-france", 'Extraction Offre de loisirs'!F:F,"activites de plein air", 'Extraction Offre de loisirs'!B:B,"2015")</f>
        <v>2993</v>
      </c>
      <c r="M6" s="39">
        <f>L6/$L$5</f>
        <v>0.24827872252177519</v>
      </c>
      <c r="N6" s="30">
        <f>SUMIFS('Extraction Offre de loisirs'!G:G,'Extraction Offre de loisirs'!D:D,"ile-de-france", 'Extraction Offre de loisirs'!F:F,"activites de plein air", 'Extraction Offre de loisirs'!B:B,"2014")</f>
        <v>4.1583021890016019</v>
      </c>
      <c r="O6" s="33">
        <f>SUMIFS('Extraction Offre de loisirs'!I:I,'Extraction Offre de loisirs'!D:D,"ile-de-france", 'Extraction Offre de loisirs'!F:F,"activites de plein air", 'Extraction Offre de loisirs'!B:B,"2014")</f>
        <v>1873</v>
      </c>
      <c r="P6" s="39">
        <f>O6/$O$5</f>
        <v>0.32281971733884868</v>
      </c>
      <c r="Q6" s="29">
        <f>SUMIFS('Extraction Offre de loisirs'!G:G,'Extraction Offre de loisirs'!D:D,"ile-de-france", 'Extraction Offre de loisirs'!F:F,"activites de plein air", 'Extraction Offre de loisirs'!B:B,"2013")</f>
        <v>4.2147239263803682</v>
      </c>
      <c r="R6" s="33">
        <f>SUMIFS('Extraction Offre de loisirs'!I:I,'Extraction Offre de loisirs'!D:D,"ile-de-france", 'Extraction Offre de loisirs'!F:F,"activites de plein air", 'Extraction Offre de loisirs'!B:B,"2013")</f>
        <v>815</v>
      </c>
      <c r="S6" s="31">
        <f>R6/$R$5</f>
        <v>0.35205183585313177</v>
      </c>
    </row>
    <row r="7" spans="2:19" x14ac:dyDescent="0.25">
      <c r="B7" s="15" t="s">
        <v>78</v>
      </c>
      <c r="C7" s="2" t="s">
        <v>81</v>
      </c>
      <c r="D7" s="2"/>
      <c r="E7" s="29">
        <f>SUMIFS('Extraction Offre de loisirs'!G:G,'Extraction Offre de loisirs'!D:D,"ile-de-france", 'Extraction Offre de loisirs'!F:F,"jeux et divertissements", 'Extraction Offre de loisirs'!B:B,"2017")</f>
        <v>4.6650741350906086</v>
      </c>
      <c r="F7" s="33">
        <f>SUMIFS('Extraction Offre de loisirs'!I:I,'Extraction Offre de loisirs'!D:D,"ile-de-france", 'Extraction Offre de loisirs'!F:F,"jeux et divertissements", 'Extraction Offre de loisirs'!B:B,"2017")</f>
        <v>6070</v>
      </c>
      <c r="G7" s="39">
        <f>F7/$F$5</f>
        <v>0.54669909033594521</v>
      </c>
      <c r="H7" s="30">
        <f>SUMIFS('Extraction Offre de loisirs'!G:G,'Extraction Offre de loisirs'!D:D,"ile-de-france", 'Extraction Offre de loisirs'!F:F,"jeux et divertissements", 'Extraction Offre de loisirs'!B:B,"2016")</f>
        <v>4.7140949158578929</v>
      </c>
      <c r="I7" s="33">
        <f>SUMIFS('Extraction Offre de loisirs'!I:I,'Extraction Offre de loisirs'!D:D,"ile-de-france", 'Extraction Offre de loisirs'!F:F,"jeux et divertissements", 'Extraction Offre de loisirs'!B:B,"2016")</f>
        <v>11231</v>
      </c>
      <c r="J7" s="39">
        <f>I7/$I$5</f>
        <v>0.50140631278182057</v>
      </c>
      <c r="K7" s="29">
        <f>SUMIFS('Extraction Offre de loisirs'!G:G,'Extraction Offre de loisirs'!D:D,"ile-de-france", 'Extraction Offre de loisirs'!F:F,"jeux et divertissements", 'Extraction Offre de loisirs'!B:B,"2015")</f>
        <v>4.5733536187785262</v>
      </c>
      <c r="L7" s="33">
        <f>SUMIFS('Extraction Offre de loisirs'!I:I,'Extraction Offre de loisirs'!D:D,"ile-de-france", 'Extraction Offre de loisirs'!F:F,"jeux et divertissements", 'Extraction Offre de loisirs'!B:B,"2015")</f>
        <v>4601</v>
      </c>
      <c r="M7" s="39">
        <f>L7/$L$5</f>
        <v>0.38166735794276235</v>
      </c>
      <c r="N7" s="30">
        <f>SUMIFS('Extraction Offre de loisirs'!G:G,'Extraction Offre de loisirs'!D:D,"ile-de-france", 'Extraction Offre de loisirs'!F:F,"jeux et divertissements", 'Extraction Offre de loisirs'!B:B,"2014")</f>
        <v>4.6106032906764174</v>
      </c>
      <c r="O7" s="33">
        <f>SUMIFS('Extraction Offre de loisirs'!I:I,'Extraction Offre de loisirs'!D:D,"ile-de-france", 'Extraction Offre de loisirs'!F:F,"jeux et divertissements", 'Extraction Offre de loisirs'!B:B,"2014")</f>
        <v>1641</v>
      </c>
      <c r="P7" s="39">
        <f>O7/$O$5</f>
        <v>0.28283350568769389</v>
      </c>
      <c r="Q7" s="29">
        <f>SUMIFS('Extraction Offre de loisirs'!G:G,'Extraction Offre de loisirs'!D:D,"ile-de-france", 'Extraction Offre de loisirs'!F:F,"jeux et divertissements", 'Extraction Offre de loisirs'!B:B,"2013")</f>
        <v>4.4195402298850581</v>
      </c>
      <c r="R7" s="33">
        <f>SUMIFS('Extraction Offre de loisirs'!I:I,'Extraction Offre de loisirs'!D:D,"ile-de-france", 'Extraction Offre de loisirs'!F:F,"jeux et divertissements", 'Extraction Offre de loisirs'!B:B,"2013")</f>
        <v>348</v>
      </c>
      <c r="S7" s="31">
        <f>R7/$R$5</f>
        <v>0.15032397408207343</v>
      </c>
    </row>
    <row r="8" spans="2:19" x14ac:dyDescent="0.25">
      <c r="B8" s="15" t="s">
        <v>78</v>
      </c>
      <c r="C8" s="2" t="s">
        <v>83</v>
      </c>
      <c r="D8" s="2"/>
      <c r="E8" s="29">
        <f>SUMIFS('Extraction Offre de loisirs'!G:G,'Extraction Offre de loisirs'!D:D,"ile-de-france", 'Extraction Offre de loisirs'!F:F,"shopping", 'Extraction Offre de loisirs'!B:B,"2017")</f>
        <v>4.3892713711990821</v>
      </c>
      <c r="F8" s="33">
        <f>SUMIFS('Extraction Offre de loisirs'!I:I,'Extraction Offre de loisirs'!D:D,"ile-de-france", 'Extraction Offre de loisirs'!F:F,"shopping", 'Extraction Offre de loisirs'!B:B,"2017")</f>
        <v>1743</v>
      </c>
      <c r="G8" s="39">
        <f>F8/$F$5</f>
        <v>0.15698459875709267</v>
      </c>
      <c r="H8" s="30">
        <f>SUMIFS('Extraction Offre de loisirs'!G:G,'Extraction Offre de loisirs'!D:D,"ile-de-france", 'Extraction Offre de loisirs'!F:F,"shopping", 'Extraction Offre de loisirs'!B:B,"2016")</f>
        <v>4.3909090909090915</v>
      </c>
      <c r="I8" s="33">
        <f>SUMIFS('Extraction Offre de loisirs'!I:I,'Extraction Offre de loisirs'!D:D,"ile-de-france", 'Extraction Offre de loisirs'!F:F,"shopping", 'Extraction Offre de loisirs'!B:B,"2016")</f>
        <v>3795</v>
      </c>
      <c r="J8" s="39">
        <f>I8/$I$5</f>
        <v>0.16942720657172194</v>
      </c>
      <c r="K8" s="29">
        <f>SUMIFS('Extraction Offre de loisirs'!G:G,'Extraction Offre de loisirs'!D:D,"ile-de-france", 'Extraction Offre de loisirs'!F:F,"shopping", 'Extraction Offre de loisirs'!B:B,"2015")</f>
        <v>4.4168324711500198</v>
      </c>
      <c r="L8" s="33">
        <f>SUMIFS('Extraction Offre de loisirs'!I:I,'Extraction Offre de loisirs'!D:D,"ile-de-france", 'Extraction Offre de loisirs'!F:F,"shopping", 'Extraction Offre de loisirs'!B:B,"2015")</f>
        <v>2513</v>
      </c>
      <c r="M8" s="39">
        <f>L8/$L$5</f>
        <v>0.20846121941103277</v>
      </c>
      <c r="N8" s="30">
        <f>SUMIFS('Extraction Offre de loisirs'!G:G,'Extraction Offre de loisirs'!D:D,"ile-de-france", 'Extraction Offre de loisirs'!F:F,"shopping", 'Extraction Offre de loisirs'!B:B,"2014")</f>
        <v>4.4329268292682924</v>
      </c>
      <c r="O8" s="33">
        <f>SUMIFS('Extraction Offre de loisirs'!I:I,'Extraction Offre de loisirs'!D:D,"ile-de-france", 'Extraction Offre de loisirs'!F:F,"shopping", 'Extraction Offre de loisirs'!B:B,"2014")</f>
        <v>1148</v>
      </c>
      <c r="P8" s="39">
        <f>O8/$O$5</f>
        <v>0.19786280592899</v>
      </c>
      <c r="Q8" s="29">
        <f>SUMIFS('Extraction Offre de loisirs'!G:G,'Extraction Offre de loisirs'!D:D,"ile-de-france", 'Extraction Offre de loisirs'!F:F,"shopping", 'Extraction Offre de loisirs'!B:B,"2013")</f>
        <v>4.479806138933764</v>
      </c>
      <c r="R8" s="33">
        <f>SUMIFS('Extraction Offre de loisirs'!I:I,'Extraction Offre de loisirs'!D:D,"ile-de-france", 'Extraction Offre de loisirs'!F:F,"shopping", 'Extraction Offre de loisirs'!B:B,"2013")</f>
        <v>619</v>
      </c>
      <c r="S8" s="31">
        <f>R8/$R$5</f>
        <v>0.26738660907127432</v>
      </c>
    </row>
    <row r="9" spans="2:19" x14ac:dyDescent="0.25">
      <c r="B9" s="15" t="s">
        <v>78</v>
      </c>
      <c r="C9" s="2" t="s">
        <v>84</v>
      </c>
      <c r="D9" s="2"/>
      <c r="E9" s="29">
        <f>SUMIFS('Extraction Offre de loisirs'!G:G,'Extraction Offre de loisirs'!D:D,"ile-de-france", 'Extraction Offre de loisirs'!F:F,"vie nocturne", 'Extraction Offre de loisirs'!B:B,"2017")</f>
        <v>4.3343926553672318</v>
      </c>
      <c r="F9" s="33">
        <f>SUMIFS('Extraction Offre de loisirs'!I:I,'Extraction Offre de loisirs'!D:D,"ile-de-france", 'Extraction Offre de loisirs'!F:F,"vie nocturne", 'Extraction Offre de loisirs'!B:B,"2017")</f>
        <v>1416</v>
      </c>
      <c r="G9" s="39">
        <f>F9/$F$5</f>
        <v>0.12753309916238853</v>
      </c>
      <c r="H9" s="30">
        <f>SUMIFS('Extraction Offre de loisirs'!G:G,'Extraction Offre de loisirs'!D:D,"ile-de-france", 'Extraction Offre de loisirs'!F:F,"vie nocturne", 'Extraction Offre de loisirs'!B:B,"2016")</f>
        <v>4.3576148001321444</v>
      </c>
      <c r="I9" s="33">
        <f>SUMIFS('Extraction Offre de loisirs'!I:I,'Extraction Offre de loisirs'!D:D,"ile-de-france", 'Extraction Offre de loisirs'!F:F,"vie nocturne", 'Extraction Offre de loisirs'!B:B,"2016")</f>
        <v>3027</v>
      </c>
      <c r="J9" s="39">
        <f>I9/$I$5</f>
        <v>0.13513996160542882</v>
      </c>
      <c r="K9" s="29">
        <f>SUMIFS('Extraction Offre de loisirs'!G:G,'Extraction Offre de loisirs'!D:D,"ile-de-france", 'Extraction Offre de loisirs'!F:F,"vie nocturne", 'Extraction Offre de loisirs'!B:B,"2015")</f>
        <v>4.3783367556468171</v>
      </c>
      <c r="L9" s="33">
        <f>SUMIFS('Extraction Offre de loisirs'!I:I,'Extraction Offre de loisirs'!D:D,"ile-de-france", 'Extraction Offre de loisirs'!F:F,"vie nocturne", 'Extraction Offre de loisirs'!B:B,"2015")</f>
        <v>1948</v>
      </c>
      <c r="M9" s="39">
        <f>L9/$L$5</f>
        <v>0.16159270012442969</v>
      </c>
      <c r="N9" s="30">
        <f>SUMIFS('Extraction Offre de loisirs'!G:G,'Extraction Offre de loisirs'!D:D,"ile-de-france", 'Extraction Offre de loisirs'!F:F,"vie nocturne", 'Extraction Offre de loisirs'!B:B,"2014")</f>
        <v>4.4039473684210524</v>
      </c>
      <c r="O9" s="33">
        <f>SUMIFS('Extraction Offre de loisirs'!I:I,'Extraction Offre de loisirs'!D:D,"ile-de-france", 'Extraction Offre de loisirs'!F:F,"vie nocturne", 'Extraction Offre de loisirs'!B:B,"2014")</f>
        <v>1140</v>
      </c>
      <c r="P9" s="39">
        <f>O9/$O$5</f>
        <v>0.19648397104446744</v>
      </c>
      <c r="Q9" s="29">
        <f>SUMIFS('Extraction Offre de loisirs'!G:G,'Extraction Offre de loisirs'!D:D,"ile-de-france", 'Extraction Offre de loisirs'!F:F,"vie nocturne", 'Extraction Offre de loisirs'!B:B,"2013")</f>
        <v>4.3818011257035643</v>
      </c>
      <c r="R9" s="33">
        <f>SUMIFS('Extraction Offre de loisirs'!I:I,'Extraction Offre de loisirs'!D:D,"ile-de-france", 'Extraction Offre de loisirs'!F:F,"vie nocturne", 'Extraction Offre de loisirs'!B:B,"2013")</f>
        <v>533</v>
      </c>
      <c r="S9" s="31">
        <f>R9/$R$5</f>
        <v>0.23023758099352051</v>
      </c>
    </row>
    <row r="10" spans="2:19" x14ac:dyDescent="0.25">
      <c r="B10" s="17" t="s">
        <v>82</v>
      </c>
      <c r="C10" s="4" t="s">
        <v>101</v>
      </c>
      <c r="D10" s="4"/>
      <c r="E10" s="50">
        <f>(E11*G11)+(E12*G12)+(E13*G13)</f>
        <v>4.3622927180966116</v>
      </c>
      <c r="F10" s="34">
        <f>SUMIFS('Extraction Patrimoine'!I:I,'Extraction Patrimoine'!D:D,"ile-de-france", 'Extraction Patrimoine'!E:E,"patrimoine", 'Extraction Patrimoine'!B:B,"2017")</f>
        <v>2774</v>
      </c>
      <c r="G10" s="38">
        <f>F10/$F$4</f>
        <v>6.4571694599627555E-2</v>
      </c>
      <c r="H10" s="50">
        <f>(H11*J11)+(H12*J12)+(H13*J13)</f>
        <v>4.3640369282417124</v>
      </c>
      <c r="I10" s="11">
        <f>SUMIFS('Extraction Patrimoine'!I:I,'Extraction Patrimoine'!D:D,"ile-de-france", 'Extraction Patrimoine'!E:E,"patrimoine", 'Extraction Patrimoine'!B:B,"2016")</f>
        <v>7149</v>
      </c>
      <c r="J10" s="48">
        <f>I10/$I$4</f>
        <v>9.1904817000269964E-2</v>
      </c>
      <c r="K10" s="50">
        <f>(K11*M11)+(K12*M12)+(K13*M13)</f>
        <v>4.3527288732394362</v>
      </c>
      <c r="L10" s="34">
        <f>SUMIFS('Extraction Patrimoine'!I:I,'Extraction Patrimoine'!D:D,"ile-de-france", 'Extraction Patrimoine'!E:E,"patrimoine", 'Extraction Patrimoine'!B:B,"2015")</f>
        <v>5680</v>
      </c>
      <c r="M10" s="38">
        <f>L10/$L$4</f>
        <v>0.15678913517542165</v>
      </c>
      <c r="N10" s="50">
        <f>(N11*P11)+(N12*P12)+(N13*P13)</f>
        <v>4.2907059240865557</v>
      </c>
      <c r="O10" s="11">
        <f>SUMIFS('Extraction Patrimoine'!I:I,'Extraction Patrimoine'!D:D,"ile-de-france", 'Extraction Patrimoine'!E:E,"patrimoine", 'Extraction Patrimoine'!B:B,"2014")</f>
        <v>2819</v>
      </c>
      <c r="P10" s="48">
        <f>O10/$O$4</f>
        <v>0.17825976982420641</v>
      </c>
      <c r="Q10" s="50">
        <f>(Q11*S11)+(Q12*S12)+(Q13*S13)</f>
        <v>4.3730205278592376</v>
      </c>
      <c r="R10" s="11">
        <f>SUMIFS('Extraction Patrimoine'!I:I,'Extraction Patrimoine'!D:D,"ile-de-france", 'Extraction Patrimoine'!E:E,"patrimoine", 'Extraction Patrimoine'!B:B,"2013")</f>
        <v>1705</v>
      </c>
      <c r="S10" s="49">
        <f>R10/$R$4</f>
        <v>0.17765968531832865</v>
      </c>
    </row>
    <row r="11" spans="2:19" x14ac:dyDescent="0.25">
      <c r="B11" s="15" t="s">
        <v>82</v>
      </c>
      <c r="C11" s="15" t="s">
        <v>98</v>
      </c>
      <c r="D11" s="15"/>
      <c r="E11" s="29">
        <f>SUMIFS('Extraction Patrimoine'!G:G,'Extraction Patrimoine'!D:D,"ile-de-france", 'Extraction Patrimoine'!F:F,"nature et parcs", 'Extraction Patrimoine'!B:B,"2017")</f>
        <v>4.3622927180966116</v>
      </c>
      <c r="F11" s="23">
        <f>SUMIFS('Extraction Patrimoine'!I:I,'Extraction Patrimoine'!D:D,"ile-de-france", 'Extraction Patrimoine'!F:F,"nature et parcs", 'Extraction Patrimoine'!B:B,"2017")</f>
        <v>2774</v>
      </c>
      <c r="G11" s="39">
        <f>F11/$F$10</f>
        <v>1</v>
      </c>
      <c r="H11" s="29">
        <f>SUMIFS('Extraction Patrimoine'!G:G,'Extraction Patrimoine'!D:D,"ile-de-france", 'Extraction Patrimoine'!F:F,"nature et parcs", 'Extraction Patrimoine'!B:B,"2016")</f>
        <v>4.3640369282417124</v>
      </c>
      <c r="I11" s="23">
        <f>SUMIFS('Extraction Patrimoine'!I:I,'Extraction Patrimoine'!D:D,"ile-de-france", 'Extraction Patrimoine'!F:F,"nature et parcs", 'Extraction Patrimoine'!B:B,"2016")</f>
        <v>7149</v>
      </c>
      <c r="J11" s="39">
        <f>I11/$I$10</f>
        <v>1</v>
      </c>
      <c r="K11" s="29">
        <f>SUMIFS('Extraction Patrimoine'!G:G,'Extraction Patrimoine'!D:D,"ile-de-france", 'Extraction Patrimoine'!F:F,"nature et parcs", 'Extraction Patrimoine'!B:B,"2015")</f>
        <v>4.3527288732394362</v>
      </c>
      <c r="L11" s="23">
        <f>SUMIFS('Extraction Patrimoine'!I:I,'Extraction Patrimoine'!D:D,"ile-de-france", 'Extraction Patrimoine'!F:F,"nature et parcs", 'Extraction Patrimoine'!B:B,"2015")</f>
        <v>5680</v>
      </c>
      <c r="M11" s="39">
        <f>L11/$L$10</f>
        <v>1</v>
      </c>
      <c r="N11" s="29">
        <f>SUMIFS('Extraction Patrimoine'!G:G,'Extraction Patrimoine'!D:D,"ile-de-france", 'Extraction Patrimoine'!F:F,"nature et parcs", 'Extraction Patrimoine'!B:B,"2014")</f>
        <v>4.2907059240865557</v>
      </c>
      <c r="O11" s="23">
        <f>SUMIFS('Extraction Patrimoine'!I:I,'Extraction Patrimoine'!D:D,"ile-de-france", 'Extraction Patrimoine'!F:F,"nature et parcs", 'Extraction Patrimoine'!B:B,"2014")</f>
        <v>2819</v>
      </c>
      <c r="P11" s="39">
        <f>O11/$O$10</f>
        <v>1</v>
      </c>
      <c r="Q11" s="29">
        <f>SUMIFS('Extraction Patrimoine'!G:G,'Extraction Patrimoine'!D:D,"ile-de-france", 'Extraction Patrimoine'!F:F,"nature et parcs", 'Extraction Patrimoine'!B:B,"2013")</f>
        <v>4.3730205278592376</v>
      </c>
      <c r="R11" s="23">
        <f>SUMIFS('Extraction Patrimoine'!I:I,'Extraction Patrimoine'!D:D,"ile-de-france", 'Extraction Patrimoine'!F:F,"nature et parcs", 'Extraction Patrimoine'!B:B,"2013")</f>
        <v>1705</v>
      </c>
      <c r="S11" s="43">
        <f>R11/$R$10</f>
        <v>1</v>
      </c>
    </row>
    <row r="12" spans="2:19" x14ac:dyDescent="0.25">
      <c r="B12" s="15" t="s">
        <v>82</v>
      </c>
      <c r="C12" s="15" t="s">
        <v>99</v>
      </c>
      <c r="D12" s="15"/>
      <c r="E12" s="29">
        <f>SUMIFS('Extraction Patrimoine'!G:G,'Extraction Patrimoine'!D:D,"ile-de-france", 'Extraction Patrimoine'!F:F,"musées", 'Extraction Patrimoine'!B:B,"2017")</f>
        <v>0</v>
      </c>
      <c r="F12" s="23">
        <f>SUMIFS('Extraction Patrimoine'!I:I,'Extraction Patrimoine'!D:D,"ile-de-france", 'Extraction Patrimoine'!F:F,"musées", 'Extraction Patrimoine'!B:B,"2017")</f>
        <v>0</v>
      </c>
      <c r="G12" s="39">
        <f>F12/$F$10</f>
        <v>0</v>
      </c>
      <c r="H12" s="29">
        <f>SUMIFS('Extraction Patrimoine'!G:G,'Extraction Patrimoine'!D:D,"ile-de-france", 'Extraction Patrimoine'!F:F,"musées", 'Extraction Patrimoine'!B:B,"2016")</f>
        <v>0</v>
      </c>
      <c r="I12" s="23">
        <f>SUMIFS('Extraction Patrimoine'!I:I,'Extraction Patrimoine'!D:D,"ile-de-france", 'Extraction Patrimoine'!F:F,"musées", 'Extraction Patrimoine'!B:B,"2016")</f>
        <v>0</v>
      </c>
      <c r="J12" s="39">
        <f t="shared" ref="J12:J13" si="0">I12/$I$10</f>
        <v>0</v>
      </c>
      <c r="K12" s="29">
        <f>SUMIFS('Extraction Patrimoine'!G:G,'Extraction Patrimoine'!D:D,"ile-de-france", 'Extraction Patrimoine'!F:F,"musées", 'Extraction Patrimoine'!B:B,"2015")</f>
        <v>0</v>
      </c>
      <c r="L12" s="23">
        <f>SUMIFS('Extraction Patrimoine'!I:I,'Extraction Patrimoine'!D:D,"ile-de-france", 'Extraction Patrimoine'!F:F,"musées", 'Extraction Patrimoine'!B:B,"2015")</f>
        <v>0</v>
      </c>
      <c r="M12" s="39">
        <f t="shared" ref="M12:M13" si="1">L12/$L$10</f>
        <v>0</v>
      </c>
      <c r="N12" s="29">
        <f>SUMIFS('Extraction Patrimoine'!G:G,'Extraction Patrimoine'!D:D,"ile-de-france", 'Extraction Patrimoine'!F:F,"musées", 'Extraction Patrimoine'!B:B,"2014")</f>
        <v>0</v>
      </c>
      <c r="O12" s="23">
        <f>SUMIFS('Extraction Patrimoine'!I:I,'Extraction Patrimoine'!D:D,"ile-de-france", 'Extraction Patrimoine'!F:F,"musées", 'Extraction Patrimoine'!B:B,"2014")</f>
        <v>0</v>
      </c>
      <c r="P12" s="39">
        <f t="shared" ref="P12:P13" si="2">O12/$O$10</f>
        <v>0</v>
      </c>
      <c r="Q12" s="29">
        <f>SUMIFS('Extraction Patrimoine'!G:G,'Extraction Patrimoine'!D:D,"ile-de-france", 'Extraction Patrimoine'!F:F,"musées", 'Extraction Patrimoine'!B:B,"2013")</f>
        <v>0</v>
      </c>
      <c r="R12" s="23">
        <f>SUMIFS('Extraction Patrimoine'!I:I,'Extraction Patrimoine'!D:D,"ile-de-france", 'Extraction Patrimoine'!F:F,"musées", 'Extraction Patrimoine'!B:B,"2013")</f>
        <v>0</v>
      </c>
      <c r="S12" s="43">
        <f t="shared" ref="S12:S13" si="3">R12/$R$10</f>
        <v>0</v>
      </c>
    </row>
    <row r="13" spans="2:19" x14ac:dyDescent="0.25">
      <c r="B13" s="15" t="s">
        <v>82</v>
      </c>
      <c r="C13" s="15" t="s">
        <v>100</v>
      </c>
      <c r="D13" s="15"/>
      <c r="E13" s="29">
        <f>SUMIFS('Extraction Patrimoine'!G:G,'Extraction Patrimoine'!D:D,"ile-de-france", 'Extraction Patrimoine'!F:F,"sites et monuments", 'Extraction Patrimoine'!B:B,"2017")</f>
        <v>0</v>
      </c>
      <c r="F13" s="23">
        <f>SUMIFS('Extraction Patrimoine'!I:I,'Extraction Patrimoine'!D:D,"ile-de-france", 'Extraction Patrimoine'!F:F,"sites et monuments", 'Extraction Patrimoine'!B:B,"2017")</f>
        <v>0</v>
      </c>
      <c r="G13" s="39">
        <f>F13/$F$10</f>
        <v>0</v>
      </c>
      <c r="H13" s="29">
        <f>SUMIFS('Extraction Patrimoine'!G:G,'Extraction Patrimoine'!D:D,"ile-de-france", 'Extraction Patrimoine'!F:F,"sites et monuments", 'Extraction Patrimoine'!B:B,"2016")</f>
        <v>0</v>
      </c>
      <c r="I13" s="23">
        <f>SUMIFS('Extraction Patrimoine'!I:I,'Extraction Patrimoine'!D:D,"ile-de-france", 'Extraction Patrimoine'!F:F,"sites et monuments", 'Extraction Patrimoine'!B:B,"2016")</f>
        <v>0</v>
      </c>
      <c r="J13" s="39">
        <f t="shared" si="0"/>
        <v>0</v>
      </c>
      <c r="K13" s="29">
        <f>SUMIFS('Extraction Patrimoine'!G:G,'Extraction Patrimoine'!D:D,"ile-de-france", 'Extraction Patrimoine'!F:F,"sites et monuments", 'Extraction Patrimoine'!B:B,"2015")</f>
        <v>0</v>
      </c>
      <c r="L13" s="23">
        <f>SUMIFS('Extraction Patrimoine'!I:I,'Extraction Patrimoine'!D:D,"ile-de-france", 'Extraction Patrimoine'!F:F,"sites et monuments", 'Extraction Patrimoine'!B:B,"2015")</f>
        <v>0</v>
      </c>
      <c r="M13" s="39">
        <f t="shared" si="1"/>
        <v>0</v>
      </c>
      <c r="N13" s="29">
        <f>SUMIFS('Extraction Patrimoine'!G:G,'Extraction Patrimoine'!D:D,"ile-de-france", 'Extraction Patrimoine'!F:F,"sites et monuments", 'Extraction Patrimoine'!B:B,"2014")</f>
        <v>0</v>
      </c>
      <c r="O13" s="23">
        <f>SUMIFS('Extraction Patrimoine'!I:I,'Extraction Patrimoine'!D:D,"ile-de-france", 'Extraction Patrimoine'!F:F,"sites et monuments", 'Extraction Patrimoine'!B:B,"2014")</f>
        <v>0</v>
      </c>
      <c r="P13" s="39">
        <f t="shared" si="2"/>
        <v>0</v>
      </c>
      <c r="Q13" s="29">
        <f>SUMIFS('Extraction Patrimoine'!G:G,'Extraction Patrimoine'!D:D,"ile-de-france", 'Extraction Patrimoine'!F:F,"sites et monuments", 'Extraction Patrimoine'!B:B,"2013")</f>
        <v>0</v>
      </c>
      <c r="R13" s="23">
        <f>SUMIFS('Extraction Patrimoine'!I:I,'Extraction Patrimoine'!D:D,"ile-de-france", 'Extraction Patrimoine'!F:F,"sites et monuments", 'Extraction Patrimoine'!B:B,"2013")</f>
        <v>0</v>
      </c>
      <c r="S13" s="43">
        <f t="shared" si="3"/>
        <v>0</v>
      </c>
    </row>
    <row r="14" spans="2:19" x14ac:dyDescent="0.25">
      <c r="B14" s="17" t="s">
        <v>9</v>
      </c>
      <c r="C14" s="4" t="s">
        <v>101</v>
      </c>
      <c r="D14" s="4"/>
      <c r="E14" s="50">
        <f>(E15*G15)+(E16*G16)</f>
        <v>4.0570453529553108</v>
      </c>
      <c r="F14" s="34">
        <f>SUMIFS('Extraction Offre de services'!I:I,'Extraction Offre de services'!D:D,"ile-de-france", 'Extraction Offre de services'!E:E,"Offre de services", 'Extraction Offre de services'!B:B,"2017")</f>
        <v>29083</v>
      </c>
      <c r="G14" s="38">
        <f>F14/$F$4</f>
        <v>0.6769785847299814</v>
      </c>
      <c r="H14" s="50">
        <f>(H15*J15)+(H16*J16)</f>
        <v>4.0862445324322296</v>
      </c>
      <c r="I14" s="11">
        <f>SUMIFS('Extraction Offre de services'!I:I,'Extraction Offre de services'!D:D,"ile-de-france", 'Extraction Offre de services'!E:E,"Offre de services", 'Extraction Offre de services'!B:B,"2016")</f>
        <v>48239</v>
      </c>
      <c r="J14" s="48">
        <f>I14/$I$4</f>
        <v>0.62014218314114189</v>
      </c>
      <c r="K14" s="50">
        <f>(K15*M15)+(K16*M16)</f>
        <v>4.1676670992861773</v>
      </c>
      <c r="L14" s="11">
        <f>SUMIFS('Extraction Offre de services'!I:I,'Extraction Offre de services'!D:D,"ile-de-france", 'Extraction Offre de services'!E:E,"Offre de services", 'Extraction Offre de services'!B:B,"2015")</f>
        <v>18492</v>
      </c>
      <c r="M14" s="38">
        <f>L14/$L$4</f>
        <v>0.51044800839153115</v>
      </c>
      <c r="N14" s="50">
        <f>(N15*P15)+(N16*P16)</f>
        <v>4.4456068399833173</v>
      </c>
      <c r="O14" s="11">
        <f>SUMIFS('Extraction Offre de services'!I:I,'Extraction Offre de services'!D:D,"ile-de-france", 'Extraction Offre de services'!E:E,"Offre de services", 'Extraction Offre de services'!B:B,"2014")</f>
        <v>7193</v>
      </c>
      <c r="P14" s="48">
        <f>O14/$O$4</f>
        <v>0.4548501327937271</v>
      </c>
      <c r="Q14" s="50">
        <f>(Q15*S15)+(Q16*S16)</f>
        <v>4.4610901918594221</v>
      </c>
      <c r="R14" s="11">
        <f>SUMIFS('Extraction Offre de services'!I:I,'Extraction Offre de services'!D:D,"ile-de-france", 'Extraction Offre de services'!E:E,"Offre de services", 'Extraction Offre de services'!B:B,"2013")</f>
        <v>5577</v>
      </c>
      <c r="S14" s="49">
        <f>R14/$R$4</f>
        <v>0.58111909971866205</v>
      </c>
    </row>
    <row r="15" spans="2:19" x14ac:dyDescent="0.25">
      <c r="B15" s="15" t="s">
        <v>9</v>
      </c>
      <c r="C15" s="2" t="s">
        <v>10</v>
      </c>
      <c r="D15" s="2"/>
      <c r="E15" s="29">
        <f>SUMIFS('Extraction Offre de services'!G:G,'Extraction Offre de services'!D:D,"ile-de-france", 'Extraction Offre de services'!F:F,"hebergement", 'Extraction Offre de services'!B:B,"2017")</f>
        <v>3.9646409872849371</v>
      </c>
      <c r="F15" s="23">
        <f>SUMIFS('Extraction Offre de services'!I:I,'Extraction Offre de services'!D:D,"ile-de-france", 'Extraction Offre de services'!F:F,"hebergement", 'Extraction Offre de services'!B:B,"2017")</f>
        <v>24066</v>
      </c>
      <c r="G15" s="39">
        <f>F15/$F$14</f>
        <v>0.82749372485644535</v>
      </c>
      <c r="H15" s="30">
        <f>SUMIFS('Extraction Offre de services'!G:G,'Extraction Offre de services'!D:D,"ile-de-france", 'Extraction Offre de services'!F:F,"hebergement", 'Extraction Offre de services'!B:B,"2016")</f>
        <v>3.9898103074236286</v>
      </c>
      <c r="I15" s="23">
        <f>SUMIFS('Extraction Offre de services'!I:I,'Extraction Offre de services'!D:D,"ile-de-france", 'Extraction Offre de services'!F:F,"hebergement", 'Extraction Offre de services'!B:B,"2016")</f>
        <v>37798</v>
      </c>
      <c r="J15" s="45">
        <f>I15/$I$14</f>
        <v>0.78355687306950805</v>
      </c>
      <c r="K15" s="29">
        <f>SUMIFS('Extraction Offre de services'!G:G,'Extraction Offre de services'!D:D,"ile-de-france", 'Extraction Offre de services'!F:F,"hebergement", 'Extraction Offre de services'!B:B,"2015")</f>
        <v>3.931631097560973</v>
      </c>
      <c r="L15" s="23">
        <f>SUMIFS('Extraction Offre de services'!I:I,'Extraction Offre de services'!D:D,"ile-de-france", 'Extraction Offre de services'!F:F,"hebergement", 'Extraction Offre de services'!B:B,"2015")</f>
        <v>9840</v>
      </c>
      <c r="M15" s="45">
        <f>L15/$L$14</f>
        <v>0.5321219987021415</v>
      </c>
      <c r="N15" s="30">
        <f>SUMIFS('Extraction Offre de services'!G:G,'Extraction Offre de services'!D:D,"ile-de-france", 'Extraction Offre de services'!F:F,"hebergement", 'Extraction Offre de services'!B:B,"2014")</f>
        <v>0</v>
      </c>
      <c r="O15" s="23">
        <f>SUMIFS('Extraction Offre de services'!I:I,'Extraction Offre de services'!D:D,"ile-de-france", 'Extraction Offre de services'!F:F,"hebergement", 'Extraction Offre de services'!B:B,"2014")</f>
        <v>0</v>
      </c>
      <c r="P15" s="45">
        <f>O15/$O$14</f>
        <v>0</v>
      </c>
      <c r="Q15" s="29">
        <f>SUMIFS('Extraction Offre de services'!G:G,'Extraction Offre de services'!D:D,"ile-de-france", 'Extraction Offre de services'!F:F,"hebergement", 'Extraction Offre de services'!B:B,"2013")</f>
        <v>0</v>
      </c>
      <c r="R15" s="23">
        <f>SUMIFS('Extraction Offre de services'!I:I,'Extraction Offre de services'!D:D,"ile-de-france", 'Extraction Offre de services'!F:F,"hebergement", 'Extraction Offre de services'!B:B,"2013")</f>
        <v>0</v>
      </c>
      <c r="S15" s="42">
        <f>R15/$R$14</f>
        <v>0</v>
      </c>
    </row>
    <row r="16" spans="2:19" x14ac:dyDescent="0.25">
      <c r="B16" s="15" t="s">
        <v>9</v>
      </c>
      <c r="C16" s="2" t="s">
        <v>48</v>
      </c>
      <c r="D16" s="2"/>
      <c r="E16" s="29">
        <f>SUMIFS('Extraction Offre de services'!G:G,'Extraction Offre de services'!D:D,"ile-de-france", 'Extraction Offre de services'!F:F,"restauration", 'Extraction Offre de services'!B:B,"2017")</f>
        <v>4.5002989834562488</v>
      </c>
      <c r="F16" s="23">
        <f>SUMIFS('Extraction Offre de services'!I:I,'Extraction Offre de services'!D:D,"ile-de-france", 'Extraction Offre de services'!F:F,"restauration", 'Extraction Offre de services'!B:B,"2017")</f>
        <v>5017</v>
      </c>
      <c r="G16" s="39">
        <f>F16/$F$14</f>
        <v>0.17250627514355465</v>
      </c>
      <c r="H16" s="30">
        <f>SUMIFS('Extraction Offre de services'!G:G,'Extraction Offre de services'!D:D,"ile-de-france", 'Extraction Offre de services'!F:F,"restauration", 'Extraction Offre de services'!B:B,"2016")</f>
        <v>4.4353510200172401</v>
      </c>
      <c r="I16" s="23">
        <f>SUMIFS('Extraction Offre de services'!I:I,'Extraction Offre de services'!D:D,"ile-de-france", 'Extraction Offre de services'!F:F,"restauration", 'Extraction Offre de services'!B:B,"2016")</f>
        <v>10441</v>
      </c>
      <c r="J16" s="45">
        <f>I16/$I$14</f>
        <v>0.21644312693049192</v>
      </c>
      <c r="K16" s="29">
        <f>SUMIFS('Extraction Offre de services'!G:G,'Extraction Offre de services'!D:D,"ile-de-france", 'Extraction Offre de services'!F:F,"restauration", 'Extraction Offre de services'!B:B,"2015")</f>
        <v>4.4361130374479893</v>
      </c>
      <c r="L16" s="23">
        <f>SUMIFS('Extraction Offre de services'!I:I,'Extraction Offre de services'!D:D,"ile-de-france", 'Extraction Offre de services'!F:F,"restauration", 'Extraction Offre de services'!B:B,"2015")</f>
        <v>8652</v>
      </c>
      <c r="M16" s="45">
        <f>L16/$L$14</f>
        <v>0.46787800129785856</v>
      </c>
      <c r="N16" s="30">
        <f>SUMIFS('Extraction Offre de services'!G:G,'Extraction Offre de services'!D:D,"ile-de-france", 'Extraction Offre de services'!F:F,"restauration", 'Extraction Offre de services'!B:B,"2014")</f>
        <v>4.4456068399833173</v>
      </c>
      <c r="O16" s="23">
        <f>SUMIFS('Extraction Offre de services'!I:I,'Extraction Offre de services'!D:D,"ile-de-france", 'Extraction Offre de services'!F:F,"restauration", 'Extraction Offre de services'!B:B,"2014")</f>
        <v>7193</v>
      </c>
      <c r="P16" s="45">
        <f>O16/$O$14</f>
        <v>1</v>
      </c>
      <c r="Q16" s="29">
        <f>SUMIFS('Extraction Offre de services'!G:G,'Extraction Offre de services'!D:D,"ile-de-france", 'Extraction Offre de services'!F:F,"restauration", 'Extraction Offre de services'!B:B,"2013")</f>
        <v>4.4610901918594221</v>
      </c>
      <c r="R16" s="23">
        <f>SUMIFS('Extraction Offre de services'!I:I,'Extraction Offre de services'!D:D,"ile-de-france", 'Extraction Offre de services'!F:F,"restauration", 'Extraction Offre de services'!B:B,"2013")</f>
        <v>5577</v>
      </c>
      <c r="S16" s="42">
        <f>R16/$R$14</f>
        <v>1</v>
      </c>
    </row>
    <row r="17" spans="2:19" s="65" customFormat="1" x14ac:dyDescent="0.25">
      <c r="B17" s="68" t="s">
        <v>9</v>
      </c>
      <c r="C17" s="68" t="s">
        <v>48</v>
      </c>
      <c r="D17" s="68" t="s">
        <v>125</v>
      </c>
      <c r="E17" s="70">
        <f>SUMIFS('Extraction Offre de services'!L:L,'Extraction Offre de services'!D:D,"ile-de-france", 'Extraction Offre de services'!F:F,"restauration", 'Extraction Offre de services'!B:B,"2017")</f>
        <v>4.5525214271476973</v>
      </c>
      <c r="F17" s="71"/>
      <c r="G17" s="72"/>
      <c r="H17" s="70">
        <f>SUMIFS('Extraction Offre de services'!L:L,'Extraction Offre de services'!D:D,"ile-de-france", 'Extraction Offre de services'!F:F,"restauration", 'Extraction Offre de services'!B:B,"2016")</f>
        <v>4.4778277942725788</v>
      </c>
      <c r="I17" s="71"/>
      <c r="J17" s="72"/>
      <c r="K17" s="70">
        <f>SUMIFS('Extraction Offre de services'!L:L,'Extraction Offre de services'!D:D,"ile-de-france", 'Extraction Offre de services'!F:F,"restauration", 'Extraction Offre de services'!B:B,"2015")</f>
        <v>4.4707582061950992</v>
      </c>
      <c r="L17" s="68"/>
      <c r="M17" s="72"/>
      <c r="N17" s="70">
        <f>SUMIFS('Extraction Offre de services'!L:L,'Extraction Offre de services'!D:D,"ile-de-france", 'Extraction Offre de services'!F:F,"restauration", 'Extraction Offre de services'!B:B,"2014")</f>
        <v>4.4633671625191145</v>
      </c>
      <c r="O17" s="68"/>
      <c r="P17" s="68"/>
      <c r="Q17" s="73">
        <f>SUMIFS('Extraction Offre de services'!L:L,'Extraction Offre de services'!D:D,"ile-de-france", 'Extraction Offre de services'!F:F,"restauration", 'Extraction Offre de services'!B:B,"2013")</f>
        <v>4.4722969338353957</v>
      </c>
      <c r="R17" s="68"/>
      <c r="S17" s="68"/>
    </row>
    <row r="18" spans="2:19" s="65" customFormat="1" x14ac:dyDescent="0.25">
      <c r="B18" s="68" t="s">
        <v>9</v>
      </c>
      <c r="C18" s="68" t="s">
        <v>48</v>
      </c>
      <c r="D18" s="68" t="s">
        <v>127</v>
      </c>
      <c r="E18" s="70">
        <f>SUMIFS('Extraction Offre de services'!N:N,'Extraction Offre de services'!D:D,"ile-de-france", 'Extraction Offre de services'!F:F,"restauration", 'Extraction Offre de services'!B:B,"2017")</f>
        <v>4.608530994618298</v>
      </c>
      <c r="F18" s="68"/>
      <c r="G18" s="72"/>
      <c r="H18" s="70">
        <f>SUMIFS('Extraction Offre de services'!N:N,'Extraction Offre de services'!D:D,"ile-de-france", 'Extraction Offre de services'!F:F,"restauration", 'Extraction Offre de services'!B:B,"2016")</f>
        <v>4.5334738051910737</v>
      </c>
      <c r="I18" s="68"/>
      <c r="J18" s="72"/>
      <c r="K18" s="70">
        <f>SUMIFS('Extraction Offre de services'!N:N,'Extraction Offre de services'!D:D,"ile-de-france", 'Extraction Offre de services'!F:F,"restauration", 'Extraction Offre de services'!B:B,"2015")</f>
        <v>4.5344429033749423</v>
      </c>
      <c r="L18" s="68"/>
      <c r="M18" s="72"/>
      <c r="N18" s="70">
        <f>SUMIFS('Extraction Offre de services'!N:N,'Extraction Offre de services'!D:D,"ile-de-france", 'Extraction Offre de services'!F:F,"restauration", 'Extraction Offre de services'!B:B,"2014")</f>
        <v>4.5697205616571672</v>
      </c>
      <c r="O18" s="68"/>
      <c r="P18" s="72"/>
      <c r="Q18" s="70">
        <f>SUMIFS('Extraction Offre de services'!N:N,'Extraction Offre de services'!D:D,"ile-de-france", 'Extraction Offre de services'!F:F,"restauration", 'Extraction Offre de services'!B:B,"2013")</f>
        <v>4.5818540433925046</v>
      </c>
      <c r="R18" s="68"/>
      <c r="S18" s="68"/>
    </row>
    <row r="19" spans="2:19" s="65" customFormat="1" x14ac:dyDescent="0.25">
      <c r="B19" s="68" t="s">
        <v>9</v>
      </c>
      <c r="C19" s="68" t="s">
        <v>48</v>
      </c>
      <c r="D19" s="68" t="s">
        <v>126</v>
      </c>
      <c r="E19" s="70">
        <f>SUMIFS('Extraction Offre de services'!P:P,'Extraction Offre de services'!D:D,"ile-de-france", 'Extraction Offre de services'!F:F,"restauration", 'Extraction Offre de services'!B:B,"2017")</f>
        <v>4.2876220849113018</v>
      </c>
      <c r="F19" s="68"/>
      <c r="G19" s="72"/>
      <c r="H19" s="70">
        <f>SUMIFS('Extraction Offre de services'!P:P,'Extraction Offre de services'!D:D,"ile-de-france", 'Extraction Offre de services'!F:F,"restauration", 'Extraction Offre de services'!B:B,"2016")</f>
        <v>4.2522746863327265</v>
      </c>
      <c r="I19" s="68"/>
      <c r="J19" s="72"/>
      <c r="K19" s="70">
        <f>SUMIFS('Extraction Offre de services'!P:P,'Extraction Offre de services'!D:D,"ile-de-france", 'Extraction Offre de services'!F:F,"restauration", 'Extraction Offre de services'!B:B,"2015")</f>
        <v>4.2684928340268149</v>
      </c>
      <c r="L19" s="68"/>
      <c r="M19" s="72"/>
      <c r="N19" s="70">
        <f>SUMIFS('Extraction Offre de services'!P:P,'Extraction Offre de services'!D:D,"ile-de-france", 'Extraction Offre de services'!F:F,"restauration", 'Extraction Offre de services'!B:B,"2014")</f>
        <v>4.2859724732378695</v>
      </c>
      <c r="O19" s="68"/>
      <c r="P19" s="72"/>
      <c r="Q19" s="70">
        <f>SUMIFS('Extraction Offre de services'!P:P,'Extraction Offre de services'!D:D,"ile-de-france", 'Extraction Offre de services'!F:F,"restauration", 'Extraction Offre de services'!B:B,"2013")</f>
        <v>4.3179128563743943</v>
      </c>
      <c r="R19" s="68"/>
      <c r="S19" s="68"/>
    </row>
  </sheetData>
  <mergeCells count="8">
    <mergeCell ref="Q2:S2"/>
    <mergeCell ref="B2:B3"/>
    <mergeCell ref="C2:C3"/>
    <mergeCell ref="E2:G2"/>
    <mergeCell ref="H2:J2"/>
    <mergeCell ref="K2:M2"/>
    <mergeCell ref="N2:P2"/>
    <mergeCell ref="D2:D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topLeftCell="D1" workbookViewId="0">
      <selection activeCell="O20" sqref="O20"/>
    </sheetView>
  </sheetViews>
  <sheetFormatPr baseColWidth="10" defaultRowHeight="15" x14ac:dyDescent="0.25"/>
  <cols>
    <col min="1" max="1" width="1.5703125" customWidth="1"/>
    <col min="2" max="2" width="15.7109375" bestFit="1" customWidth="1"/>
    <col min="3" max="3" width="22.140625" bestFit="1" customWidth="1"/>
    <col min="4" max="4" width="22.140625" customWidth="1"/>
    <col min="5" max="5" width="15" customWidth="1"/>
    <col min="6" max="7" width="8.7109375" customWidth="1"/>
    <col min="9" max="10" width="8.7109375" customWidth="1"/>
    <col min="12" max="13" width="8.7109375" customWidth="1"/>
    <col min="15" max="16" width="8.7109375" customWidth="1"/>
    <col min="18" max="19" width="8.7109375" customWidth="1"/>
  </cols>
  <sheetData>
    <row r="2" spans="2:19" x14ac:dyDescent="0.25">
      <c r="B2" s="62" t="s">
        <v>86</v>
      </c>
      <c r="C2" s="62" t="s">
        <v>87</v>
      </c>
      <c r="D2" s="62" t="s">
        <v>128</v>
      </c>
      <c r="E2" s="60">
        <v>2017</v>
      </c>
      <c r="F2" s="60"/>
      <c r="G2" s="61"/>
      <c r="H2" s="59">
        <v>2016</v>
      </c>
      <c r="I2" s="63"/>
      <c r="J2" s="61"/>
      <c r="K2" s="59">
        <v>2015</v>
      </c>
      <c r="L2" s="63"/>
      <c r="M2" s="61"/>
      <c r="N2" s="59">
        <v>2014</v>
      </c>
      <c r="O2" s="60"/>
      <c r="P2" s="61"/>
      <c r="Q2" s="59">
        <v>2013</v>
      </c>
      <c r="R2" s="60"/>
      <c r="S2" s="60"/>
    </row>
    <row r="3" spans="2:19" ht="30" x14ac:dyDescent="0.25">
      <c r="B3" s="62"/>
      <c r="C3" s="62"/>
      <c r="D3" s="62"/>
      <c r="E3" s="52" t="s">
        <v>95</v>
      </c>
      <c r="F3" s="52" t="s">
        <v>119</v>
      </c>
      <c r="G3" s="53" t="s">
        <v>120</v>
      </c>
      <c r="H3" s="52" t="s">
        <v>95</v>
      </c>
      <c r="I3" s="52" t="s">
        <v>119</v>
      </c>
      <c r="J3" s="53" t="s">
        <v>120</v>
      </c>
      <c r="K3" s="52" t="s">
        <v>95</v>
      </c>
      <c r="L3" s="52" t="s">
        <v>119</v>
      </c>
      <c r="M3" s="53" t="s">
        <v>120</v>
      </c>
      <c r="N3" s="52" t="s">
        <v>95</v>
      </c>
      <c r="O3" s="52" t="s">
        <v>119</v>
      </c>
      <c r="P3" s="53" t="s">
        <v>120</v>
      </c>
      <c r="Q3" s="52" t="s">
        <v>95</v>
      </c>
      <c r="R3" s="52" t="s">
        <v>119</v>
      </c>
      <c r="S3" s="52" t="s">
        <v>120</v>
      </c>
    </row>
    <row r="4" spans="2:19" x14ac:dyDescent="0.25">
      <c r="B4" s="16" t="s">
        <v>88</v>
      </c>
      <c r="C4" s="8" t="s">
        <v>101</v>
      </c>
      <c r="D4" s="8"/>
      <c r="E4" s="51">
        <f>AVERAGE(E5,E10,E14)</f>
        <v>4.2406796148792187</v>
      </c>
      <c r="F4" s="46">
        <f>Pondération!F106</f>
        <v>21226</v>
      </c>
      <c r="G4" s="47"/>
      <c r="H4" s="51">
        <f>AVERAGE(H5,H10,H14)</f>
        <v>4.2359099319769351</v>
      </c>
      <c r="I4" s="10">
        <f>Pondération!G106</f>
        <v>25623</v>
      </c>
      <c r="J4" s="40"/>
      <c r="K4" s="51">
        <f>AVERAGE(K5,K10,K14)</f>
        <v>4.2840368275962488</v>
      </c>
      <c r="L4" s="46">
        <f>Pondération!H106</f>
        <v>12790</v>
      </c>
      <c r="M4" s="37"/>
      <c r="N4" s="51">
        <f>AVERAGE(N5,N10,N14)</f>
        <v>4.3623605407814603</v>
      </c>
      <c r="O4" s="10">
        <f>Pondération!I106</f>
        <v>4437</v>
      </c>
      <c r="P4" s="40"/>
      <c r="Q4" s="51">
        <f>AVERAGE(Q5,Q10,Q14)</f>
        <v>4.3573735024398594</v>
      </c>
      <c r="R4" s="10">
        <f>Pondération!J106</f>
        <v>2987</v>
      </c>
      <c r="S4" s="28"/>
    </row>
    <row r="5" spans="2:19" x14ac:dyDescent="0.25">
      <c r="B5" s="17" t="s">
        <v>78</v>
      </c>
      <c r="C5" s="4" t="s">
        <v>101</v>
      </c>
      <c r="D5" s="4"/>
      <c r="E5" s="50">
        <f>(E6*G6)+(E7*G7)+(E8*G8)+(E9*G9)</f>
        <v>4.3534482758620685</v>
      </c>
      <c r="F5" s="34">
        <f>SUMIFS('Extraction Offre de loisirs'!I:I,'Extraction Offre de loisirs'!D:D,"normandie", 'Extraction Offre de loisirs'!E:E,"offre de loisirs", 'Extraction Offre de loisirs'!B:B,"2017")</f>
        <v>2378</v>
      </c>
      <c r="G5" s="38">
        <f>F5/$F$4</f>
        <v>0.1120324130783002</v>
      </c>
      <c r="H5" s="50">
        <f>(H6*J6)+(H7*J7)+(H8*J8)+(H9*J9)</f>
        <v>4.3472021660649816</v>
      </c>
      <c r="I5" s="34">
        <f>SUMIFS('Extraction Offre de loisirs'!I:I,'Extraction Offre de loisirs'!D:D,"normandie", 'Extraction Offre de loisirs'!E:E,"offre de loisirs", 'Extraction Offre de loisirs'!B:B,"2016")</f>
        <v>5540</v>
      </c>
      <c r="J5" s="38">
        <f>I5/$I$4</f>
        <v>0.21621199703391483</v>
      </c>
      <c r="K5" s="50">
        <f>(K6*M6)+(K7*M7)+(K8*M8)+(K9*M9)</f>
        <v>4.3478484926565315</v>
      </c>
      <c r="L5" s="34">
        <f>SUMIFS('Extraction Offre de loisirs'!I:I,'Extraction Offre de loisirs'!D:D,"normandie", 'Extraction Offre de loisirs'!E:E,"offre de loisirs", 'Extraction Offre de loisirs'!B:B,"2015")</f>
        <v>3881</v>
      </c>
      <c r="M5" s="38">
        <f>L5/$L$4</f>
        <v>0.30344018764659891</v>
      </c>
      <c r="N5" s="50">
        <f>(N6*P6)+(N7*P7)+(N8*P8)+(N9*P9)</f>
        <v>4.3631034482758633</v>
      </c>
      <c r="O5" s="11">
        <f>SUMIFS('Extraction Offre de loisirs'!I:I,'Extraction Offre de loisirs'!D:D,"normandie", 'Extraction Offre de loisirs'!E:E,"offre de loisirs", 'Extraction Offre de loisirs'!B:B,"2014")</f>
        <v>1450</v>
      </c>
      <c r="P5" s="38">
        <f>O5/$O$4</f>
        <v>0.32679738562091504</v>
      </c>
      <c r="Q5" s="50">
        <f>(Q6*S6)+(Q7*S7)+(Q8*S8)+(Q9*S9)</f>
        <v>4.342036553524804</v>
      </c>
      <c r="R5" s="11">
        <f>SUMIFS('Extraction Offre de loisirs'!I:I,'Extraction Offre de loisirs'!D:D,"normandie", 'Extraction Offre de loisirs'!E:E,"offre de loisirs", 'Extraction Offre de loisirs'!B:B,"2013")</f>
        <v>766</v>
      </c>
      <c r="S5" s="35">
        <f>R5/$R$4</f>
        <v>0.25644459323736191</v>
      </c>
    </row>
    <row r="6" spans="2:19" x14ac:dyDescent="0.25">
      <c r="B6" s="15" t="s">
        <v>78</v>
      </c>
      <c r="C6" s="2" t="s">
        <v>79</v>
      </c>
      <c r="D6" s="2"/>
      <c r="E6" s="29">
        <f>SUMIFS('Extraction Offre de loisirs'!G:G,'Extraction Offre de loisirs'!D:D,"normandie", 'Extraction Offre de loisirs'!F:F,"activites de plein air", 'Extraction Offre de loisirs'!B:B,"2017")</f>
        <v>4.2809523809523808</v>
      </c>
      <c r="F6" s="33">
        <f>SUMIFS('Extraction Offre de loisirs'!I:I,'Extraction Offre de loisirs'!D:D,"normandie", 'Extraction Offre de loisirs'!F:F,"activites de plein air", 'Extraction Offre de loisirs'!B:B,"2017")</f>
        <v>1050</v>
      </c>
      <c r="G6" s="39">
        <f>F6/$F$5</f>
        <v>0.44154751892346511</v>
      </c>
      <c r="H6" s="30">
        <f>SUMIFS('Extraction Offre de loisirs'!G:G,'Extraction Offre de loisirs'!D:D,"normandie", 'Extraction Offre de loisirs'!F:F,"activites de plein air", 'Extraction Offre de loisirs'!B:B,"2016")</f>
        <v>4.2830829756795419</v>
      </c>
      <c r="I6" s="33">
        <f>SUMIFS('Extraction Offre de loisirs'!I:I,'Extraction Offre de loisirs'!D:D,"normandie", 'Extraction Offre de loisirs'!F:F,"activites de plein air", 'Extraction Offre de loisirs'!B:B,"2016")</f>
        <v>2796</v>
      </c>
      <c r="J6" s="39">
        <f>I6/$I$5</f>
        <v>0.50469314079422378</v>
      </c>
      <c r="K6" s="29">
        <f>SUMIFS('Extraction Offre de loisirs'!G:G,'Extraction Offre de loisirs'!D:D,"normandie", 'Extraction Offre de loisirs'!F:F,"activites de plein air", 'Extraction Offre de loisirs'!B:B,"2015")</f>
        <v>4.2496087636932707</v>
      </c>
      <c r="L6" s="33">
        <f>SUMIFS('Extraction Offre de loisirs'!I:I,'Extraction Offre de loisirs'!D:D,"normandie", 'Extraction Offre de loisirs'!F:F,"activites de plein air", 'Extraction Offre de loisirs'!B:B,"2015")</f>
        <v>1917</v>
      </c>
      <c r="M6" s="39">
        <f>L6/$L$5</f>
        <v>0.49394485957227519</v>
      </c>
      <c r="N6" s="30">
        <f>SUMIFS('Extraction Offre de loisirs'!G:G,'Extraction Offre de loisirs'!D:D,"normandie", 'Extraction Offre de loisirs'!F:F,"activites de plein air", 'Extraction Offre de loisirs'!B:B,"2014")</f>
        <v>4.3032258064516133</v>
      </c>
      <c r="O6" s="33">
        <f>SUMIFS('Extraction Offre de loisirs'!I:I,'Extraction Offre de loisirs'!D:D,"normandie", 'Extraction Offre de loisirs'!F:F,"activites de plein air", 'Extraction Offre de loisirs'!B:B,"2014")</f>
        <v>775</v>
      </c>
      <c r="P6" s="39">
        <f>O6/$O$5</f>
        <v>0.53448275862068961</v>
      </c>
      <c r="Q6" s="29">
        <f>SUMIFS('Extraction Offre de loisirs'!G:G,'Extraction Offre de loisirs'!D:D,"normandie", 'Extraction Offre de loisirs'!F:F,"activites de plein air", 'Extraction Offre de loisirs'!B:B,"2013")</f>
        <v>4.2180232558139537</v>
      </c>
      <c r="R6" s="33">
        <f>SUMIFS('Extraction Offre de loisirs'!I:I,'Extraction Offre de loisirs'!D:D,"normandie", 'Extraction Offre de loisirs'!F:F,"activites de plein air", 'Extraction Offre de loisirs'!B:B,"2013")</f>
        <v>344</v>
      </c>
      <c r="S6" s="31">
        <f>R6/$R$5</f>
        <v>0.44908616187989558</v>
      </c>
    </row>
    <row r="7" spans="2:19" x14ac:dyDescent="0.25">
      <c r="B7" s="15" t="s">
        <v>78</v>
      </c>
      <c r="C7" s="2" t="s">
        <v>81</v>
      </c>
      <c r="D7" s="2"/>
      <c r="E7" s="29">
        <f>SUMIFS('Extraction Offre de loisirs'!G:G,'Extraction Offre de loisirs'!D:D,"normandie", 'Extraction Offre de loisirs'!F:F,"jeux et divertissements", 'Extraction Offre de loisirs'!B:B,"2017")</f>
        <v>4.4015795868772782</v>
      </c>
      <c r="F7" s="33">
        <f>SUMIFS('Extraction Offre de loisirs'!I:I,'Extraction Offre de loisirs'!D:D,"normandie", 'Extraction Offre de loisirs'!F:F,"jeux et divertissements", 'Extraction Offre de loisirs'!B:B,"2017")</f>
        <v>823</v>
      </c>
      <c r="G7" s="39">
        <f>F7/$F$5</f>
        <v>0.34608915054667788</v>
      </c>
      <c r="H7" s="30">
        <f>SUMIFS('Extraction Offre de loisirs'!G:G,'Extraction Offre de loisirs'!D:D,"normandie", 'Extraction Offre de loisirs'!F:F,"jeux et divertissements", 'Extraction Offre de loisirs'!B:B,"2016")</f>
        <v>4.3532289628180036</v>
      </c>
      <c r="I7" s="33">
        <f>SUMIFS('Extraction Offre de loisirs'!I:I,'Extraction Offre de loisirs'!D:D,"normandie", 'Extraction Offre de loisirs'!F:F,"jeux et divertissements", 'Extraction Offre de loisirs'!B:B,"2016")</f>
        <v>1533</v>
      </c>
      <c r="J7" s="39">
        <f>I7/$I$5</f>
        <v>0.27671480144404331</v>
      </c>
      <c r="K7" s="29">
        <f>SUMIFS('Extraction Offre de loisirs'!G:G,'Extraction Offre de loisirs'!D:D,"normandie", 'Extraction Offre de loisirs'!F:F,"jeux et divertissements", 'Extraction Offre de loisirs'!B:B,"2015")</f>
        <v>4.3836734693877553</v>
      </c>
      <c r="L7" s="33">
        <f>SUMIFS('Extraction Offre de loisirs'!I:I,'Extraction Offre de loisirs'!D:D,"normandie", 'Extraction Offre de loisirs'!F:F,"jeux et divertissements", 'Extraction Offre de loisirs'!B:B,"2015")</f>
        <v>980</v>
      </c>
      <c r="M7" s="39">
        <f>L7/$L$5</f>
        <v>0.25251223911363052</v>
      </c>
      <c r="N7" s="30">
        <f>SUMIFS('Extraction Offre de loisirs'!G:G,'Extraction Offre de loisirs'!D:D,"normandie", 'Extraction Offre de loisirs'!F:F,"jeux et divertissements", 'Extraction Offre de loisirs'!B:B,"2014")</f>
        <v>4.4091858037578291</v>
      </c>
      <c r="O7" s="33">
        <f>SUMIFS('Extraction Offre de loisirs'!I:I,'Extraction Offre de loisirs'!D:D,"normandie", 'Extraction Offre de loisirs'!F:F,"jeux et divertissements", 'Extraction Offre de loisirs'!B:B,"2014")</f>
        <v>479</v>
      </c>
      <c r="P7" s="39">
        <f>O7/$O$5</f>
        <v>0.33034482758620692</v>
      </c>
      <c r="Q7" s="29">
        <f>SUMIFS('Extraction Offre de loisirs'!G:G,'Extraction Offre de loisirs'!D:D,"normandie", 'Extraction Offre de loisirs'!F:F,"jeux et divertissements", 'Extraction Offre de loisirs'!B:B,"2013")</f>
        <v>4.4118644067796602</v>
      </c>
      <c r="R7" s="33">
        <f>SUMIFS('Extraction Offre de loisirs'!I:I,'Extraction Offre de loisirs'!D:D,"normandie", 'Extraction Offre de loisirs'!F:F,"jeux et divertissements", 'Extraction Offre de loisirs'!B:B,"2013")</f>
        <v>295</v>
      </c>
      <c r="S7" s="31">
        <f>R7/$R$5</f>
        <v>0.38511749347258484</v>
      </c>
    </row>
    <row r="8" spans="2:19" x14ac:dyDescent="0.25">
      <c r="B8" s="15" t="s">
        <v>78</v>
      </c>
      <c r="C8" s="2" t="s">
        <v>83</v>
      </c>
      <c r="D8" s="2"/>
      <c r="E8" s="29">
        <f>SUMIFS('Extraction Offre de loisirs'!G:G,'Extraction Offre de loisirs'!D:D,"normandie", 'Extraction Offre de loisirs'!F:F,"shopping", 'Extraction Offre de loisirs'!B:B,"2017")</f>
        <v>4.3939790575916229</v>
      </c>
      <c r="F8" s="33">
        <f>SUMIFS('Extraction Offre de loisirs'!I:I,'Extraction Offre de loisirs'!D:D,"normandie", 'Extraction Offre de loisirs'!F:F,"shopping", 'Extraction Offre de loisirs'!B:B,"2017")</f>
        <v>382</v>
      </c>
      <c r="G8" s="39">
        <f>F8/$F$5</f>
        <v>0.16063919259882253</v>
      </c>
      <c r="H8" s="30">
        <f>SUMIFS('Extraction Offre de loisirs'!G:G,'Extraction Offre de loisirs'!D:D,"normandie", 'Extraction Offre de loisirs'!F:F,"shopping", 'Extraction Offre de loisirs'!B:B,"2016")</f>
        <v>4.4256152125279637</v>
      </c>
      <c r="I8" s="33">
        <f>SUMIFS('Extraction Offre de loisirs'!I:I,'Extraction Offre de loisirs'!D:D,"normandie", 'Extraction Offre de loisirs'!F:F,"shopping", 'Extraction Offre de loisirs'!B:B,"2016")</f>
        <v>894</v>
      </c>
      <c r="J8" s="39">
        <f>I8/$I$5</f>
        <v>0.16137184115523465</v>
      </c>
      <c r="K8" s="29">
        <f>SUMIFS('Extraction Offre de loisirs'!G:G,'Extraction Offre de loisirs'!D:D,"normandie", 'Extraction Offre de loisirs'!F:F,"shopping", 'Extraction Offre de loisirs'!B:B,"2015")</f>
        <v>4.475483870967742</v>
      </c>
      <c r="L8" s="33">
        <f>SUMIFS('Extraction Offre de loisirs'!I:I,'Extraction Offre de loisirs'!D:D,"normandie", 'Extraction Offre de loisirs'!F:F,"shopping", 'Extraction Offre de loisirs'!B:B,"2015")</f>
        <v>775</v>
      </c>
      <c r="M8" s="39">
        <f>L8/$L$5</f>
        <v>0.19969080133986086</v>
      </c>
      <c r="N8" s="30">
        <f>SUMIFS('Extraction Offre de loisirs'!G:G,'Extraction Offre de loisirs'!D:D,"normandie", 'Extraction Offre de loisirs'!F:F,"shopping", 'Extraction Offre de loisirs'!B:B,"2014")</f>
        <v>4.4898648648648649</v>
      </c>
      <c r="O8" s="33">
        <f>SUMIFS('Extraction Offre de loisirs'!I:I,'Extraction Offre de loisirs'!D:D,"normandie", 'Extraction Offre de loisirs'!F:F,"shopping", 'Extraction Offre de loisirs'!B:B,"2014")</f>
        <v>148</v>
      </c>
      <c r="P8" s="39">
        <f>O8/$O$5</f>
        <v>0.10206896551724139</v>
      </c>
      <c r="Q8" s="29">
        <f>SUMIFS('Extraction Offre de loisirs'!G:G,'Extraction Offre de loisirs'!D:D,"normandie", 'Extraction Offre de loisirs'!F:F,"shopping", 'Extraction Offre de loisirs'!B:B,"2013")</f>
        <v>4.5088495575221232</v>
      </c>
      <c r="R8" s="33">
        <f>SUMIFS('Extraction Offre de loisirs'!I:I,'Extraction Offre de loisirs'!D:D,"normandie", 'Extraction Offre de loisirs'!F:F,"shopping", 'Extraction Offre de loisirs'!B:B,"2013")</f>
        <v>113</v>
      </c>
      <c r="S8" s="31">
        <f>R8/$R$5</f>
        <v>0.1475195822454308</v>
      </c>
    </row>
    <row r="9" spans="2:19" x14ac:dyDescent="0.25">
      <c r="B9" s="15" t="s">
        <v>78</v>
      </c>
      <c r="C9" s="2" t="s">
        <v>84</v>
      </c>
      <c r="D9" s="2"/>
      <c r="E9" s="29">
        <f>SUMIFS('Extraction Offre de loisirs'!G:G,'Extraction Offre de loisirs'!D:D,"normandie", 'Extraction Offre de loisirs'!F:F,"vie nocturne", 'Extraction Offre de loisirs'!B:B,"2017")</f>
        <v>4.524390243902439</v>
      </c>
      <c r="F9" s="33">
        <f>SUMIFS('Extraction Offre de loisirs'!I:I,'Extraction Offre de loisirs'!D:D,"normandie", 'Extraction Offre de loisirs'!F:F,"vie nocturne", 'Extraction Offre de loisirs'!B:B,"2017")</f>
        <v>123</v>
      </c>
      <c r="G9" s="39">
        <f>F9/$F$5</f>
        <v>5.1724137931034482E-2</v>
      </c>
      <c r="H9" s="30">
        <f>SUMIFS('Extraction Offre de loisirs'!G:G,'Extraction Offre de loisirs'!D:D,"normandie", 'Extraction Offre de loisirs'!F:F,"vie nocturne", 'Extraction Offre de loisirs'!B:B,"2016")</f>
        <v>4.6624605678233442</v>
      </c>
      <c r="I9" s="33">
        <f>SUMIFS('Extraction Offre de loisirs'!I:I,'Extraction Offre de loisirs'!D:D,"normandie", 'Extraction Offre de loisirs'!F:F,"vie nocturne", 'Extraction Offre de loisirs'!B:B,"2016")</f>
        <v>317</v>
      </c>
      <c r="J9" s="39">
        <f>I9/$I$5</f>
        <v>5.7220216606498196E-2</v>
      </c>
      <c r="K9" s="29">
        <f>SUMIFS('Extraction Offre de loisirs'!G:G,'Extraction Offre de loisirs'!D:D,"normandie", 'Extraction Offre de loisirs'!F:F,"vie nocturne", 'Extraction Offre de loisirs'!B:B,"2015")</f>
        <v>4.6076555023923449</v>
      </c>
      <c r="L9" s="33">
        <f>SUMIFS('Extraction Offre de loisirs'!I:I,'Extraction Offre de loisirs'!D:D,"normandie", 'Extraction Offre de loisirs'!F:F,"vie nocturne", 'Extraction Offre de loisirs'!B:B,"2015")</f>
        <v>209</v>
      </c>
      <c r="M9" s="39">
        <f>L9/$L$5</f>
        <v>5.3852099974233444E-2</v>
      </c>
      <c r="N9" s="30">
        <f>SUMIFS('Extraction Offre de loisirs'!G:G,'Extraction Offre de loisirs'!D:D,"normandie", 'Extraction Offre de loisirs'!F:F,"vie nocturne", 'Extraction Offre de loisirs'!B:B,"2014")</f>
        <v>4.479166666666667</v>
      </c>
      <c r="O9" s="33">
        <f>SUMIFS('Extraction Offre de loisirs'!I:I,'Extraction Offre de loisirs'!D:D,"normandie", 'Extraction Offre de loisirs'!F:F,"vie nocturne", 'Extraction Offre de loisirs'!B:B,"2014")</f>
        <v>48</v>
      </c>
      <c r="P9" s="39">
        <f>O9/$O$5</f>
        <v>3.310344827586207E-2</v>
      </c>
      <c r="Q9" s="29">
        <f>SUMIFS('Extraction Offre de loisirs'!G:G,'Extraction Offre de loisirs'!D:D,"normandie", 'Extraction Offre de loisirs'!F:F,"vie nocturne", 'Extraction Offre de loisirs'!B:B,"2013")</f>
        <v>4.5714285714285712</v>
      </c>
      <c r="R9" s="33">
        <f>SUMIFS('Extraction Offre de loisirs'!I:I,'Extraction Offre de loisirs'!D:D,"normandie", 'Extraction Offre de loisirs'!F:F,"vie nocturne", 'Extraction Offre de loisirs'!B:B,"2013")</f>
        <v>14</v>
      </c>
      <c r="S9" s="31">
        <f>R9/$R$5</f>
        <v>1.8276762402088774E-2</v>
      </c>
    </row>
    <row r="10" spans="2:19" x14ac:dyDescent="0.25">
      <c r="B10" s="17" t="s">
        <v>82</v>
      </c>
      <c r="C10" s="4" t="s">
        <v>101</v>
      </c>
      <c r="D10" s="4"/>
      <c r="E10" s="50">
        <f>(E11*G11)+(E12*G12)+(E13*G13)</f>
        <v>4.2521685838204792</v>
      </c>
      <c r="F10" s="34">
        <f>SUMIFS('Extraction Patrimoine'!I:I,'Extraction Patrimoine'!D:D,"normandie", 'Extraction Patrimoine'!E:E,"patrimoine", 'Extraction Patrimoine'!B:B,"2017")</f>
        <v>10606</v>
      </c>
      <c r="G10" s="38">
        <f>F10/$F$4</f>
        <v>0.49967021577310844</v>
      </c>
      <c r="H10" s="50">
        <f>(H11*J11)+(H12*J12)+(H13*J13)</f>
        <v>4.2956138367623788</v>
      </c>
      <c r="I10" s="11">
        <f>SUMIFS('Extraction Patrimoine'!I:I,'Extraction Patrimoine'!D:D,"normandie", 'Extraction Patrimoine'!E:E,"patrimoine", 'Extraction Patrimoine'!B:B,"2016")</f>
        <v>4423</v>
      </c>
      <c r="J10" s="48">
        <f>I10/$I$4</f>
        <v>0.17261835070054249</v>
      </c>
      <c r="K10" s="50">
        <f>(K11*M11)+(K12*M12)+(K13*M13)</f>
        <v>4.2712279555845862</v>
      </c>
      <c r="L10" s="34">
        <f>SUMIFS('Extraction Patrimoine'!I:I,'Extraction Patrimoine'!D:D,"normandie", 'Extraction Patrimoine'!E:E,"patrimoine", 'Extraction Patrimoine'!B:B,"2015")</f>
        <v>3062</v>
      </c>
      <c r="M10" s="38">
        <f>L10/$L$4</f>
        <v>0.23940578577013291</v>
      </c>
      <c r="N10" s="50">
        <f>(N11*P11)+(N12*P12)+(N13*P13)</f>
        <v>4.2946273830155981</v>
      </c>
      <c r="O10" s="11">
        <f>SUMIFS('Extraction Patrimoine'!I:I,'Extraction Patrimoine'!D:D,"normandie", 'Extraction Patrimoine'!E:E,"patrimoine", 'Extraction Patrimoine'!B:B,"2014")</f>
        <v>1154</v>
      </c>
      <c r="P10" s="48">
        <f>O10/$O$4</f>
        <v>0.2600856434527834</v>
      </c>
      <c r="Q10" s="50">
        <f>(Q11*S11)+(Q12*S12)+(Q13*S13)</f>
        <v>4.3056653491436103</v>
      </c>
      <c r="R10" s="11">
        <f>SUMIFS('Extraction Patrimoine'!I:I,'Extraction Patrimoine'!D:D,"normandie", 'Extraction Patrimoine'!E:E,"patrimoine", 'Extraction Patrimoine'!B:B,"2013")</f>
        <v>759</v>
      </c>
      <c r="S10" s="49">
        <f>R10/$R$4</f>
        <v>0.2541011047874121</v>
      </c>
    </row>
    <row r="11" spans="2:19" x14ac:dyDescent="0.25">
      <c r="B11" s="15" t="s">
        <v>82</v>
      </c>
      <c r="C11" s="15" t="s">
        <v>98</v>
      </c>
      <c r="D11" s="15"/>
      <c r="E11" s="29">
        <f>SUMIFS('Extraction Patrimoine'!G:G,'Extraction Patrimoine'!D:D,"normandie", 'Extraction Patrimoine'!F:F,"nature et parcs", 'Extraction Patrimoine'!B:B,"2017")</f>
        <v>4.2521685838204792</v>
      </c>
      <c r="F11" s="23">
        <f>SUMIFS('Extraction Patrimoine'!I:I,'Extraction Patrimoine'!D:D,"normandie", 'Extraction Patrimoine'!F:F,"nature et parcs", 'Extraction Patrimoine'!B:B,"2017")</f>
        <v>10606</v>
      </c>
      <c r="G11" s="39">
        <f>F11/$F$10</f>
        <v>1</v>
      </c>
      <c r="H11" s="29">
        <f>SUMIFS('Extraction Patrimoine'!G:G,'Extraction Patrimoine'!D:D,"normandie", 'Extraction Patrimoine'!F:F,"nature et parcs", 'Extraction Patrimoine'!B:B,"2016")</f>
        <v>4.2956138367623788</v>
      </c>
      <c r="I11" s="23">
        <f>SUMIFS('Extraction Patrimoine'!I:I,'Extraction Patrimoine'!D:D,"normandie", 'Extraction Patrimoine'!F:F,"nature et parcs", 'Extraction Patrimoine'!B:B,"2016")</f>
        <v>4423</v>
      </c>
      <c r="J11" s="39">
        <f>I11/$I$10</f>
        <v>1</v>
      </c>
      <c r="K11" s="29">
        <f>SUMIFS('Extraction Patrimoine'!G:G,'Extraction Patrimoine'!D:D,"normandie", 'Extraction Patrimoine'!F:F,"nature et parcs", 'Extraction Patrimoine'!B:B,"2015")</f>
        <v>4.2712279555845862</v>
      </c>
      <c r="L11" s="23">
        <f>SUMIFS('Extraction Patrimoine'!I:I,'Extraction Patrimoine'!D:D,"normandie", 'Extraction Patrimoine'!F:F,"nature et parcs", 'Extraction Patrimoine'!B:B,"2015")</f>
        <v>3062</v>
      </c>
      <c r="M11" s="39">
        <f>L11/$L$10</f>
        <v>1</v>
      </c>
      <c r="N11" s="29">
        <f>SUMIFS('Extraction Patrimoine'!G:G,'Extraction Patrimoine'!D:D,"normandie", 'Extraction Patrimoine'!F:F,"nature et parcs", 'Extraction Patrimoine'!B:B,"2014")</f>
        <v>4.2946273830155981</v>
      </c>
      <c r="O11" s="23">
        <f>SUMIFS('Extraction Patrimoine'!I:I,'Extraction Patrimoine'!D:D,"normandie", 'Extraction Patrimoine'!F:F,"nature et parcs", 'Extraction Patrimoine'!B:B,"2014")</f>
        <v>1154</v>
      </c>
      <c r="P11" s="39">
        <f>O11/$O$10</f>
        <v>1</v>
      </c>
      <c r="Q11" s="29">
        <f>SUMIFS('Extraction Patrimoine'!G:G,'Extraction Patrimoine'!D:D,"normandie", 'Extraction Patrimoine'!F:F,"nature et parcs", 'Extraction Patrimoine'!B:B,"2013")</f>
        <v>4.3056653491436103</v>
      </c>
      <c r="R11" s="23">
        <f>SUMIFS('Extraction Patrimoine'!I:I,'Extraction Patrimoine'!D:D,"normandie", 'Extraction Patrimoine'!F:F,"nature et parcs", 'Extraction Patrimoine'!B:B,"2013")</f>
        <v>759</v>
      </c>
      <c r="S11" s="43">
        <f>R11/$R$10</f>
        <v>1</v>
      </c>
    </row>
    <row r="12" spans="2:19" x14ac:dyDescent="0.25">
      <c r="B12" s="15" t="s">
        <v>82</v>
      </c>
      <c r="C12" s="15" t="s">
        <v>99</v>
      </c>
      <c r="D12" s="15"/>
      <c r="E12" s="29">
        <f>SUMIFS('Extraction Patrimoine'!G:G,'Extraction Patrimoine'!D:D,"normandie", 'Extraction Patrimoine'!F:F,"musées", 'Extraction Patrimoine'!B:B,"2017")</f>
        <v>0</v>
      </c>
      <c r="F12" s="23">
        <f>SUMIFS('Extraction Patrimoine'!I:I,'Extraction Patrimoine'!D:D,"normandie", 'Extraction Patrimoine'!F:F,"musées", 'Extraction Patrimoine'!B:B,"2017")</f>
        <v>0</v>
      </c>
      <c r="G12" s="39">
        <f>F12/$F$10</f>
        <v>0</v>
      </c>
      <c r="H12" s="29">
        <f>SUMIFS('Extraction Patrimoine'!G:G,'Extraction Patrimoine'!D:D,"normandie", 'Extraction Patrimoine'!F:F,"musées", 'Extraction Patrimoine'!B:B,"2016")</f>
        <v>0</v>
      </c>
      <c r="I12" s="23">
        <f>SUMIFS('Extraction Patrimoine'!I:I,'Extraction Patrimoine'!D:D,"normandie", 'Extraction Patrimoine'!F:F,"musées", 'Extraction Patrimoine'!B:B,"2016")</f>
        <v>0</v>
      </c>
      <c r="J12" s="39">
        <f t="shared" ref="J12:J13" si="0">I12/$I$10</f>
        <v>0</v>
      </c>
      <c r="K12" s="29">
        <f>SUMIFS('Extraction Patrimoine'!G:G,'Extraction Patrimoine'!D:D,"normandie", 'Extraction Patrimoine'!F:F,"musées", 'Extraction Patrimoine'!B:B,"2015")</f>
        <v>0</v>
      </c>
      <c r="L12" s="23">
        <f>SUMIFS('Extraction Patrimoine'!I:I,'Extraction Patrimoine'!D:D,"normandie", 'Extraction Patrimoine'!F:F,"musées", 'Extraction Patrimoine'!B:B,"2015")</f>
        <v>0</v>
      </c>
      <c r="M12" s="39">
        <f t="shared" ref="M12:M13" si="1">L12/$L$10</f>
        <v>0</v>
      </c>
      <c r="N12" s="29">
        <f>SUMIFS('Extraction Patrimoine'!G:G,'Extraction Patrimoine'!D:D,"normandie", 'Extraction Patrimoine'!F:F,"musées", 'Extraction Patrimoine'!B:B,"2014")</f>
        <v>0</v>
      </c>
      <c r="O12" s="23">
        <f>SUMIFS('Extraction Patrimoine'!I:I,'Extraction Patrimoine'!D:D,"normandie", 'Extraction Patrimoine'!F:F,"musées", 'Extraction Patrimoine'!B:B,"2014")</f>
        <v>0</v>
      </c>
      <c r="P12" s="39">
        <f t="shared" ref="P12:P13" si="2">O12/$O$10</f>
        <v>0</v>
      </c>
      <c r="Q12" s="29">
        <f>SUMIFS('Extraction Patrimoine'!G:G,'Extraction Patrimoine'!D:D,"normandie", 'Extraction Patrimoine'!F:F,"musées", 'Extraction Patrimoine'!B:B,"2013")</f>
        <v>0</v>
      </c>
      <c r="R12" s="23">
        <f>SUMIFS('Extraction Patrimoine'!I:I,'Extraction Patrimoine'!D:D,"normandie", 'Extraction Patrimoine'!F:F,"musées", 'Extraction Patrimoine'!B:B,"2013")</f>
        <v>0</v>
      </c>
      <c r="S12" s="43">
        <f t="shared" ref="S12:S13" si="3">R12/$R$10</f>
        <v>0</v>
      </c>
    </row>
    <row r="13" spans="2:19" x14ac:dyDescent="0.25">
      <c r="B13" s="15" t="s">
        <v>82</v>
      </c>
      <c r="C13" s="15" t="s">
        <v>100</v>
      </c>
      <c r="D13" s="15"/>
      <c r="E13" s="29">
        <f>SUMIFS('Extraction Patrimoine'!G:G,'Extraction Patrimoine'!D:D,"normandie", 'Extraction Patrimoine'!F:F,"sites et monuments", 'Extraction Patrimoine'!B:B,"2017")</f>
        <v>0</v>
      </c>
      <c r="F13" s="23">
        <f>SUMIFS('Extraction Patrimoine'!I:I,'Extraction Patrimoine'!D:D,"normandie", 'Extraction Patrimoine'!F:F,"sites et monuments", 'Extraction Patrimoine'!B:B,"2017")</f>
        <v>0</v>
      </c>
      <c r="G13" s="39">
        <f>F13/$F$10</f>
        <v>0</v>
      </c>
      <c r="H13" s="29">
        <f>SUMIFS('Extraction Patrimoine'!G:G,'Extraction Patrimoine'!D:D,"normandie", 'Extraction Patrimoine'!F:F,"sites et monuments", 'Extraction Patrimoine'!B:B,"2016")</f>
        <v>0</v>
      </c>
      <c r="I13" s="23">
        <f>SUMIFS('Extraction Patrimoine'!I:I,'Extraction Patrimoine'!D:D,"normandie", 'Extraction Patrimoine'!F:F,"sites et monuments", 'Extraction Patrimoine'!B:B,"2016")</f>
        <v>0</v>
      </c>
      <c r="J13" s="39">
        <f t="shared" si="0"/>
        <v>0</v>
      </c>
      <c r="K13" s="29">
        <f>SUMIFS('Extraction Patrimoine'!G:G,'Extraction Patrimoine'!D:D,"normandie", 'Extraction Patrimoine'!F:F,"sites et monuments", 'Extraction Patrimoine'!B:B,"2015")</f>
        <v>0</v>
      </c>
      <c r="L13" s="23">
        <f>SUMIFS('Extraction Patrimoine'!I:I,'Extraction Patrimoine'!D:D,"normandie", 'Extraction Patrimoine'!F:F,"sites et monuments", 'Extraction Patrimoine'!B:B,"2015")</f>
        <v>0</v>
      </c>
      <c r="M13" s="39">
        <f t="shared" si="1"/>
        <v>0</v>
      </c>
      <c r="N13" s="29">
        <f>SUMIFS('Extraction Patrimoine'!G:G,'Extraction Patrimoine'!D:D,"normandie", 'Extraction Patrimoine'!F:F,"sites et monuments", 'Extraction Patrimoine'!B:B,"2014")</f>
        <v>0</v>
      </c>
      <c r="O13" s="23">
        <f>SUMIFS('Extraction Patrimoine'!I:I,'Extraction Patrimoine'!D:D,"normandie", 'Extraction Patrimoine'!F:F,"sites et monuments", 'Extraction Patrimoine'!B:B,"2014")</f>
        <v>0</v>
      </c>
      <c r="P13" s="39">
        <f t="shared" si="2"/>
        <v>0</v>
      </c>
      <c r="Q13" s="29">
        <f>SUMIFS('Extraction Patrimoine'!G:G,'Extraction Patrimoine'!D:D,"normandie", 'Extraction Patrimoine'!F:F,"sites et monuments", 'Extraction Patrimoine'!B:B,"2013")</f>
        <v>0</v>
      </c>
      <c r="R13" s="23">
        <f>SUMIFS('Extraction Patrimoine'!I:I,'Extraction Patrimoine'!D:D,"normandie", 'Extraction Patrimoine'!F:F,"sites et monuments", 'Extraction Patrimoine'!B:B,"2013")</f>
        <v>0</v>
      </c>
      <c r="S13" s="43">
        <f t="shared" si="3"/>
        <v>0</v>
      </c>
    </row>
    <row r="14" spans="2:19" x14ac:dyDescent="0.25">
      <c r="B14" s="17" t="s">
        <v>9</v>
      </c>
      <c r="C14" s="4" t="s">
        <v>101</v>
      </c>
      <c r="D14" s="4"/>
      <c r="E14" s="50">
        <f>(E15*G15)+(E16*G16)</f>
        <v>4.1164219849551058</v>
      </c>
      <c r="F14" s="34">
        <f>SUMIFS('Extraction Offre de services'!I:I,'Extraction Offre de services'!D:D,"normandie", 'Extraction Offre de services'!E:E,"Offre de services", 'Extraction Offre de services'!B:B,"2017")</f>
        <v>8242</v>
      </c>
      <c r="G14" s="38">
        <f>F14/$F$4</f>
        <v>0.38829737114859136</v>
      </c>
      <c r="H14" s="50">
        <f>(H15*J15)+(H16*J16)</f>
        <v>4.0649137931034467</v>
      </c>
      <c r="I14" s="11">
        <f>SUMIFS('Extraction Offre de services'!I:I,'Extraction Offre de services'!D:D,"normandie", 'Extraction Offre de services'!E:E,"Offre de services", 'Extraction Offre de services'!B:B,"2016")</f>
        <v>15660</v>
      </c>
      <c r="J14" s="48">
        <f>I14/$I$4</f>
        <v>0.61116965226554265</v>
      </c>
      <c r="K14" s="50">
        <f>(K15*M15)+(K16*M16)</f>
        <v>4.2330340345476287</v>
      </c>
      <c r="L14" s="11">
        <f>SUMIFS('Extraction Offre de services'!I:I,'Extraction Offre de services'!D:D,"normandie", 'Extraction Offre de services'!E:E,"Offre de services", 'Extraction Offre de services'!B:B,"2015")</f>
        <v>5847</v>
      </c>
      <c r="M14" s="38">
        <f>L14/$L$4</f>
        <v>0.4571540265832682</v>
      </c>
      <c r="N14" s="50">
        <f>(N15*P15)+(N16*P16)</f>
        <v>4.4293507910529186</v>
      </c>
      <c r="O14" s="11">
        <f>SUMIFS('Extraction Offre de services'!I:I,'Extraction Offre de services'!D:D,"normandie", 'Extraction Offre de services'!E:E,"Offre de services", 'Extraction Offre de services'!B:B,"2014")</f>
        <v>1833</v>
      </c>
      <c r="P14" s="48">
        <f>O14/$O$4</f>
        <v>0.41311697092630156</v>
      </c>
      <c r="Q14" s="50">
        <f>(Q15*S15)+(Q16*S16)</f>
        <v>4.424418604651164</v>
      </c>
      <c r="R14" s="11">
        <f>SUMIFS('Extraction Offre de services'!I:I,'Extraction Offre de services'!D:D,"normandie", 'Extraction Offre de services'!E:E,"Offre de services", 'Extraction Offre de services'!B:B,"2013")</f>
        <v>1462</v>
      </c>
      <c r="S14" s="49">
        <f>R14/$R$4</f>
        <v>0.48945430197522599</v>
      </c>
    </row>
    <row r="15" spans="2:19" x14ac:dyDescent="0.25">
      <c r="B15" s="15" t="s">
        <v>9</v>
      </c>
      <c r="C15" s="2" t="s">
        <v>10</v>
      </c>
      <c r="D15" s="2"/>
      <c r="E15" s="29">
        <f>SUMIFS('Extraction Offre de services'!G:G,'Extraction Offre de services'!D:D,"normandie", 'Extraction Offre de services'!F:F,"hebergement", 'Extraction Offre de services'!B:B,"2017")</f>
        <v>4.0286867763558778</v>
      </c>
      <c r="F15" s="23">
        <f>SUMIFS('Extraction Offre de services'!I:I,'Extraction Offre de services'!D:D,"normandie", 'Extraction Offre de services'!F:F,"hebergement", 'Extraction Offre de services'!B:B,"2017")</f>
        <v>6564</v>
      </c>
      <c r="G15" s="39">
        <f>F15/$F$14</f>
        <v>0.79640863867993206</v>
      </c>
      <c r="H15" s="30">
        <f>SUMIFS('Extraction Offre de services'!G:G,'Extraction Offre de services'!D:D,"normandie", 'Extraction Offre de services'!F:F,"hebergement", 'Extraction Offre de services'!B:B,"2016")</f>
        <v>3.961238700219885</v>
      </c>
      <c r="I15" s="23">
        <f>SUMIFS('Extraction Offre de services'!I:I,'Extraction Offre de services'!D:D,"normandie", 'Extraction Offre de services'!F:F,"hebergement", 'Extraction Offre de services'!B:B,"2016")</f>
        <v>12279</v>
      </c>
      <c r="J15" s="45">
        <f>I15/$I$14</f>
        <v>0.78409961685823759</v>
      </c>
      <c r="K15" s="29">
        <f>SUMIFS('Extraction Offre de services'!G:G,'Extraction Offre de services'!D:D,"normandie", 'Extraction Offre de services'!F:F,"hebergement", 'Extraction Offre de services'!B:B,"2015")</f>
        <v>4.0719778575703138</v>
      </c>
      <c r="L15" s="23">
        <f>SUMIFS('Extraction Offre de services'!I:I,'Extraction Offre de services'!D:D,"normandie", 'Extraction Offre de services'!F:F,"hebergement", 'Extraction Offre de services'!B:B,"2015")</f>
        <v>3342</v>
      </c>
      <c r="M15" s="45">
        <f>L15/$L$14</f>
        <v>0.57157516675218056</v>
      </c>
      <c r="N15" s="30">
        <f>SUMIFS('Extraction Offre de services'!G:G,'Extraction Offre de services'!D:D,"normandie", 'Extraction Offre de services'!F:F,"hebergement", 'Extraction Offre de services'!B:B,"2014")</f>
        <v>0</v>
      </c>
      <c r="O15" s="23">
        <f>SUMIFS('Extraction Offre de services'!I:I,'Extraction Offre de services'!D:D,"normandie", 'Extraction Offre de services'!F:F,"hebergement", 'Extraction Offre de services'!B:B,"2014")</f>
        <v>0</v>
      </c>
      <c r="P15" s="45">
        <f>O15/$O$14</f>
        <v>0</v>
      </c>
      <c r="Q15" s="29">
        <f>SUMIFS('Extraction Offre de services'!G:G,'Extraction Offre de services'!D:D,"normandie", 'Extraction Offre de services'!F:F,"hebergement", 'Extraction Offre de services'!B:B,"2013")</f>
        <v>0</v>
      </c>
      <c r="R15" s="23">
        <f>SUMIFS('Extraction Offre de services'!I:I,'Extraction Offre de services'!D:D,"normandie", 'Extraction Offre de services'!F:F,"hebergement", 'Extraction Offre de services'!B:B,"2013")</f>
        <v>0</v>
      </c>
      <c r="S15" s="42">
        <f>R15/$R$14</f>
        <v>0</v>
      </c>
    </row>
    <row r="16" spans="2:19" x14ac:dyDescent="0.25">
      <c r="B16" s="15" t="s">
        <v>9</v>
      </c>
      <c r="C16" s="2" t="s">
        <v>48</v>
      </c>
      <c r="D16" s="2"/>
      <c r="E16" s="29">
        <f>SUMIFS('Extraction Offre de services'!G:G,'Extraction Offre de services'!D:D,"normandie", 'Extraction Offre de services'!F:F,"restauration", 'Extraction Offre de services'!B:B,"2017")</f>
        <v>4.4596245530393333</v>
      </c>
      <c r="F16" s="23">
        <f>SUMIFS('Extraction Offre de services'!I:I,'Extraction Offre de services'!D:D,"normandie", 'Extraction Offre de services'!F:F,"restauration", 'Extraction Offre de services'!B:B,"2017")</f>
        <v>1678</v>
      </c>
      <c r="G16" s="39">
        <f>F16/$F$14</f>
        <v>0.20359136132006794</v>
      </c>
      <c r="H16" s="30">
        <f>SUMIFS('Extraction Offre de services'!G:G,'Extraction Offre de services'!D:D,"normandie", 'Extraction Offre de services'!F:F,"restauration", 'Extraction Offre de services'!B:B,"2016")</f>
        <v>4.441437444543034</v>
      </c>
      <c r="I16" s="23">
        <f>SUMIFS('Extraction Offre de services'!I:I,'Extraction Offre de services'!D:D,"normandie", 'Extraction Offre de services'!F:F,"restauration", 'Extraction Offre de services'!B:B,"2016")</f>
        <v>3381</v>
      </c>
      <c r="J16" s="45">
        <f>I16/$I$14</f>
        <v>0.21590038314176246</v>
      </c>
      <c r="K16" s="29">
        <f>SUMIFS('Extraction Offre de services'!G:G,'Extraction Offre de services'!D:D,"normandie", 'Extraction Offre de services'!F:F,"restauration", 'Extraction Offre de services'!B:B,"2015")</f>
        <v>4.4479041916167663</v>
      </c>
      <c r="L16" s="23">
        <f>SUMIFS('Extraction Offre de services'!I:I,'Extraction Offre de services'!D:D,"normandie", 'Extraction Offre de services'!F:F,"restauration", 'Extraction Offre de services'!B:B,"2015")</f>
        <v>2505</v>
      </c>
      <c r="M16" s="45">
        <f>L16/$L$14</f>
        <v>0.42842483324781938</v>
      </c>
      <c r="N16" s="30">
        <f>SUMIFS('Extraction Offre de services'!G:G,'Extraction Offre de services'!D:D,"normandie", 'Extraction Offre de services'!F:F,"restauration", 'Extraction Offre de services'!B:B,"2014")</f>
        <v>4.4293507910529186</v>
      </c>
      <c r="O16" s="23">
        <f>SUMIFS('Extraction Offre de services'!I:I,'Extraction Offre de services'!D:D,"normandie", 'Extraction Offre de services'!F:F,"restauration", 'Extraction Offre de services'!B:B,"2014")</f>
        <v>1833</v>
      </c>
      <c r="P16" s="45">
        <f>O16/$O$14</f>
        <v>1</v>
      </c>
      <c r="Q16" s="29">
        <f>SUMIFS('Extraction Offre de services'!G:G,'Extraction Offre de services'!D:D,"normandie", 'Extraction Offre de services'!F:F,"restauration", 'Extraction Offre de services'!B:B,"2013")</f>
        <v>4.424418604651164</v>
      </c>
      <c r="R16" s="23">
        <f>SUMIFS('Extraction Offre de services'!I:I,'Extraction Offre de services'!D:D,"normandie", 'Extraction Offre de services'!F:F,"restauration", 'Extraction Offre de services'!B:B,"2013")</f>
        <v>1462</v>
      </c>
      <c r="S16" s="42">
        <f>R16/$R$14</f>
        <v>1</v>
      </c>
    </row>
    <row r="17" spans="2:19" s="65" customFormat="1" x14ac:dyDescent="0.25">
      <c r="B17" s="68" t="s">
        <v>9</v>
      </c>
      <c r="C17" s="68" t="s">
        <v>48</v>
      </c>
      <c r="D17" s="68" t="s">
        <v>125</v>
      </c>
      <c r="E17" s="70">
        <f>SUMIFS('Extraction Offre de services'!L:L,'Extraction Offre de services'!D:D,"normandie", 'Extraction Offre de services'!F:F,"restauration", 'Extraction Offre de services'!B:B,"2017")</f>
        <v>4.4964243146603105</v>
      </c>
      <c r="F17" s="71"/>
      <c r="G17" s="72"/>
      <c r="H17" s="70">
        <f>SUMIFS('Extraction Offre de services'!L:L,'Extraction Offre de services'!D:D,"normandie", 'Extraction Offre de services'!F:F,"restauration", 'Extraction Offre de services'!B:B,"2016")</f>
        <v>4.4841762792073343</v>
      </c>
      <c r="I17" s="71"/>
      <c r="J17" s="72"/>
      <c r="K17" s="70">
        <f>SUMIFS('Extraction Offre de services'!L:L,'Extraction Offre de services'!D:D,"normandie", 'Extraction Offre de services'!F:F,"restauration", 'Extraction Offre de services'!B:B,"2015")</f>
        <v>4.4778443113772459</v>
      </c>
      <c r="L17" s="68"/>
      <c r="M17" s="72"/>
      <c r="N17" s="70">
        <f>SUMIFS('Extraction Offre de services'!L:L,'Extraction Offre de services'!D:D,"normandie", 'Extraction Offre de services'!F:F,"restauration", 'Extraction Offre de services'!B:B,"2014")</f>
        <v>4.4779050736497545</v>
      </c>
      <c r="O17" s="68"/>
      <c r="P17" s="68"/>
      <c r="Q17" s="73">
        <f>SUMIFS('Extraction Offre de services'!L:L,'Extraction Offre de services'!D:D,"normandie", 'Extraction Offre de services'!F:F,"restauration", 'Extraction Offre de services'!B:B,"2013")</f>
        <v>4.446648426812585</v>
      </c>
      <c r="R17" s="68"/>
      <c r="S17" s="68"/>
    </row>
    <row r="18" spans="2:19" s="65" customFormat="1" x14ac:dyDescent="0.25">
      <c r="B18" s="68" t="s">
        <v>9</v>
      </c>
      <c r="C18" s="68" t="s">
        <v>48</v>
      </c>
      <c r="D18" s="68" t="s">
        <v>127</v>
      </c>
      <c r="E18" s="70">
        <f>SUMIFS('Extraction Offre de services'!N:N,'Extraction Offre de services'!D:D,"normandie", 'Extraction Offre de services'!F:F,"restauration", 'Extraction Offre de services'!B:B,"2017")</f>
        <v>4.4994040524433849</v>
      </c>
      <c r="F18" s="68"/>
      <c r="G18" s="72"/>
      <c r="H18" s="70">
        <f>SUMIFS('Extraction Offre de services'!N:N,'Extraction Offre de services'!D:D,"normandie", 'Extraction Offre de services'!F:F,"restauration", 'Extraction Offre de services'!B:B,"2016")</f>
        <v>4.4974859509020995</v>
      </c>
      <c r="I18" s="68"/>
      <c r="J18" s="72"/>
      <c r="K18" s="70">
        <f>SUMIFS('Extraction Offre de services'!N:N,'Extraction Offre de services'!D:D,"normandie", 'Extraction Offre de services'!F:F,"restauration", 'Extraction Offre de services'!B:B,"2015")</f>
        <v>4.5157684630738526</v>
      </c>
      <c r="L18" s="68"/>
      <c r="M18" s="72"/>
      <c r="N18" s="70">
        <f>SUMIFS('Extraction Offre de services'!N:N,'Extraction Offre de services'!D:D,"normandie", 'Extraction Offre de services'!F:F,"restauration", 'Extraction Offre de services'!B:B,"2014")</f>
        <v>4.4648117839607204</v>
      </c>
      <c r="O18" s="68"/>
      <c r="P18" s="72"/>
      <c r="Q18" s="70">
        <f>SUMIFS('Extraction Offre de services'!N:N,'Extraction Offre de services'!D:D,"normandie", 'Extraction Offre de services'!F:F,"restauration", 'Extraction Offre de services'!B:B,"2013")</f>
        <v>4.5</v>
      </c>
      <c r="R18" s="68"/>
      <c r="S18" s="68"/>
    </row>
    <row r="19" spans="2:19" s="65" customFormat="1" x14ac:dyDescent="0.25">
      <c r="B19" s="68" t="s">
        <v>9</v>
      </c>
      <c r="C19" s="68" t="s">
        <v>48</v>
      </c>
      <c r="D19" s="68" t="s">
        <v>126</v>
      </c>
      <c r="E19" s="70">
        <f>SUMIFS('Extraction Offre de services'!P:P,'Extraction Offre de services'!D:D,"normandie", 'Extraction Offre de services'!F:F,"restauration", 'Extraction Offre de services'!B:B,"2017")</f>
        <v>4.3462455303933254</v>
      </c>
      <c r="F19" s="68"/>
      <c r="G19" s="72"/>
      <c r="H19" s="70">
        <f>SUMIFS('Extraction Offre de services'!P:P,'Extraction Offre de services'!D:D,"normandie", 'Extraction Offre de services'!F:F,"restauration", 'Extraction Offre de services'!B:B,"2016")</f>
        <v>4.299911268855368</v>
      </c>
      <c r="I19" s="68"/>
      <c r="J19" s="72"/>
      <c r="K19" s="70">
        <f>SUMIFS('Extraction Offre de services'!P:P,'Extraction Offre de services'!D:D,"normandie", 'Extraction Offre de services'!F:F,"restauration", 'Extraction Offre de services'!B:B,"2015")</f>
        <v>4.3201596806387235</v>
      </c>
      <c r="L19" s="68"/>
      <c r="M19" s="72"/>
      <c r="N19" s="70">
        <f>SUMIFS('Extraction Offre de services'!P:P,'Extraction Offre de services'!D:D,"normandie", 'Extraction Offre de services'!F:F,"restauration", 'Extraction Offre de services'!B:B,"2014")</f>
        <v>4.296781232951445</v>
      </c>
      <c r="O19" s="68"/>
      <c r="P19" s="72"/>
      <c r="Q19" s="70">
        <f>SUMIFS('Extraction Offre de services'!P:P,'Extraction Offre de services'!D:D,"normandie", 'Extraction Offre de services'!F:F,"restauration", 'Extraction Offre de services'!B:B,"2013")</f>
        <v>4.3043775649794807</v>
      </c>
      <c r="R19" s="68"/>
      <c r="S19" s="68"/>
    </row>
  </sheetData>
  <mergeCells count="8">
    <mergeCell ref="Q2:S2"/>
    <mergeCell ref="B2:B3"/>
    <mergeCell ref="C2:C3"/>
    <mergeCell ref="E2:G2"/>
    <mergeCell ref="H2:J2"/>
    <mergeCell ref="K2:M2"/>
    <mergeCell ref="N2:P2"/>
    <mergeCell ref="D2:D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topLeftCell="C1" workbookViewId="0">
      <selection activeCell="J20" sqref="J20"/>
    </sheetView>
  </sheetViews>
  <sheetFormatPr baseColWidth="10" defaultRowHeight="15" x14ac:dyDescent="0.25"/>
  <cols>
    <col min="1" max="1" width="1.5703125" customWidth="1"/>
    <col min="2" max="2" width="15.7109375" bestFit="1" customWidth="1"/>
    <col min="3" max="3" width="22.140625" bestFit="1" customWidth="1"/>
    <col min="4" max="4" width="6.28515625" bestFit="1" customWidth="1"/>
    <col min="5" max="5" width="15" customWidth="1"/>
    <col min="6" max="7" width="8.7109375" customWidth="1"/>
    <col min="9" max="10" width="8.7109375" customWidth="1"/>
    <col min="12" max="13" width="8.7109375" customWidth="1"/>
    <col min="15" max="16" width="8.7109375" customWidth="1"/>
    <col min="18" max="19" width="8.7109375" customWidth="1"/>
  </cols>
  <sheetData>
    <row r="2" spans="2:19" x14ac:dyDescent="0.25">
      <c r="B2" s="62" t="s">
        <v>86</v>
      </c>
      <c r="C2" s="62" t="s">
        <v>87</v>
      </c>
      <c r="D2" s="62" t="s">
        <v>128</v>
      </c>
      <c r="E2" s="60">
        <v>2017</v>
      </c>
      <c r="F2" s="60"/>
      <c r="G2" s="61"/>
      <c r="H2" s="59">
        <v>2016</v>
      </c>
      <c r="I2" s="63"/>
      <c r="J2" s="61"/>
      <c r="K2" s="59">
        <v>2015</v>
      </c>
      <c r="L2" s="63"/>
      <c r="M2" s="61"/>
      <c r="N2" s="59">
        <v>2014</v>
      </c>
      <c r="O2" s="60"/>
      <c r="P2" s="61"/>
      <c r="Q2" s="59">
        <v>2013</v>
      </c>
      <c r="R2" s="60"/>
      <c r="S2" s="60"/>
    </row>
    <row r="3" spans="2:19" ht="30" x14ac:dyDescent="0.25">
      <c r="B3" s="62"/>
      <c r="C3" s="62"/>
      <c r="D3" s="62"/>
      <c r="E3" s="54" t="s">
        <v>95</v>
      </c>
      <c r="F3" s="54" t="s">
        <v>119</v>
      </c>
      <c r="G3" s="55" t="s">
        <v>120</v>
      </c>
      <c r="H3" s="54" t="s">
        <v>95</v>
      </c>
      <c r="I3" s="54" t="s">
        <v>119</v>
      </c>
      <c r="J3" s="55" t="s">
        <v>120</v>
      </c>
      <c r="K3" s="54" t="s">
        <v>95</v>
      </c>
      <c r="L3" s="54" t="s">
        <v>119</v>
      </c>
      <c r="M3" s="55" t="s">
        <v>120</v>
      </c>
      <c r="N3" s="54" t="s">
        <v>95</v>
      </c>
      <c r="O3" s="54" t="s">
        <v>119</v>
      </c>
      <c r="P3" s="55" t="s">
        <v>120</v>
      </c>
      <c r="Q3" s="54" t="s">
        <v>95</v>
      </c>
      <c r="R3" s="54" t="s">
        <v>119</v>
      </c>
      <c r="S3" s="54" t="s">
        <v>120</v>
      </c>
    </row>
    <row r="4" spans="2:19" x14ac:dyDescent="0.25">
      <c r="B4" s="16" t="s">
        <v>88</v>
      </c>
      <c r="C4" s="8" t="s">
        <v>101</v>
      </c>
      <c r="D4" s="8"/>
      <c r="E4" s="51">
        <f>AVERAGE(E5,E10,E14)</f>
        <v>4.341344471035824</v>
      </c>
      <c r="F4" s="46">
        <f>Pondération!F119</f>
        <v>30728</v>
      </c>
      <c r="G4" s="47"/>
      <c r="H4" s="51">
        <f>AVERAGE(H5,H10,H14)</f>
        <v>4.3266895279624489</v>
      </c>
      <c r="I4" s="10">
        <f>Pondération!G119</f>
        <v>51421</v>
      </c>
      <c r="J4" s="40"/>
      <c r="K4" s="51">
        <f>AVERAGE(K5,K10,K14)</f>
        <v>4.3673715256314836</v>
      </c>
      <c r="L4" s="46">
        <f>Pondération!H119</f>
        <v>26932</v>
      </c>
      <c r="M4" s="37"/>
      <c r="N4" s="51">
        <f>AVERAGE(N5,N10,N14)</f>
        <v>4.4436178314140369</v>
      </c>
      <c r="O4" s="10">
        <f>Pondération!I119</f>
        <v>9893</v>
      </c>
      <c r="P4" s="40"/>
      <c r="Q4" s="51">
        <f>AVERAGE(Q5,Q10,Q14)</f>
        <v>4.4381620904255437</v>
      </c>
      <c r="R4" s="10">
        <f>Pondération!J119</f>
        <v>4982</v>
      </c>
      <c r="S4" s="28"/>
    </row>
    <row r="5" spans="2:19" x14ac:dyDescent="0.25">
      <c r="B5" s="17" t="s">
        <v>78</v>
      </c>
      <c r="C5" s="4" t="s">
        <v>101</v>
      </c>
      <c r="D5" s="4"/>
      <c r="E5" s="50">
        <f>(E6*G6)+(E7*G7)+(E8*G8)+(E9*G9)</f>
        <v>4.523582800178545</v>
      </c>
      <c r="F5" s="34">
        <f>SUMIFS('Extraction Offre de loisirs'!I:I,'Extraction Offre de loisirs'!D:D,"nouvelle-aquitaine", 'Extraction Offre de loisirs'!E:E,"offre de loisirs", 'Extraction Offre de loisirs'!B:B,"2017")</f>
        <v>6721</v>
      </c>
      <c r="G5" s="38">
        <f>F5/$F$4</f>
        <v>0.21872559229367353</v>
      </c>
      <c r="H5" s="50">
        <f>(H6*J6)+(H7*J7)+(H8*J8)+(H9*J9)</f>
        <v>4.4721695453846548</v>
      </c>
      <c r="I5" s="34">
        <f>SUMIFS('Extraction Offre de loisirs'!I:I,'Extraction Offre de loisirs'!D:D,"nouvelle-aquitaine", 'Extraction Offre de loisirs'!E:E,"offre de loisirs", 'Extraction Offre de loisirs'!B:B,"2016")</f>
        <v>19511</v>
      </c>
      <c r="J5" s="38">
        <f>I5/$I$4</f>
        <v>0.37943641702806247</v>
      </c>
      <c r="K5" s="50">
        <f>(K6*M6)+(K7*M7)+(K8*M8)+(K9*M9)</f>
        <v>4.4467299578059079</v>
      </c>
      <c r="L5" s="34">
        <f>SUMIFS('Extraction Offre de loisirs'!I:I,'Extraction Offre de loisirs'!D:D,"nouvelle-aquitaine", 'Extraction Offre de loisirs'!E:E,"offre de loisirs", 'Extraction Offre de loisirs'!B:B,"2015")</f>
        <v>11376</v>
      </c>
      <c r="M5" s="38">
        <f>L5/$L$4</f>
        <v>0.42239714837368186</v>
      </c>
      <c r="N5" s="50">
        <f>(N6*P6)+(N7*P7)+(N8*P8)+(N9*P9)</f>
        <v>4.4548028998640685</v>
      </c>
      <c r="O5" s="11">
        <f>SUMIFS('Extraction Offre de loisirs'!I:I,'Extraction Offre de loisirs'!D:D,"nouvelle-aquitaine", 'Extraction Offre de loisirs'!E:E,"offre de loisirs", 'Extraction Offre de loisirs'!B:B,"2014")</f>
        <v>4414</v>
      </c>
      <c r="P5" s="38">
        <f>O5/$O$4</f>
        <v>0.44617406246841201</v>
      </c>
      <c r="Q5" s="50">
        <f>(Q6*S6)+(Q7*S7)+(Q8*S8)+(Q9*S9)</f>
        <v>4.4568452380952372</v>
      </c>
      <c r="R5" s="11">
        <f>SUMIFS('Extraction Offre de loisirs'!I:I,'Extraction Offre de loisirs'!D:D,"nouvelle-aquitaine", 'Extraction Offre de loisirs'!E:E,"offre de loisirs", 'Extraction Offre de loisirs'!B:B,"2013")</f>
        <v>1680</v>
      </c>
      <c r="S5" s="35">
        <f>R5/$R$4</f>
        <v>0.337213970293055</v>
      </c>
    </row>
    <row r="6" spans="2:19" x14ac:dyDescent="0.25">
      <c r="B6" s="15" t="s">
        <v>78</v>
      </c>
      <c r="C6" s="2" t="s">
        <v>79</v>
      </c>
      <c r="D6" s="2"/>
      <c r="E6" s="29">
        <f>SUMIFS('Extraction Offre de loisirs'!G:G,'Extraction Offre de loisirs'!D:D,"nouvelle-aquitaine", 'Extraction Offre de loisirs'!F:F,"activites de plein air", 'Extraction Offre de loisirs'!B:B,"2017")</f>
        <v>4.4636752136752138</v>
      </c>
      <c r="F6" s="33">
        <f>SUMIFS('Extraction Offre de loisirs'!I:I,'Extraction Offre de loisirs'!D:D,"nouvelle-aquitaine", 'Extraction Offre de loisirs'!F:F,"activites de plein air", 'Extraction Offre de loisirs'!B:B,"2017")</f>
        <v>3276</v>
      </c>
      <c r="G6" s="39">
        <f>F6/$F$5</f>
        <v>0.4874274661508704</v>
      </c>
      <c r="H6" s="30">
        <f>SUMIFS('Extraction Offre de loisirs'!G:G,'Extraction Offre de loisirs'!D:D,"nouvelle-aquitaine", 'Extraction Offre de loisirs'!F:F,"activites de plein air", 'Extraction Offre de loisirs'!B:B,"2016")</f>
        <v>4.4723529411764709</v>
      </c>
      <c r="I6" s="33">
        <f>SUMIFS('Extraction Offre de loisirs'!I:I,'Extraction Offre de loisirs'!D:D,"nouvelle-aquitaine", 'Extraction Offre de loisirs'!F:F,"activites de plein air", 'Extraction Offre de loisirs'!B:B,"2016")</f>
        <v>11050</v>
      </c>
      <c r="J6" s="39">
        <f>I6/$I$5</f>
        <v>0.56634718876531187</v>
      </c>
      <c r="K6" s="29">
        <f>SUMIFS('Extraction Offre de loisirs'!G:G,'Extraction Offre de loisirs'!D:D,"nouvelle-aquitaine", 'Extraction Offre de loisirs'!F:F,"activites de plein air", 'Extraction Offre de loisirs'!B:B,"2015")</f>
        <v>4.4762292855202395</v>
      </c>
      <c r="L6" s="33">
        <f>SUMIFS('Extraction Offre de loisirs'!I:I,'Extraction Offre de loisirs'!D:D,"nouvelle-aquitaine", 'Extraction Offre de loisirs'!F:F,"activites de plein air", 'Extraction Offre de loisirs'!B:B,"2015")</f>
        <v>7362</v>
      </c>
      <c r="M6" s="39">
        <f>L6/$L$5</f>
        <v>0.64715189873417722</v>
      </c>
      <c r="N6" s="30">
        <f>SUMIFS('Extraction Offre de loisirs'!G:G,'Extraction Offre de loisirs'!D:D,"nouvelle-aquitaine", 'Extraction Offre de loisirs'!F:F,"activites de plein air", 'Extraction Offre de loisirs'!B:B,"2014")</f>
        <v>4.4811031664964238</v>
      </c>
      <c r="O6" s="33">
        <f>SUMIFS('Extraction Offre de loisirs'!I:I,'Extraction Offre de loisirs'!D:D,"nouvelle-aquitaine", 'Extraction Offre de loisirs'!F:F,"activites de plein air", 'Extraction Offre de loisirs'!B:B,"2014")</f>
        <v>2937</v>
      </c>
      <c r="P6" s="39">
        <f>O6/$O$5</f>
        <v>0.66538287267784324</v>
      </c>
      <c r="Q6" s="29">
        <f>SUMIFS('Extraction Offre de loisirs'!G:G,'Extraction Offre de loisirs'!D:D,"nouvelle-aquitaine", 'Extraction Offre de loisirs'!F:F,"activites de plein air", 'Extraction Offre de loisirs'!B:B,"2013")</f>
        <v>4.4854881266490763</v>
      </c>
      <c r="R6" s="33">
        <f>SUMIFS('Extraction Offre de loisirs'!I:I,'Extraction Offre de loisirs'!D:D,"nouvelle-aquitaine", 'Extraction Offre de loisirs'!F:F,"activites de plein air", 'Extraction Offre de loisirs'!B:B,"2013")</f>
        <v>1137</v>
      </c>
      <c r="S6" s="31">
        <f>R6/$R$5</f>
        <v>0.67678571428571432</v>
      </c>
    </row>
    <row r="7" spans="2:19" x14ac:dyDescent="0.25">
      <c r="B7" s="15" t="s">
        <v>78</v>
      </c>
      <c r="C7" s="2" t="s">
        <v>81</v>
      </c>
      <c r="D7" s="2"/>
      <c r="E7" s="29">
        <f>SUMIFS('Extraction Offre de loisirs'!G:G,'Extraction Offre de loisirs'!D:D,"nouvelle-aquitaine", 'Extraction Offre de loisirs'!F:F,"jeux et divertissements", 'Extraction Offre de loisirs'!B:B,"2017")</f>
        <v>4.6722580645161287</v>
      </c>
      <c r="F7" s="33">
        <f>SUMIFS('Extraction Offre de loisirs'!I:I,'Extraction Offre de loisirs'!D:D,"nouvelle-aquitaine", 'Extraction Offre de loisirs'!F:F,"jeux et divertissements", 'Extraction Offre de loisirs'!B:B,"2017")</f>
        <v>2325</v>
      </c>
      <c r="G7" s="39">
        <f>F7/$F$5</f>
        <v>0.34593066507960124</v>
      </c>
      <c r="H7" s="30">
        <f>SUMIFS('Extraction Offre de loisirs'!G:G,'Extraction Offre de loisirs'!D:D,"nouvelle-aquitaine", 'Extraction Offre de loisirs'!F:F,"jeux et divertissements", 'Extraction Offre de loisirs'!B:B,"2016")</f>
        <v>4.5249895876718034</v>
      </c>
      <c r="I7" s="33">
        <f>SUMIFS('Extraction Offre de loisirs'!I:I,'Extraction Offre de loisirs'!D:D,"nouvelle-aquitaine", 'Extraction Offre de loisirs'!F:F,"jeux et divertissements", 'Extraction Offre de loisirs'!B:B,"2016")</f>
        <v>4802</v>
      </c>
      <c r="J7" s="39">
        <f>I7/$I$5</f>
        <v>0.24611757470145046</v>
      </c>
      <c r="K7" s="29">
        <f>SUMIFS('Extraction Offre de loisirs'!G:G,'Extraction Offre de loisirs'!D:D,"nouvelle-aquitaine", 'Extraction Offre de loisirs'!F:F,"jeux et divertissements", 'Extraction Offre de loisirs'!B:B,"2015")</f>
        <v>4.3800403225806459</v>
      </c>
      <c r="L7" s="33">
        <f>SUMIFS('Extraction Offre de loisirs'!I:I,'Extraction Offre de loisirs'!D:D,"nouvelle-aquitaine", 'Extraction Offre de loisirs'!F:F,"jeux et divertissements", 'Extraction Offre de loisirs'!B:B,"2015")</f>
        <v>1984</v>
      </c>
      <c r="M7" s="39">
        <f>L7/$L$5</f>
        <v>0.17440225035161744</v>
      </c>
      <c r="N7" s="30">
        <f>SUMIFS('Extraction Offre de loisirs'!G:G,'Extraction Offre de loisirs'!D:D,"nouvelle-aquitaine", 'Extraction Offre de loisirs'!F:F,"jeux et divertissements", 'Extraction Offre de loisirs'!B:B,"2014")</f>
        <v>4.3949004975124382</v>
      </c>
      <c r="O7" s="33">
        <f>SUMIFS('Extraction Offre de loisirs'!I:I,'Extraction Offre de loisirs'!D:D,"nouvelle-aquitaine", 'Extraction Offre de loisirs'!F:F,"jeux et divertissements", 'Extraction Offre de loisirs'!B:B,"2014")</f>
        <v>804</v>
      </c>
      <c r="P7" s="39">
        <f>O7/$O$5</f>
        <v>0.18214771182600817</v>
      </c>
      <c r="Q7" s="29">
        <f>SUMIFS('Extraction Offre de loisirs'!G:G,'Extraction Offre de loisirs'!D:D,"nouvelle-aquitaine", 'Extraction Offre de loisirs'!F:F,"jeux et divertissements", 'Extraction Offre de loisirs'!B:B,"2013")</f>
        <v>4.3939929328621909</v>
      </c>
      <c r="R7" s="33">
        <f>SUMIFS('Extraction Offre de loisirs'!I:I,'Extraction Offre de loisirs'!D:D,"nouvelle-aquitaine", 'Extraction Offre de loisirs'!F:F,"jeux et divertissements", 'Extraction Offre de loisirs'!B:B,"2013")</f>
        <v>283</v>
      </c>
      <c r="S7" s="31">
        <f>R7/$R$5</f>
        <v>0.16845238095238096</v>
      </c>
    </row>
    <row r="8" spans="2:19" x14ac:dyDescent="0.25">
      <c r="B8" s="15" t="s">
        <v>78</v>
      </c>
      <c r="C8" s="2" t="s">
        <v>83</v>
      </c>
      <c r="D8" s="2"/>
      <c r="E8" s="29">
        <f>SUMIFS('Extraction Offre de loisirs'!G:G,'Extraction Offre de loisirs'!D:D,"nouvelle-aquitaine", 'Extraction Offre de loisirs'!F:F,"shopping", 'Extraction Offre de loisirs'!B:B,"2017")</f>
        <v>4.3783382789317509</v>
      </c>
      <c r="F8" s="33">
        <f>SUMIFS('Extraction Offre de loisirs'!I:I,'Extraction Offre de loisirs'!D:D,"nouvelle-aquitaine", 'Extraction Offre de loisirs'!F:F,"shopping", 'Extraction Offre de loisirs'!B:B,"2017")</f>
        <v>674</v>
      </c>
      <c r="G8" s="39">
        <f>F8/$F$5</f>
        <v>0.10028269602737688</v>
      </c>
      <c r="H8" s="30">
        <f>SUMIFS('Extraction Offre de loisirs'!G:G,'Extraction Offre de loisirs'!D:D,"nouvelle-aquitaine", 'Extraction Offre de loisirs'!F:F,"shopping", 'Extraction Offre de loisirs'!B:B,"2016")</f>
        <v>4.3925851703406815</v>
      </c>
      <c r="I8" s="33">
        <f>SUMIFS('Extraction Offre de loisirs'!I:I,'Extraction Offre de loisirs'!D:D,"nouvelle-aquitaine", 'Extraction Offre de loisirs'!F:F,"shopping", 'Extraction Offre de loisirs'!B:B,"2016")</f>
        <v>2495</v>
      </c>
      <c r="J8" s="39">
        <f>I8/$I$5</f>
        <v>0.12787658244067449</v>
      </c>
      <c r="K8" s="29">
        <f>SUMIFS('Extraction Offre de loisirs'!G:G,'Extraction Offre de loisirs'!D:D,"nouvelle-aquitaine", 'Extraction Offre de loisirs'!F:F,"shopping", 'Extraction Offre de loisirs'!B:B,"2015")</f>
        <v>4.3705357142857153</v>
      </c>
      <c r="L8" s="33">
        <f>SUMIFS('Extraction Offre de loisirs'!I:I,'Extraction Offre de loisirs'!D:D,"nouvelle-aquitaine", 'Extraction Offre de loisirs'!F:F,"shopping", 'Extraction Offre de loisirs'!B:B,"2015")</f>
        <v>1344</v>
      </c>
      <c r="M8" s="39">
        <f>L8/$L$5</f>
        <v>0.11814345991561181</v>
      </c>
      <c r="N8" s="30">
        <f>SUMIFS('Extraction Offre de loisirs'!G:G,'Extraction Offre de loisirs'!D:D,"nouvelle-aquitaine", 'Extraction Offre de loisirs'!F:F,"shopping", 'Extraction Offre de loisirs'!B:B,"2014")</f>
        <v>4.3993644067796609</v>
      </c>
      <c r="O8" s="33">
        <f>SUMIFS('Extraction Offre de loisirs'!I:I,'Extraction Offre de loisirs'!D:D,"nouvelle-aquitaine", 'Extraction Offre de loisirs'!F:F,"shopping", 'Extraction Offre de loisirs'!B:B,"2014")</f>
        <v>472</v>
      </c>
      <c r="P8" s="39">
        <f>O8/$O$5</f>
        <v>0.10693248753964658</v>
      </c>
      <c r="Q8" s="29">
        <f>SUMIFS('Extraction Offre de loisirs'!G:G,'Extraction Offre de loisirs'!D:D,"nouvelle-aquitaine", 'Extraction Offre de loisirs'!F:F,"shopping", 'Extraction Offre de loisirs'!B:B,"2013")</f>
        <v>4.4427710843373491</v>
      </c>
      <c r="R8" s="33">
        <f>SUMIFS('Extraction Offre de loisirs'!I:I,'Extraction Offre de loisirs'!D:D,"nouvelle-aquitaine", 'Extraction Offre de loisirs'!F:F,"shopping", 'Extraction Offre de loisirs'!B:B,"2013")</f>
        <v>166</v>
      </c>
      <c r="S8" s="31">
        <f>R8/$R$5</f>
        <v>9.8809523809523805E-2</v>
      </c>
    </row>
    <row r="9" spans="2:19" x14ac:dyDescent="0.25">
      <c r="B9" s="15" t="s">
        <v>78</v>
      </c>
      <c r="C9" s="2" t="s">
        <v>84</v>
      </c>
      <c r="D9" s="2"/>
      <c r="E9" s="29">
        <f>SUMIFS('Extraction Offre de loisirs'!G:G,'Extraction Offre de loisirs'!D:D,"nouvelle-aquitaine", 'Extraction Offre de loisirs'!F:F,"vie nocturne", 'Extraction Offre de loisirs'!B:B,"2017")</f>
        <v>4.4080717488789238</v>
      </c>
      <c r="F9" s="33">
        <f>SUMIFS('Extraction Offre de loisirs'!I:I,'Extraction Offre de loisirs'!D:D,"nouvelle-aquitaine", 'Extraction Offre de loisirs'!F:F,"vie nocturne", 'Extraction Offre de loisirs'!B:B,"2017")</f>
        <v>446</v>
      </c>
      <c r="G9" s="39">
        <f>F9/$F$5</f>
        <v>6.6359172742151459E-2</v>
      </c>
      <c r="H9" s="30">
        <f>SUMIFS('Extraction Offre de loisirs'!G:G,'Extraction Offre de loisirs'!D:D,"nouvelle-aquitaine", 'Extraction Offre de loisirs'!F:F,"vie nocturne", 'Extraction Offre de loisirs'!B:B,"2016")</f>
        <v>4.4231099656357395</v>
      </c>
      <c r="I9" s="33">
        <f>SUMIFS('Extraction Offre de loisirs'!I:I,'Extraction Offre de loisirs'!D:D,"nouvelle-aquitaine", 'Extraction Offre de loisirs'!F:F,"vie nocturne", 'Extraction Offre de loisirs'!B:B,"2016")</f>
        <v>1164</v>
      </c>
      <c r="J9" s="39">
        <f>I9/$I$5</f>
        <v>5.9658654092563171E-2</v>
      </c>
      <c r="K9" s="29">
        <f>SUMIFS('Extraction Offre de loisirs'!G:G,'Extraction Offre de loisirs'!D:D,"nouvelle-aquitaine", 'Extraction Offre de loisirs'!F:F,"vie nocturne", 'Extraction Offre de loisirs'!B:B,"2015")</f>
        <v>4.4723032069970845</v>
      </c>
      <c r="L9" s="33">
        <f>SUMIFS('Extraction Offre de loisirs'!I:I,'Extraction Offre de loisirs'!D:D,"nouvelle-aquitaine", 'Extraction Offre de loisirs'!F:F,"vie nocturne", 'Extraction Offre de loisirs'!B:B,"2015")</f>
        <v>686</v>
      </c>
      <c r="M9" s="39">
        <f>L9/$L$5</f>
        <v>6.0302390998593532E-2</v>
      </c>
      <c r="N9" s="30">
        <f>SUMIFS('Extraction Offre de loisirs'!G:G,'Extraction Offre de loisirs'!D:D,"nouvelle-aquitaine", 'Extraction Offre de loisirs'!F:F,"vie nocturne", 'Extraction Offre de loisirs'!B:B,"2014")</f>
        <v>4.4402985074626864</v>
      </c>
      <c r="O9" s="33">
        <f>SUMIFS('Extraction Offre de loisirs'!I:I,'Extraction Offre de loisirs'!D:D,"nouvelle-aquitaine", 'Extraction Offre de loisirs'!F:F,"vie nocturne", 'Extraction Offre de loisirs'!B:B,"2014")</f>
        <v>201</v>
      </c>
      <c r="P9" s="39">
        <f>O9/$O$5</f>
        <v>4.5536927956502042E-2</v>
      </c>
      <c r="Q9" s="29">
        <f>SUMIFS('Extraction Offre de loisirs'!G:G,'Extraction Offre de loisirs'!D:D,"nouvelle-aquitaine", 'Extraction Offre de loisirs'!F:F,"vie nocturne", 'Extraction Offre de loisirs'!B:B,"2013")</f>
        <v>4.3244680851063837</v>
      </c>
      <c r="R9" s="33">
        <f>SUMIFS('Extraction Offre de loisirs'!I:I,'Extraction Offre de loisirs'!D:D,"nouvelle-aquitaine", 'Extraction Offre de loisirs'!F:F,"vie nocturne", 'Extraction Offre de loisirs'!B:B,"2013")</f>
        <v>94</v>
      </c>
      <c r="S9" s="31">
        <f>R9/$R$5</f>
        <v>5.5952380952380955E-2</v>
      </c>
    </row>
    <row r="10" spans="2:19" x14ac:dyDescent="0.25">
      <c r="B10" s="17" t="s">
        <v>82</v>
      </c>
      <c r="C10" s="4" t="s">
        <v>101</v>
      </c>
      <c r="D10" s="4"/>
      <c r="E10" s="50">
        <f>(E11*G11)+(E12*G12)+(E13*G13)</f>
        <v>4.4141315398451555</v>
      </c>
      <c r="F10" s="34">
        <f>SUMIFS('Extraction Patrimoine'!I:I,'Extraction Patrimoine'!D:D,"nouvelle-aquitaine", 'Extraction Patrimoine'!E:E,"patrimoine", 'Extraction Patrimoine'!B:B,"2017")</f>
        <v>12787</v>
      </c>
      <c r="G10" s="38">
        <f>F10/$F$4</f>
        <v>0.41613512106222339</v>
      </c>
      <c r="H10" s="50">
        <f>(H11*J11)+(H12*J12)+(H13*J13)</f>
        <v>4.4021441605839415</v>
      </c>
      <c r="I10" s="11">
        <f>SUMIFS('Extraction Patrimoine'!I:I,'Extraction Patrimoine'!D:D,"nouvelle-aquitaine", 'Extraction Patrimoine'!E:E,"patrimoine", 'Extraction Patrimoine'!B:B,"2016")</f>
        <v>13152</v>
      </c>
      <c r="J10" s="48">
        <f>I10/$I$4</f>
        <v>0.25577098850664126</v>
      </c>
      <c r="K10" s="50">
        <f>(K11*M11)+(K12*M12)+(K13*M13)</f>
        <v>4.4135338345864659</v>
      </c>
      <c r="L10" s="34">
        <f>SUMIFS('Extraction Patrimoine'!I:I,'Extraction Patrimoine'!D:D,"nouvelle-aquitaine", 'Extraction Patrimoine'!E:E,"patrimoine", 'Extraction Patrimoine'!B:B,"2015")</f>
        <v>9310</v>
      </c>
      <c r="M10" s="38">
        <f>L10/$L$4</f>
        <v>0.34568542997178076</v>
      </c>
      <c r="N10" s="50">
        <f>(N11*P11)+(N12*P12)+(N13*P13)</f>
        <v>4.4081113801452787</v>
      </c>
      <c r="O10" s="11">
        <f>SUMIFS('Extraction Patrimoine'!I:I,'Extraction Patrimoine'!D:D,"nouvelle-aquitaine", 'Extraction Patrimoine'!E:E,"patrimoine", 'Extraction Patrimoine'!B:B,"2014")</f>
        <v>4130</v>
      </c>
      <c r="P10" s="48">
        <f>O10/$O$4</f>
        <v>0.41746689578489843</v>
      </c>
      <c r="Q10" s="50">
        <f>(Q11*S11)+(Q12*S12)+(Q13*S13)</f>
        <v>4.4298632554036166</v>
      </c>
      <c r="R10" s="11">
        <f>SUMIFS('Extraction Patrimoine'!I:I,'Extraction Patrimoine'!D:D,"nouvelle-aquitaine", 'Extraction Patrimoine'!E:E,"patrimoine", 'Extraction Patrimoine'!B:B,"2013")</f>
        <v>2267</v>
      </c>
      <c r="S10" s="49">
        <f>R10/$R$4</f>
        <v>0.45503813729425935</v>
      </c>
    </row>
    <row r="11" spans="2:19" x14ac:dyDescent="0.25">
      <c r="B11" s="15" t="s">
        <v>82</v>
      </c>
      <c r="C11" s="15" t="s">
        <v>98</v>
      </c>
      <c r="D11" s="15"/>
      <c r="E11" s="29">
        <f>SUMIFS('Extraction Patrimoine'!G:G,'Extraction Patrimoine'!D:D,"nouvelle-aquitaine", 'Extraction Patrimoine'!F:F,"nature et parcs", 'Extraction Patrimoine'!B:B,"2017")</f>
        <v>4.4141315398451555</v>
      </c>
      <c r="F11" s="23">
        <f>SUMIFS('Extraction Patrimoine'!I:I,'Extraction Patrimoine'!D:D,"nouvelle-aquitaine", 'Extraction Patrimoine'!F:F,"nature et parcs", 'Extraction Patrimoine'!B:B,"2017")</f>
        <v>12787</v>
      </c>
      <c r="G11" s="39">
        <f>F11/$F$10</f>
        <v>1</v>
      </c>
      <c r="H11" s="29">
        <f>SUMIFS('Extraction Patrimoine'!G:G,'Extraction Patrimoine'!D:D,"nouvelle-aquitaine", 'Extraction Patrimoine'!F:F,"nature et parcs", 'Extraction Patrimoine'!B:B,"2016")</f>
        <v>4.4021441605839415</v>
      </c>
      <c r="I11" s="23">
        <f>SUMIFS('Extraction Patrimoine'!I:I,'Extraction Patrimoine'!D:D,"nouvelle-aquitaine", 'Extraction Patrimoine'!F:F,"nature et parcs", 'Extraction Patrimoine'!B:B,"2016")</f>
        <v>13152</v>
      </c>
      <c r="J11" s="39">
        <f>I11/$I$10</f>
        <v>1</v>
      </c>
      <c r="K11" s="29">
        <f>SUMIFS('Extraction Patrimoine'!G:G,'Extraction Patrimoine'!D:D,"nouvelle-aquitaine", 'Extraction Patrimoine'!F:F,"nature et parcs", 'Extraction Patrimoine'!B:B,"2015")</f>
        <v>4.4135338345864659</v>
      </c>
      <c r="L11" s="23">
        <f>SUMIFS('Extraction Patrimoine'!I:I,'Extraction Patrimoine'!D:D,"nouvelle-aquitaine", 'Extraction Patrimoine'!F:F,"nature et parcs", 'Extraction Patrimoine'!B:B,"2015")</f>
        <v>9310</v>
      </c>
      <c r="M11" s="39">
        <f>L11/$L$10</f>
        <v>1</v>
      </c>
      <c r="N11" s="29">
        <f>SUMIFS('Extraction Patrimoine'!G:G,'Extraction Patrimoine'!D:D,"nouvelle-aquitaine", 'Extraction Patrimoine'!F:F,"nature et parcs", 'Extraction Patrimoine'!B:B,"2014")</f>
        <v>4.4081113801452787</v>
      </c>
      <c r="O11" s="23">
        <f>SUMIFS('Extraction Patrimoine'!I:I,'Extraction Patrimoine'!D:D,"nouvelle-aquitaine", 'Extraction Patrimoine'!F:F,"nature et parcs", 'Extraction Patrimoine'!B:B,"2014")</f>
        <v>4130</v>
      </c>
      <c r="P11" s="39">
        <f>O11/$O$10</f>
        <v>1</v>
      </c>
      <c r="Q11" s="29">
        <f>SUMIFS('Extraction Patrimoine'!G:G,'Extraction Patrimoine'!D:D,"nouvelle-aquitaine", 'Extraction Patrimoine'!F:F,"nature et parcs", 'Extraction Patrimoine'!B:B,"2013")</f>
        <v>4.4298632554036166</v>
      </c>
      <c r="R11" s="23">
        <f>SUMIFS('Extraction Patrimoine'!I:I,'Extraction Patrimoine'!D:D,"nouvelle-aquitaine", 'Extraction Patrimoine'!F:F,"nature et parcs", 'Extraction Patrimoine'!B:B,"2013")</f>
        <v>2267</v>
      </c>
      <c r="S11" s="43">
        <f>R11/$R$10</f>
        <v>1</v>
      </c>
    </row>
    <row r="12" spans="2:19" x14ac:dyDescent="0.25">
      <c r="B12" s="15" t="s">
        <v>82</v>
      </c>
      <c r="C12" s="15" t="s">
        <v>99</v>
      </c>
      <c r="D12" s="15"/>
      <c r="E12" s="29">
        <f>SUMIFS('Extraction Patrimoine'!G:G,'Extraction Patrimoine'!D:D,"nouvelle-aquitaine", 'Extraction Patrimoine'!F:F,"musées", 'Extraction Patrimoine'!B:B,"2017")</f>
        <v>0</v>
      </c>
      <c r="F12" s="23">
        <f>SUMIFS('Extraction Patrimoine'!I:I,'Extraction Patrimoine'!D:D,"nouvelle-aquitaine", 'Extraction Patrimoine'!F:F,"musées", 'Extraction Patrimoine'!B:B,"2017")</f>
        <v>0</v>
      </c>
      <c r="G12" s="39">
        <f>F12/$F$10</f>
        <v>0</v>
      </c>
      <c r="H12" s="29">
        <f>SUMIFS('Extraction Patrimoine'!G:G,'Extraction Patrimoine'!D:D,"nouvelle-aquitaine", 'Extraction Patrimoine'!F:F,"musées", 'Extraction Patrimoine'!B:B,"2016")</f>
        <v>0</v>
      </c>
      <c r="I12" s="23">
        <f>SUMIFS('Extraction Patrimoine'!I:I,'Extraction Patrimoine'!D:D,"nouvelle-aquitaine", 'Extraction Patrimoine'!F:F,"musées", 'Extraction Patrimoine'!B:B,"2016")</f>
        <v>0</v>
      </c>
      <c r="J12" s="39">
        <f t="shared" ref="J12:J13" si="0">I12/$I$10</f>
        <v>0</v>
      </c>
      <c r="K12" s="29">
        <f>SUMIFS('Extraction Patrimoine'!G:G,'Extraction Patrimoine'!D:D,"nouvelle-aquitaine", 'Extraction Patrimoine'!F:F,"musées", 'Extraction Patrimoine'!B:B,"2015")</f>
        <v>0</v>
      </c>
      <c r="L12" s="23">
        <f>SUMIFS('Extraction Patrimoine'!I:I,'Extraction Patrimoine'!D:D,"nouvelle-aquitaine", 'Extraction Patrimoine'!F:F,"musées", 'Extraction Patrimoine'!B:B,"2015")</f>
        <v>0</v>
      </c>
      <c r="M12" s="39">
        <f t="shared" ref="M12:M13" si="1">L12/$L$10</f>
        <v>0</v>
      </c>
      <c r="N12" s="29">
        <f>SUMIFS('Extraction Patrimoine'!G:G,'Extraction Patrimoine'!D:D,"nouvelle-aquitaine", 'Extraction Patrimoine'!F:F,"musées", 'Extraction Patrimoine'!B:B,"2014")</f>
        <v>0</v>
      </c>
      <c r="O12" s="23">
        <f>SUMIFS('Extraction Patrimoine'!I:I,'Extraction Patrimoine'!D:D,"nouvelle-aquitaine", 'Extraction Patrimoine'!F:F,"musées", 'Extraction Patrimoine'!B:B,"2014")</f>
        <v>0</v>
      </c>
      <c r="P12" s="39">
        <f t="shared" ref="P12:P13" si="2">O12/$O$10</f>
        <v>0</v>
      </c>
      <c r="Q12" s="29">
        <f>SUMIFS('Extraction Patrimoine'!G:G,'Extraction Patrimoine'!D:D,"nouvelle-aquitaine", 'Extraction Patrimoine'!F:F,"musées", 'Extraction Patrimoine'!B:B,"2013")</f>
        <v>0</v>
      </c>
      <c r="R12" s="23">
        <f>SUMIFS('Extraction Patrimoine'!I:I,'Extraction Patrimoine'!D:D,"nouvelle-aquitaine", 'Extraction Patrimoine'!F:F,"musées", 'Extraction Patrimoine'!B:B,"2013")</f>
        <v>0</v>
      </c>
      <c r="S12" s="43">
        <f t="shared" ref="S12:S13" si="3">R12/$R$10</f>
        <v>0</v>
      </c>
    </row>
    <row r="13" spans="2:19" x14ac:dyDescent="0.25">
      <c r="B13" s="15" t="s">
        <v>82</v>
      </c>
      <c r="C13" s="15" t="s">
        <v>100</v>
      </c>
      <c r="D13" s="15"/>
      <c r="E13" s="29">
        <f>SUMIFS('Extraction Patrimoine'!G:G,'Extraction Patrimoine'!D:D,"nouvelle-aquitaine", 'Extraction Patrimoine'!F:F,"sites et monuments", 'Extraction Patrimoine'!B:B,"2017")</f>
        <v>0</v>
      </c>
      <c r="F13" s="23">
        <f>SUMIFS('Extraction Patrimoine'!I:I,'Extraction Patrimoine'!D:D,"nouvelle-aquitaine", 'Extraction Patrimoine'!F:F,"sites et monuments", 'Extraction Patrimoine'!B:B,"2017")</f>
        <v>0</v>
      </c>
      <c r="G13" s="39">
        <f>F13/$F$10</f>
        <v>0</v>
      </c>
      <c r="H13" s="29">
        <f>SUMIFS('Extraction Patrimoine'!G:G,'Extraction Patrimoine'!D:D,"nouvelle-aquitaine", 'Extraction Patrimoine'!F:F,"sites et monuments", 'Extraction Patrimoine'!B:B,"2016")</f>
        <v>0</v>
      </c>
      <c r="I13" s="23">
        <f>SUMIFS('Extraction Patrimoine'!I:I,'Extraction Patrimoine'!D:D,"nouvelle-aquitaine", 'Extraction Patrimoine'!F:F,"sites et monuments", 'Extraction Patrimoine'!B:B,"2016")</f>
        <v>0</v>
      </c>
      <c r="J13" s="39">
        <f t="shared" si="0"/>
        <v>0</v>
      </c>
      <c r="K13" s="29">
        <f>SUMIFS('Extraction Patrimoine'!G:G,'Extraction Patrimoine'!D:D,"nouvelle-aquitaine", 'Extraction Patrimoine'!F:F,"sites et monuments", 'Extraction Patrimoine'!B:B,"2015")</f>
        <v>0</v>
      </c>
      <c r="L13" s="23">
        <f>SUMIFS('Extraction Patrimoine'!I:I,'Extraction Patrimoine'!D:D,"nouvelle-aquitaine", 'Extraction Patrimoine'!F:F,"sites et monuments", 'Extraction Patrimoine'!B:B,"2015")</f>
        <v>0</v>
      </c>
      <c r="M13" s="39">
        <f t="shared" si="1"/>
        <v>0</v>
      </c>
      <c r="N13" s="29">
        <f>SUMIFS('Extraction Patrimoine'!G:G,'Extraction Patrimoine'!D:D,"nouvelle-aquitaine", 'Extraction Patrimoine'!F:F,"sites et monuments", 'Extraction Patrimoine'!B:B,"2014")</f>
        <v>0</v>
      </c>
      <c r="O13" s="23">
        <f>SUMIFS('Extraction Patrimoine'!I:I,'Extraction Patrimoine'!D:D,"nouvelle-aquitaine", 'Extraction Patrimoine'!F:F,"sites et monuments", 'Extraction Patrimoine'!B:B,"2014")</f>
        <v>0</v>
      </c>
      <c r="P13" s="39">
        <f t="shared" si="2"/>
        <v>0</v>
      </c>
      <c r="Q13" s="29">
        <f>SUMIFS('Extraction Patrimoine'!G:G,'Extraction Patrimoine'!D:D,"nouvelle-aquitaine", 'Extraction Patrimoine'!F:F,"sites et monuments", 'Extraction Patrimoine'!B:B,"2013")</f>
        <v>0</v>
      </c>
      <c r="R13" s="23">
        <f>SUMIFS('Extraction Patrimoine'!I:I,'Extraction Patrimoine'!D:D,"nouvelle-aquitaine", 'Extraction Patrimoine'!F:F,"sites et monuments", 'Extraction Patrimoine'!B:B,"2013")</f>
        <v>0</v>
      </c>
      <c r="S13" s="43">
        <f t="shared" si="3"/>
        <v>0</v>
      </c>
    </row>
    <row r="14" spans="2:19" x14ac:dyDescent="0.25">
      <c r="B14" s="17" t="s">
        <v>9</v>
      </c>
      <c r="C14" s="4" t="s">
        <v>101</v>
      </c>
      <c r="D14" s="4"/>
      <c r="E14" s="50">
        <f>(E15*G15)+(E16*G16)</f>
        <v>4.0863190730837715</v>
      </c>
      <c r="F14" s="34">
        <f>SUMIFS('Extraction Offre de services'!I:I,'Extraction Offre de services'!D:D,"nouvelle-aquitaine", 'Extraction Offre de services'!E:E,"Offre de services", 'Extraction Offre de services'!B:B,"2017")</f>
        <v>11220</v>
      </c>
      <c r="G14" s="38">
        <f>F14/$F$4</f>
        <v>0.36513928664410311</v>
      </c>
      <c r="H14" s="50">
        <f>(H15*J15)+(H16*J16)</f>
        <v>4.1057548779187503</v>
      </c>
      <c r="I14" s="11">
        <f>SUMIFS('Extraction Offre de services'!I:I,'Extraction Offre de services'!D:D,"nouvelle-aquitaine", 'Extraction Offre de services'!E:E,"Offre de services", 'Extraction Offre de services'!B:B,"2016")</f>
        <v>18758</v>
      </c>
      <c r="J14" s="48">
        <f>I14/$I$4</f>
        <v>0.36479259446529627</v>
      </c>
      <c r="K14" s="50">
        <f>(K15*M15)+(K16*M16)</f>
        <v>4.241850784502077</v>
      </c>
      <c r="L14" s="11">
        <f>SUMIFS('Extraction Offre de services'!I:I,'Extraction Offre de services'!D:D,"nouvelle-aquitaine", 'Extraction Offre de services'!E:E,"Offre de services", 'Extraction Offre de services'!B:B,"2015")</f>
        <v>6246</v>
      </c>
      <c r="M14" s="38">
        <f>L14/$L$4</f>
        <v>0.23191742165453735</v>
      </c>
      <c r="N14" s="50">
        <f>(N15*P15)+(N16*P16)</f>
        <v>4.4679392142327643</v>
      </c>
      <c r="O14" s="11">
        <f>SUMIFS('Extraction Offre de services'!I:I,'Extraction Offre de services'!D:D,"nouvelle-aquitaine", 'Extraction Offre de services'!E:E,"Offre de services", 'Extraction Offre de services'!B:B,"2014")</f>
        <v>1349</v>
      </c>
      <c r="P14" s="48">
        <f>O14/$O$4</f>
        <v>0.13635904174668959</v>
      </c>
      <c r="Q14" s="50">
        <f>(Q15*S15)+(Q16*S16)</f>
        <v>4.4277777777777771</v>
      </c>
      <c r="R14" s="11">
        <f>SUMIFS('Extraction Offre de services'!I:I,'Extraction Offre de services'!D:D,"nouvelle-aquitaine", 'Extraction Offre de services'!E:E,"Offre de services", 'Extraction Offre de services'!B:B,"2013")</f>
        <v>1035</v>
      </c>
      <c r="S14" s="49">
        <f>R14/$R$4</f>
        <v>0.20774789241268568</v>
      </c>
    </row>
    <row r="15" spans="2:19" x14ac:dyDescent="0.25">
      <c r="B15" s="15" t="s">
        <v>9</v>
      </c>
      <c r="C15" s="2" t="s">
        <v>10</v>
      </c>
      <c r="D15" s="2"/>
      <c r="E15" s="29">
        <f>SUMIFS('Extraction Offre de services'!G:G,'Extraction Offre de services'!D:D,"nouvelle-aquitaine", 'Extraction Offre de services'!F:F,"hebergement", 'Extraction Offre de services'!B:B,"2017")</f>
        <v>3.9769127816194421</v>
      </c>
      <c r="F15" s="23">
        <f>SUMIFS('Extraction Offre de services'!I:I,'Extraction Offre de services'!D:D,"nouvelle-aquitaine", 'Extraction Offre de services'!F:F,"hebergement", 'Extraction Offre de services'!B:B,"2017")</f>
        <v>8966</v>
      </c>
      <c r="G15" s="39">
        <f>F15/$F$14</f>
        <v>0.79910873440285202</v>
      </c>
      <c r="H15" s="30">
        <f>SUMIFS('Extraction Offre de services'!G:G,'Extraction Offre de services'!D:D,"nouvelle-aquitaine", 'Extraction Offre de services'!F:F,"hebergement", 'Extraction Offre de services'!B:B,"2016")</f>
        <v>4.0037608059356016</v>
      </c>
      <c r="I15" s="23">
        <f>SUMIFS('Extraction Offre de services'!I:I,'Extraction Offre de services'!D:D,"nouvelle-aquitaine", 'Extraction Offre de services'!F:F,"hebergement", 'Extraction Offre de services'!B:B,"2016")</f>
        <v>14691</v>
      </c>
      <c r="J15" s="45">
        <f>I15/$I$14</f>
        <v>0.7831858407079646</v>
      </c>
      <c r="K15" s="29">
        <f>SUMIFS('Extraction Offre de services'!G:G,'Extraction Offre de services'!D:D,"nouvelle-aquitaine", 'Extraction Offre de services'!F:F,"hebergement", 'Extraction Offre de services'!B:B,"2015")</f>
        <v>4.0985635080645082</v>
      </c>
      <c r="L15" s="23">
        <f>SUMIFS('Extraction Offre de services'!I:I,'Extraction Offre de services'!D:D,"nouvelle-aquitaine", 'Extraction Offre de services'!F:F,"hebergement", 'Extraction Offre de services'!B:B,"2015")</f>
        <v>3968</v>
      </c>
      <c r="M15" s="45">
        <f>L15/$L$14</f>
        <v>0.63528658341338462</v>
      </c>
      <c r="N15" s="30">
        <f>SUMIFS('Extraction Offre de services'!G:G,'Extraction Offre de services'!D:D,"nouvelle-aquitaine", 'Extraction Offre de services'!F:F,"hebergement", 'Extraction Offre de services'!B:B,"2014")</f>
        <v>0</v>
      </c>
      <c r="O15" s="23">
        <f>SUMIFS('Extraction Offre de services'!I:I,'Extraction Offre de services'!D:D,"nouvelle-aquitaine", 'Extraction Offre de services'!F:F,"hebergement", 'Extraction Offre de services'!B:B,"2014")</f>
        <v>0</v>
      </c>
      <c r="P15" s="45">
        <f>O15/$O$14</f>
        <v>0</v>
      </c>
      <c r="Q15" s="29">
        <f>SUMIFS('Extraction Offre de services'!G:G,'Extraction Offre de services'!D:D,"nouvelle-aquitaine", 'Extraction Offre de services'!F:F,"hebergement", 'Extraction Offre de services'!B:B,"2013")</f>
        <v>0</v>
      </c>
      <c r="R15" s="23">
        <f>SUMIFS('Extraction Offre de services'!I:I,'Extraction Offre de services'!D:D,"nouvelle-aquitaine", 'Extraction Offre de services'!F:F,"hebergement", 'Extraction Offre de services'!B:B,"2013")</f>
        <v>0</v>
      </c>
      <c r="S15" s="42">
        <f>R15/$R$14</f>
        <v>0</v>
      </c>
    </row>
    <row r="16" spans="2:19" x14ac:dyDescent="0.25">
      <c r="B16" s="15" t="s">
        <v>9</v>
      </c>
      <c r="C16" s="2" t="s">
        <v>48</v>
      </c>
      <c r="D16" s="2"/>
      <c r="E16" s="29">
        <f>SUMIFS('Extraction Offre de services'!G:G,'Extraction Offre de services'!D:D,"nouvelle-aquitaine", 'Extraction Offre de services'!F:F,"restauration", 'Extraction Offre de services'!B:B,"2017")</f>
        <v>4.5215173025732032</v>
      </c>
      <c r="F16" s="23">
        <f>SUMIFS('Extraction Offre de services'!I:I,'Extraction Offre de services'!D:D,"nouvelle-aquitaine", 'Extraction Offre de services'!F:F,"restauration", 'Extraction Offre de services'!B:B,"2017")</f>
        <v>2254</v>
      </c>
      <c r="G16" s="39">
        <f>F16/$F$14</f>
        <v>0.20089126559714796</v>
      </c>
      <c r="H16" s="30">
        <f>SUMIFS('Extraction Offre de services'!G:G,'Extraction Offre de services'!D:D,"nouvelle-aquitaine", 'Extraction Offre de services'!F:F,"restauration", 'Extraction Offre de services'!B:B,"2016")</f>
        <v>4.4741824440619613</v>
      </c>
      <c r="I16" s="23">
        <f>SUMIFS('Extraction Offre de services'!I:I,'Extraction Offre de services'!D:D,"nouvelle-aquitaine", 'Extraction Offre de services'!F:F,"restauration", 'Extraction Offre de services'!B:B,"2016")</f>
        <v>4067</v>
      </c>
      <c r="J16" s="45">
        <f>I16/$I$14</f>
        <v>0.2168141592920354</v>
      </c>
      <c r="K16" s="29">
        <f>SUMIFS('Extraction Offre de services'!G:G,'Extraction Offre de services'!D:D,"nouvelle-aquitaine", 'Extraction Offre de services'!F:F,"restauration", 'Extraction Offre de services'!B:B,"2015")</f>
        <v>4.4914398595259</v>
      </c>
      <c r="L16" s="23">
        <f>SUMIFS('Extraction Offre de services'!I:I,'Extraction Offre de services'!D:D,"nouvelle-aquitaine", 'Extraction Offre de services'!F:F,"restauration", 'Extraction Offre de services'!B:B,"2015")</f>
        <v>2278</v>
      </c>
      <c r="M16" s="45">
        <f>L16/$L$14</f>
        <v>0.36471341658661544</v>
      </c>
      <c r="N16" s="30">
        <f>SUMIFS('Extraction Offre de services'!G:G,'Extraction Offre de services'!D:D,"nouvelle-aquitaine", 'Extraction Offre de services'!F:F,"restauration", 'Extraction Offre de services'!B:B,"2014")</f>
        <v>4.4679392142327643</v>
      </c>
      <c r="O16" s="23">
        <f>SUMIFS('Extraction Offre de services'!I:I,'Extraction Offre de services'!D:D,"nouvelle-aquitaine", 'Extraction Offre de services'!F:F,"restauration", 'Extraction Offre de services'!B:B,"2014")</f>
        <v>1349</v>
      </c>
      <c r="P16" s="45">
        <f>O16/$O$14</f>
        <v>1</v>
      </c>
      <c r="Q16" s="29">
        <f>SUMIFS('Extraction Offre de services'!G:G,'Extraction Offre de services'!D:D,"nouvelle-aquitaine", 'Extraction Offre de services'!F:F,"restauration", 'Extraction Offre de services'!B:B,"2013")</f>
        <v>4.4277777777777771</v>
      </c>
      <c r="R16" s="23">
        <f>SUMIFS('Extraction Offre de services'!I:I,'Extraction Offre de services'!D:D,"nouvelle-aquitaine", 'Extraction Offre de services'!F:F,"restauration", 'Extraction Offre de services'!B:B,"2013")</f>
        <v>1035</v>
      </c>
      <c r="S16" s="42">
        <f>R16/$R$14</f>
        <v>1</v>
      </c>
    </row>
    <row r="17" spans="2:19" s="65" customFormat="1" x14ac:dyDescent="0.25">
      <c r="B17" s="68" t="s">
        <v>9</v>
      </c>
      <c r="C17" s="68" t="s">
        <v>48</v>
      </c>
      <c r="D17" s="68" t="s">
        <v>125</v>
      </c>
      <c r="E17" s="70">
        <f>SUMIFS('Extraction Offre de services'!L:L,'Extraction Offre de services'!D:D,"nouvelle-aquitaine", 'Extraction Offre de services'!F:F,"restauration", 'Extraction Offre de services'!B:B,"2017")</f>
        <v>4.54170363797693</v>
      </c>
      <c r="F17" s="71"/>
      <c r="G17" s="72"/>
      <c r="H17" s="70">
        <f>SUMIFS('Extraction Offre de services'!L:L,'Extraction Offre de services'!D:D,"nouvelle-aquitaine", 'Extraction Offre de services'!F:F,"restauration", 'Extraction Offre de services'!B:B,"2016")</f>
        <v>4.5082370297516592</v>
      </c>
      <c r="I17" s="71"/>
      <c r="J17" s="72"/>
      <c r="K17" s="70">
        <f>SUMIFS('Extraction Offre de services'!L:L,'Extraction Offre de services'!D:D,"nouvelle-aquitaine", 'Extraction Offre de services'!F:F,"restauration", 'Extraction Offre de services'!B:B,"2015")</f>
        <v>4.5346795434591751</v>
      </c>
      <c r="L17" s="68"/>
      <c r="M17" s="72"/>
      <c r="N17" s="70">
        <f>SUMIFS('Extraction Offre de services'!L:L,'Extraction Offre de services'!D:D,"nouvelle-aquitaine", 'Extraction Offre de services'!F:F,"restauration", 'Extraction Offre de services'!B:B,"2014")</f>
        <v>4.5122312824314301</v>
      </c>
      <c r="O17" s="68"/>
      <c r="P17" s="68"/>
      <c r="Q17" s="73">
        <f>SUMIFS('Extraction Offre de services'!L:L,'Extraction Offre de services'!D:D,"nouvelle-aquitaine", 'Extraction Offre de services'!F:F,"restauration", 'Extraction Offre de services'!B:B,"2013")</f>
        <v>4.4734299516908216</v>
      </c>
      <c r="R17" s="68"/>
      <c r="S17" s="68"/>
    </row>
    <row r="18" spans="2:19" s="65" customFormat="1" x14ac:dyDescent="0.25">
      <c r="B18" s="68" t="s">
        <v>9</v>
      </c>
      <c r="C18" s="68" t="s">
        <v>48</v>
      </c>
      <c r="D18" s="68" t="s">
        <v>127</v>
      </c>
      <c r="E18" s="70">
        <f>SUMIFS('Extraction Offre de services'!N:N,'Extraction Offre de services'!D:D,"nouvelle-aquitaine", 'Extraction Offre de services'!F:F,"restauration", 'Extraction Offre de services'!B:B,"2017")</f>
        <v>4.6304347826086962</v>
      </c>
      <c r="F18" s="68"/>
      <c r="G18" s="72"/>
      <c r="H18" s="70">
        <f>SUMIFS('Extraction Offre de services'!N:N,'Extraction Offre de services'!D:D,"nouvelle-aquitaine", 'Extraction Offre de services'!F:F,"restauration", 'Extraction Offre de services'!B:B,"2016")</f>
        <v>4.5325792967789527</v>
      </c>
      <c r="I18" s="68"/>
      <c r="J18" s="72"/>
      <c r="K18" s="70">
        <f>SUMIFS('Extraction Offre de services'!N:N,'Extraction Offre de services'!D:D,"nouvelle-aquitaine", 'Extraction Offre de services'!F:F,"restauration", 'Extraction Offre de services'!B:B,"2015")</f>
        <v>4.5531167690956984</v>
      </c>
      <c r="L18" s="68"/>
      <c r="M18" s="72"/>
      <c r="N18" s="70">
        <f>SUMIFS('Extraction Offre de services'!N:N,'Extraction Offre de services'!D:D,"nouvelle-aquitaine", 'Extraction Offre de services'!F:F,"restauration", 'Extraction Offre de services'!B:B,"2014")</f>
        <v>4.52112676056338</v>
      </c>
      <c r="O18" s="68"/>
      <c r="P18" s="72"/>
      <c r="Q18" s="70">
        <f>SUMIFS('Extraction Offre de services'!N:N,'Extraction Offre de services'!D:D,"nouvelle-aquitaine", 'Extraction Offre de services'!F:F,"restauration", 'Extraction Offre de services'!B:B,"2013")</f>
        <v>4.4357487922705312</v>
      </c>
      <c r="R18" s="68"/>
      <c r="S18" s="68"/>
    </row>
    <row r="19" spans="2:19" s="65" customFormat="1" x14ac:dyDescent="0.25">
      <c r="B19" s="68" t="s">
        <v>9</v>
      </c>
      <c r="C19" s="68" t="s">
        <v>48</v>
      </c>
      <c r="D19" s="68" t="s">
        <v>126</v>
      </c>
      <c r="E19" s="70">
        <f>SUMIFS('Extraction Offre de services'!P:P,'Extraction Offre de services'!D:D,"nouvelle-aquitaine", 'Extraction Offre de services'!F:F,"restauration", 'Extraction Offre de services'!B:B,"2017")</f>
        <v>4.3722271517302573</v>
      </c>
      <c r="F19" s="68"/>
      <c r="G19" s="72"/>
      <c r="H19" s="70">
        <f>SUMIFS('Extraction Offre de services'!P:P,'Extraction Offre de services'!D:D,"nouvelle-aquitaine", 'Extraction Offre de services'!F:F,"restauration", 'Extraction Offre de services'!B:B,"2016")</f>
        <v>4.3476764199655769</v>
      </c>
      <c r="I19" s="68"/>
      <c r="J19" s="72"/>
      <c r="K19" s="70">
        <f>SUMIFS('Extraction Offre de services'!P:P,'Extraction Offre de services'!D:D,"nouvelle-aquitaine", 'Extraction Offre de services'!F:F,"restauration", 'Extraction Offre de services'!B:B,"2015")</f>
        <v>4.3432835820895512</v>
      </c>
      <c r="L19" s="68"/>
      <c r="M19" s="72"/>
      <c r="N19" s="70">
        <f>SUMIFS('Extraction Offre de services'!P:P,'Extraction Offre de services'!D:D,"nouvelle-aquitaine", 'Extraction Offre de services'!F:F,"restauration", 'Extraction Offre de services'!B:B,"2014")</f>
        <v>4.3261675315048187</v>
      </c>
      <c r="O19" s="68"/>
      <c r="P19" s="72"/>
      <c r="Q19" s="70">
        <f>SUMIFS('Extraction Offre de services'!P:P,'Extraction Offre de services'!D:D,"nouvelle-aquitaine", 'Extraction Offre de services'!F:F,"restauration", 'Extraction Offre de services'!B:B,"2013")</f>
        <v>4.328502415458936</v>
      </c>
      <c r="R19" s="68"/>
      <c r="S19" s="68"/>
    </row>
  </sheetData>
  <mergeCells count="8">
    <mergeCell ref="Q2:S2"/>
    <mergeCell ref="B2:B3"/>
    <mergeCell ref="C2:C3"/>
    <mergeCell ref="E2:G2"/>
    <mergeCell ref="H2:J2"/>
    <mergeCell ref="K2:M2"/>
    <mergeCell ref="N2:P2"/>
    <mergeCell ref="D2:D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topLeftCell="C1" workbookViewId="0">
      <selection activeCell="I21" sqref="I21"/>
    </sheetView>
  </sheetViews>
  <sheetFormatPr baseColWidth="10" defaultRowHeight="15" x14ac:dyDescent="0.25"/>
  <cols>
    <col min="1" max="1" width="1.5703125" customWidth="1"/>
    <col min="2" max="2" width="15.7109375" bestFit="1" customWidth="1"/>
    <col min="3" max="3" width="22.140625" bestFit="1" customWidth="1"/>
    <col min="4" max="4" width="6.28515625" bestFit="1" customWidth="1"/>
    <col min="5" max="5" width="15" customWidth="1"/>
    <col min="6" max="7" width="8.7109375" customWidth="1"/>
    <col min="9" max="10" width="8.7109375" customWidth="1"/>
    <col min="12" max="13" width="8.7109375" customWidth="1"/>
    <col min="15" max="16" width="8.7109375" customWidth="1"/>
    <col min="18" max="19" width="8.7109375" customWidth="1"/>
  </cols>
  <sheetData>
    <row r="2" spans="2:19" x14ac:dyDescent="0.25">
      <c r="B2" s="62" t="s">
        <v>86</v>
      </c>
      <c r="C2" s="62" t="s">
        <v>87</v>
      </c>
      <c r="D2" s="62" t="s">
        <v>128</v>
      </c>
      <c r="E2" s="60">
        <v>2017</v>
      </c>
      <c r="F2" s="60"/>
      <c r="G2" s="61"/>
      <c r="H2" s="59">
        <v>2016</v>
      </c>
      <c r="I2" s="63"/>
      <c r="J2" s="61"/>
      <c r="K2" s="59">
        <v>2015</v>
      </c>
      <c r="L2" s="63"/>
      <c r="M2" s="61"/>
      <c r="N2" s="59">
        <v>2014</v>
      </c>
      <c r="O2" s="60"/>
      <c r="P2" s="61"/>
      <c r="Q2" s="59">
        <v>2013</v>
      </c>
      <c r="R2" s="60"/>
      <c r="S2" s="60"/>
    </row>
    <row r="3" spans="2:19" ht="30" x14ac:dyDescent="0.25">
      <c r="B3" s="62"/>
      <c r="C3" s="62"/>
      <c r="D3" s="62"/>
      <c r="E3" s="54" t="s">
        <v>95</v>
      </c>
      <c r="F3" s="54" t="s">
        <v>119</v>
      </c>
      <c r="G3" s="55" t="s">
        <v>120</v>
      </c>
      <c r="H3" s="54" t="s">
        <v>95</v>
      </c>
      <c r="I3" s="54" t="s">
        <v>119</v>
      </c>
      <c r="J3" s="55" t="s">
        <v>120</v>
      </c>
      <c r="K3" s="54" t="s">
        <v>95</v>
      </c>
      <c r="L3" s="54" t="s">
        <v>119</v>
      </c>
      <c r="M3" s="55" t="s">
        <v>120</v>
      </c>
      <c r="N3" s="54" t="s">
        <v>95</v>
      </c>
      <c r="O3" s="54" t="s">
        <v>119</v>
      </c>
      <c r="P3" s="55" t="s">
        <v>120</v>
      </c>
      <c r="Q3" s="54" t="s">
        <v>95</v>
      </c>
      <c r="R3" s="54" t="s">
        <v>119</v>
      </c>
      <c r="S3" s="54" t="s">
        <v>120</v>
      </c>
    </row>
    <row r="4" spans="2:19" x14ac:dyDescent="0.25">
      <c r="B4" s="16" t="s">
        <v>88</v>
      </c>
      <c r="C4" s="8" t="s">
        <v>101</v>
      </c>
      <c r="D4" s="8"/>
      <c r="E4" s="51">
        <f>AVERAGE(E5,E10,E14)</f>
        <v>4.2953798177987803</v>
      </c>
      <c r="F4" s="46">
        <f>Pondération!F132</f>
        <v>31768</v>
      </c>
      <c r="G4" s="47"/>
      <c r="H4" s="51">
        <f>AVERAGE(H5,H10,H14)</f>
        <v>4.0815618986889168</v>
      </c>
      <c r="I4" s="10">
        <f>Pondération!G132</f>
        <v>59811</v>
      </c>
      <c r="J4" s="40"/>
      <c r="K4" s="51">
        <f>AVERAGE(K5,K10,K14)</f>
        <v>4.2991133064415354</v>
      </c>
      <c r="L4" s="46">
        <f>Pondération!H132</f>
        <v>29818</v>
      </c>
      <c r="M4" s="37"/>
      <c r="N4" s="51">
        <f>AVERAGE(N5,N10,N14)</f>
        <v>4.3991089459116779</v>
      </c>
      <c r="O4" s="10">
        <f>Pondération!I132</f>
        <v>11081</v>
      </c>
      <c r="P4" s="40"/>
      <c r="Q4" s="51">
        <f>AVERAGE(Q5,Q10,Q14)</f>
        <v>4.3574042865754405</v>
      </c>
      <c r="R4" s="10">
        <f>Pondération!J132</f>
        <v>5270</v>
      </c>
      <c r="S4" s="28"/>
    </row>
    <row r="5" spans="2:19" x14ac:dyDescent="0.25">
      <c r="B5" s="17" t="s">
        <v>78</v>
      </c>
      <c r="C5" s="4" t="s">
        <v>101</v>
      </c>
      <c r="D5" s="4"/>
      <c r="E5" s="50">
        <f>(E6*G6)+(E7*G7)+(E8*G8)+(E9*G9)</f>
        <v>4.4491317043184262</v>
      </c>
      <c r="F5" s="34">
        <f>SUMIFS('Extraction Offre de loisirs'!I:I,'Extraction Offre de loisirs'!D:D,"occitanie", 'Extraction Offre de loisirs'!E:E,"offre de loisirs", 'Extraction Offre de loisirs'!B:B,"2017")</f>
        <v>6507</v>
      </c>
      <c r="G5" s="38">
        <f>F5/$F$4</f>
        <v>0.20482875849911861</v>
      </c>
      <c r="H5" s="50">
        <f>(H6*J6)+(H7*J7)+(H8*J8)+(H9*J9)</f>
        <v>4.450014832393947</v>
      </c>
      <c r="I5" s="34">
        <f>SUMIFS('Extraction Offre de loisirs'!I:I,'Extraction Offre de loisirs'!D:D,"occitanie", 'Extraction Offre de loisirs'!E:E,"offre de loisirs", 'Extraction Offre de loisirs'!B:B,"2016")</f>
        <v>20226</v>
      </c>
      <c r="J5" s="38">
        <f>I5/$I$4</f>
        <v>0.33816522044439984</v>
      </c>
      <c r="K5" s="50">
        <f>(K6*M6)+(K7*M7)+(K8*M8)+(K9*M9)</f>
        <v>4.4219653179190743</v>
      </c>
      <c r="L5" s="34">
        <f>SUMIFS('Extraction Offre de loisirs'!I:I,'Extraction Offre de loisirs'!D:D,"occitanie", 'Extraction Offre de loisirs'!E:E,"offre de loisirs", 'Extraction Offre de loisirs'!B:B,"2015")</f>
        <v>11764</v>
      </c>
      <c r="M5" s="38">
        <f>L5/$L$4</f>
        <v>0.39452679589509693</v>
      </c>
      <c r="N5" s="50">
        <f>(N6*P6)+(N7*P7)+(N8*P8)+(N9*P9)</f>
        <v>4.3915209625869531</v>
      </c>
      <c r="O5" s="11">
        <f>SUMIFS('Extraction Offre de loisirs'!I:I,'Extraction Offre de loisirs'!D:D,"occitanie", 'Extraction Offre de loisirs'!E:E,"offre de loisirs", 'Extraction Offre de loisirs'!B:B,"2014")</f>
        <v>5319</v>
      </c>
      <c r="P5" s="38">
        <f>O5/$O$4</f>
        <v>0.48001082934753181</v>
      </c>
      <c r="Q5" s="50">
        <f>(Q6*S6)+(Q7*S7)+(Q8*S8)+(Q9*S9)</f>
        <v>4.3107971745711398</v>
      </c>
      <c r="R5" s="11">
        <f>SUMIFS('Extraction Offre de loisirs'!I:I,'Extraction Offre de loisirs'!D:D,"occitanie", 'Extraction Offre de loisirs'!E:E,"offre de loisirs", 'Extraction Offre de loisirs'!B:B,"2013")</f>
        <v>1982</v>
      </c>
      <c r="S5" s="35">
        <f>R5/$R$4</f>
        <v>0.3760910815939279</v>
      </c>
    </row>
    <row r="6" spans="2:19" x14ac:dyDescent="0.25">
      <c r="B6" s="15" t="s">
        <v>78</v>
      </c>
      <c r="C6" s="2" t="s">
        <v>79</v>
      </c>
      <c r="D6" s="2"/>
      <c r="E6" s="29">
        <f>SUMIFS('Extraction Offre de loisirs'!G:G,'Extraction Offre de loisirs'!D:D,"occitanie", 'Extraction Offre de loisirs'!F:F,"activites de plein air", 'Extraction Offre de loisirs'!B:B,"2017")</f>
        <v>4.4183359013867491</v>
      </c>
      <c r="F6" s="33">
        <f>SUMIFS('Extraction Offre de loisirs'!I:I,'Extraction Offre de loisirs'!D:D,"occitanie", 'Extraction Offre de loisirs'!F:F,"activites de plein air", 'Extraction Offre de loisirs'!B:B,"2017")</f>
        <v>3245</v>
      </c>
      <c r="G6" s="39">
        <f>F6/$F$5</f>
        <v>0.4986937144613493</v>
      </c>
      <c r="H6" s="30">
        <f>SUMIFS('Extraction Offre de loisirs'!G:G,'Extraction Offre de loisirs'!D:D,"occitanie", 'Extraction Offre de loisirs'!F:F,"activites de plein air", 'Extraction Offre de loisirs'!B:B,"2016")</f>
        <v>4.4456317319199856</v>
      </c>
      <c r="I6" s="33">
        <f>SUMIFS('Extraction Offre de loisirs'!I:I,'Extraction Offre de loisirs'!D:D,"occitanie", 'Extraction Offre de loisirs'!F:F,"activites de plein air", 'Extraction Offre de loisirs'!B:B,"2016")</f>
        <v>11698</v>
      </c>
      <c r="J6" s="39">
        <f>I6/$I$5</f>
        <v>0.5783644813606249</v>
      </c>
      <c r="K6" s="29">
        <f>SUMIFS('Extraction Offre de loisirs'!G:G,'Extraction Offre de loisirs'!D:D,"occitanie", 'Extraction Offre de loisirs'!F:F,"activites de plein air", 'Extraction Offre de loisirs'!B:B,"2015")</f>
        <v>4.4376402270027713</v>
      </c>
      <c r="L6" s="33">
        <f>SUMIFS('Extraction Offre de loisirs'!I:I,'Extraction Offre de loisirs'!D:D,"occitanie", 'Extraction Offre de loisirs'!F:F,"activites de plein air", 'Extraction Offre de loisirs'!B:B,"2015")</f>
        <v>7577</v>
      </c>
      <c r="M6" s="39">
        <f>L6/$L$5</f>
        <v>0.64408364501870108</v>
      </c>
      <c r="N6" s="30">
        <f>SUMIFS('Extraction Offre de loisirs'!G:G,'Extraction Offre de loisirs'!D:D,"occitanie", 'Extraction Offre de loisirs'!F:F,"activites de plein air", 'Extraction Offre de loisirs'!B:B,"2014")</f>
        <v>4.4394495412844046</v>
      </c>
      <c r="O6" s="33">
        <f>SUMIFS('Extraction Offre de loisirs'!I:I,'Extraction Offre de loisirs'!D:D,"occitanie", 'Extraction Offre de loisirs'!F:F,"activites de plein air", 'Extraction Offre de loisirs'!B:B,"2014")</f>
        <v>3815</v>
      </c>
      <c r="P6" s="39">
        <f>O6/$O$5</f>
        <v>0.71724008272231621</v>
      </c>
      <c r="Q6" s="29">
        <f>SUMIFS('Extraction Offre de loisirs'!G:G,'Extraction Offre de loisirs'!D:D,"occitanie", 'Extraction Offre de loisirs'!F:F,"activites de plein air", 'Extraction Offre de loisirs'!B:B,"2013")</f>
        <v>4.3650568181818175</v>
      </c>
      <c r="R6" s="33">
        <f>SUMIFS('Extraction Offre de loisirs'!I:I,'Extraction Offre de loisirs'!D:D,"occitanie", 'Extraction Offre de loisirs'!F:F,"activites de plein air", 'Extraction Offre de loisirs'!B:B,"2013")</f>
        <v>1408</v>
      </c>
      <c r="S6" s="31">
        <f>R6/$R$5</f>
        <v>0.71039354187689208</v>
      </c>
    </row>
    <row r="7" spans="2:19" x14ac:dyDescent="0.25">
      <c r="B7" s="15" t="s">
        <v>78</v>
      </c>
      <c r="C7" s="2" t="s">
        <v>81</v>
      </c>
      <c r="D7" s="2"/>
      <c r="E7" s="29">
        <f>SUMIFS('Extraction Offre de loisirs'!G:G,'Extraction Offre de loisirs'!D:D,"occitanie", 'Extraction Offre de loisirs'!F:F,"jeux et divertissements", 'Extraction Offre de loisirs'!B:B,"2017")</f>
        <v>4.5186385737439227</v>
      </c>
      <c r="F7" s="33">
        <f>SUMIFS('Extraction Offre de loisirs'!I:I,'Extraction Offre de loisirs'!D:D,"occitanie", 'Extraction Offre de loisirs'!F:F,"jeux et divertissements", 'Extraction Offre de loisirs'!B:B,"2017")</f>
        <v>1851</v>
      </c>
      <c r="G7" s="39">
        <f>F7/$F$5</f>
        <v>0.28446288612263715</v>
      </c>
      <c r="H7" s="30">
        <f>SUMIFS('Extraction Offre de loisirs'!G:G,'Extraction Offre de loisirs'!D:D,"occitanie", 'Extraction Offre de loisirs'!F:F,"jeux et divertissements", 'Extraction Offre de loisirs'!B:B,"2016")</f>
        <v>4.4879905640145825</v>
      </c>
      <c r="I7" s="33">
        <f>SUMIFS('Extraction Offre de loisirs'!I:I,'Extraction Offre de loisirs'!D:D,"occitanie", 'Extraction Offre de loisirs'!F:F,"jeux et divertissements", 'Extraction Offre de loisirs'!B:B,"2016")</f>
        <v>4663</v>
      </c>
      <c r="J7" s="39">
        <f>I7/$I$5</f>
        <v>0.23054484327103728</v>
      </c>
      <c r="K7" s="29">
        <f>SUMIFS('Extraction Offre de loisirs'!G:G,'Extraction Offre de loisirs'!D:D,"occitanie", 'Extraction Offre de loisirs'!F:F,"jeux et divertissements", 'Extraction Offre de loisirs'!B:B,"2015")</f>
        <v>4.3743354277428708</v>
      </c>
      <c r="L7" s="33">
        <f>SUMIFS('Extraction Offre de loisirs'!I:I,'Extraction Offre de loisirs'!D:D,"occitanie", 'Extraction Offre de loisirs'!F:F,"jeux et divertissements", 'Extraction Offre de loisirs'!B:B,"2015")</f>
        <v>2069</v>
      </c>
      <c r="M7" s="39">
        <f>L7/$L$5</f>
        <v>0.17587555253315199</v>
      </c>
      <c r="N7" s="30">
        <f>SUMIFS('Extraction Offre de loisirs'!G:G,'Extraction Offre de loisirs'!D:D,"occitanie", 'Extraction Offre de loisirs'!F:F,"jeux et divertissements", 'Extraction Offre de loisirs'!B:B,"2014")</f>
        <v>4.1994047619047619</v>
      </c>
      <c r="O7" s="33">
        <f>SUMIFS('Extraction Offre de loisirs'!I:I,'Extraction Offre de loisirs'!D:D,"occitanie", 'Extraction Offre de loisirs'!F:F,"jeux et divertissements", 'Extraction Offre de loisirs'!B:B,"2014")</f>
        <v>840</v>
      </c>
      <c r="P7" s="39">
        <f>O7/$O$5</f>
        <v>0.15792442188381275</v>
      </c>
      <c r="Q7" s="29">
        <f>SUMIFS('Extraction Offre de loisirs'!G:G,'Extraction Offre de loisirs'!D:D,"occitanie", 'Extraction Offre de loisirs'!F:F,"jeux et divertissements", 'Extraction Offre de loisirs'!B:B,"2013")</f>
        <v>4.0707236842105265</v>
      </c>
      <c r="R7" s="33">
        <f>SUMIFS('Extraction Offre de loisirs'!I:I,'Extraction Offre de loisirs'!D:D,"occitanie", 'Extraction Offre de loisirs'!F:F,"jeux et divertissements", 'Extraction Offre de loisirs'!B:B,"2013")</f>
        <v>304</v>
      </c>
      <c r="S7" s="31">
        <f>R7/$R$5</f>
        <v>0.15338042381432895</v>
      </c>
    </row>
    <row r="8" spans="2:19" x14ac:dyDescent="0.25">
      <c r="B8" s="15" t="s">
        <v>78</v>
      </c>
      <c r="C8" s="2" t="s">
        <v>83</v>
      </c>
      <c r="D8" s="2"/>
      <c r="E8" s="29">
        <f>SUMIFS('Extraction Offre de loisirs'!G:G,'Extraction Offre de loisirs'!D:D,"occitanie", 'Extraction Offre de loisirs'!F:F,"shopping", 'Extraction Offre de loisirs'!B:B,"2017")</f>
        <v>4.4549499443826477</v>
      </c>
      <c r="F8" s="33">
        <f>SUMIFS('Extraction Offre de loisirs'!I:I,'Extraction Offre de loisirs'!D:D,"occitanie", 'Extraction Offre de loisirs'!F:F,"shopping", 'Extraction Offre de loisirs'!B:B,"2017")</f>
        <v>899</v>
      </c>
      <c r="G8" s="39">
        <f>F8/$F$5</f>
        <v>0.13815890579376056</v>
      </c>
      <c r="H8" s="30">
        <f>SUMIFS('Extraction Offre de loisirs'!G:G,'Extraction Offre de loisirs'!D:D,"occitanie", 'Extraction Offre de loisirs'!F:F,"shopping", 'Extraction Offre de loisirs'!B:B,"2016")</f>
        <v>4.4684231697506034</v>
      </c>
      <c r="I8" s="33">
        <f>SUMIFS('Extraction Offre de loisirs'!I:I,'Extraction Offre de loisirs'!D:D,"occitanie", 'Extraction Offre de loisirs'!F:F,"shopping", 'Extraction Offre de loisirs'!B:B,"2016")</f>
        <v>2486</v>
      </c>
      <c r="J8" s="39">
        <f>I8/$I$5</f>
        <v>0.12291110451893603</v>
      </c>
      <c r="K8" s="29">
        <f>SUMIFS('Extraction Offre de loisirs'!G:G,'Extraction Offre de loisirs'!D:D,"occitanie", 'Extraction Offre de loisirs'!F:F,"shopping", 'Extraction Offre de loisirs'!B:B,"2015")</f>
        <v>4.4661563255439169</v>
      </c>
      <c r="L8" s="33">
        <f>SUMIFS('Extraction Offre de loisirs'!I:I,'Extraction Offre de loisirs'!D:D,"occitanie", 'Extraction Offre de loisirs'!F:F,"shopping", 'Extraction Offre de loisirs'!B:B,"2015")</f>
        <v>1241</v>
      </c>
      <c r="M8" s="39">
        <f>L8/$L$5</f>
        <v>0.10549132947976879</v>
      </c>
      <c r="N8" s="30">
        <f>SUMIFS('Extraction Offre de loisirs'!G:G,'Extraction Offre de loisirs'!D:D,"occitanie", 'Extraction Offre de loisirs'!F:F,"shopping", 'Extraction Offre de loisirs'!B:B,"2014")</f>
        <v>4.3801020408163263</v>
      </c>
      <c r="O8" s="33">
        <f>SUMIFS('Extraction Offre de loisirs'!I:I,'Extraction Offre de loisirs'!D:D,"occitanie", 'Extraction Offre de loisirs'!F:F,"shopping", 'Extraction Offre de loisirs'!B:B,"2014")</f>
        <v>392</v>
      </c>
      <c r="P8" s="39">
        <f>O8/$O$5</f>
        <v>7.3698063545779277E-2</v>
      </c>
      <c r="Q8" s="29">
        <f>SUMIFS('Extraction Offre de loisirs'!G:G,'Extraction Offre de loisirs'!D:D,"occitanie", 'Extraction Offre de loisirs'!F:F,"shopping", 'Extraction Offre de loisirs'!B:B,"2013")</f>
        <v>4.333333333333333</v>
      </c>
      <c r="R8" s="33">
        <f>SUMIFS('Extraction Offre de loisirs'!I:I,'Extraction Offre de loisirs'!D:D,"occitanie", 'Extraction Offre de loisirs'!F:F,"shopping", 'Extraction Offre de loisirs'!B:B,"2013")</f>
        <v>189</v>
      </c>
      <c r="S8" s="31">
        <f>R8/$R$5</f>
        <v>9.5358224016145313E-2</v>
      </c>
    </row>
    <row r="9" spans="2:19" x14ac:dyDescent="0.25">
      <c r="B9" s="15" t="s">
        <v>78</v>
      </c>
      <c r="C9" s="2" t="s">
        <v>84</v>
      </c>
      <c r="D9" s="2"/>
      <c r="E9" s="29">
        <f>SUMIFS('Extraction Offre de loisirs'!G:G,'Extraction Offre de loisirs'!D:D,"occitanie", 'Extraction Offre de loisirs'!F:F,"vie nocturne", 'Extraction Offre de loisirs'!B:B,"2017")</f>
        <v>4.3828125</v>
      </c>
      <c r="F9" s="33">
        <f>SUMIFS('Extraction Offre de loisirs'!I:I,'Extraction Offre de loisirs'!D:D,"occitanie", 'Extraction Offre de loisirs'!F:F,"vie nocturne", 'Extraction Offre de loisirs'!B:B,"2017")</f>
        <v>512</v>
      </c>
      <c r="G9" s="39">
        <f>F9/$F$5</f>
        <v>7.8684493622252952E-2</v>
      </c>
      <c r="H9" s="30">
        <f>SUMIFS('Extraction Offre de loisirs'!G:G,'Extraction Offre de loisirs'!D:D,"occitanie", 'Extraction Offre de loisirs'!F:F,"vie nocturne", 'Extraction Offre de loisirs'!B:B,"2016")</f>
        <v>4.3255982596084115</v>
      </c>
      <c r="I9" s="33">
        <f>SUMIFS('Extraction Offre de loisirs'!I:I,'Extraction Offre de loisirs'!D:D,"occitanie", 'Extraction Offre de loisirs'!F:F,"vie nocturne", 'Extraction Offre de loisirs'!B:B,"2016")</f>
        <v>1379</v>
      </c>
      <c r="J9" s="39">
        <f>I9/$I$5</f>
        <v>6.8179570849401766E-2</v>
      </c>
      <c r="K9" s="29">
        <f>SUMIFS('Extraction Offre de loisirs'!G:G,'Extraction Offre de loisirs'!D:D,"occitanie", 'Extraction Offre de loisirs'!F:F,"vie nocturne", 'Extraction Offre de loisirs'!B:B,"2015")</f>
        <v>4.3363740022805022</v>
      </c>
      <c r="L9" s="33">
        <f>SUMIFS('Extraction Offre de loisirs'!I:I,'Extraction Offre de loisirs'!D:D,"occitanie", 'Extraction Offre de loisirs'!F:F,"vie nocturne", 'Extraction Offre de loisirs'!B:B,"2015")</f>
        <v>877</v>
      </c>
      <c r="M9" s="39">
        <f>L9/$L$5</f>
        <v>7.4549472968378105E-2</v>
      </c>
      <c r="N9" s="30">
        <f>SUMIFS('Extraction Offre de loisirs'!G:G,'Extraction Offre de loisirs'!D:D,"occitanie", 'Extraction Offre de loisirs'!F:F,"vie nocturne", 'Extraction Offre de loisirs'!B:B,"2014")</f>
        <v>4.3290441176470598</v>
      </c>
      <c r="O9" s="33">
        <f>SUMIFS('Extraction Offre de loisirs'!I:I,'Extraction Offre de loisirs'!D:D,"occitanie", 'Extraction Offre de loisirs'!F:F,"vie nocturne", 'Extraction Offre de loisirs'!B:B,"2014")</f>
        <v>272</v>
      </c>
      <c r="P9" s="39">
        <f>O9/$O$5</f>
        <v>5.1137431848091747E-2</v>
      </c>
      <c r="Q9" s="29">
        <f>SUMIFS('Extraction Offre de loisirs'!G:G,'Extraction Offre de loisirs'!D:D,"occitanie", 'Extraction Offre de loisirs'!F:F,"vie nocturne", 'Extraction Offre de loisirs'!B:B,"2013")</f>
        <v>4.216049382716049</v>
      </c>
      <c r="R9" s="33">
        <f>SUMIFS('Extraction Offre de loisirs'!I:I,'Extraction Offre de loisirs'!D:D,"occitanie", 'Extraction Offre de loisirs'!F:F,"vie nocturne", 'Extraction Offre de loisirs'!B:B,"2013")</f>
        <v>81</v>
      </c>
      <c r="S9" s="31">
        <f>R9/$R$5</f>
        <v>4.0867810292633706E-2</v>
      </c>
    </row>
    <row r="10" spans="2:19" x14ac:dyDescent="0.25">
      <c r="B10" s="17" t="s">
        <v>82</v>
      </c>
      <c r="C10" s="4" t="s">
        <v>101</v>
      </c>
      <c r="D10" s="4"/>
      <c r="E10" s="50">
        <f>(E11*G11)+(E12*G12)+(E13*G13)</f>
        <v>4.3867042707493953</v>
      </c>
      <c r="F10" s="34">
        <f>SUMIFS('Extraction Patrimoine'!I:I,'Extraction Patrimoine'!D:D,"occitanie", 'Extraction Patrimoine'!E:E,"patrimoine", 'Extraction Patrimoine'!B:B,"2017")</f>
        <v>12410</v>
      </c>
      <c r="G10" s="38">
        <f>F10/$F$4</f>
        <v>0.39064467388567109</v>
      </c>
      <c r="H10" s="50">
        <f>(H11*J11)+(H12*J12)+(H13*J13)</f>
        <v>4.344695588771418</v>
      </c>
      <c r="I10" s="11">
        <f>SUMIFS('Extraction Patrimoine'!I:I,'Extraction Patrimoine'!D:D,"occitanie", 'Extraction Patrimoine'!E:E,"patrimoine", 'Extraction Patrimoine'!B:B,"2016")</f>
        <v>13715</v>
      </c>
      <c r="J10" s="48">
        <f>I10/$I$4</f>
        <v>0.22930564611860693</v>
      </c>
      <c r="K10" s="50">
        <f>(K11*M11)+(K12*M12)+(K13*M13)</f>
        <v>4.3370870870870881</v>
      </c>
      <c r="L10" s="34">
        <f>SUMIFS('Extraction Patrimoine'!I:I,'Extraction Patrimoine'!D:D,"occitanie", 'Extraction Patrimoine'!E:E,"patrimoine", 'Extraction Patrimoine'!B:B,"2015")</f>
        <v>9324</v>
      </c>
      <c r="M10" s="38">
        <f>L10/$L$4</f>
        <v>0.31269702864041854</v>
      </c>
      <c r="N10" s="50">
        <f>(N11*P11)+(N12*P12)+(N13*P13)</f>
        <v>4.3435897435897424</v>
      </c>
      <c r="O10" s="11">
        <f>SUMIFS('Extraction Patrimoine'!I:I,'Extraction Patrimoine'!D:D,"occitanie", 'Extraction Patrimoine'!E:E,"patrimoine", 'Extraction Patrimoine'!B:B,"2014")</f>
        <v>4485</v>
      </c>
      <c r="P10" s="48">
        <f>O10/$O$4</f>
        <v>0.40474686400144394</v>
      </c>
      <c r="Q10" s="50">
        <f>(Q11*S11)+(Q12*S12)+(Q13*S13)</f>
        <v>4.3497737556561082</v>
      </c>
      <c r="R10" s="11">
        <f>SUMIFS('Extraction Patrimoine'!I:I,'Extraction Patrimoine'!D:D,"occitanie", 'Extraction Patrimoine'!E:E,"patrimoine", 'Extraction Patrimoine'!B:B,"2013")</f>
        <v>2210</v>
      </c>
      <c r="S10" s="49">
        <f>R10/$R$4</f>
        <v>0.41935483870967744</v>
      </c>
    </row>
    <row r="11" spans="2:19" x14ac:dyDescent="0.25">
      <c r="B11" s="15" t="s">
        <v>82</v>
      </c>
      <c r="C11" s="15" t="s">
        <v>98</v>
      </c>
      <c r="D11" s="15"/>
      <c r="E11" s="29">
        <f>SUMIFS('Extraction Patrimoine'!G:G,'Extraction Patrimoine'!D:D,"occitanie", 'Extraction Patrimoine'!F:F,"nature et parcs", 'Extraction Patrimoine'!B:B,"2017")</f>
        <v>4.3867042707493953</v>
      </c>
      <c r="F11" s="23">
        <f>SUMIFS('Extraction Patrimoine'!I:I,'Extraction Patrimoine'!D:D,"occitanie", 'Extraction Patrimoine'!F:F,"nature et parcs", 'Extraction Patrimoine'!B:B,"2017")</f>
        <v>12410</v>
      </c>
      <c r="G11" s="39">
        <f>F11/$F$10</f>
        <v>1</v>
      </c>
      <c r="H11" s="29">
        <f>SUMIFS('Extraction Patrimoine'!G:G,'Extraction Patrimoine'!D:D,"occitanie", 'Extraction Patrimoine'!F:F,"nature et parcs", 'Extraction Patrimoine'!B:B,"2016")</f>
        <v>4.344695588771418</v>
      </c>
      <c r="I11" s="23">
        <f>SUMIFS('Extraction Patrimoine'!I:I,'Extraction Patrimoine'!D:D,"occitanie", 'Extraction Patrimoine'!F:F,"nature et parcs", 'Extraction Patrimoine'!B:B,"2016")</f>
        <v>13715</v>
      </c>
      <c r="J11" s="39">
        <f>I11/$I$10</f>
        <v>1</v>
      </c>
      <c r="K11" s="29">
        <f>SUMIFS('Extraction Patrimoine'!G:G,'Extraction Patrimoine'!D:D,"occitanie", 'Extraction Patrimoine'!F:F,"nature et parcs", 'Extraction Patrimoine'!B:B,"2015")</f>
        <v>4.3370870870870881</v>
      </c>
      <c r="L11" s="23">
        <f>SUMIFS('Extraction Patrimoine'!I:I,'Extraction Patrimoine'!D:D,"occitanie", 'Extraction Patrimoine'!F:F,"nature et parcs", 'Extraction Patrimoine'!B:B,"2015")</f>
        <v>9324</v>
      </c>
      <c r="M11" s="39">
        <f>L11/$L$10</f>
        <v>1</v>
      </c>
      <c r="N11" s="29">
        <f>SUMIFS('Extraction Patrimoine'!G:G,'Extraction Patrimoine'!D:D,"occitanie", 'Extraction Patrimoine'!F:F,"nature et parcs", 'Extraction Patrimoine'!B:B,"2014")</f>
        <v>4.3435897435897424</v>
      </c>
      <c r="O11" s="23">
        <f>SUMIFS('Extraction Patrimoine'!I:I,'Extraction Patrimoine'!D:D,"occitanie", 'Extraction Patrimoine'!F:F,"nature et parcs", 'Extraction Patrimoine'!B:B,"2014")</f>
        <v>4485</v>
      </c>
      <c r="P11" s="39">
        <f>O11/$O$10</f>
        <v>1</v>
      </c>
      <c r="Q11" s="29">
        <f>SUMIFS('Extraction Patrimoine'!G:G,'Extraction Patrimoine'!D:D,"occitanie", 'Extraction Patrimoine'!F:F,"nature et parcs", 'Extraction Patrimoine'!B:B,"2013")</f>
        <v>4.3497737556561082</v>
      </c>
      <c r="R11" s="23">
        <f>SUMIFS('Extraction Patrimoine'!I:I,'Extraction Patrimoine'!D:D,"occitanie", 'Extraction Patrimoine'!F:F,"nature et parcs", 'Extraction Patrimoine'!B:B,"2013")</f>
        <v>2210</v>
      </c>
      <c r="S11" s="43">
        <f>R11/$R$10</f>
        <v>1</v>
      </c>
    </row>
    <row r="12" spans="2:19" x14ac:dyDescent="0.25">
      <c r="B12" s="15" t="s">
        <v>82</v>
      </c>
      <c r="C12" s="15" t="s">
        <v>99</v>
      </c>
      <c r="D12" s="15"/>
      <c r="E12" s="29">
        <f>SUMIFS('Extraction Patrimoine'!G:G,'Extraction Patrimoine'!D:D,"occitanie", 'Extraction Patrimoine'!F:F,"musées", 'Extraction Patrimoine'!B:B,"2017")</f>
        <v>0</v>
      </c>
      <c r="F12" s="23">
        <f>SUMIFS('Extraction Patrimoine'!I:I,'Extraction Patrimoine'!D:D,"occitanie", 'Extraction Patrimoine'!F:F,"musées", 'Extraction Patrimoine'!B:B,"2017")</f>
        <v>0</v>
      </c>
      <c r="G12" s="39">
        <f>F12/$F$10</f>
        <v>0</v>
      </c>
      <c r="H12" s="29">
        <f>SUMIFS('Extraction Patrimoine'!G:G,'Extraction Patrimoine'!D:D,"occitanie", 'Extraction Patrimoine'!F:F,"musées", 'Extraction Patrimoine'!B:B,"2016")</f>
        <v>0</v>
      </c>
      <c r="I12" s="23">
        <f>SUMIFS('Extraction Patrimoine'!I:I,'Extraction Patrimoine'!D:D,"occitanie", 'Extraction Patrimoine'!F:F,"musées", 'Extraction Patrimoine'!B:B,"2016")</f>
        <v>0</v>
      </c>
      <c r="J12" s="39">
        <f t="shared" ref="J12:J13" si="0">I12/$I$10</f>
        <v>0</v>
      </c>
      <c r="K12" s="29">
        <f>SUMIFS('Extraction Patrimoine'!G:G,'Extraction Patrimoine'!D:D,"occitanie", 'Extraction Patrimoine'!F:F,"musées", 'Extraction Patrimoine'!B:B,"2015")</f>
        <v>0</v>
      </c>
      <c r="L12" s="23">
        <f>SUMIFS('Extraction Patrimoine'!I:I,'Extraction Patrimoine'!D:D,"occitanie", 'Extraction Patrimoine'!F:F,"musées", 'Extraction Patrimoine'!B:B,"2015")</f>
        <v>0</v>
      </c>
      <c r="M12" s="39">
        <f t="shared" ref="M12:M13" si="1">L12/$L$10</f>
        <v>0</v>
      </c>
      <c r="N12" s="29">
        <f>SUMIFS('Extraction Patrimoine'!G:G,'Extraction Patrimoine'!D:D,"occitanie", 'Extraction Patrimoine'!F:F,"musées", 'Extraction Patrimoine'!B:B,"2014")</f>
        <v>0</v>
      </c>
      <c r="O12" s="23">
        <f>SUMIFS('Extraction Patrimoine'!I:I,'Extraction Patrimoine'!D:D,"occitanie", 'Extraction Patrimoine'!F:F,"musées", 'Extraction Patrimoine'!B:B,"2014")</f>
        <v>0</v>
      </c>
      <c r="P12" s="39">
        <f t="shared" ref="P12:P13" si="2">O12/$O$10</f>
        <v>0</v>
      </c>
      <c r="Q12" s="29">
        <f>SUMIFS('Extraction Patrimoine'!G:G,'Extraction Patrimoine'!D:D,"occitanie", 'Extraction Patrimoine'!F:F,"musées", 'Extraction Patrimoine'!B:B,"2013")</f>
        <v>0</v>
      </c>
      <c r="R12" s="23">
        <f>SUMIFS('Extraction Patrimoine'!I:I,'Extraction Patrimoine'!D:D,"occitanie", 'Extraction Patrimoine'!F:F,"musées", 'Extraction Patrimoine'!B:B,"2013")</f>
        <v>0</v>
      </c>
      <c r="S12" s="43">
        <f t="shared" ref="S12:S13" si="3">R12/$R$10</f>
        <v>0</v>
      </c>
    </row>
    <row r="13" spans="2:19" x14ac:dyDescent="0.25">
      <c r="B13" s="15" t="s">
        <v>82</v>
      </c>
      <c r="C13" s="15" t="s">
        <v>100</v>
      </c>
      <c r="D13" s="15"/>
      <c r="E13" s="29">
        <f>SUMIFS('Extraction Patrimoine'!G:G,'Extraction Patrimoine'!D:D,"occitanie", 'Extraction Patrimoine'!F:F,"sites et monuments", 'Extraction Patrimoine'!B:B,"2017")</f>
        <v>0</v>
      </c>
      <c r="F13" s="23">
        <f>SUMIFS('Extraction Patrimoine'!I:I,'Extraction Patrimoine'!D:D,"occitanie", 'Extraction Patrimoine'!F:F,"sites et monuments", 'Extraction Patrimoine'!B:B,"2017")</f>
        <v>0</v>
      </c>
      <c r="G13" s="39">
        <f>F13/$F$10</f>
        <v>0</v>
      </c>
      <c r="H13" s="29">
        <f>SUMIFS('Extraction Patrimoine'!G:G,'Extraction Patrimoine'!D:D,"occitanie", 'Extraction Patrimoine'!F:F,"sites et monuments", 'Extraction Patrimoine'!B:B,"2016")</f>
        <v>0</v>
      </c>
      <c r="I13" s="23">
        <f>SUMIFS('Extraction Patrimoine'!I:I,'Extraction Patrimoine'!D:D,"occitanie", 'Extraction Patrimoine'!F:F,"sites et monuments", 'Extraction Patrimoine'!B:B,"2016")</f>
        <v>0</v>
      </c>
      <c r="J13" s="39">
        <f t="shared" si="0"/>
        <v>0</v>
      </c>
      <c r="K13" s="29">
        <f>SUMIFS('Extraction Patrimoine'!G:G,'Extraction Patrimoine'!D:D,"occitanie", 'Extraction Patrimoine'!F:F,"sites et monuments", 'Extraction Patrimoine'!B:B,"2015")</f>
        <v>0</v>
      </c>
      <c r="L13" s="23">
        <f>SUMIFS('Extraction Patrimoine'!I:I,'Extraction Patrimoine'!D:D,"occitanie", 'Extraction Patrimoine'!F:F,"sites et monuments", 'Extraction Patrimoine'!B:B,"2015")</f>
        <v>0</v>
      </c>
      <c r="M13" s="39">
        <f t="shared" si="1"/>
        <v>0</v>
      </c>
      <c r="N13" s="29">
        <f>SUMIFS('Extraction Patrimoine'!G:G,'Extraction Patrimoine'!D:D,"occitanie", 'Extraction Patrimoine'!F:F,"sites et monuments", 'Extraction Patrimoine'!B:B,"2014")</f>
        <v>0</v>
      </c>
      <c r="O13" s="23">
        <f>SUMIFS('Extraction Patrimoine'!I:I,'Extraction Patrimoine'!D:D,"occitanie", 'Extraction Patrimoine'!F:F,"sites et monuments", 'Extraction Patrimoine'!B:B,"2014")</f>
        <v>0</v>
      </c>
      <c r="P13" s="39">
        <f t="shared" si="2"/>
        <v>0</v>
      </c>
      <c r="Q13" s="29">
        <f>SUMIFS('Extraction Patrimoine'!G:G,'Extraction Patrimoine'!D:D,"occitanie", 'Extraction Patrimoine'!F:F,"sites et monuments", 'Extraction Patrimoine'!B:B,"2013")</f>
        <v>0</v>
      </c>
      <c r="R13" s="23">
        <f>SUMIFS('Extraction Patrimoine'!I:I,'Extraction Patrimoine'!D:D,"occitanie", 'Extraction Patrimoine'!F:F,"sites et monuments", 'Extraction Patrimoine'!B:B,"2013")</f>
        <v>0</v>
      </c>
      <c r="S13" s="43">
        <f t="shared" si="3"/>
        <v>0</v>
      </c>
    </row>
    <row r="14" spans="2:19" x14ac:dyDescent="0.25">
      <c r="B14" s="17" t="s">
        <v>9</v>
      </c>
      <c r="C14" s="4" t="s">
        <v>101</v>
      </c>
      <c r="D14" s="4"/>
      <c r="E14" s="50">
        <f>(E15*G15)+(E16*G16)</f>
        <v>4.0503034783285194</v>
      </c>
      <c r="F14" s="34">
        <f>SUMIFS('Extraction Offre de services'!I:I,'Extraction Offre de services'!D:D,"occitanie", 'Extraction Offre de services'!E:E,"Offre de services", 'Extraction Offre de services'!B:B,"2017")</f>
        <v>12851</v>
      </c>
      <c r="G14" s="38">
        <f>F14/$F$4</f>
        <v>0.40452656761521028</v>
      </c>
      <c r="H14" s="50">
        <f>(H15*J15)+(H16*J16)</f>
        <v>3.449975274901385</v>
      </c>
      <c r="I14" s="11">
        <f>SUMIFS('Extraction Offre de services'!I:I,'Extraction Offre de services'!D:D,"occitanie", 'Extraction Offre de services'!E:E,"Offre de services", 'Extraction Offre de services'!B:B,"2016")</f>
        <v>25870</v>
      </c>
      <c r="J14" s="48">
        <f>I14/$I$4</f>
        <v>0.43252913343699317</v>
      </c>
      <c r="K14" s="50">
        <f>(K15*M15)+(K16*M16)</f>
        <v>4.1382875143184439</v>
      </c>
      <c r="L14" s="11">
        <f>SUMIFS('Extraction Offre de services'!I:I,'Extraction Offre de services'!D:D,"occitanie", 'Extraction Offre de services'!E:E,"Offre de services", 'Extraction Offre de services'!B:B,"2015")</f>
        <v>8730</v>
      </c>
      <c r="M14" s="38">
        <f>L14/$L$4</f>
        <v>0.29277617546448453</v>
      </c>
      <c r="N14" s="50">
        <f>(N15*P15)+(N16*P16)</f>
        <v>4.46221613155834</v>
      </c>
      <c r="O14" s="11">
        <f>SUMIFS('Extraction Offre de services'!I:I,'Extraction Offre de services'!D:D,"occitanie", 'Extraction Offre de services'!E:E,"Offre de services", 'Extraction Offre de services'!B:B,"2014")</f>
        <v>1277</v>
      </c>
      <c r="P14" s="48">
        <f>O14/$O$4</f>
        <v>0.11524230665102428</v>
      </c>
      <c r="Q14" s="50">
        <f>(Q15*S15)+(Q16*S16)</f>
        <v>4.4116419294990719</v>
      </c>
      <c r="R14" s="11">
        <f>SUMIFS('Extraction Offre de services'!I:I,'Extraction Offre de services'!D:D,"occitanie", 'Extraction Offre de services'!E:E,"Offre de services", 'Extraction Offre de services'!B:B,"2013")</f>
        <v>1078</v>
      </c>
      <c r="S14" s="49">
        <f>R14/$R$4</f>
        <v>0.20455407969639469</v>
      </c>
    </row>
    <row r="15" spans="2:19" x14ac:dyDescent="0.25">
      <c r="B15" s="15" t="s">
        <v>9</v>
      </c>
      <c r="C15" s="2" t="s">
        <v>10</v>
      </c>
      <c r="D15" s="2"/>
      <c r="E15" s="29">
        <f>SUMIFS('Extraction Offre de services'!G:G,'Extraction Offre de services'!D:D,"occitanie", 'Extraction Offre de services'!F:F,"hebergement", 'Extraction Offre de services'!B:B,"2017")</f>
        <v>3.9721660012997684</v>
      </c>
      <c r="F15" s="23">
        <f>SUMIFS('Extraction Offre de services'!I:I,'Extraction Offre de services'!D:D,"occitanie", 'Extraction Offre de services'!F:F,"hebergement", 'Extraction Offre de services'!B:B,"2017")</f>
        <v>10771</v>
      </c>
      <c r="G15" s="39">
        <f>F15/$F$14</f>
        <v>0.83814489144813631</v>
      </c>
      <c r="H15" s="30">
        <f>SUMIFS('Extraction Offre de services'!G:G,'Extraction Offre de services'!D:D,"occitanie", 'Extraction Offre de services'!F:F,"hebergement", 'Extraction Offre de services'!B:B,"2016")</f>
        <v>3.9320727971100471</v>
      </c>
      <c r="I15" s="23">
        <f>SUMIFS('Extraction Offre de services'!I:I,'Extraction Offre de services'!D:D,"occitanie", 'Extraction Offre de services'!F:F,"hebergement", 'Extraction Offre de services'!B:B,"2016")</f>
        <v>21869</v>
      </c>
      <c r="J15" s="45">
        <f>I15/$I$14</f>
        <v>0.8453420950908388</v>
      </c>
      <c r="K15" s="29">
        <f>SUMIFS('Extraction Offre de services'!G:G,'Extraction Offre de services'!D:D,"occitanie", 'Extraction Offre de services'!F:F,"hebergement", 'Extraction Offre de services'!B:B,"2015")</f>
        <v>4.0416152422091978</v>
      </c>
      <c r="L15" s="23">
        <f>SUMIFS('Extraction Offre de services'!I:I,'Extraction Offre de services'!D:D,"occitanie", 'Extraction Offre de services'!F:F,"hebergement", 'Extraction Offre de services'!B:B,"2015")</f>
        <v>6482</v>
      </c>
      <c r="M15" s="45">
        <f>L15/$L$14</f>
        <v>0.74249713631156933</v>
      </c>
      <c r="N15" s="30">
        <f>SUMIFS('Extraction Offre de services'!G:G,'Extraction Offre de services'!D:D,"occitanie", 'Extraction Offre de services'!F:F,"hebergement", 'Extraction Offre de services'!B:B,"2014")</f>
        <v>0</v>
      </c>
      <c r="O15" s="23">
        <f>SUMIFS('Extraction Offre de services'!I:I,'Extraction Offre de services'!D:D,"occitanie", 'Extraction Offre de services'!F:F,"hebergement", 'Extraction Offre de services'!B:B,"2014")</f>
        <v>0</v>
      </c>
      <c r="P15" s="45">
        <f>O15/$O$14</f>
        <v>0</v>
      </c>
      <c r="Q15" s="29">
        <f>SUMIFS('Extraction Offre de services'!G:G,'Extraction Offre de services'!D:D,"occitanie", 'Extraction Offre de services'!F:F,"hebergement", 'Extraction Offre de services'!B:B,"2013")</f>
        <v>0</v>
      </c>
      <c r="R15" s="23">
        <f>SUMIFS('Extraction Offre de services'!I:I,'Extraction Offre de services'!D:D,"occitanie", 'Extraction Offre de services'!F:F,"hebergement", 'Extraction Offre de services'!B:B,"2013")</f>
        <v>0</v>
      </c>
      <c r="S15" s="42">
        <f>R15/$R$14</f>
        <v>0</v>
      </c>
    </row>
    <row r="16" spans="2:19" x14ac:dyDescent="0.25">
      <c r="B16" s="15" t="s">
        <v>9</v>
      </c>
      <c r="C16" s="2" t="s">
        <v>48</v>
      </c>
      <c r="D16" s="2"/>
      <c r="E16" s="29">
        <f>SUMIFS('Extraction Offre de services'!G:G,'Extraction Offre de services'!D:D,"occitanie", 'Extraction Offre de services'!F:F,"restauration", 'Extraction Offre de services'!B:B,"2017")</f>
        <v>4.454927884615385</v>
      </c>
      <c r="F16" s="23">
        <f>SUMIFS('Extraction Offre de services'!I:I,'Extraction Offre de services'!D:D,"occitanie", 'Extraction Offre de services'!F:F,"restauration", 'Extraction Offre de services'!B:B,"2017")</f>
        <v>2080</v>
      </c>
      <c r="G16" s="39">
        <f>F16/$F$14</f>
        <v>0.16185510855186366</v>
      </c>
      <c r="H16" s="30">
        <f>SUMIFS('Extraction Offre de services'!G:G,'Extraction Offre de services'!D:D,"occitanie", 'Extraction Offre de services'!F:F,"restauration", 'Extraction Offre de services'!B:B,"2016")</f>
        <v>0.81488636883259402</v>
      </c>
      <c r="I16" s="23">
        <f>SUMIFS('Extraction Offre de services'!I:I,'Extraction Offre de services'!D:D,"occitanie", 'Extraction Offre de services'!F:F,"restauration", 'Extraction Offre de services'!B:B,"2016")</f>
        <v>4001</v>
      </c>
      <c r="J16" s="45">
        <f>I16/$I$14</f>
        <v>0.1546579049091612</v>
      </c>
      <c r="K16" s="29">
        <f>SUMIFS('Extraction Offre de services'!G:G,'Extraction Offre de services'!D:D,"occitanie", 'Extraction Offre de services'!F:F,"restauration", 'Extraction Offre de services'!B:B,"2015")</f>
        <v>4.4170373665480431</v>
      </c>
      <c r="L16" s="23">
        <f>SUMIFS('Extraction Offre de services'!I:I,'Extraction Offre de services'!D:D,"occitanie", 'Extraction Offre de services'!F:F,"restauration", 'Extraction Offre de services'!B:B,"2015")</f>
        <v>2248</v>
      </c>
      <c r="M16" s="45">
        <f>L16/$L$14</f>
        <v>0.25750286368843067</v>
      </c>
      <c r="N16" s="30">
        <f>SUMIFS('Extraction Offre de services'!G:G,'Extraction Offre de services'!D:D,"occitanie", 'Extraction Offre de services'!F:F,"restauration", 'Extraction Offre de services'!B:B,"2014")</f>
        <v>4.46221613155834</v>
      </c>
      <c r="O16" s="23">
        <f>SUMIFS('Extraction Offre de services'!I:I,'Extraction Offre de services'!D:D,"occitanie", 'Extraction Offre de services'!F:F,"restauration", 'Extraction Offre de services'!B:B,"2014")</f>
        <v>1277</v>
      </c>
      <c r="P16" s="45">
        <f>O16/$O$14</f>
        <v>1</v>
      </c>
      <c r="Q16" s="29">
        <f>SUMIFS('Extraction Offre de services'!G:G,'Extraction Offre de services'!D:D,"occitanie", 'Extraction Offre de services'!F:F,"restauration", 'Extraction Offre de services'!B:B,"2013")</f>
        <v>4.4116419294990719</v>
      </c>
      <c r="R16" s="23">
        <f>SUMIFS('Extraction Offre de services'!I:I,'Extraction Offre de services'!D:D,"occitanie", 'Extraction Offre de services'!F:F,"restauration", 'Extraction Offre de services'!B:B,"2013")</f>
        <v>1078</v>
      </c>
      <c r="S16" s="42">
        <f>R16/$R$14</f>
        <v>1</v>
      </c>
    </row>
    <row r="17" spans="2:19" s="65" customFormat="1" x14ac:dyDescent="0.25">
      <c r="B17" s="68" t="s">
        <v>9</v>
      </c>
      <c r="C17" s="68" t="s">
        <v>48</v>
      </c>
      <c r="D17" s="68" t="s">
        <v>125</v>
      </c>
      <c r="E17" s="70">
        <f>SUMIFS('Extraction Offre de services'!L:L,'Extraction Offre de services'!D:D,"occitanie", 'Extraction Offre de services'!F:F,"restauration", 'Extraction Offre de services'!B:B,"2017")</f>
        <v>4.4745192307692303</v>
      </c>
      <c r="F17" s="71"/>
      <c r="G17" s="72"/>
      <c r="H17" s="70">
        <f>SUMIFS('Extraction Offre de services'!L:L,'Extraction Offre de services'!D:D,"occitanie", 'Extraction Offre de services'!F:F,"restauration", 'Extraction Offre de services'!B:B,"2016")</f>
        <v>0.81768713704330342</v>
      </c>
      <c r="I17" s="71"/>
      <c r="J17" s="72"/>
      <c r="K17" s="70">
        <f>SUMIFS('Extraction Offre de services'!L:L,'Extraction Offre de services'!D:D,"occitanie", 'Extraction Offre de services'!F:F,"restauration", 'Extraction Offre de services'!B:B,"2015")</f>
        <v>4.4261565836298935</v>
      </c>
      <c r="L17" s="68"/>
      <c r="M17" s="72"/>
      <c r="N17" s="70">
        <f>SUMIFS('Extraction Offre de services'!L:L,'Extraction Offre de services'!D:D,"occitanie", 'Extraction Offre de services'!F:F,"restauration", 'Extraction Offre de services'!B:B,"2014")</f>
        <v>4.4706342991386068</v>
      </c>
      <c r="O17" s="68"/>
      <c r="P17" s="68"/>
      <c r="Q17" s="73">
        <f>SUMIFS('Extraction Offre de services'!L:L,'Extraction Offre de services'!D:D,"occitanie", 'Extraction Offre de services'!F:F,"restauration", 'Extraction Offre de services'!B:B,"2013")</f>
        <v>4.4276437847866417</v>
      </c>
      <c r="R17" s="68"/>
      <c r="S17" s="68"/>
    </row>
    <row r="18" spans="2:19" s="65" customFormat="1" x14ac:dyDescent="0.25">
      <c r="B18" s="68" t="s">
        <v>9</v>
      </c>
      <c r="C18" s="68" t="s">
        <v>48</v>
      </c>
      <c r="D18" s="68" t="s">
        <v>127</v>
      </c>
      <c r="E18" s="70">
        <f>SUMIFS('Extraction Offre de services'!N:N,'Extraction Offre de services'!D:D,"occitanie", 'Extraction Offre de services'!F:F,"restauration", 'Extraction Offre de services'!B:B,"2017")</f>
        <v>4.559615384615384</v>
      </c>
      <c r="F18" s="68"/>
      <c r="G18" s="72"/>
      <c r="H18" s="70">
        <f>SUMIFS('Extraction Offre de services'!N:N,'Extraction Offre de services'!D:D,"occitanie", 'Extraction Offre de services'!F:F,"restauration", 'Extraction Offre de services'!B:B,"2016")</f>
        <v>0.83044492203575837</v>
      </c>
      <c r="I18" s="68"/>
      <c r="J18" s="72"/>
      <c r="K18" s="70">
        <f>SUMIFS('Extraction Offre de services'!N:N,'Extraction Offre de services'!D:D,"occitanie", 'Extraction Offre de services'!F:F,"restauration", 'Extraction Offre de services'!B:B,"2015")</f>
        <v>4.5160142348754455</v>
      </c>
      <c r="L18" s="68"/>
      <c r="M18" s="72"/>
      <c r="N18" s="70">
        <f>SUMIFS('Extraction Offre de services'!N:N,'Extraction Offre de services'!D:D,"occitanie", 'Extraction Offre de services'!F:F,"restauration", 'Extraction Offre de services'!B:B,"2014")</f>
        <v>4.5708692247454978</v>
      </c>
      <c r="O18" s="68"/>
      <c r="P18" s="72"/>
      <c r="Q18" s="70">
        <f>SUMIFS('Extraction Offre de services'!N:N,'Extraction Offre de services'!D:D,"occitanie", 'Extraction Offre de services'!F:F,"restauration", 'Extraction Offre de services'!B:B,"2013")</f>
        <v>4.5009276437847872</v>
      </c>
      <c r="R18" s="68"/>
      <c r="S18" s="68"/>
    </row>
    <row r="19" spans="2:19" s="65" customFormat="1" x14ac:dyDescent="0.25">
      <c r="B19" s="68" t="s">
        <v>9</v>
      </c>
      <c r="C19" s="68" t="s">
        <v>48</v>
      </c>
      <c r="D19" s="68" t="s">
        <v>126</v>
      </c>
      <c r="E19" s="70">
        <f>SUMIFS('Extraction Offre de services'!P:P,'Extraction Offre de services'!D:D,"occitanie", 'Extraction Offre de services'!F:F,"restauration", 'Extraction Offre de services'!B:B,"2017")</f>
        <v>4.311057692307692</v>
      </c>
      <c r="F19" s="68"/>
      <c r="G19" s="72"/>
      <c r="H19" s="70">
        <f>SUMIFS('Extraction Offre de services'!P:P,'Extraction Offre de services'!D:D,"occitanie", 'Extraction Offre de services'!F:F,"restauration", 'Extraction Offre de services'!B:B,"2016")</f>
        <v>0.79372627920801131</v>
      </c>
      <c r="I19" s="68"/>
      <c r="J19" s="72"/>
      <c r="K19" s="70">
        <f>SUMIFS('Extraction Offre de services'!P:P,'Extraction Offre de services'!D:D,"occitanie", 'Extraction Offre de services'!F:F,"restauration", 'Extraction Offre de services'!B:B,"2015")</f>
        <v>4.29982206405694</v>
      </c>
      <c r="L19" s="68"/>
      <c r="M19" s="72"/>
      <c r="N19" s="70">
        <f>SUMIFS('Extraction Offre de services'!P:P,'Extraction Offre de services'!D:D,"occitanie", 'Extraction Offre de services'!F:F,"restauration", 'Extraction Offre de services'!B:B,"2014")</f>
        <v>4.3367267032106493</v>
      </c>
      <c r="O19" s="68"/>
      <c r="P19" s="72"/>
      <c r="Q19" s="70">
        <f>SUMIFS('Extraction Offre de services'!P:P,'Extraction Offre de services'!D:D,"occitanie", 'Extraction Offre de services'!F:F,"restauration", 'Extraction Offre de services'!B:B,"2013")</f>
        <v>4.2903525046382196</v>
      </c>
      <c r="R19" s="68"/>
      <c r="S19" s="68"/>
    </row>
  </sheetData>
  <mergeCells count="8">
    <mergeCell ref="Q2:S2"/>
    <mergeCell ref="B2:B3"/>
    <mergeCell ref="C2:C3"/>
    <mergeCell ref="E2:G2"/>
    <mergeCell ref="H2:J2"/>
    <mergeCell ref="K2:M2"/>
    <mergeCell ref="N2:P2"/>
    <mergeCell ref="D2:D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topLeftCell="D1" workbookViewId="0">
      <selection activeCell="K21" sqref="K21"/>
    </sheetView>
  </sheetViews>
  <sheetFormatPr baseColWidth="10" defaultRowHeight="15" x14ac:dyDescent="0.25"/>
  <cols>
    <col min="1" max="1" width="1.5703125" customWidth="1"/>
    <col min="2" max="2" width="15.7109375" bestFit="1" customWidth="1"/>
    <col min="3" max="3" width="22.140625" bestFit="1" customWidth="1"/>
    <col min="4" max="4" width="22.140625" customWidth="1"/>
    <col min="5" max="5" width="15" customWidth="1"/>
    <col min="6" max="7" width="8.7109375" customWidth="1"/>
    <col min="9" max="10" width="8.7109375" customWidth="1"/>
    <col min="12" max="13" width="8.7109375" customWidth="1"/>
    <col min="15" max="16" width="8.7109375" customWidth="1"/>
    <col min="18" max="19" width="8.7109375" customWidth="1"/>
  </cols>
  <sheetData>
    <row r="2" spans="2:19" x14ac:dyDescent="0.25">
      <c r="B2" s="62" t="s">
        <v>86</v>
      </c>
      <c r="C2" s="62" t="s">
        <v>87</v>
      </c>
      <c r="D2" s="62" t="s">
        <v>128</v>
      </c>
      <c r="E2" s="60">
        <v>2017</v>
      </c>
      <c r="F2" s="60"/>
      <c r="G2" s="61"/>
      <c r="H2" s="59">
        <v>2016</v>
      </c>
      <c r="I2" s="63"/>
      <c r="J2" s="61"/>
      <c r="K2" s="59">
        <v>2015</v>
      </c>
      <c r="L2" s="63"/>
      <c r="M2" s="61"/>
      <c r="N2" s="59">
        <v>2014</v>
      </c>
      <c r="O2" s="60"/>
      <c r="P2" s="61"/>
      <c r="Q2" s="59">
        <v>2013</v>
      </c>
      <c r="R2" s="60"/>
      <c r="S2" s="60"/>
    </row>
    <row r="3" spans="2:19" ht="30" x14ac:dyDescent="0.25">
      <c r="B3" s="62"/>
      <c r="C3" s="62"/>
      <c r="D3" s="62"/>
      <c r="E3" s="54" t="s">
        <v>95</v>
      </c>
      <c r="F3" s="54" t="s">
        <v>119</v>
      </c>
      <c r="G3" s="55" t="s">
        <v>120</v>
      </c>
      <c r="H3" s="54" t="s">
        <v>95</v>
      </c>
      <c r="I3" s="54" t="s">
        <v>119</v>
      </c>
      <c r="J3" s="55" t="s">
        <v>120</v>
      </c>
      <c r="K3" s="54" t="s">
        <v>95</v>
      </c>
      <c r="L3" s="54" t="s">
        <v>119</v>
      </c>
      <c r="M3" s="55" t="s">
        <v>120</v>
      </c>
      <c r="N3" s="54" t="s">
        <v>95</v>
      </c>
      <c r="O3" s="54" t="s">
        <v>119</v>
      </c>
      <c r="P3" s="55" t="s">
        <v>120</v>
      </c>
      <c r="Q3" s="54" t="s">
        <v>95</v>
      </c>
      <c r="R3" s="54" t="s">
        <v>119</v>
      </c>
      <c r="S3" s="54" t="s">
        <v>120</v>
      </c>
    </row>
    <row r="4" spans="2:19" x14ac:dyDescent="0.25">
      <c r="B4" s="16" t="s">
        <v>88</v>
      </c>
      <c r="C4" s="8" t="s">
        <v>101</v>
      </c>
      <c r="D4" s="8"/>
      <c r="E4" s="51">
        <f>AVERAGE(E5,E10,E14)</f>
        <v>4.2973521412727846</v>
      </c>
      <c r="F4" s="46">
        <f>Pondération!F145</f>
        <v>13967</v>
      </c>
      <c r="G4" s="47"/>
      <c r="H4" s="51">
        <f>AVERAGE(H5,H10,H14)</f>
        <v>4.269646386956734</v>
      </c>
      <c r="I4" s="10">
        <f>Pondération!G145</f>
        <v>26397</v>
      </c>
      <c r="J4" s="40"/>
      <c r="K4" s="51">
        <f>AVERAGE(K5,K10,K14)</f>
        <v>4.3066285281337002</v>
      </c>
      <c r="L4" s="46">
        <f>Pondération!H145</f>
        <v>13130</v>
      </c>
      <c r="M4" s="37"/>
      <c r="N4" s="51">
        <f>AVERAGE(N5,N10,N14)</f>
        <v>4.3975257670939465</v>
      </c>
      <c r="O4" s="10">
        <f>Pondération!I145</f>
        <v>4894</v>
      </c>
      <c r="P4" s="40"/>
      <c r="Q4" s="51">
        <f>AVERAGE(Q5,Q10,Q14)</f>
        <v>4.3955533510683447</v>
      </c>
      <c r="R4" s="10">
        <f>Pondération!J145</f>
        <v>2581</v>
      </c>
      <c r="S4" s="28"/>
    </row>
    <row r="5" spans="2:19" x14ac:dyDescent="0.25">
      <c r="B5" s="17" t="s">
        <v>78</v>
      </c>
      <c r="C5" s="4" t="s">
        <v>101</v>
      </c>
      <c r="D5" s="4"/>
      <c r="E5" s="50">
        <f>(E6*G6)+(E7*G7)+(E8*G8)+(E9*G9)</f>
        <v>4.4357163871726977</v>
      </c>
      <c r="F5" s="34">
        <f>SUMIFS('Extraction Offre de loisirs'!I:I,'Extraction Offre de loisirs'!D:D,"pays de la loire", 'Extraction Offre de loisirs'!E:E,"offre de loisirs", 'Extraction Offre de loisirs'!B:B,"2017")</f>
        <v>3399</v>
      </c>
      <c r="G5" s="38">
        <f>F5/$F$4</f>
        <v>0.2433593470322904</v>
      </c>
      <c r="H5" s="50">
        <f>(H6*J6)+(H7*J7)+(H8*J8)+(H9*J9)</f>
        <v>4.3706140350877192</v>
      </c>
      <c r="I5" s="34">
        <f>SUMIFS('Extraction Offre de loisirs'!I:I,'Extraction Offre de loisirs'!D:D,"pays de la loire", 'Extraction Offre de loisirs'!E:E,"offre de loisirs", 'Extraction Offre de loisirs'!B:B,"2016")</f>
        <v>8208</v>
      </c>
      <c r="J5" s="38">
        <f>I5/$I$4</f>
        <v>0.31094442550289808</v>
      </c>
      <c r="K5" s="50">
        <f>(K6*M6)+(K7*M7)+(K8*M8)+(K9*M9)</f>
        <v>4.3513686911890499</v>
      </c>
      <c r="L5" s="34">
        <f>SUMIFS('Extraction Offre de loisirs'!I:I,'Extraction Offre de loisirs'!D:D,"pays de la loire", 'Extraction Offre de loisirs'!E:E,"offre de loisirs", 'Extraction Offre de loisirs'!B:B,"2015")</f>
        <v>4676</v>
      </c>
      <c r="M5" s="38">
        <f>L5/$L$4</f>
        <v>0.35613099771515611</v>
      </c>
      <c r="N5" s="50">
        <f>(N6*P6)+(N7*P7)+(N8*P8)+(N9*P9)</f>
        <v>4.3695529145444247</v>
      </c>
      <c r="O5" s="11">
        <f>SUMIFS('Extraction Offre de loisirs'!I:I,'Extraction Offre de loisirs'!D:D,"pays de la loire", 'Extraction Offre de loisirs'!E:E,"offre de loisirs", 'Extraction Offre de loisirs'!B:B,"2014")</f>
        <v>1767</v>
      </c>
      <c r="P5" s="38">
        <f>O5/$O$4</f>
        <v>0.36105435226808336</v>
      </c>
      <c r="Q5" s="50">
        <f>(Q6*S6)+(Q7*S7)+(Q8*S8)+(Q9*S9)</f>
        <v>4.3721079691516707</v>
      </c>
      <c r="R5" s="11">
        <f>SUMIFS('Extraction Offre de loisirs'!I:I,'Extraction Offre de loisirs'!D:D,"pays de la loire", 'Extraction Offre de loisirs'!E:E,"offre de loisirs", 'Extraction Offre de loisirs'!B:B,"2013")</f>
        <v>778</v>
      </c>
      <c r="S5" s="35">
        <f>R5/$R$4</f>
        <v>0.30143355288647811</v>
      </c>
    </row>
    <row r="6" spans="2:19" x14ac:dyDescent="0.25">
      <c r="B6" s="15" t="s">
        <v>78</v>
      </c>
      <c r="C6" s="2" t="s">
        <v>79</v>
      </c>
      <c r="D6" s="2"/>
      <c r="E6" s="29">
        <f>SUMIFS('Extraction Offre de loisirs'!G:G,'Extraction Offre de loisirs'!D:D,"pays de la loire", 'Extraction Offre de loisirs'!F:F,"activites de plein air", 'Extraction Offre de loisirs'!B:B,"2017")</f>
        <v>4.3916857360793289</v>
      </c>
      <c r="F6" s="33">
        <f>SUMIFS('Extraction Offre de loisirs'!I:I,'Extraction Offre de loisirs'!D:D,"pays de la loire", 'Extraction Offre de loisirs'!F:F,"activites de plein air", 'Extraction Offre de loisirs'!B:B,"2017")</f>
        <v>1311</v>
      </c>
      <c r="G6" s="39">
        <f>F6/$F$5</f>
        <v>0.38570167696381291</v>
      </c>
      <c r="H6" s="30">
        <f>SUMIFS('Extraction Offre de loisirs'!G:G,'Extraction Offre de loisirs'!D:D,"pays de la loire", 'Extraction Offre de loisirs'!F:F,"activites de plein air", 'Extraction Offre de loisirs'!B:B,"2016")</f>
        <v>4.3855566218809976</v>
      </c>
      <c r="I6" s="33">
        <f>SUMIFS('Extraction Offre de loisirs'!I:I,'Extraction Offre de loisirs'!D:D,"pays de la loire", 'Extraction Offre de loisirs'!F:F,"activites de plein air", 'Extraction Offre de loisirs'!B:B,"2016")</f>
        <v>4168</v>
      </c>
      <c r="J6" s="39">
        <f>I6/$I$5</f>
        <v>0.50779727095516569</v>
      </c>
      <c r="K6" s="29">
        <f>SUMIFS('Extraction Offre de loisirs'!G:G,'Extraction Offre de loisirs'!D:D,"pays de la loire", 'Extraction Offre de loisirs'!F:F,"activites de plein air", 'Extraction Offre de loisirs'!B:B,"2015")</f>
        <v>4.3694423511680478</v>
      </c>
      <c r="L6" s="33">
        <f>SUMIFS('Extraction Offre de loisirs'!I:I,'Extraction Offre de loisirs'!D:D,"pays de la loire", 'Extraction Offre de loisirs'!F:F,"activites de plein air", 'Extraction Offre de loisirs'!B:B,"2015")</f>
        <v>2654</v>
      </c>
      <c r="M6" s="39">
        <f>L6/$L$5</f>
        <v>0.56757912745936701</v>
      </c>
      <c r="N6" s="30">
        <f>SUMIFS('Extraction Offre de loisirs'!G:G,'Extraction Offre de loisirs'!D:D,"pays de la loire", 'Extraction Offre de loisirs'!F:F,"activites de plein air", 'Extraction Offre de loisirs'!B:B,"2014")</f>
        <v>4.3893653516295021</v>
      </c>
      <c r="O6" s="33">
        <f>SUMIFS('Extraction Offre de loisirs'!I:I,'Extraction Offre de loisirs'!D:D,"pays de la loire", 'Extraction Offre de loisirs'!F:F,"activites de plein air", 'Extraction Offre de loisirs'!B:B,"2014")</f>
        <v>1166</v>
      </c>
      <c r="P6" s="39">
        <f>O6/$O$5</f>
        <v>0.65987549518958688</v>
      </c>
      <c r="Q6" s="29">
        <f>SUMIFS('Extraction Offre de loisirs'!G:G,'Extraction Offre de loisirs'!D:D,"pays de la loire", 'Extraction Offre de loisirs'!F:F,"activites de plein air", 'Extraction Offre de loisirs'!B:B,"2013")</f>
        <v>4.4190573770491799</v>
      </c>
      <c r="R6" s="33">
        <f>SUMIFS('Extraction Offre de loisirs'!I:I,'Extraction Offre de loisirs'!D:D,"pays de la loire", 'Extraction Offre de loisirs'!F:F,"activites de plein air", 'Extraction Offre de loisirs'!B:B,"2013")</f>
        <v>488</v>
      </c>
      <c r="S6" s="31">
        <f>R6/$R$5</f>
        <v>0.62724935732647813</v>
      </c>
    </row>
    <row r="7" spans="2:19" x14ac:dyDescent="0.25">
      <c r="B7" s="15" t="s">
        <v>78</v>
      </c>
      <c r="C7" s="2" t="s">
        <v>81</v>
      </c>
      <c r="D7" s="2"/>
      <c r="E7" s="29">
        <f>SUMIFS('Extraction Offre de loisirs'!G:G,'Extraction Offre de loisirs'!D:D,"pays de la loire", 'Extraction Offre de loisirs'!F:F,"jeux et divertissements", 'Extraction Offre de loisirs'!B:B,"2017")</f>
        <v>4.4971451876019577</v>
      </c>
      <c r="F7" s="33">
        <f>SUMIFS('Extraction Offre de loisirs'!I:I,'Extraction Offre de loisirs'!D:D,"pays de la loire", 'Extraction Offre de loisirs'!F:F,"jeux et divertissements", 'Extraction Offre de loisirs'!B:B,"2017")</f>
        <v>1226</v>
      </c>
      <c r="G7" s="39">
        <f>F7/$F$5</f>
        <v>0.36069432185937039</v>
      </c>
      <c r="H7" s="30">
        <f>SUMIFS('Extraction Offre de loisirs'!G:G,'Extraction Offre de loisirs'!D:D,"pays de la loire", 'Extraction Offre de loisirs'!F:F,"jeux et divertissements", 'Extraction Offre de loisirs'!B:B,"2016")</f>
        <v>4.2907274590163933</v>
      </c>
      <c r="I7" s="33">
        <f>SUMIFS('Extraction Offre de loisirs'!I:I,'Extraction Offre de loisirs'!D:D,"pays de la loire", 'Extraction Offre de loisirs'!F:F,"jeux et divertissements", 'Extraction Offre de loisirs'!B:B,"2016")</f>
        <v>1952</v>
      </c>
      <c r="J7" s="39">
        <f>I7/$I$5</f>
        <v>0.23781676413255359</v>
      </c>
      <c r="K7" s="29">
        <f>SUMIFS('Extraction Offre de loisirs'!G:G,'Extraction Offre de loisirs'!D:D,"pays de la loire", 'Extraction Offre de loisirs'!F:F,"jeux et divertissements", 'Extraction Offre de loisirs'!B:B,"2015")</f>
        <v>4.2348993288590604</v>
      </c>
      <c r="L7" s="33">
        <f>SUMIFS('Extraction Offre de loisirs'!I:I,'Extraction Offre de loisirs'!D:D,"pays de la loire", 'Extraction Offre de loisirs'!F:F,"jeux et divertissements", 'Extraction Offre de loisirs'!B:B,"2015")</f>
        <v>894</v>
      </c>
      <c r="M7" s="39">
        <f>L7/$L$5</f>
        <v>0.19118905047048759</v>
      </c>
      <c r="N7" s="30">
        <f>SUMIFS('Extraction Offre de loisirs'!G:G,'Extraction Offre de loisirs'!D:D,"pays de la loire", 'Extraction Offre de loisirs'!F:F,"jeux et divertissements", 'Extraction Offre de loisirs'!B:B,"2014")</f>
        <v>4.2084942084942085</v>
      </c>
      <c r="O7" s="33">
        <f>SUMIFS('Extraction Offre de loisirs'!I:I,'Extraction Offre de loisirs'!D:D,"pays de la loire", 'Extraction Offre de loisirs'!F:F,"jeux et divertissements", 'Extraction Offre de loisirs'!B:B,"2014")</f>
        <v>259</v>
      </c>
      <c r="P7" s="39">
        <f>O7/$O$5</f>
        <v>0.14657611771363893</v>
      </c>
      <c r="Q7" s="29">
        <f>SUMIFS('Extraction Offre de loisirs'!G:G,'Extraction Offre de loisirs'!D:D,"pays de la loire", 'Extraction Offre de loisirs'!F:F,"jeux et divertissements", 'Extraction Offre de loisirs'!B:B,"2013")</f>
        <v>3.9800000000000004</v>
      </c>
      <c r="R7" s="33">
        <f>SUMIFS('Extraction Offre de loisirs'!I:I,'Extraction Offre de loisirs'!D:D,"pays de la loire", 'Extraction Offre de loisirs'!F:F,"jeux et divertissements", 'Extraction Offre de loisirs'!B:B,"2013")</f>
        <v>100</v>
      </c>
      <c r="S7" s="31">
        <f>R7/$R$5</f>
        <v>0.12853470437017994</v>
      </c>
    </row>
    <row r="8" spans="2:19" x14ac:dyDescent="0.25">
      <c r="B8" s="15" t="s">
        <v>78</v>
      </c>
      <c r="C8" s="2" t="s">
        <v>83</v>
      </c>
      <c r="D8" s="2"/>
      <c r="E8" s="29">
        <f>SUMIFS('Extraction Offre de loisirs'!G:G,'Extraction Offre de loisirs'!D:D,"pays de la loire", 'Extraction Offre de loisirs'!F:F,"shopping", 'Extraction Offre de loisirs'!B:B,"2017")</f>
        <v>4.4680170575692966</v>
      </c>
      <c r="F8" s="33">
        <f>SUMIFS('Extraction Offre de loisirs'!I:I,'Extraction Offre de loisirs'!D:D,"pays de la loire", 'Extraction Offre de loisirs'!F:F,"shopping", 'Extraction Offre de loisirs'!B:B,"2017")</f>
        <v>469</v>
      </c>
      <c r="G8" s="39">
        <f>F8/$F$5</f>
        <v>0.13798175934098264</v>
      </c>
      <c r="H8" s="30">
        <f>SUMIFS('Extraction Offre de loisirs'!G:G,'Extraction Offre de loisirs'!D:D,"pays de la loire", 'Extraction Offre de loisirs'!F:F,"shopping", 'Extraction Offre de loisirs'!B:B,"2016")</f>
        <v>4.4778911564625847</v>
      </c>
      <c r="I8" s="33">
        <f>SUMIFS('Extraction Offre de loisirs'!I:I,'Extraction Offre de loisirs'!D:D,"pays de la loire", 'Extraction Offre de loisirs'!F:F,"shopping", 'Extraction Offre de loisirs'!B:B,"2016")</f>
        <v>1176</v>
      </c>
      <c r="J8" s="39">
        <f>I8/$I$5</f>
        <v>0.14327485380116958</v>
      </c>
      <c r="K8" s="29">
        <f>SUMIFS('Extraction Offre de loisirs'!G:G,'Extraction Offre de loisirs'!D:D,"pays de la loire", 'Extraction Offre de loisirs'!F:F,"shopping", 'Extraction Offre de loisirs'!B:B,"2015")</f>
        <v>4.4245283018867925</v>
      </c>
      <c r="L8" s="33">
        <f>SUMIFS('Extraction Offre de loisirs'!I:I,'Extraction Offre de loisirs'!D:D,"pays de la loire", 'Extraction Offre de loisirs'!F:F,"shopping", 'Extraction Offre de loisirs'!B:B,"2015")</f>
        <v>636</v>
      </c>
      <c r="M8" s="39">
        <f>L8/$L$5</f>
        <v>0.1360136869118905</v>
      </c>
      <c r="N8" s="30">
        <f>SUMIFS('Extraction Offre de loisirs'!G:G,'Extraction Offre de loisirs'!D:D,"pays de la loire", 'Extraction Offre de loisirs'!F:F,"shopping", 'Extraction Offre de loisirs'!B:B,"2014")</f>
        <v>4.4023668639053257</v>
      </c>
      <c r="O8" s="33">
        <f>SUMIFS('Extraction Offre de loisirs'!I:I,'Extraction Offre de loisirs'!D:D,"pays de la loire", 'Extraction Offre de loisirs'!F:F,"shopping", 'Extraction Offre de loisirs'!B:B,"2014")</f>
        <v>169</v>
      </c>
      <c r="P8" s="39">
        <f>O8/$O$5</f>
        <v>9.5642331635540465E-2</v>
      </c>
      <c r="Q8" s="29">
        <f>SUMIFS('Extraction Offre de loisirs'!G:G,'Extraction Offre de loisirs'!D:D,"pays de la loire", 'Extraction Offre de loisirs'!F:F,"shopping", 'Extraction Offre de loisirs'!B:B,"2013")</f>
        <v>4.4271844660194182</v>
      </c>
      <c r="R8" s="33">
        <f>SUMIFS('Extraction Offre de loisirs'!I:I,'Extraction Offre de loisirs'!D:D,"pays de la loire", 'Extraction Offre de loisirs'!F:F,"shopping", 'Extraction Offre de loisirs'!B:B,"2013")</f>
        <v>103</v>
      </c>
      <c r="S8" s="31">
        <f>R8/$R$5</f>
        <v>0.13239074550128535</v>
      </c>
    </row>
    <row r="9" spans="2:19" x14ac:dyDescent="0.25">
      <c r="B9" s="15" t="s">
        <v>78</v>
      </c>
      <c r="C9" s="2" t="s">
        <v>84</v>
      </c>
      <c r="D9" s="2"/>
      <c r="E9" s="29">
        <f>SUMIFS('Extraction Offre de loisirs'!G:G,'Extraction Offre de loisirs'!D:D,"pays de la loire", 'Extraction Offre de loisirs'!F:F,"vie nocturne", 'Extraction Offre de loisirs'!B:B,"2017")</f>
        <v>4.3524173027989823</v>
      </c>
      <c r="F9" s="33">
        <f>SUMIFS('Extraction Offre de loisirs'!I:I,'Extraction Offre de loisirs'!D:D,"pays de la loire", 'Extraction Offre de loisirs'!F:F,"vie nocturne", 'Extraction Offre de loisirs'!B:B,"2017")</f>
        <v>393</v>
      </c>
      <c r="G9" s="39">
        <f>F9/$F$5</f>
        <v>0.11562224183583407</v>
      </c>
      <c r="H9" s="30">
        <f>SUMIFS('Extraction Offre de loisirs'!G:G,'Extraction Offre de loisirs'!D:D,"pays de la loire", 'Extraction Offre de loisirs'!F:F,"vie nocturne", 'Extraction Offre de loisirs'!B:B,"2016")</f>
        <v>4.3349780701754383</v>
      </c>
      <c r="I9" s="33">
        <f>SUMIFS('Extraction Offre de loisirs'!I:I,'Extraction Offre de loisirs'!D:D,"pays de la loire", 'Extraction Offre de loisirs'!F:F,"vie nocturne", 'Extraction Offre de loisirs'!B:B,"2016")</f>
        <v>912</v>
      </c>
      <c r="J9" s="39">
        <f>I9/$I$5</f>
        <v>0.1111111111111111</v>
      </c>
      <c r="K9" s="29">
        <f>SUMIFS('Extraction Offre de loisirs'!G:G,'Extraction Offre de loisirs'!D:D,"pays de la loire", 'Extraction Offre de loisirs'!F:F,"vie nocturne", 'Extraction Offre de loisirs'!B:B,"2015")</f>
        <v>4.3709349593495936</v>
      </c>
      <c r="L9" s="33">
        <f>SUMIFS('Extraction Offre de loisirs'!I:I,'Extraction Offre de loisirs'!D:D,"pays de la loire", 'Extraction Offre de loisirs'!F:F,"vie nocturne", 'Extraction Offre de loisirs'!B:B,"2015")</f>
        <v>492</v>
      </c>
      <c r="M9" s="39">
        <f>L9/$L$5</f>
        <v>0.10521813515825491</v>
      </c>
      <c r="N9" s="30">
        <f>SUMIFS('Extraction Offre de loisirs'!G:G,'Extraction Offre de loisirs'!D:D,"pays de la loire", 'Extraction Offre de loisirs'!F:F,"vie nocturne", 'Extraction Offre de loisirs'!B:B,"2014")</f>
        <v>4.4450867052023124</v>
      </c>
      <c r="O9" s="33">
        <f>SUMIFS('Extraction Offre de loisirs'!I:I,'Extraction Offre de loisirs'!D:D,"pays de la loire", 'Extraction Offre de loisirs'!F:F,"vie nocturne", 'Extraction Offre de loisirs'!B:B,"2014")</f>
        <v>173</v>
      </c>
      <c r="P9" s="39">
        <f>O9/$O$5</f>
        <v>9.7906055461233724E-2</v>
      </c>
      <c r="Q9" s="29">
        <f>SUMIFS('Extraction Offre de loisirs'!G:G,'Extraction Offre de loisirs'!D:D,"pays de la loire", 'Extraction Offre de loisirs'!F:F,"vie nocturne", 'Extraction Offre de loisirs'!B:B,"2013")</f>
        <v>4.4942528735632186</v>
      </c>
      <c r="R9" s="33">
        <f>SUMIFS('Extraction Offre de loisirs'!I:I,'Extraction Offre de loisirs'!D:D,"pays de la loire", 'Extraction Offre de loisirs'!F:F,"vie nocturne", 'Extraction Offre de loisirs'!B:B,"2013")</f>
        <v>87</v>
      </c>
      <c r="S9" s="31">
        <f>R9/$R$5</f>
        <v>0.11182519280205655</v>
      </c>
    </row>
    <row r="10" spans="2:19" x14ac:dyDescent="0.25">
      <c r="B10" s="17" t="s">
        <v>82</v>
      </c>
      <c r="C10" s="4" t="s">
        <v>101</v>
      </c>
      <c r="D10" s="4"/>
      <c r="E10" s="50">
        <f>(E11*G11)+(E12*G12)+(E13*G13)</f>
        <v>4.3841821168739727</v>
      </c>
      <c r="F10" s="34">
        <f>SUMIFS('Extraction Patrimoine'!I:I,'Extraction Patrimoine'!D:D,"pays de la loire", 'Extraction Patrimoine'!E:E,"patrimoine", 'Extraction Patrimoine'!B:B,"2017")</f>
        <v>4261</v>
      </c>
      <c r="G10" s="38">
        <f>F10/$F$4</f>
        <v>0.30507625116345671</v>
      </c>
      <c r="H10" s="50">
        <f>(H11*J11)+(H12*J12)+(H13*J13)</f>
        <v>4.3315127441244625</v>
      </c>
      <c r="I10" s="11">
        <f>SUMIFS('Extraction Patrimoine'!I:I,'Extraction Patrimoine'!D:D,"pays de la loire", 'Extraction Patrimoine'!E:E,"patrimoine", 'Extraction Patrimoine'!B:B,"2016")</f>
        <v>6042</v>
      </c>
      <c r="J10" s="48">
        <f>I10/$I$4</f>
        <v>0.2288896465507444</v>
      </c>
      <c r="K10" s="50">
        <f>(K11*M11)+(K12*M12)+(K13*M13)</f>
        <v>4.3287420770355922</v>
      </c>
      <c r="L10" s="34">
        <f>SUMIFS('Extraction Patrimoine'!I:I,'Extraction Patrimoine'!D:D,"pays de la loire", 'Extraction Patrimoine'!E:E,"patrimoine", 'Extraction Patrimoine'!B:B,"2015")</f>
        <v>4102</v>
      </c>
      <c r="M10" s="38">
        <f>L10/$L$4</f>
        <v>0.3124143183549124</v>
      </c>
      <c r="N10" s="50">
        <f>(N11*P11)+(N12*P12)+(N13*P13)</f>
        <v>4.3537130094919041</v>
      </c>
      <c r="O10" s="11">
        <f>SUMIFS('Extraction Patrimoine'!I:I,'Extraction Patrimoine'!D:D,"pays de la loire", 'Extraction Patrimoine'!E:E,"patrimoine", 'Extraction Patrimoine'!B:B,"2014")</f>
        <v>1791</v>
      </c>
      <c r="P10" s="48">
        <f>O10/$O$4</f>
        <v>0.36595831630568043</v>
      </c>
      <c r="Q10" s="50">
        <f>(Q11*S11)+(Q12*S12)+(Q13*S13)</f>
        <v>4.3807285546415979</v>
      </c>
      <c r="R10" s="11">
        <f>SUMIFS('Extraction Patrimoine'!I:I,'Extraction Patrimoine'!D:D,"pays de la loire", 'Extraction Patrimoine'!E:E,"patrimoine", 'Extraction Patrimoine'!B:B,"2013")</f>
        <v>851</v>
      </c>
      <c r="S10" s="49">
        <f>R10/$R$4</f>
        <v>0.32971716388996514</v>
      </c>
    </row>
    <row r="11" spans="2:19" x14ac:dyDescent="0.25">
      <c r="B11" s="15" t="s">
        <v>82</v>
      </c>
      <c r="C11" s="15" t="s">
        <v>98</v>
      </c>
      <c r="D11" s="15"/>
      <c r="E11" s="29">
        <f>SUMIFS('Extraction Patrimoine'!G:G,'Extraction Patrimoine'!D:D,"pays de la loire", 'Extraction Patrimoine'!F:F,"nature et parcs", 'Extraction Patrimoine'!B:B,"2017")</f>
        <v>4.3841821168739727</v>
      </c>
      <c r="F11" s="23">
        <f>SUMIFS('Extraction Patrimoine'!I:I,'Extraction Patrimoine'!D:D,"pays de la loire", 'Extraction Patrimoine'!F:F,"nature et parcs", 'Extraction Patrimoine'!B:B,"2017")</f>
        <v>4261</v>
      </c>
      <c r="G11" s="39">
        <f>F11/$F$10</f>
        <v>1</v>
      </c>
      <c r="H11" s="29">
        <f>SUMIFS('Extraction Patrimoine'!G:G,'Extraction Patrimoine'!D:D,"pays de la loire", 'Extraction Patrimoine'!F:F,"nature et parcs", 'Extraction Patrimoine'!B:B,"2016")</f>
        <v>4.3315127441244625</v>
      </c>
      <c r="I11" s="23">
        <f>SUMIFS('Extraction Patrimoine'!I:I,'Extraction Patrimoine'!D:D,"pays de la loire", 'Extraction Patrimoine'!F:F,"nature et parcs", 'Extraction Patrimoine'!B:B,"2016")</f>
        <v>6042</v>
      </c>
      <c r="J11" s="39">
        <f>I11/$I$10</f>
        <v>1</v>
      </c>
      <c r="K11" s="29">
        <f>SUMIFS('Extraction Patrimoine'!G:G,'Extraction Patrimoine'!D:D,"pays de la loire", 'Extraction Patrimoine'!F:F,"nature et parcs", 'Extraction Patrimoine'!B:B,"2015")</f>
        <v>4.3287420770355922</v>
      </c>
      <c r="L11" s="23">
        <f>SUMIFS('Extraction Patrimoine'!I:I,'Extraction Patrimoine'!D:D,"pays de la loire", 'Extraction Patrimoine'!F:F,"nature et parcs", 'Extraction Patrimoine'!B:B,"2015")</f>
        <v>4102</v>
      </c>
      <c r="M11" s="39">
        <f>L11/$L$10</f>
        <v>1</v>
      </c>
      <c r="N11" s="29">
        <f>SUMIFS('Extraction Patrimoine'!G:G,'Extraction Patrimoine'!D:D,"pays de la loire", 'Extraction Patrimoine'!F:F,"nature et parcs", 'Extraction Patrimoine'!B:B,"2014")</f>
        <v>4.3537130094919041</v>
      </c>
      <c r="O11" s="23">
        <f>SUMIFS('Extraction Patrimoine'!I:I,'Extraction Patrimoine'!D:D,"pays de la loire", 'Extraction Patrimoine'!F:F,"nature et parcs", 'Extraction Patrimoine'!B:B,"2014")</f>
        <v>1791</v>
      </c>
      <c r="P11" s="39">
        <f>O11/$O$10</f>
        <v>1</v>
      </c>
      <c r="Q11" s="29">
        <f>SUMIFS('Extraction Patrimoine'!G:G,'Extraction Patrimoine'!D:D,"pays de la loire", 'Extraction Patrimoine'!F:F,"nature et parcs", 'Extraction Patrimoine'!B:B,"2013")</f>
        <v>4.3807285546415979</v>
      </c>
      <c r="R11" s="23">
        <f>SUMIFS('Extraction Patrimoine'!I:I,'Extraction Patrimoine'!D:D,"pays de la loire", 'Extraction Patrimoine'!F:F,"nature et parcs", 'Extraction Patrimoine'!B:B,"2013")</f>
        <v>851</v>
      </c>
      <c r="S11" s="43">
        <f>R11/$R$10</f>
        <v>1</v>
      </c>
    </row>
    <row r="12" spans="2:19" x14ac:dyDescent="0.25">
      <c r="B12" s="15" t="s">
        <v>82</v>
      </c>
      <c r="C12" s="15" t="s">
        <v>99</v>
      </c>
      <c r="D12" s="15"/>
      <c r="E12" s="29">
        <f>SUMIFS('Extraction Patrimoine'!G:G,'Extraction Patrimoine'!D:D,"pays de la loire", 'Extraction Patrimoine'!F:F,"musées", 'Extraction Patrimoine'!B:B,"2017")</f>
        <v>0</v>
      </c>
      <c r="F12" s="23">
        <f>SUMIFS('Extraction Patrimoine'!I:I,'Extraction Patrimoine'!D:D,"pays de la loire", 'Extraction Patrimoine'!F:F,"musées", 'Extraction Patrimoine'!B:B,"2017")</f>
        <v>0</v>
      </c>
      <c r="G12" s="39">
        <f>F12/$F$10</f>
        <v>0</v>
      </c>
      <c r="H12" s="29">
        <f>SUMIFS('Extraction Patrimoine'!G:G,'Extraction Patrimoine'!D:D,"pays de la loire", 'Extraction Patrimoine'!F:F,"musées", 'Extraction Patrimoine'!B:B,"2016")</f>
        <v>0</v>
      </c>
      <c r="I12" s="23">
        <f>SUMIFS('Extraction Patrimoine'!I:I,'Extraction Patrimoine'!D:D,"pays de la loire", 'Extraction Patrimoine'!F:F,"musées", 'Extraction Patrimoine'!B:B,"2016")</f>
        <v>0</v>
      </c>
      <c r="J12" s="39">
        <f t="shared" ref="J12:J13" si="0">I12/$I$10</f>
        <v>0</v>
      </c>
      <c r="K12" s="29">
        <f>SUMIFS('Extraction Patrimoine'!G:G,'Extraction Patrimoine'!D:D,"pays de la loire", 'Extraction Patrimoine'!F:F,"musées", 'Extraction Patrimoine'!B:B,"2015")</f>
        <v>0</v>
      </c>
      <c r="L12" s="23">
        <f>SUMIFS('Extraction Patrimoine'!I:I,'Extraction Patrimoine'!D:D,"pays de la loire", 'Extraction Patrimoine'!F:F,"musées", 'Extraction Patrimoine'!B:B,"2015")</f>
        <v>0</v>
      </c>
      <c r="M12" s="39">
        <f t="shared" ref="M12:M13" si="1">L12/$L$10</f>
        <v>0</v>
      </c>
      <c r="N12" s="29">
        <f>SUMIFS('Extraction Patrimoine'!G:G,'Extraction Patrimoine'!D:D,"pays de la loire", 'Extraction Patrimoine'!F:F,"musées", 'Extraction Patrimoine'!B:B,"2014")</f>
        <v>0</v>
      </c>
      <c r="O12" s="23">
        <f>SUMIFS('Extraction Patrimoine'!I:I,'Extraction Patrimoine'!D:D,"pays de la loire", 'Extraction Patrimoine'!F:F,"musées", 'Extraction Patrimoine'!B:B,"2014")</f>
        <v>0</v>
      </c>
      <c r="P12" s="39">
        <f t="shared" ref="P12:P13" si="2">O12/$O$10</f>
        <v>0</v>
      </c>
      <c r="Q12" s="29">
        <f>SUMIFS('Extraction Patrimoine'!G:G,'Extraction Patrimoine'!D:D,"pays de la loire", 'Extraction Patrimoine'!F:F,"musées", 'Extraction Patrimoine'!B:B,"2013")</f>
        <v>0</v>
      </c>
      <c r="R12" s="23">
        <f>SUMIFS('Extraction Patrimoine'!I:I,'Extraction Patrimoine'!D:D,"pays de la loire", 'Extraction Patrimoine'!F:F,"musées", 'Extraction Patrimoine'!B:B,"2013")</f>
        <v>0</v>
      </c>
      <c r="S12" s="43">
        <f t="shared" ref="S12:S13" si="3">R12/$R$10</f>
        <v>0</v>
      </c>
    </row>
    <row r="13" spans="2:19" x14ac:dyDescent="0.25">
      <c r="B13" s="15" t="s">
        <v>82</v>
      </c>
      <c r="C13" s="15" t="s">
        <v>100</v>
      </c>
      <c r="D13" s="15"/>
      <c r="E13" s="29">
        <f>SUMIFS('Extraction Patrimoine'!G:G,'Extraction Patrimoine'!D:D,"pays de la loire", 'Extraction Patrimoine'!F:F,"sites et monuments", 'Extraction Patrimoine'!B:B,"2017")</f>
        <v>0</v>
      </c>
      <c r="F13" s="23">
        <f>SUMIFS('Extraction Patrimoine'!I:I,'Extraction Patrimoine'!D:D,"pays de la loire", 'Extraction Patrimoine'!F:F,"sites et monuments", 'Extraction Patrimoine'!B:B,"2017")</f>
        <v>0</v>
      </c>
      <c r="G13" s="39">
        <f>F13/$F$10</f>
        <v>0</v>
      </c>
      <c r="H13" s="29">
        <f>SUMIFS('Extraction Patrimoine'!G:G,'Extraction Patrimoine'!D:D,"pays de la loire", 'Extraction Patrimoine'!F:F,"sites et monuments", 'Extraction Patrimoine'!B:B,"2016")</f>
        <v>0</v>
      </c>
      <c r="I13" s="23">
        <f>SUMIFS('Extraction Patrimoine'!I:I,'Extraction Patrimoine'!D:D,"pays de la loire", 'Extraction Patrimoine'!F:F,"sites et monuments", 'Extraction Patrimoine'!B:B,"2016")</f>
        <v>0</v>
      </c>
      <c r="J13" s="39">
        <f t="shared" si="0"/>
        <v>0</v>
      </c>
      <c r="K13" s="29">
        <f>SUMIFS('Extraction Patrimoine'!G:G,'Extraction Patrimoine'!D:D,"pays de la loire", 'Extraction Patrimoine'!F:F,"sites et monuments", 'Extraction Patrimoine'!B:B,"2015")</f>
        <v>0</v>
      </c>
      <c r="L13" s="23">
        <f>SUMIFS('Extraction Patrimoine'!I:I,'Extraction Patrimoine'!D:D,"pays de la loire", 'Extraction Patrimoine'!F:F,"sites et monuments", 'Extraction Patrimoine'!B:B,"2015")</f>
        <v>0</v>
      </c>
      <c r="M13" s="39">
        <f t="shared" si="1"/>
        <v>0</v>
      </c>
      <c r="N13" s="29">
        <f>SUMIFS('Extraction Patrimoine'!G:G,'Extraction Patrimoine'!D:D,"pays de la loire", 'Extraction Patrimoine'!F:F,"sites et monuments", 'Extraction Patrimoine'!B:B,"2014")</f>
        <v>0</v>
      </c>
      <c r="O13" s="23">
        <f>SUMIFS('Extraction Patrimoine'!I:I,'Extraction Patrimoine'!D:D,"pays de la loire", 'Extraction Patrimoine'!F:F,"sites et monuments", 'Extraction Patrimoine'!B:B,"2014")</f>
        <v>0</v>
      </c>
      <c r="P13" s="39">
        <f t="shared" si="2"/>
        <v>0</v>
      </c>
      <c r="Q13" s="29">
        <f>SUMIFS('Extraction Patrimoine'!G:G,'Extraction Patrimoine'!D:D,"pays de la loire", 'Extraction Patrimoine'!F:F,"sites et monuments", 'Extraction Patrimoine'!B:B,"2013")</f>
        <v>0</v>
      </c>
      <c r="R13" s="23">
        <f>SUMIFS('Extraction Patrimoine'!I:I,'Extraction Patrimoine'!D:D,"pays de la loire", 'Extraction Patrimoine'!F:F,"sites et monuments", 'Extraction Patrimoine'!B:B,"2013")</f>
        <v>0</v>
      </c>
      <c r="S13" s="43">
        <f t="shared" si="3"/>
        <v>0</v>
      </c>
    </row>
    <row r="14" spans="2:19" x14ac:dyDescent="0.25">
      <c r="B14" s="17" t="s">
        <v>9</v>
      </c>
      <c r="C14" s="4" t="s">
        <v>101</v>
      </c>
      <c r="D14" s="4"/>
      <c r="E14" s="50">
        <f>(E15*G15)+(E16*G16)</f>
        <v>4.0721579197716844</v>
      </c>
      <c r="F14" s="34">
        <f>SUMIFS('Extraction Offre de services'!I:I,'Extraction Offre de services'!D:D,"pays de la loire", 'Extraction Offre de services'!E:E,"Offre de services", 'Extraction Offre de services'!B:B,"2017")</f>
        <v>6307</v>
      </c>
      <c r="G14" s="38">
        <f>F14/$F$4</f>
        <v>0.45156440180425289</v>
      </c>
      <c r="H14" s="50">
        <f>(H15*J15)+(H16*J16)</f>
        <v>4.1068123816580204</v>
      </c>
      <c r="I14" s="11">
        <f>SUMIFS('Extraction Offre de services'!I:I,'Extraction Offre de services'!D:D,"pays de la loire", 'Extraction Offre de services'!E:E,"Offre de services", 'Extraction Offre de services'!B:B,"2016")</f>
        <v>12147</v>
      </c>
      <c r="J14" s="48">
        <f>I14/$I$4</f>
        <v>0.46016592794635752</v>
      </c>
      <c r="K14" s="50">
        <f>(K15*M15)+(K16*M16)</f>
        <v>4.2397748161764586</v>
      </c>
      <c r="L14" s="11">
        <f>SUMIFS('Extraction Offre de services'!I:I,'Extraction Offre de services'!D:D,"pays de la loire", 'Extraction Offre de services'!E:E,"Offre de services", 'Extraction Offre de services'!B:B,"2015")</f>
        <v>4352</v>
      </c>
      <c r="M14" s="38">
        <f>L14/$L$4</f>
        <v>0.33145468392993144</v>
      </c>
      <c r="N14" s="50">
        <f>(N15*P15)+(N16*P16)</f>
        <v>4.4693113772455089</v>
      </c>
      <c r="O14" s="11">
        <f>SUMIFS('Extraction Offre de services'!I:I,'Extraction Offre de services'!D:D,"pays de la loire", 'Extraction Offre de services'!E:E,"Offre de services", 'Extraction Offre de services'!B:B,"2014")</f>
        <v>1336</v>
      </c>
      <c r="P14" s="48">
        <f>O14/$O$4</f>
        <v>0.27298733142623621</v>
      </c>
      <c r="Q14" s="50">
        <f>(Q15*S15)+(Q16*S16)</f>
        <v>4.4338235294117645</v>
      </c>
      <c r="R14" s="11">
        <f>SUMIFS('Extraction Offre de services'!I:I,'Extraction Offre de services'!D:D,"pays de la loire", 'Extraction Offre de services'!E:E,"Offre de services", 'Extraction Offre de services'!B:B,"2013")</f>
        <v>952</v>
      </c>
      <c r="S14" s="49">
        <f>R14/$R$4</f>
        <v>0.36884928322355676</v>
      </c>
    </row>
    <row r="15" spans="2:19" x14ac:dyDescent="0.25">
      <c r="B15" s="15" t="s">
        <v>9</v>
      </c>
      <c r="C15" s="2" t="s">
        <v>10</v>
      </c>
      <c r="D15" s="2"/>
      <c r="E15" s="29">
        <f>SUMIFS('Extraction Offre de services'!G:G,'Extraction Offre de services'!D:D,"pays de la loire", 'Extraction Offre de services'!F:F,"hebergement", 'Extraction Offre de services'!B:B,"2017")</f>
        <v>3.9486773588835682</v>
      </c>
      <c r="F15" s="23">
        <f>SUMIFS('Extraction Offre de services'!I:I,'Extraction Offre de services'!D:D,"pays de la loire", 'Extraction Offre de services'!F:F,"hebergement", 'Extraction Offre de services'!B:B,"2017")</f>
        <v>4801</v>
      </c>
      <c r="G15" s="39">
        <f>F15/$F$14</f>
        <v>0.76121769462501987</v>
      </c>
      <c r="H15" s="30">
        <f>SUMIFS('Extraction Offre de services'!G:G,'Extraction Offre de services'!D:D,"pays de la loire", 'Extraction Offre de services'!F:F,"hebergement", 'Extraction Offre de services'!B:B,"2016")</f>
        <v>3.9697824052409896</v>
      </c>
      <c r="I15" s="23">
        <f>SUMIFS('Extraction Offre de services'!I:I,'Extraction Offre de services'!D:D,"pays de la loire", 'Extraction Offre de services'!F:F,"hebergement", 'Extraction Offre de services'!B:B,"2016")</f>
        <v>8548</v>
      </c>
      <c r="J15" s="45">
        <f>I15/$I$14</f>
        <v>0.7037128509096896</v>
      </c>
      <c r="K15" s="29">
        <f>SUMIFS('Extraction Offre de services'!G:G,'Extraction Offre de services'!D:D,"pays de la loire", 'Extraction Offre de services'!F:F,"hebergement", 'Extraction Offre de services'!B:B,"2015")</f>
        <v>4.0447332106715495</v>
      </c>
      <c r="L15" s="23">
        <f>SUMIFS('Extraction Offre de services'!I:I,'Extraction Offre de services'!D:D,"pays de la loire", 'Extraction Offre de services'!F:F,"hebergement", 'Extraction Offre de services'!B:B,"2015")</f>
        <v>2174</v>
      </c>
      <c r="M15" s="45">
        <f>L15/$L$14</f>
        <v>0.49954044117647056</v>
      </c>
      <c r="N15" s="30">
        <f>SUMIFS('Extraction Offre de services'!G:G,'Extraction Offre de services'!D:D,"pays de la loire", 'Extraction Offre de services'!F:F,"hebergement", 'Extraction Offre de services'!B:B,"2014")</f>
        <v>0</v>
      </c>
      <c r="O15" s="23">
        <f>SUMIFS('Extraction Offre de services'!I:I,'Extraction Offre de services'!D:D,"pays de la loire", 'Extraction Offre de services'!F:F,"hebergement", 'Extraction Offre de services'!B:B,"2014")</f>
        <v>0</v>
      </c>
      <c r="P15" s="45">
        <f>O15/$O$14</f>
        <v>0</v>
      </c>
      <c r="Q15" s="29">
        <f>SUMIFS('Extraction Offre de services'!G:G,'Extraction Offre de services'!D:D,"pays de la loire", 'Extraction Offre de services'!F:F,"hebergement", 'Extraction Offre de services'!B:B,"2013")</f>
        <v>0</v>
      </c>
      <c r="R15" s="23">
        <f>SUMIFS('Extraction Offre de services'!I:I,'Extraction Offre de services'!D:D,"pays de la loire", 'Extraction Offre de services'!F:F,"hebergement", 'Extraction Offre de services'!B:B,"2013")</f>
        <v>0</v>
      </c>
      <c r="S15" s="42">
        <f>R15/$R$14</f>
        <v>0</v>
      </c>
    </row>
    <row r="16" spans="2:19" x14ac:dyDescent="0.25">
      <c r="B16" s="15" t="s">
        <v>9</v>
      </c>
      <c r="C16" s="2" t="s">
        <v>48</v>
      </c>
      <c r="D16" s="2"/>
      <c r="E16" s="29">
        <f>SUMIFS('Extraction Offre de services'!G:G,'Extraction Offre de services'!D:D,"pays de la loire", 'Extraction Offre de services'!F:F,"restauration", 'Extraction Offre de services'!B:B,"2017")</f>
        <v>4.4658034528552459</v>
      </c>
      <c r="F16" s="23">
        <f>SUMIFS('Extraction Offre de services'!I:I,'Extraction Offre de services'!D:D,"pays de la loire", 'Extraction Offre de services'!F:F,"restauration", 'Extraction Offre de services'!B:B,"2017")</f>
        <v>1506</v>
      </c>
      <c r="G16" s="39">
        <f>F16/$F$14</f>
        <v>0.23878230537498019</v>
      </c>
      <c r="H16" s="30">
        <f>SUMIFS('Extraction Offre de services'!G:G,'Extraction Offre de services'!D:D,"pays de la loire", 'Extraction Offre de services'!F:F,"restauration", 'Extraction Offre de services'!B:B,"2016")</f>
        <v>4.4322728535704359</v>
      </c>
      <c r="I16" s="23">
        <f>SUMIFS('Extraction Offre de services'!I:I,'Extraction Offre de services'!D:D,"pays de la loire", 'Extraction Offre de services'!F:F,"restauration", 'Extraction Offre de services'!B:B,"2016")</f>
        <v>3599</v>
      </c>
      <c r="J16" s="45">
        <f>I16/$I$14</f>
        <v>0.29628714909031034</v>
      </c>
      <c r="K16" s="29">
        <f>SUMIFS('Extraction Offre de services'!G:G,'Extraction Offre de services'!D:D,"pays de la loire", 'Extraction Offre de services'!F:F,"restauration", 'Extraction Offre de services'!B:B,"2015")</f>
        <v>4.4344582185491275</v>
      </c>
      <c r="L16" s="23">
        <f>SUMIFS('Extraction Offre de services'!I:I,'Extraction Offre de services'!D:D,"pays de la loire", 'Extraction Offre de services'!F:F,"restauration", 'Extraction Offre de services'!B:B,"2015")</f>
        <v>2178</v>
      </c>
      <c r="M16" s="45">
        <f>L16/$L$14</f>
        <v>0.50045955882352944</v>
      </c>
      <c r="N16" s="30">
        <f>SUMIFS('Extraction Offre de services'!G:G,'Extraction Offre de services'!D:D,"pays de la loire", 'Extraction Offre de services'!F:F,"restauration", 'Extraction Offre de services'!B:B,"2014")</f>
        <v>4.4693113772455089</v>
      </c>
      <c r="O16" s="23">
        <f>SUMIFS('Extraction Offre de services'!I:I,'Extraction Offre de services'!D:D,"pays de la loire", 'Extraction Offre de services'!F:F,"restauration", 'Extraction Offre de services'!B:B,"2014")</f>
        <v>1336</v>
      </c>
      <c r="P16" s="45">
        <f>O16/$O$14</f>
        <v>1</v>
      </c>
      <c r="Q16" s="29">
        <f>SUMIFS('Extraction Offre de services'!G:G,'Extraction Offre de services'!D:D,"pays de la loire", 'Extraction Offre de services'!F:F,"restauration", 'Extraction Offre de services'!B:B,"2013")</f>
        <v>4.4338235294117645</v>
      </c>
      <c r="R16" s="23">
        <f>SUMIFS('Extraction Offre de services'!I:I,'Extraction Offre de services'!D:D,"pays de la loire", 'Extraction Offre de services'!F:F,"restauration", 'Extraction Offre de services'!B:B,"2013")</f>
        <v>952</v>
      </c>
      <c r="S16" s="42">
        <f>R16/$R$14</f>
        <v>1</v>
      </c>
    </row>
    <row r="17" spans="2:19" s="65" customFormat="1" x14ac:dyDescent="0.25">
      <c r="B17" s="68" t="s">
        <v>9</v>
      </c>
      <c r="C17" s="68" t="s">
        <v>48</v>
      </c>
      <c r="D17" s="68" t="s">
        <v>125</v>
      </c>
      <c r="E17" s="70">
        <f>SUMIFS('Extraction Offre de services'!L:L,'Extraction Offre de services'!D:D,"pays de la loire", 'Extraction Offre de services'!F:F,"restauration", 'Extraction Offre de services'!B:B,"2017")</f>
        <v>4.4920318725099602</v>
      </c>
      <c r="F17" s="71"/>
      <c r="G17" s="72"/>
      <c r="H17" s="70">
        <f>SUMIFS('Extraction Offre de services'!L:L,'Extraction Offre de services'!D:D,"pays de la loire", 'Extraction Offre de services'!F:F,"restauration", 'Extraction Offre de services'!B:B,"2016")</f>
        <v>4.4476243400944711</v>
      </c>
      <c r="I17" s="71"/>
      <c r="J17" s="72"/>
      <c r="K17" s="70">
        <f>SUMIFS('Extraction Offre de services'!L:L,'Extraction Offre de services'!D:D,"pays de la loire", 'Extraction Offre de services'!F:F,"restauration", 'Extraction Offre de services'!B:B,"2015")</f>
        <v>4.4421487603305776</v>
      </c>
      <c r="L17" s="68"/>
      <c r="M17" s="72"/>
      <c r="N17" s="70">
        <f>SUMIFS('Extraction Offre de services'!L:L,'Extraction Offre de services'!D:D,"pays de la loire", 'Extraction Offre de services'!F:F,"restauration", 'Extraction Offre de services'!B:B,"2014")</f>
        <v>4.4580838323353289</v>
      </c>
      <c r="O17" s="68"/>
      <c r="P17" s="68"/>
      <c r="Q17" s="73">
        <f>SUMIFS('Extraction Offre de services'!L:L,'Extraction Offre de services'!D:D,"pays de la loire", 'Extraction Offre de services'!F:F,"restauration", 'Extraction Offre de services'!B:B,"2013")</f>
        <v>4.4170168067226889</v>
      </c>
      <c r="R17" s="68"/>
      <c r="S17" s="68"/>
    </row>
    <row r="18" spans="2:19" s="65" customFormat="1" x14ac:dyDescent="0.25">
      <c r="B18" s="68" t="s">
        <v>9</v>
      </c>
      <c r="C18" s="68" t="s">
        <v>48</v>
      </c>
      <c r="D18" s="68" t="s">
        <v>127</v>
      </c>
      <c r="E18" s="70">
        <f>SUMIFS('Extraction Offre de services'!N:N,'Extraction Offre de services'!D:D,"pays de la loire", 'Extraction Offre de services'!F:F,"restauration", 'Extraction Offre de services'!B:B,"2017")</f>
        <v>4.5650730411686586</v>
      </c>
      <c r="F18" s="68"/>
      <c r="G18" s="72"/>
      <c r="H18" s="70">
        <f>SUMIFS('Extraction Offre de services'!N:N,'Extraction Offre de services'!D:D,"pays de la loire", 'Extraction Offre de services'!F:F,"restauration", 'Extraction Offre de services'!B:B,"2016")</f>
        <v>4.521533759377605</v>
      </c>
      <c r="I18" s="68"/>
      <c r="J18" s="72"/>
      <c r="K18" s="70">
        <f>SUMIFS('Extraction Offre de services'!N:N,'Extraction Offre de services'!D:D,"pays de la loire", 'Extraction Offre de services'!F:F,"restauration", 'Extraction Offre de services'!B:B,"2015")</f>
        <v>4.5137741046831961</v>
      </c>
      <c r="L18" s="68"/>
      <c r="M18" s="72"/>
      <c r="N18" s="70">
        <f>SUMIFS('Extraction Offre de services'!N:N,'Extraction Offre de services'!D:D,"pays de la loire", 'Extraction Offre de services'!F:F,"restauration", 'Extraction Offre de services'!B:B,"2014")</f>
        <v>4.5755988023952092</v>
      </c>
      <c r="O18" s="68"/>
      <c r="P18" s="72"/>
      <c r="Q18" s="70">
        <f>SUMIFS('Extraction Offre de services'!N:N,'Extraction Offre de services'!D:D,"pays de la loire", 'Extraction Offre de services'!F:F,"restauration", 'Extraction Offre de services'!B:B,"2013")</f>
        <v>4.5504201680672258</v>
      </c>
      <c r="R18" s="68"/>
      <c r="S18" s="68"/>
    </row>
    <row r="19" spans="2:19" s="65" customFormat="1" x14ac:dyDescent="0.25">
      <c r="B19" s="68" t="s">
        <v>9</v>
      </c>
      <c r="C19" s="68" t="s">
        <v>48</v>
      </c>
      <c r="D19" s="68" t="s">
        <v>126</v>
      </c>
      <c r="E19" s="70">
        <f>SUMIFS('Extraction Offre de services'!P:P,'Extraction Offre de services'!D:D,"pays de la loire", 'Extraction Offre de services'!F:F,"restauration", 'Extraction Offre de services'!B:B,"2017")</f>
        <v>4.3140770252324039</v>
      </c>
      <c r="F19" s="68"/>
      <c r="G19" s="72"/>
      <c r="H19" s="70">
        <f>SUMIFS('Extraction Offre de services'!P:P,'Extraction Offre de services'!D:D,"pays de la loire", 'Extraction Offre de services'!F:F,"restauration", 'Extraction Offre de services'!B:B,"2016")</f>
        <v>4.312308974715199</v>
      </c>
      <c r="I19" s="68"/>
      <c r="J19" s="72"/>
      <c r="K19" s="70">
        <f>SUMIFS('Extraction Offre de services'!P:P,'Extraction Offre de services'!D:D,"pays de la loire", 'Extraction Offre de services'!F:F,"restauration", 'Extraction Offre de services'!B:B,"2015")</f>
        <v>4.3397612488521577</v>
      </c>
      <c r="L19" s="68"/>
      <c r="M19" s="72"/>
      <c r="N19" s="70">
        <f>SUMIFS('Extraction Offre de services'!P:P,'Extraction Offre de services'!D:D,"pays de la loire", 'Extraction Offre de services'!F:F,"restauration", 'Extraction Offre de services'!B:B,"2014")</f>
        <v>4.3854790419161676</v>
      </c>
      <c r="O19" s="68"/>
      <c r="P19" s="72"/>
      <c r="Q19" s="70">
        <f>SUMIFS('Extraction Offre de services'!P:P,'Extraction Offre de services'!D:D,"pays de la loire", 'Extraction Offre de services'!F:F,"restauration", 'Extraction Offre de services'!B:B,"2013")</f>
        <v>4.3508403361344534</v>
      </c>
      <c r="R19" s="68"/>
      <c r="S19" s="68"/>
    </row>
  </sheetData>
  <mergeCells count="8">
    <mergeCell ref="Q2:S2"/>
    <mergeCell ref="B2:B3"/>
    <mergeCell ref="C2:C3"/>
    <mergeCell ref="E2:G2"/>
    <mergeCell ref="H2:J2"/>
    <mergeCell ref="K2:M2"/>
    <mergeCell ref="N2:P2"/>
    <mergeCell ref="D2:D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workbookViewId="0">
      <selection activeCell="I21" sqref="I21"/>
    </sheetView>
  </sheetViews>
  <sheetFormatPr baseColWidth="10" defaultRowHeight="15" x14ac:dyDescent="0.25"/>
  <cols>
    <col min="1" max="1" width="1.5703125" customWidth="1"/>
    <col min="2" max="2" width="15.7109375" bestFit="1" customWidth="1"/>
    <col min="3" max="3" width="22.140625" bestFit="1" customWidth="1"/>
    <col min="4" max="4" width="22.140625" customWidth="1"/>
    <col min="5" max="5" width="15" customWidth="1"/>
    <col min="6" max="7" width="8.7109375" customWidth="1"/>
    <col min="9" max="10" width="8.7109375" customWidth="1"/>
    <col min="12" max="13" width="8.7109375" customWidth="1"/>
    <col min="15" max="16" width="8.7109375" customWidth="1"/>
    <col min="18" max="19" width="8.7109375" customWidth="1"/>
  </cols>
  <sheetData>
    <row r="2" spans="2:19" x14ac:dyDescent="0.25">
      <c r="B2" s="62" t="s">
        <v>86</v>
      </c>
      <c r="C2" s="62" t="s">
        <v>87</v>
      </c>
      <c r="D2" s="62" t="s">
        <v>128</v>
      </c>
      <c r="E2" s="60">
        <v>2017</v>
      </c>
      <c r="F2" s="60"/>
      <c r="G2" s="61"/>
      <c r="H2" s="59">
        <v>2016</v>
      </c>
      <c r="I2" s="63"/>
      <c r="J2" s="61"/>
      <c r="K2" s="59">
        <v>2015</v>
      </c>
      <c r="L2" s="63"/>
      <c r="M2" s="61"/>
      <c r="N2" s="59">
        <v>2014</v>
      </c>
      <c r="O2" s="60"/>
      <c r="P2" s="61"/>
      <c r="Q2" s="59">
        <v>2013</v>
      </c>
      <c r="R2" s="60"/>
      <c r="S2" s="60"/>
    </row>
    <row r="3" spans="2:19" ht="30" x14ac:dyDescent="0.25">
      <c r="B3" s="62"/>
      <c r="C3" s="62"/>
      <c r="D3" s="62"/>
      <c r="E3" s="54" t="s">
        <v>95</v>
      </c>
      <c r="F3" s="54" t="s">
        <v>119</v>
      </c>
      <c r="G3" s="55" t="s">
        <v>120</v>
      </c>
      <c r="H3" s="54" t="s">
        <v>95</v>
      </c>
      <c r="I3" s="54" t="s">
        <v>119</v>
      </c>
      <c r="J3" s="55" t="s">
        <v>120</v>
      </c>
      <c r="K3" s="54" t="s">
        <v>95</v>
      </c>
      <c r="L3" s="54" t="s">
        <v>119</v>
      </c>
      <c r="M3" s="55" t="s">
        <v>120</v>
      </c>
      <c r="N3" s="54" t="s">
        <v>95</v>
      </c>
      <c r="O3" s="54" t="s">
        <v>119</v>
      </c>
      <c r="P3" s="55" t="s">
        <v>120</v>
      </c>
      <c r="Q3" s="54" t="s">
        <v>95</v>
      </c>
      <c r="R3" s="54" t="s">
        <v>119</v>
      </c>
      <c r="S3" s="54" t="s">
        <v>120</v>
      </c>
    </row>
    <row r="4" spans="2:19" x14ac:dyDescent="0.25">
      <c r="B4" s="16" t="s">
        <v>88</v>
      </c>
      <c r="C4" s="8" t="s">
        <v>101</v>
      </c>
      <c r="D4" s="8"/>
      <c r="E4" s="51">
        <f>AVERAGE(E5,E10,E14)</f>
        <v>4.3009266074369021</v>
      </c>
      <c r="F4" s="46">
        <f>Pondération!F158</f>
        <v>30181</v>
      </c>
      <c r="G4" s="47"/>
      <c r="H4" s="51">
        <f>AVERAGE(H5,H10,H14)</f>
        <v>4.2756857290398118</v>
      </c>
      <c r="I4" s="10">
        <f>Pondération!G158</f>
        <v>66913</v>
      </c>
      <c r="J4" s="40"/>
      <c r="K4" s="51">
        <f>AVERAGE(K5,K10,K14)</f>
        <v>4.3132341532297254</v>
      </c>
      <c r="L4" s="46">
        <f>Pondération!H158</f>
        <v>34275</v>
      </c>
      <c r="M4" s="37"/>
      <c r="N4" s="51">
        <f>AVERAGE(N5,N10,N14)</f>
        <v>4.4178625288968014</v>
      </c>
      <c r="O4" s="10">
        <f>Pondération!I158</f>
        <v>13297</v>
      </c>
      <c r="P4" s="40"/>
      <c r="Q4" s="51">
        <f>AVERAGE(Q5,Q10,Q14)</f>
        <v>4.3899872240096975</v>
      </c>
      <c r="R4" s="10">
        <f>Pondération!J158</f>
        <v>7177</v>
      </c>
      <c r="S4" s="28"/>
    </row>
    <row r="5" spans="2:19" x14ac:dyDescent="0.25">
      <c r="B5" s="17" t="s">
        <v>78</v>
      </c>
      <c r="C5" s="4" t="s">
        <v>101</v>
      </c>
      <c r="D5" s="4"/>
      <c r="E5" s="50">
        <f>(E6*G6)+(E7*G7)+(E8*G8)+(E9*G9)</f>
        <v>4.4561243144424125</v>
      </c>
      <c r="F5" s="34">
        <f>SUMIFS('Extraction Offre de loisirs'!I:I,'Extraction Offre de loisirs'!D:D,"provence-alpes-cote d'azur", 'Extraction Offre de loisirs'!E:E,"offre de loisirs", 'Extraction Offre de loisirs'!B:B,"2017")</f>
        <v>8752</v>
      </c>
      <c r="G5" s="38">
        <f>F5/$F$4</f>
        <v>0.28998376462012526</v>
      </c>
      <c r="H5" s="50">
        <f>(H6*J6)+(H7*J7)+(H8*J8)+(H9*J9)</f>
        <v>4.4469115612026666</v>
      </c>
      <c r="I5" s="34">
        <f>SUMIFS('Extraction Offre de loisirs'!I:I,'Extraction Offre de loisirs'!D:D,"provence-alpes-cote d'azur", 'Extraction Offre de loisirs'!E:E,"offre de loisirs", 'Extraction Offre de loisirs'!B:B,"2016")</f>
        <v>23847</v>
      </c>
      <c r="J5" s="38">
        <f>I5/$I$4</f>
        <v>0.35638814580126432</v>
      </c>
      <c r="K5" s="50">
        <f>(K6*M6)+(K7*M7)+(K8*M8)+(K9*M9)</f>
        <v>4.436024423337857</v>
      </c>
      <c r="L5" s="34">
        <f>SUMIFS('Extraction Offre de loisirs'!I:I,'Extraction Offre de loisirs'!D:D,"provence-alpes-cote d'azur", 'Extraction Offre de loisirs'!E:E,"offre de loisirs", 'Extraction Offre de loisirs'!B:B,"2015")</f>
        <v>14740</v>
      </c>
      <c r="M5" s="38">
        <f>L5/$L$4</f>
        <v>0.4300510576221736</v>
      </c>
      <c r="N5" s="50">
        <f>(N6*P6)+(N7*P7)+(N8*P8)+(N9*P9)</f>
        <v>4.3961910258259991</v>
      </c>
      <c r="O5" s="11">
        <f>SUMIFS('Extraction Offre de loisirs'!I:I,'Extraction Offre de loisirs'!D:D,"provence-alpes-cote d'azur", 'Extraction Offre de loisirs'!E:E,"offre de loisirs", 'Extraction Offre de loisirs'!B:B,"2014")</f>
        <v>6931</v>
      </c>
      <c r="P5" s="38">
        <f>O5/$O$4</f>
        <v>0.52124539369782663</v>
      </c>
      <c r="Q5" s="50">
        <f>(Q6*S6)+(Q7*S7)+(Q8*S8)+(Q9*S9)</f>
        <v>4.3456703910614518</v>
      </c>
      <c r="R5" s="11">
        <f>SUMIFS('Extraction Offre de loisirs'!I:I,'Extraction Offre de loisirs'!D:D,"provence-alpes-cote d'azur", 'Extraction Offre de loisirs'!E:E,"offre de loisirs", 'Extraction Offre de loisirs'!B:B,"2013")</f>
        <v>2864</v>
      </c>
      <c r="S5" s="35">
        <f>R5/$R$4</f>
        <v>0.3990525289118016</v>
      </c>
    </row>
    <row r="6" spans="2:19" x14ac:dyDescent="0.25">
      <c r="B6" s="15" t="s">
        <v>78</v>
      </c>
      <c r="C6" s="2" t="s">
        <v>79</v>
      </c>
      <c r="D6" s="2"/>
      <c r="E6" s="29">
        <f>SUMIFS('Extraction Offre de loisirs'!G:G,'Extraction Offre de loisirs'!D:D,"provence-alpes-cote d'azur", 'Extraction Offre de loisirs'!F:F,"activites de plein air", 'Extraction Offre de loisirs'!B:B,"2017")</f>
        <v>4.4407422186751795</v>
      </c>
      <c r="F6" s="33">
        <f>SUMIFS('Extraction Offre de loisirs'!I:I,'Extraction Offre de loisirs'!D:D,"provence-alpes-cote d'azur", 'Extraction Offre de loisirs'!F:F,"activites de plein air", 'Extraction Offre de loisirs'!B:B,"2017")</f>
        <v>5012</v>
      </c>
      <c r="G6" s="39">
        <f>F6/$F$5</f>
        <v>0.57266910420475325</v>
      </c>
      <c r="H6" s="30">
        <f>SUMIFS('Extraction Offre de loisirs'!G:G,'Extraction Offre de loisirs'!D:D,"provence-alpes-cote d'azur", 'Extraction Offre de loisirs'!F:F,"activites de plein air", 'Extraction Offre de loisirs'!B:B,"2016")</f>
        <v>4.4520767888307153</v>
      </c>
      <c r="I6" s="33">
        <f>SUMIFS('Extraction Offre de loisirs'!I:I,'Extraction Offre de loisirs'!D:D,"provence-alpes-cote d'azur", 'Extraction Offre de loisirs'!F:F,"activites de plein air", 'Extraction Offre de loisirs'!B:B,"2016")</f>
        <v>14325</v>
      </c>
      <c r="J6" s="39">
        <f>I6/$I$5</f>
        <v>0.60070449113095992</v>
      </c>
      <c r="K6" s="29">
        <f>SUMIFS('Extraction Offre de loisirs'!G:G,'Extraction Offre de loisirs'!D:D,"provence-alpes-cote d'azur", 'Extraction Offre de loisirs'!F:F,"activites de plein air", 'Extraction Offre de loisirs'!B:B,"2015")</f>
        <v>4.438176519567028</v>
      </c>
      <c r="L6" s="33">
        <f>SUMIFS('Extraction Offre de loisirs'!I:I,'Extraction Offre de loisirs'!D:D,"provence-alpes-cote d'azur", 'Extraction Offre de loisirs'!F:F,"activites de plein air", 'Extraction Offre de loisirs'!B:B,"2015")</f>
        <v>9608</v>
      </c>
      <c r="M6" s="39">
        <f>L6/$L$5</f>
        <v>0.65183175033921303</v>
      </c>
      <c r="N6" s="30">
        <f>SUMIFS('Extraction Offre de loisirs'!G:G,'Extraction Offre de loisirs'!D:D,"provence-alpes-cote d'azur", 'Extraction Offre de loisirs'!F:F,"activites de plein air", 'Extraction Offre de loisirs'!B:B,"2014")</f>
        <v>4.4235943775100406</v>
      </c>
      <c r="O6" s="33">
        <f>SUMIFS('Extraction Offre de loisirs'!I:I,'Extraction Offre de loisirs'!D:D,"provence-alpes-cote d'azur", 'Extraction Offre de loisirs'!F:F,"activites de plein air", 'Extraction Offre de loisirs'!B:B,"2014")</f>
        <v>4980</v>
      </c>
      <c r="P6" s="39">
        <f>O6/$O$5</f>
        <v>0.7185110373683451</v>
      </c>
      <c r="Q6" s="29">
        <f>SUMIFS('Extraction Offre de loisirs'!G:G,'Extraction Offre de loisirs'!D:D,"provence-alpes-cote d'azur", 'Extraction Offre de loisirs'!F:F,"activites de plein air", 'Extraction Offre de loisirs'!B:B,"2013")</f>
        <v>4.3485999050783102</v>
      </c>
      <c r="R6" s="33">
        <f>SUMIFS('Extraction Offre de loisirs'!I:I,'Extraction Offre de loisirs'!D:D,"provence-alpes-cote d'azur", 'Extraction Offre de loisirs'!F:F,"activites de plein air", 'Extraction Offre de loisirs'!B:B,"2013")</f>
        <v>2107</v>
      </c>
      <c r="S6" s="31">
        <f>R6/$R$5</f>
        <v>0.73568435754189943</v>
      </c>
    </row>
    <row r="7" spans="2:19" x14ac:dyDescent="0.25">
      <c r="B7" s="15" t="s">
        <v>78</v>
      </c>
      <c r="C7" s="2" t="s">
        <v>81</v>
      </c>
      <c r="D7" s="2"/>
      <c r="E7" s="29">
        <f>SUMIFS('Extraction Offre de loisirs'!G:G,'Extraction Offre de loisirs'!D:D,"provence-alpes-cote d'azur", 'Extraction Offre de loisirs'!F:F,"jeux et divertissements", 'Extraction Offre de loisirs'!B:B,"2017")</f>
        <v>4.5485841199333699</v>
      </c>
      <c r="F7" s="33">
        <f>SUMIFS('Extraction Offre de loisirs'!I:I,'Extraction Offre de loisirs'!D:D,"provence-alpes-cote d'azur", 'Extraction Offre de loisirs'!F:F,"jeux et divertissements", 'Extraction Offre de loisirs'!B:B,"2017")</f>
        <v>1801</v>
      </c>
      <c r="G7" s="39">
        <f>F7/$F$5</f>
        <v>0.20578153564899451</v>
      </c>
      <c r="H7" s="30">
        <f>SUMIFS('Extraction Offre de loisirs'!G:G,'Extraction Offre de loisirs'!D:D,"provence-alpes-cote d'azur", 'Extraction Offre de loisirs'!F:F,"jeux et divertissements", 'Extraction Offre de loisirs'!B:B,"2016")</f>
        <v>4.5039922574401157</v>
      </c>
      <c r="I7" s="33">
        <f>SUMIFS('Extraction Offre de loisirs'!I:I,'Extraction Offre de loisirs'!D:D,"provence-alpes-cote d'azur", 'Extraction Offre de loisirs'!F:F,"jeux et divertissements", 'Extraction Offre de loisirs'!B:B,"2016")</f>
        <v>4133</v>
      </c>
      <c r="J7" s="39">
        <f>I7/$I$5</f>
        <v>0.17331320501530592</v>
      </c>
      <c r="K7" s="29">
        <f>SUMIFS('Extraction Offre de loisirs'!G:G,'Extraction Offre de loisirs'!D:D,"provence-alpes-cote d'azur", 'Extraction Offre de loisirs'!F:F,"jeux et divertissements", 'Extraction Offre de loisirs'!B:B,"2015")</f>
        <v>4.4332269826800363</v>
      </c>
      <c r="L7" s="33">
        <f>SUMIFS('Extraction Offre de loisirs'!I:I,'Extraction Offre de loisirs'!D:D,"provence-alpes-cote d'azur", 'Extraction Offre de loisirs'!F:F,"jeux et divertissements", 'Extraction Offre de loisirs'!B:B,"2015")</f>
        <v>2194</v>
      </c>
      <c r="M7" s="39">
        <f>L7/$L$5</f>
        <v>0.14884667571234736</v>
      </c>
      <c r="N7" s="30">
        <f>SUMIFS('Extraction Offre de loisirs'!G:G,'Extraction Offre de loisirs'!D:D,"provence-alpes-cote d'azur", 'Extraction Offre de loisirs'!F:F,"jeux et divertissements", 'Extraction Offre de loisirs'!B:B,"2014")</f>
        <v>4.1986552567237156</v>
      </c>
      <c r="O7" s="33">
        <f>SUMIFS('Extraction Offre de loisirs'!I:I,'Extraction Offre de loisirs'!D:D,"provence-alpes-cote d'azur", 'Extraction Offre de loisirs'!F:F,"jeux et divertissements", 'Extraction Offre de loisirs'!B:B,"2014")</f>
        <v>818</v>
      </c>
      <c r="P7" s="39">
        <f>O7/$O$5</f>
        <v>0.11802048766411773</v>
      </c>
      <c r="Q7" s="29">
        <f>SUMIFS('Extraction Offre de loisirs'!G:G,'Extraction Offre de loisirs'!D:D,"provence-alpes-cote d'azur", 'Extraction Offre de loisirs'!F:F,"jeux et divertissements", 'Extraction Offre de loisirs'!B:B,"2013")</f>
        <v>4.2646048109965635</v>
      </c>
      <c r="R7" s="33">
        <f>SUMIFS('Extraction Offre de loisirs'!I:I,'Extraction Offre de loisirs'!D:D,"provence-alpes-cote d'azur", 'Extraction Offre de loisirs'!F:F,"jeux et divertissements", 'Extraction Offre de loisirs'!B:B,"2013")</f>
        <v>291</v>
      </c>
      <c r="S7" s="31">
        <f>R7/$R$5</f>
        <v>0.10160614525139665</v>
      </c>
    </row>
    <row r="8" spans="2:19" x14ac:dyDescent="0.25">
      <c r="B8" s="15" t="s">
        <v>78</v>
      </c>
      <c r="C8" s="2" t="s">
        <v>83</v>
      </c>
      <c r="D8" s="2"/>
      <c r="E8" s="29">
        <f>SUMIFS('Extraction Offre de loisirs'!G:G,'Extraction Offre de loisirs'!D:D,"provence-alpes-cote d'azur", 'Extraction Offre de loisirs'!F:F,"shopping", 'Extraction Offre de loisirs'!B:B,"2017")</f>
        <v>4.4241635687732339</v>
      </c>
      <c r="F8" s="33">
        <f>SUMIFS('Extraction Offre de loisirs'!I:I,'Extraction Offre de loisirs'!D:D,"provence-alpes-cote d'azur", 'Extraction Offre de loisirs'!F:F,"shopping", 'Extraction Offre de loisirs'!B:B,"2017")</f>
        <v>1345</v>
      </c>
      <c r="G8" s="39">
        <f>F8/$F$5</f>
        <v>0.15367915904936014</v>
      </c>
      <c r="H8" s="30">
        <f>SUMIFS('Extraction Offre de loisirs'!G:G,'Extraction Offre de loisirs'!D:D,"provence-alpes-cote d'azur", 'Extraction Offre de loisirs'!F:F,"shopping", 'Extraction Offre de loisirs'!B:B,"2016")</f>
        <v>4.3879551820728295</v>
      </c>
      <c r="I8" s="33">
        <f>SUMIFS('Extraction Offre de loisirs'!I:I,'Extraction Offre de loisirs'!D:D,"provence-alpes-cote d'azur", 'Extraction Offre de loisirs'!F:F,"shopping", 'Extraction Offre de loisirs'!B:B,"2016")</f>
        <v>3570</v>
      </c>
      <c r="J8" s="39">
        <f>I8/$I$5</f>
        <v>0.14970436532897219</v>
      </c>
      <c r="K8" s="29">
        <f>SUMIFS('Extraction Offre de loisirs'!G:G,'Extraction Offre de loisirs'!D:D,"provence-alpes-cote d'azur", 'Extraction Offre de loisirs'!F:F,"shopping", 'Extraction Offre de loisirs'!B:B,"2015")</f>
        <v>4.4222972972972965</v>
      </c>
      <c r="L8" s="33">
        <f>SUMIFS('Extraction Offre de loisirs'!I:I,'Extraction Offre de loisirs'!D:D,"provence-alpes-cote d'azur", 'Extraction Offre de loisirs'!F:F,"shopping", 'Extraction Offre de loisirs'!B:B,"2015")</f>
        <v>1776</v>
      </c>
      <c r="M8" s="39">
        <f>L8/$L$5</f>
        <v>0.12048846675712348</v>
      </c>
      <c r="N8" s="30">
        <f>SUMIFS('Extraction Offre de loisirs'!G:G,'Extraction Offre de loisirs'!D:D,"provence-alpes-cote d'azur", 'Extraction Offre de loisirs'!F:F,"shopping", 'Extraction Offre de loisirs'!B:B,"2014")</f>
        <v>4.3788098693759068</v>
      </c>
      <c r="O8" s="33">
        <f>SUMIFS('Extraction Offre de loisirs'!I:I,'Extraction Offre de loisirs'!D:D,"provence-alpes-cote d'azur", 'Extraction Offre de loisirs'!F:F,"shopping", 'Extraction Offre de loisirs'!B:B,"2014")</f>
        <v>689</v>
      </c>
      <c r="P8" s="39">
        <f>O8/$O$5</f>
        <v>9.9408454768431687E-2</v>
      </c>
      <c r="Q8" s="29">
        <f>SUMIFS('Extraction Offre de loisirs'!G:G,'Extraction Offre de loisirs'!D:D,"provence-alpes-cote d'azur", 'Extraction Offre de loisirs'!F:F,"shopping", 'Extraction Offre de loisirs'!B:B,"2013")</f>
        <v>4.3483146067415737</v>
      </c>
      <c r="R8" s="33">
        <f>SUMIFS('Extraction Offre de loisirs'!I:I,'Extraction Offre de loisirs'!D:D,"provence-alpes-cote d'azur", 'Extraction Offre de loisirs'!F:F,"shopping", 'Extraction Offre de loisirs'!B:B,"2013")</f>
        <v>267</v>
      </c>
      <c r="S8" s="31">
        <f>R8/$R$5</f>
        <v>9.3226256983240219E-2</v>
      </c>
    </row>
    <row r="9" spans="2:19" x14ac:dyDescent="0.25">
      <c r="B9" s="15" t="s">
        <v>78</v>
      </c>
      <c r="C9" s="2" t="s">
        <v>84</v>
      </c>
      <c r="D9" s="2"/>
      <c r="E9" s="29">
        <f>SUMIFS('Extraction Offre de loisirs'!G:G,'Extraction Offre de loisirs'!D:D,"provence-alpes-cote d'azur", 'Extraction Offre de loisirs'!F:F,"vie nocturne", 'Extraction Offre de loisirs'!B:B,"2017")</f>
        <v>4.377946127946128</v>
      </c>
      <c r="F9" s="33">
        <f>SUMIFS('Extraction Offre de loisirs'!I:I,'Extraction Offre de loisirs'!D:D,"provence-alpes-cote d'azur", 'Extraction Offre de loisirs'!F:F,"vie nocturne", 'Extraction Offre de loisirs'!B:B,"2017")</f>
        <v>594</v>
      </c>
      <c r="G9" s="39">
        <f>F9/$F$5</f>
        <v>6.7870201096892138E-2</v>
      </c>
      <c r="H9" s="30">
        <f>SUMIFS('Extraction Offre de loisirs'!G:G,'Extraction Offre de loisirs'!D:D,"provence-alpes-cote d'azur", 'Extraction Offre de loisirs'!F:F,"vie nocturne", 'Extraction Offre de loisirs'!B:B,"2016")</f>
        <v>4.3922484881803188</v>
      </c>
      <c r="I9" s="33">
        <f>SUMIFS('Extraction Offre de loisirs'!I:I,'Extraction Offre de loisirs'!D:D,"provence-alpes-cote d'azur", 'Extraction Offre de loisirs'!F:F,"vie nocturne", 'Extraction Offre de loisirs'!B:B,"2016")</f>
        <v>1819</v>
      </c>
      <c r="J9" s="39">
        <f>I9/$I$5</f>
        <v>7.6277938524762029E-2</v>
      </c>
      <c r="K9" s="29">
        <f>SUMIFS('Extraction Offre de loisirs'!G:G,'Extraction Offre de loisirs'!D:D,"provence-alpes-cote d'azur", 'Extraction Offre de loisirs'!F:F,"vie nocturne", 'Extraction Offre de loisirs'!B:B,"2015")</f>
        <v>4.444492254733218</v>
      </c>
      <c r="L9" s="33">
        <f>SUMIFS('Extraction Offre de loisirs'!I:I,'Extraction Offre de loisirs'!D:D,"provence-alpes-cote d'azur", 'Extraction Offre de loisirs'!F:F,"vie nocturne", 'Extraction Offre de loisirs'!B:B,"2015")</f>
        <v>1162</v>
      </c>
      <c r="M9" s="39">
        <f>L9/$L$5</f>
        <v>7.8833107191316143E-2</v>
      </c>
      <c r="N9" s="30">
        <f>SUMIFS('Extraction Offre de loisirs'!G:G,'Extraction Offre de loisirs'!D:D,"provence-alpes-cote d'azur", 'Extraction Offre de loisirs'!F:F,"vie nocturne", 'Extraction Offre de loisirs'!B:B,"2014")</f>
        <v>4.4797297297297298</v>
      </c>
      <c r="O9" s="33">
        <f>SUMIFS('Extraction Offre de loisirs'!I:I,'Extraction Offre de loisirs'!D:D,"provence-alpes-cote d'azur", 'Extraction Offre de loisirs'!F:F,"vie nocturne", 'Extraction Offre de loisirs'!B:B,"2014")</f>
        <v>444</v>
      </c>
      <c r="P9" s="39">
        <f>O9/$O$5</f>
        <v>6.4060020199105464E-2</v>
      </c>
      <c r="Q9" s="29">
        <f>SUMIFS('Extraction Offre de loisirs'!G:G,'Extraction Offre de loisirs'!D:D,"provence-alpes-cote d'azur", 'Extraction Offre de loisirs'!F:F,"vie nocturne", 'Extraction Offre de loisirs'!B:B,"2013")</f>
        <v>4.4296482412060296</v>
      </c>
      <c r="R9" s="33">
        <f>SUMIFS('Extraction Offre de loisirs'!I:I,'Extraction Offre de loisirs'!D:D,"provence-alpes-cote d'azur", 'Extraction Offre de loisirs'!F:F,"vie nocturne", 'Extraction Offre de loisirs'!B:B,"2013")</f>
        <v>199</v>
      </c>
      <c r="S9" s="31">
        <f>R9/$R$5</f>
        <v>6.9483240223463694E-2</v>
      </c>
    </row>
    <row r="10" spans="2:19" x14ac:dyDescent="0.25">
      <c r="B10" s="17" t="s">
        <v>82</v>
      </c>
      <c r="C10" s="4" t="s">
        <v>101</v>
      </c>
      <c r="D10" s="4"/>
      <c r="E10" s="50">
        <f>(E11*G11)+(E12*G12)+(E13*G13)</f>
        <v>4.3819239109008477</v>
      </c>
      <c r="F10" s="34">
        <f>SUMIFS('Extraction Patrimoine'!I:I,'Extraction Patrimoine'!D:D,"provence-alpes-cote d'azur", 'Extraction Patrimoine'!E:E,"patrimoine", 'Extraction Patrimoine'!B:B,"2017")</f>
        <v>5073</v>
      </c>
      <c r="G10" s="38">
        <f>F10/$F$4</f>
        <v>0.16808588184619463</v>
      </c>
      <c r="H10" s="50">
        <f>(H11*J11)+(H12*J12)+(H13*J13)</f>
        <v>4.3865693635534342</v>
      </c>
      <c r="I10" s="11">
        <f>SUMIFS('Extraction Patrimoine'!I:I,'Extraction Patrimoine'!D:D,"provence-alpes-cote d'azur", 'Extraction Patrimoine'!E:E,"patrimoine", 'Extraction Patrimoine'!B:B,"2016")</f>
        <v>14251</v>
      </c>
      <c r="J10" s="48">
        <f>I10/$I$4</f>
        <v>0.21297804611958812</v>
      </c>
      <c r="K10" s="50">
        <f>(K11*M11)+(K12*M12)+(K13*M13)</f>
        <v>4.3937612541044384</v>
      </c>
      <c r="L10" s="34">
        <f>SUMIFS('Extraction Patrimoine'!I:I,'Extraction Patrimoine'!D:D,"provence-alpes-cote d'azur", 'Extraction Patrimoine'!E:E,"patrimoine", 'Extraction Patrimoine'!B:B,"2015")</f>
        <v>9441</v>
      </c>
      <c r="M10" s="38">
        <f>L10/$L$4</f>
        <v>0.27544857768052516</v>
      </c>
      <c r="N10" s="50">
        <f>(N11*P11)+(N12*P12)+(N13*P13)</f>
        <v>4.3600093874677306</v>
      </c>
      <c r="O10" s="11">
        <f>SUMIFS('Extraction Patrimoine'!I:I,'Extraction Patrimoine'!D:D,"provence-alpes-cote d'azur", 'Extraction Patrimoine'!E:E,"patrimoine", 'Extraction Patrimoine'!B:B,"2014")</f>
        <v>4261</v>
      </c>
      <c r="P10" s="48">
        <f>O10/$O$4</f>
        <v>0.32044822140332407</v>
      </c>
      <c r="Q10" s="50">
        <f>(Q11*S11)+(Q12*S12)+(Q13*S13)</f>
        <v>4.3686959654178681</v>
      </c>
      <c r="R10" s="11">
        <f>SUMIFS('Extraction Patrimoine'!I:I,'Extraction Patrimoine'!D:D,"provence-alpes-cote d'azur", 'Extraction Patrimoine'!E:E,"patrimoine", 'Extraction Patrimoine'!B:B,"2013")</f>
        <v>2776</v>
      </c>
      <c r="S10" s="49">
        <f>R10/$R$4</f>
        <v>0.38679113835864565</v>
      </c>
    </row>
    <row r="11" spans="2:19" x14ac:dyDescent="0.25">
      <c r="B11" s="15" t="s">
        <v>82</v>
      </c>
      <c r="C11" s="15" t="s">
        <v>98</v>
      </c>
      <c r="D11" s="15"/>
      <c r="E11" s="29">
        <f>SUMIFS('Extraction Patrimoine'!G:G,'Extraction Patrimoine'!D:D,"provence-alpes-cote d'azur", 'Extraction Patrimoine'!F:F,"nature et parcs", 'Extraction Patrimoine'!B:B,"2017")</f>
        <v>4.3819239109008477</v>
      </c>
      <c r="F11" s="23">
        <f>SUMIFS('Extraction Patrimoine'!I:I,'Extraction Patrimoine'!D:D,"provence-alpes-cote d'azur", 'Extraction Patrimoine'!F:F,"nature et parcs", 'Extraction Patrimoine'!B:B,"2017")</f>
        <v>5073</v>
      </c>
      <c r="G11" s="39">
        <f>F11/$F$10</f>
        <v>1</v>
      </c>
      <c r="H11" s="29">
        <f>SUMIFS('Extraction Patrimoine'!G:G,'Extraction Patrimoine'!D:D,"provence-alpes-cote d'azur", 'Extraction Patrimoine'!F:F,"nature et parcs", 'Extraction Patrimoine'!B:B,"2016")</f>
        <v>4.3865693635534342</v>
      </c>
      <c r="I11" s="23">
        <f>SUMIFS('Extraction Patrimoine'!I:I,'Extraction Patrimoine'!D:D,"provence-alpes-cote d'azur", 'Extraction Patrimoine'!F:F,"nature et parcs", 'Extraction Patrimoine'!B:B,"2016")</f>
        <v>14251</v>
      </c>
      <c r="J11" s="39">
        <f>I11/$I$10</f>
        <v>1</v>
      </c>
      <c r="K11" s="29">
        <f>SUMIFS('Extraction Patrimoine'!G:G,'Extraction Patrimoine'!D:D,"provence-alpes-cote d'azur", 'Extraction Patrimoine'!F:F,"nature et parcs", 'Extraction Patrimoine'!B:B,"2015")</f>
        <v>4.3937612541044384</v>
      </c>
      <c r="L11" s="23">
        <f>SUMIFS('Extraction Patrimoine'!I:I,'Extraction Patrimoine'!D:D,"provence-alpes-cote d'azur", 'Extraction Patrimoine'!F:F,"nature et parcs", 'Extraction Patrimoine'!B:B,"2015")</f>
        <v>9441</v>
      </c>
      <c r="M11" s="39">
        <f>L11/$L$10</f>
        <v>1</v>
      </c>
      <c r="N11" s="29">
        <f>SUMIFS('Extraction Patrimoine'!G:G,'Extraction Patrimoine'!D:D,"provence-alpes-cote d'azur", 'Extraction Patrimoine'!F:F,"nature et parcs", 'Extraction Patrimoine'!B:B,"2014")</f>
        <v>4.3600093874677306</v>
      </c>
      <c r="O11" s="23">
        <f>SUMIFS('Extraction Patrimoine'!I:I,'Extraction Patrimoine'!D:D,"provence-alpes-cote d'azur", 'Extraction Patrimoine'!F:F,"nature et parcs", 'Extraction Patrimoine'!B:B,"2014")</f>
        <v>4261</v>
      </c>
      <c r="P11" s="39">
        <f>O11/$O$10</f>
        <v>1</v>
      </c>
      <c r="Q11" s="29">
        <f>SUMIFS('Extraction Patrimoine'!G:G,'Extraction Patrimoine'!D:D,"provence-alpes-cote d'azur", 'Extraction Patrimoine'!F:F,"nature et parcs", 'Extraction Patrimoine'!B:B,"2013")</f>
        <v>4.3686959654178681</v>
      </c>
      <c r="R11" s="23">
        <f>SUMIFS('Extraction Patrimoine'!I:I,'Extraction Patrimoine'!D:D,"provence-alpes-cote d'azur", 'Extraction Patrimoine'!F:F,"nature et parcs", 'Extraction Patrimoine'!B:B,"2013")</f>
        <v>2776</v>
      </c>
      <c r="S11" s="43">
        <f>R11/$R$10</f>
        <v>1</v>
      </c>
    </row>
    <row r="12" spans="2:19" x14ac:dyDescent="0.25">
      <c r="B12" s="15" t="s">
        <v>82</v>
      </c>
      <c r="C12" s="15" t="s">
        <v>99</v>
      </c>
      <c r="D12" s="15"/>
      <c r="E12" s="29">
        <f>SUMIFS('Extraction Patrimoine'!G:G,'Extraction Patrimoine'!D:D,"provence-alpes-cote d'azur", 'Extraction Patrimoine'!F:F,"musées", 'Extraction Patrimoine'!B:B,"2017")</f>
        <v>0</v>
      </c>
      <c r="F12" s="23">
        <f>SUMIFS('Extraction Patrimoine'!I:I,'Extraction Patrimoine'!D:D,"provence-alpes-cote d'azur", 'Extraction Patrimoine'!F:F,"musées", 'Extraction Patrimoine'!B:B,"2017")</f>
        <v>0</v>
      </c>
      <c r="G12" s="39">
        <f>F12/$F$10</f>
        <v>0</v>
      </c>
      <c r="H12" s="29">
        <f>SUMIFS('Extraction Patrimoine'!G:G,'Extraction Patrimoine'!D:D,"provence-alpes-cote d'azur", 'Extraction Patrimoine'!F:F,"musées", 'Extraction Patrimoine'!B:B,"2016")</f>
        <v>0</v>
      </c>
      <c r="I12" s="23">
        <f>SUMIFS('Extraction Patrimoine'!I:I,'Extraction Patrimoine'!D:D,"provence-alpes-cote d'azur", 'Extraction Patrimoine'!F:F,"musées", 'Extraction Patrimoine'!B:B,"2016")</f>
        <v>0</v>
      </c>
      <c r="J12" s="39">
        <f t="shared" ref="J12:J13" si="0">I12/$I$10</f>
        <v>0</v>
      </c>
      <c r="K12" s="29">
        <f>SUMIFS('Extraction Patrimoine'!G:G,'Extraction Patrimoine'!D:D,"provence-alpes-cote d'azur", 'Extraction Patrimoine'!F:F,"musées", 'Extraction Patrimoine'!B:B,"2015")</f>
        <v>0</v>
      </c>
      <c r="L12" s="23">
        <f>SUMIFS('Extraction Patrimoine'!I:I,'Extraction Patrimoine'!D:D,"provence-alpes-cote d'azur", 'Extraction Patrimoine'!F:F,"musées", 'Extraction Patrimoine'!B:B,"2015")</f>
        <v>0</v>
      </c>
      <c r="M12" s="39">
        <f t="shared" ref="M12:M13" si="1">L12/$L$10</f>
        <v>0</v>
      </c>
      <c r="N12" s="29">
        <f>SUMIFS('Extraction Patrimoine'!G:G,'Extraction Patrimoine'!D:D,"provence-alpes-cote d'azur", 'Extraction Patrimoine'!F:F,"musées", 'Extraction Patrimoine'!B:B,"2014")</f>
        <v>0</v>
      </c>
      <c r="O12" s="23">
        <f>SUMIFS('Extraction Patrimoine'!I:I,'Extraction Patrimoine'!D:D,"provence-alpes-cote d'azur", 'Extraction Patrimoine'!F:F,"musées", 'Extraction Patrimoine'!B:B,"2014")</f>
        <v>0</v>
      </c>
      <c r="P12" s="39">
        <f t="shared" ref="P12:P13" si="2">O12/$O$10</f>
        <v>0</v>
      </c>
      <c r="Q12" s="29">
        <f>SUMIFS('Extraction Patrimoine'!G:G,'Extraction Patrimoine'!D:D,"provence-alpes-cote d'azur", 'Extraction Patrimoine'!F:F,"musées", 'Extraction Patrimoine'!B:B,"2013")</f>
        <v>0</v>
      </c>
      <c r="R12" s="23">
        <f>SUMIFS('Extraction Patrimoine'!I:I,'Extraction Patrimoine'!D:D,"provence-alpes-cote d'azur", 'Extraction Patrimoine'!F:F,"musées", 'Extraction Patrimoine'!B:B,"2013")</f>
        <v>0</v>
      </c>
      <c r="S12" s="43">
        <f t="shared" ref="S12:S13" si="3">R12/$R$10</f>
        <v>0</v>
      </c>
    </row>
    <row r="13" spans="2:19" x14ac:dyDescent="0.25">
      <c r="B13" s="15" t="s">
        <v>82</v>
      </c>
      <c r="C13" s="15" t="s">
        <v>100</v>
      </c>
      <c r="D13" s="15"/>
      <c r="E13" s="29">
        <f>SUMIFS('Extraction Patrimoine'!G:G,'Extraction Patrimoine'!D:D,"provence-alpes-cote d'azur", 'Extraction Patrimoine'!F:F,"sites et monuments", 'Extraction Patrimoine'!B:B,"2017")</f>
        <v>0</v>
      </c>
      <c r="F13" s="23">
        <f>SUMIFS('Extraction Patrimoine'!I:I,'Extraction Patrimoine'!D:D,"provence-alpes-cote d'azur", 'Extraction Patrimoine'!F:F,"sites et monuments", 'Extraction Patrimoine'!B:B,"2017")</f>
        <v>0</v>
      </c>
      <c r="G13" s="39">
        <f>F13/$F$10</f>
        <v>0</v>
      </c>
      <c r="H13" s="29">
        <f>SUMIFS('Extraction Patrimoine'!G:G,'Extraction Patrimoine'!D:D,"provence-alpes-cote d'azur", 'Extraction Patrimoine'!F:F,"sites et monuments", 'Extraction Patrimoine'!B:B,"2016")</f>
        <v>0</v>
      </c>
      <c r="I13" s="23">
        <f>SUMIFS('Extraction Patrimoine'!I:I,'Extraction Patrimoine'!D:D,"provence-alpes-cote d'azur", 'Extraction Patrimoine'!F:F,"sites et monuments", 'Extraction Patrimoine'!B:B,"2016")</f>
        <v>0</v>
      </c>
      <c r="J13" s="39">
        <f t="shared" si="0"/>
        <v>0</v>
      </c>
      <c r="K13" s="29">
        <f>SUMIFS('Extraction Patrimoine'!G:G,'Extraction Patrimoine'!D:D,"provence-alpes-cote d'azur", 'Extraction Patrimoine'!F:F,"sites et monuments", 'Extraction Patrimoine'!B:B,"2015")</f>
        <v>0</v>
      </c>
      <c r="L13" s="23">
        <f>SUMIFS('Extraction Patrimoine'!I:I,'Extraction Patrimoine'!D:D,"provence-alpes-cote d'azur", 'Extraction Patrimoine'!F:F,"sites et monuments", 'Extraction Patrimoine'!B:B,"2015")</f>
        <v>0</v>
      </c>
      <c r="M13" s="39">
        <f t="shared" si="1"/>
        <v>0</v>
      </c>
      <c r="N13" s="29">
        <f>SUMIFS('Extraction Patrimoine'!G:G,'Extraction Patrimoine'!D:D,"provence-alpes-cote d'azur", 'Extraction Patrimoine'!F:F,"sites et monuments", 'Extraction Patrimoine'!B:B,"2014")</f>
        <v>0</v>
      </c>
      <c r="O13" s="23">
        <f>SUMIFS('Extraction Patrimoine'!I:I,'Extraction Patrimoine'!D:D,"provence-alpes-cote d'azur", 'Extraction Patrimoine'!F:F,"sites et monuments", 'Extraction Patrimoine'!B:B,"2014")</f>
        <v>0</v>
      </c>
      <c r="P13" s="39">
        <f t="shared" si="2"/>
        <v>0</v>
      </c>
      <c r="Q13" s="29">
        <f>SUMIFS('Extraction Patrimoine'!G:G,'Extraction Patrimoine'!D:D,"provence-alpes-cote d'azur", 'Extraction Patrimoine'!F:F,"sites et monuments", 'Extraction Patrimoine'!B:B,"2013")</f>
        <v>0</v>
      </c>
      <c r="R13" s="23">
        <f>SUMIFS('Extraction Patrimoine'!I:I,'Extraction Patrimoine'!D:D,"provence-alpes-cote d'azur", 'Extraction Patrimoine'!F:F,"sites et monuments", 'Extraction Patrimoine'!B:B,"2013")</f>
        <v>0</v>
      </c>
      <c r="S13" s="43">
        <f t="shared" si="3"/>
        <v>0</v>
      </c>
    </row>
    <row r="14" spans="2:19" x14ac:dyDescent="0.25">
      <c r="B14" s="17" t="s">
        <v>9</v>
      </c>
      <c r="C14" s="4" t="s">
        <v>101</v>
      </c>
      <c r="D14" s="4"/>
      <c r="E14" s="50">
        <f>(E15*G15)+(E16*G16)</f>
        <v>4.0647315969674462</v>
      </c>
      <c r="F14" s="34">
        <f>SUMIFS('Extraction Offre de services'!I:I,'Extraction Offre de services'!D:D,"provence-alpes-cote d'azur", 'Extraction Offre de services'!E:E,"Offre de services", 'Extraction Offre de services'!B:B,"2017")</f>
        <v>16356</v>
      </c>
      <c r="G14" s="38">
        <f>F14/$F$4</f>
        <v>0.54193035353368013</v>
      </c>
      <c r="H14" s="50">
        <f>(H15*J15)+(H16*J16)</f>
        <v>3.9935762623633364</v>
      </c>
      <c r="I14" s="11">
        <f>SUMIFS('Extraction Offre de services'!I:I,'Extraction Offre de services'!D:D,"provence-alpes-cote d'azur", 'Extraction Offre de services'!E:E,"Offre de services", 'Extraction Offre de services'!B:B,"2016")</f>
        <v>28815</v>
      </c>
      <c r="J14" s="48">
        <f>I14/$I$4</f>
        <v>0.43063380807914753</v>
      </c>
      <c r="K14" s="50">
        <f>(K15*M15)+(K16*M16)</f>
        <v>4.1099167822468798</v>
      </c>
      <c r="L14" s="11">
        <f>SUMIFS('Extraction Offre de services'!I:I,'Extraction Offre de services'!D:D,"provence-alpes-cote d'azur", 'Extraction Offre de services'!E:E,"Offre de services", 'Extraction Offre de services'!B:B,"2015")</f>
        <v>10094</v>
      </c>
      <c r="M14" s="38">
        <f>L14/$L$4</f>
        <v>0.29450036469730123</v>
      </c>
      <c r="N14" s="50">
        <f>(N15*P15)+(N16*P16)</f>
        <v>4.4973871733966746</v>
      </c>
      <c r="O14" s="11">
        <f>SUMIFS('Extraction Offre de services'!I:I,'Extraction Offre de services'!D:D,"provence-alpes-cote d'azur", 'Extraction Offre de services'!E:E,"Offre de services", 'Extraction Offre de services'!B:B,"2014")</f>
        <v>2105</v>
      </c>
      <c r="P14" s="48">
        <f>O14/$O$4</f>
        <v>0.15830638489884938</v>
      </c>
      <c r="Q14" s="50">
        <f>(Q15*S15)+(Q16*S16)</f>
        <v>4.4555953155497727</v>
      </c>
      <c r="R14" s="11">
        <f>SUMIFS('Extraction Offre de services'!I:I,'Extraction Offre de services'!D:D,"provence-alpes-cote d'azur", 'Extraction Offre de services'!E:E,"Offre de services", 'Extraction Offre de services'!B:B,"2013")</f>
        <v>1537</v>
      </c>
      <c r="S14" s="49">
        <f>R14/$R$4</f>
        <v>0.21415633272955273</v>
      </c>
    </row>
    <row r="15" spans="2:19" x14ac:dyDescent="0.25">
      <c r="B15" s="15" t="s">
        <v>9</v>
      </c>
      <c r="C15" s="2" t="s">
        <v>10</v>
      </c>
      <c r="D15" s="2"/>
      <c r="E15" s="29">
        <f>SUMIFS('Extraction Offre de services'!G:G,'Extraction Offre de services'!D:D,"provence-alpes-cote d'azur", 'Extraction Offre de services'!F:F,"hebergement", 'Extraction Offre de services'!B:B,"2017")</f>
        <v>3.9568226267488749</v>
      </c>
      <c r="F15" s="23">
        <f>SUMIFS('Extraction Offre de services'!I:I,'Extraction Offre de services'!D:D,"provence-alpes-cote d'azur", 'Extraction Offre de services'!F:F,"hebergement", 'Extraction Offre de services'!B:B,"2017")</f>
        <v>13294</v>
      </c>
      <c r="G15" s="39">
        <f>F15/$F$14</f>
        <v>0.81279041330398627</v>
      </c>
      <c r="H15" s="30">
        <f>SUMIFS('Extraction Offre de services'!G:G,'Extraction Offre de services'!D:D,"provence-alpes-cote d'azur", 'Extraction Offre de services'!F:F,"hebergement", 'Extraction Offre de services'!B:B,"2016")</f>
        <v>3.9007690081448527</v>
      </c>
      <c r="I15" s="23">
        <f>SUMIFS('Extraction Offre de services'!I:I,'Extraction Offre de services'!D:D,"provence-alpes-cote d'azur", 'Extraction Offre de services'!F:F,"hebergement", 'Extraction Offre de services'!B:B,"2016")</f>
        <v>24187</v>
      </c>
      <c r="J15" s="45">
        <f>I15/$I$14</f>
        <v>0.83938920701023767</v>
      </c>
      <c r="K15" s="29">
        <f>SUMIFS('Extraction Offre de services'!G:G,'Extraction Offre de services'!D:D,"provence-alpes-cote d'azur", 'Extraction Offre de services'!F:F,"hebergement", 'Extraction Offre de services'!B:B,"2015")</f>
        <v>3.9433060109289619</v>
      </c>
      <c r="L15" s="23">
        <f>SUMIFS('Extraction Offre de services'!I:I,'Extraction Offre de services'!D:D,"provence-alpes-cote d'azur", 'Extraction Offre de services'!F:F,"hebergement", 'Extraction Offre de services'!B:B,"2015")</f>
        <v>6954</v>
      </c>
      <c r="M15" s="45">
        <f>L15/$L$14</f>
        <v>0.6889241133346542</v>
      </c>
      <c r="N15" s="30">
        <f>SUMIFS('Extraction Offre de services'!G:G,'Extraction Offre de services'!D:D,"provence-alpes-cote d'azur", 'Extraction Offre de services'!F:F,"hebergement", 'Extraction Offre de services'!B:B,"2014")</f>
        <v>0</v>
      </c>
      <c r="O15" s="23">
        <f>SUMIFS('Extraction Offre de services'!I:I,'Extraction Offre de services'!D:D,"provence-alpes-cote d'azur", 'Extraction Offre de services'!F:F,"hebergement", 'Extraction Offre de services'!B:B,"2014")</f>
        <v>0</v>
      </c>
      <c r="P15" s="45">
        <f>O15/$O$14</f>
        <v>0</v>
      </c>
      <c r="Q15" s="29">
        <f>SUMIFS('Extraction Offre de services'!G:G,'Extraction Offre de services'!D:D,"provence-alpes-cote d'azur", 'Extraction Offre de services'!F:F,"hebergement", 'Extraction Offre de services'!B:B,"2013")</f>
        <v>0</v>
      </c>
      <c r="R15" s="23">
        <f>SUMIFS('Extraction Offre de services'!I:I,'Extraction Offre de services'!D:D,"provence-alpes-cote d'azur", 'Extraction Offre de services'!F:F,"hebergement", 'Extraction Offre de services'!B:B,"2013")</f>
        <v>0</v>
      </c>
      <c r="S15" s="42">
        <f>R15/$R$14</f>
        <v>0</v>
      </c>
    </row>
    <row r="16" spans="2:19" x14ac:dyDescent="0.25">
      <c r="B16" s="15" t="s">
        <v>9</v>
      </c>
      <c r="C16" s="2" t="s">
        <v>48</v>
      </c>
      <c r="D16" s="2"/>
      <c r="E16" s="29">
        <f>SUMIFS('Extraction Offre de services'!G:G,'Extraction Offre de services'!D:D,"provence-alpes-cote d'azur", 'Extraction Offre de services'!F:F,"restauration", 'Extraction Offre de services'!B:B,"2017")</f>
        <v>4.5332299150881781</v>
      </c>
      <c r="F16" s="23">
        <f>SUMIFS('Extraction Offre de services'!I:I,'Extraction Offre de services'!D:D,"provence-alpes-cote d'azur", 'Extraction Offre de services'!F:F,"restauration", 'Extraction Offre de services'!B:B,"2017")</f>
        <v>3062</v>
      </c>
      <c r="G16" s="39">
        <f>F16/$F$14</f>
        <v>0.1872095866960137</v>
      </c>
      <c r="H16" s="30">
        <f>SUMIFS('Extraction Offre de services'!G:G,'Extraction Offre de services'!D:D,"provence-alpes-cote d'azur", 'Extraction Offre de services'!F:F,"restauration", 'Extraction Offre de services'!B:B,"2016")</f>
        <v>4.4786084701815039</v>
      </c>
      <c r="I16" s="23">
        <f>SUMIFS('Extraction Offre de services'!I:I,'Extraction Offre de services'!D:D,"provence-alpes-cote d'azur", 'Extraction Offre de services'!F:F,"restauration", 'Extraction Offre de services'!B:B,"2016")</f>
        <v>4628</v>
      </c>
      <c r="J16" s="45">
        <f>I16/$I$14</f>
        <v>0.16061079298976227</v>
      </c>
      <c r="K16" s="29">
        <f>SUMIFS('Extraction Offre de services'!G:G,'Extraction Offre de services'!D:D,"provence-alpes-cote d'azur", 'Extraction Offre de services'!F:F,"restauration", 'Extraction Offre de services'!B:B,"2015")</f>
        <v>4.4789012738853513</v>
      </c>
      <c r="L16" s="23">
        <f>SUMIFS('Extraction Offre de services'!I:I,'Extraction Offre de services'!D:D,"provence-alpes-cote d'azur", 'Extraction Offre de services'!F:F,"restauration", 'Extraction Offre de services'!B:B,"2015")</f>
        <v>3140</v>
      </c>
      <c r="M16" s="45">
        <f>L16/$L$14</f>
        <v>0.31107588666534575</v>
      </c>
      <c r="N16" s="30">
        <f>SUMIFS('Extraction Offre de services'!G:G,'Extraction Offre de services'!D:D,"provence-alpes-cote d'azur", 'Extraction Offre de services'!F:F,"restauration", 'Extraction Offre de services'!B:B,"2014")</f>
        <v>4.4973871733966746</v>
      </c>
      <c r="O16" s="23">
        <f>SUMIFS('Extraction Offre de services'!I:I,'Extraction Offre de services'!D:D,"provence-alpes-cote d'azur", 'Extraction Offre de services'!F:F,"restauration", 'Extraction Offre de services'!B:B,"2014")</f>
        <v>2105</v>
      </c>
      <c r="P16" s="45">
        <f>O16/$O$14</f>
        <v>1</v>
      </c>
      <c r="Q16" s="29">
        <f>SUMIFS('Extraction Offre de services'!G:G,'Extraction Offre de services'!D:D,"provence-alpes-cote d'azur", 'Extraction Offre de services'!F:F,"restauration", 'Extraction Offre de services'!B:B,"2013")</f>
        <v>4.4555953155497727</v>
      </c>
      <c r="R16" s="23">
        <f>SUMIFS('Extraction Offre de services'!I:I,'Extraction Offre de services'!D:D,"provence-alpes-cote d'azur", 'Extraction Offre de services'!F:F,"restauration", 'Extraction Offre de services'!B:B,"2013")</f>
        <v>1537</v>
      </c>
      <c r="S16" s="42">
        <f>R16/$R$14</f>
        <v>1</v>
      </c>
    </row>
    <row r="17" spans="2:19" s="65" customFormat="1" x14ac:dyDescent="0.25">
      <c r="B17" s="68" t="s">
        <v>9</v>
      </c>
      <c r="C17" s="68" t="s">
        <v>48</v>
      </c>
      <c r="D17" s="68" t="s">
        <v>125</v>
      </c>
      <c r="E17" s="70">
        <f>SUMIFS('Extraction Offre de services'!L:L,'Extraction Offre de services'!D:D,"provence-alpes-cote d'azur", 'Extraction Offre de services'!F:F,"restauration", 'Extraction Offre de services'!B:B,"2017")</f>
        <v>4.5871979098628355</v>
      </c>
      <c r="F17" s="71"/>
      <c r="G17" s="72"/>
      <c r="H17" s="70">
        <f>SUMIFS('Extraction Offre de services'!L:L,'Extraction Offre de services'!D:D,"provence-alpes-cote d'azur", 'Extraction Offre de services'!F:F,"restauration", 'Extraction Offre de services'!B:B,"2016")</f>
        <v>4.5302506482281757</v>
      </c>
      <c r="I17" s="71"/>
      <c r="J17" s="72"/>
      <c r="K17" s="70">
        <f>SUMIFS('Extraction Offre de services'!L:L,'Extraction Offre de services'!D:D,"provence-alpes-cote d'azur", 'Extraction Offre de services'!F:F,"restauration", 'Extraction Offre de services'!B:B,"2015")</f>
        <v>4.5347133757961782</v>
      </c>
      <c r="L17" s="68"/>
      <c r="M17" s="72"/>
      <c r="N17" s="70">
        <f>SUMIFS('Extraction Offre de services'!L:L,'Extraction Offre de services'!D:D,"provence-alpes-cote d'azur", 'Extraction Offre de services'!F:F,"restauration", 'Extraction Offre de services'!B:B,"2014")</f>
        <v>4.5539192399049879</v>
      </c>
      <c r="O17" s="68"/>
      <c r="P17" s="68"/>
      <c r="Q17" s="73">
        <f>SUMIFS('Extraction Offre de services'!L:L,'Extraction Offre de services'!D:D,"provence-alpes-cote d'azur", 'Extraction Offre de services'!F:F,"restauration", 'Extraction Offre de services'!B:B,"2013")</f>
        <v>4.5029277813923221</v>
      </c>
      <c r="R17" s="68"/>
      <c r="S17" s="68"/>
    </row>
    <row r="18" spans="2:19" s="65" customFormat="1" x14ac:dyDescent="0.25">
      <c r="B18" s="68" t="s">
        <v>9</v>
      </c>
      <c r="C18" s="68" t="s">
        <v>48</v>
      </c>
      <c r="D18" s="68" t="s">
        <v>127</v>
      </c>
      <c r="E18" s="70">
        <f>SUMIFS('Extraction Offre de services'!N:N,'Extraction Offre de services'!D:D,"provence-alpes-cote d'azur", 'Extraction Offre de services'!F:F,"restauration", 'Extraction Offre de services'!B:B,"2017")</f>
        <v>4.6338994121489234</v>
      </c>
      <c r="F18" s="68"/>
      <c r="G18" s="72"/>
      <c r="H18" s="70">
        <f>SUMIFS('Extraction Offre de services'!N:N,'Extraction Offre de services'!D:D,"provence-alpes-cote d'azur", 'Extraction Offre de services'!F:F,"restauration", 'Extraction Offre de services'!B:B,"2016")</f>
        <v>4.5805963699222128</v>
      </c>
      <c r="I18" s="68"/>
      <c r="J18" s="72"/>
      <c r="K18" s="70">
        <f>SUMIFS('Extraction Offre de services'!N:N,'Extraction Offre de services'!D:D,"provence-alpes-cote d'azur", 'Extraction Offre de services'!F:F,"restauration", 'Extraction Offre de services'!B:B,"2015")</f>
        <v>4.5697452229299369</v>
      </c>
      <c r="L18" s="68"/>
      <c r="M18" s="72"/>
      <c r="N18" s="70">
        <f>SUMIFS('Extraction Offre de services'!N:N,'Extraction Offre de services'!D:D,"provence-alpes-cote d'azur", 'Extraction Offre de services'!F:F,"restauration", 'Extraction Offre de services'!B:B,"2014")</f>
        <v>4.6180522565320663</v>
      </c>
      <c r="O18" s="68"/>
      <c r="P18" s="72"/>
      <c r="Q18" s="70">
        <f>SUMIFS('Extraction Offre de services'!N:N,'Extraction Offre de services'!D:D,"provence-alpes-cote d'azur", 'Extraction Offre de services'!F:F,"restauration", 'Extraction Offre de services'!B:B,"2013")</f>
        <v>4.5139882888744305</v>
      </c>
      <c r="R18" s="68"/>
      <c r="S18" s="68"/>
    </row>
    <row r="19" spans="2:19" s="65" customFormat="1" x14ac:dyDescent="0.25">
      <c r="B19" s="68" t="s">
        <v>9</v>
      </c>
      <c r="C19" s="68" t="s">
        <v>48</v>
      </c>
      <c r="D19" s="68" t="s">
        <v>126</v>
      </c>
      <c r="E19" s="70">
        <f>SUMIFS('Extraction Offre de services'!P:P,'Extraction Offre de services'!D:D,"provence-alpes-cote d'azur", 'Extraction Offre de services'!F:F,"restauration", 'Extraction Offre de services'!B:B,"2017")</f>
        <v>4.3246244284781188</v>
      </c>
      <c r="F19" s="68"/>
      <c r="G19" s="72"/>
      <c r="H19" s="70">
        <f>SUMIFS('Extraction Offre de services'!P:P,'Extraction Offre de services'!D:D,"provence-alpes-cote d'azur", 'Extraction Offre de services'!F:F,"restauration", 'Extraction Offre de services'!B:B,"2016")</f>
        <v>4.2733362143474505</v>
      </c>
      <c r="I19" s="68"/>
      <c r="J19" s="72"/>
      <c r="K19" s="70">
        <f>SUMIFS('Extraction Offre de services'!P:P,'Extraction Offre de services'!D:D,"provence-alpes-cote d'azur", 'Extraction Offre de services'!F:F,"restauration", 'Extraction Offre de services'!B:B,"2015")</f>
        <v>4.2764331210191076</v>
      </c>
      <c r="L19" s="68"/>
      <c r="M19" s="72"/>
      <c r="N19" s="70">
        <f>SUMIFS('Extraction Offre de services'!P:P,'Extraction Offre de services'!D:D,"provence-alpes-cote d'azur", 'Extraction Offre de services'!F:F,"restauration", 'Extraction Offre de services'!B:B,"2014")</f>
        <v>4.2636579572446553</v>
      </c>
      <c r="O19" s="68"/>
      <c r="P19" s="72"/>
      <c r="Q19" s="70">
        <f>SUMIFS('Extraction Offre de services'!P:P,'Extraction Offre de services'!D:D,"provence-alpes-cote d'azur", 'Extraction Offre de services'!F:F,"restauration", 'Extraction Offre de services'!B:B,"2013")</f>
        <v>4.3025374105400127</v>
      </c>
      <c r="R19" s="68"/>
      <c r="S19" s="68"/>
    </row>
  </sheetData>
  <mergeCells count="8">
    <mergeCell ref="Q2:S2"/>
    <mergeCell ref="B2:B3"/>
    <mergeCell ref="C2:C3"/>
    <mergeCell ref="E2:G2"/>
    <mergeCell ref="H2:J2"/>
    <mergeCell ref="K2:M2"/>
    <mergeCell ref="N2:P2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703"/>
  <sheetViews>
    <sheetView showGridLines="0" workbookViewId="0">
      <selection activeCell="J15" sqref="J15"/>
    </sheetView>
  </sheetViews>
  <sheetFormatPr baseColWidth="10" defaultRowHeight="15" x14ac:dyDescent="0.25"/>
  <cols>
    <col min="4" max="4" width="25.28515625" bestFit="1" customWidth="1"/>
    <col min="5" max="5" width="17.140625" bestFit="1" customWidth="1"/>
    <col min="6" max="6" width="22.140625" bestFit="1" customWidth="1"/>
    <col min="7" max="7" width="24.42578125" hidden="1" customWidth="1"/>
    <col min="8" max="8" width="14.42578125" bestFit="1" customWidth="1"/>
    <col min="9" max="9" width="14.42578125" customWidth="1"/>
    <col min="10" max="10" width="14.42578125" style="13" customWidth="1"/>
  </cols>
  <sheetData>
    <row r="1" spans="1:10" ht="30" x14ac:dyDescent="0.25">
      <c r="A1" s="1" t="s">
        <v>0</v>
      </c>
      <c r="B1" s="1" t="s">
        <v>97</v>
      </c>
      <c r="C1" s="1" t="s">
        <v>1</v>
      </c>
      <c r="D1" s="1" t="s">
        <v>2</v>
      </c>
      <c r="E1" s="1" t="s">
        <v>3</v>
      </c>
      <c r="F1" s="1" t="s">
        <v>4</v>
      </c>
      <c r="G1" s="14" t="s">
        <v>96</v>
      </c>
      <c r="H1" s="7" t="s">
        <v>89</v>
      </c>
      <c r="I1" s="9" t="s">
        <v>5</v>
      </c>
      <c r="J1" s="44" t="s">
        <v>121</v>
      </c>
    </row>
    <row r="2" spans="1:10" x14ac:dyDescent="0.25">
      <c r="A2" s="2" t="s">
        <v>77</v>
      </c>
      <c r="B2" s="2">
        <v>2013</v>
      </c>
      <c r="C2" s="2" t="s">
        <v>49</v>
      </c>
      <c r="D2" s="2" t="s">
        <v>8</v>
      </c>
      <c r="E2" s="2" t="s">
        <v>82</v>
      </c>
      <c r="F2" s="2" t="s">
        <v>98</v>
      </c>
      <c r="G2" s="2">
        <f>H2*J2</f>
        <v>0.2530612244897959</v>
      </c>
      <c r="H2" s="5">
        <v>4.2176870748299322</v>
      </c>
      <c r="I2" s="2">
        <v>147</v>
      </c>
      <c r="J2" s="12">
        <f>I2/Pondération!$J$9</f>
        <v>0.06</v>
      </c>
    </row>
    <row r="3" spans="1:10" x14ac:dyDescent="0.25">
      <c r="A3" s="2" t="s">
        <v>77</v>
      </c>
      <c r="B3" s="2">
        <v>2013</v>
      </c>
      <c r="C3" s="2" t="s">
        <v>50</v>
      </c>
      <c r="D3" s="2" t="s">
        <v>8</v>
      </c>
      <c r="E3" s="2" t="s">
        <v>82</v>
      </c>
      <c r="F3" s="2" t="s">
        <v>98</v>
      </c>
      <c r="G3" s="2">
        <f t="shared" ref="G3:G66" si="0">H3*J3</f>
        <v>0.25551020408163261</v>
      </c>
      <c r="H3" s="5">
        <v>4.2585034013605441</v>
      </c>
      <c r="I3" s="2">
        <v>147</v>
      </c>
      <c r="J3" s="12">
        <f>I3/Pondération!$J$9</f>
        <v>0.06</v>
      </c>
    </row>
    <row r="4" spans="1:10" x14ac:dyDescent="0.25">
      <c r="A4" s="2" t="s">
        <v>77</v>
      </c>
      <c r="B4" s="2">
        <v>2013</v>
      </c>
      <c r="C4" s="2" t="s">
        <v>51</v>
      </c>
      <c r="D4" s="2" t="s">
        <v>8</v>
      </c>
      <c r="E4" s="2" t="s">
        <v>82</v>
      </c>
      <c r="F4" s="2" t="s">
        <v>98</v>
      </c>
      <c r="G4" s="2">
        <f t="shared" si="0"/>
        <v>0.32816326530612244</v>
      </c>
      <c r="H4" s="5">
        <v>4.1875</v>
      </c>
      <c r="I4" s="2">
        <v>192</v>
      </c>
      <c r="J4" s="12">
        <f>I4/Pondération!$J$9</f>
        <v>7.8367346938775506E-2</v>
      </c>
    </row>
    <row r="5" spans="1:10" x14ac:dyDescent="0.25">
      <c r="A5" s="2" t="s">
        <v>77</v>
      </c>
      <c r="B5" s="2">
        <v>2013</v>
      </c>
      <c r="C5" s="2" t="s">
        <v>52</v>
      </c>
      <c r="D5" s="2" t="s">
        <v>8</v>
      </c>
      <c r="E5" s="2" t="s">
        <v>82</v>
      </c>
      <c r="F5" s="2" t="s">
        <v>98</v>
      </c>
      <c r="G5" s="2">
        <f t="shared" si="0"/>
        <v>0.30653061224489797</v>
      </c>
      <c r="H5" s="5">
        <v>4.2191011235955056</v>
      </c>
      <c r="I5" s="2">
        <v>178</v>
      </c>
      <c r="J5" s="12">
        <f>I5/Pondération!$J$9</f>
        <v>7.2653061224489793E-2</v>
      </c>
    </row>
    <row r="6" spans="1:10" x14ac:dyDescent="0.25">
      <c r="A6" s="2" t="s">
        <v>77</v>
      </c>
      <c r="B6" s="2">
        <v>2013</v>
      </c>
      <c r="C6" s="2" t="s">
        <v>53</v>
      </c>
      <c r="D6" s="2" t="s">
        <v>8</v>
      </c>
      <c r="E6" s="2" t="s">
        <v>82</v>
      </c>
      <c r="F6" s="2" t="s">
        <v>98</v>
      </c>
      <c r="G6" s="2">
        <f t="shared" si="0"/>
        <v>0.33673469387755106</v>
      </c>
      <c r="H6" s="5">
        <v>4.187817258883249</v>
      </c>
      <c r="I6" s="2">
        <v>197</v>
      </c>
      <c r="J6" s="12">
        <f>I6/Pondération!$J$9</f>
        <v>8.0408163265306129E-2</v>
      </c>
    </row>
    <row r="7" spans="1:10" x14ac:dyDescent="0.25">
      <c r="A7" s="2" t="s">
        <v>77</v>
      </c>
      <c r="B7" s="2">
        <v>2013</v>
      </c>
      <c r="C7" s="2" t="s">
        <v>54</v>
      </c>
      <c r="D7" s="2" t="s">
        <v>8</v>
      </c>
      <c r="E7" s="2" t="s">
        <v>82</v>
      </c>
      <c r="F7" s="2" t="s">
        <v>98</v>
      </c>
      <c r="G7" s="2">
        <f t="shared" si="0"/>
        <v>0.25346938775510203</v>
      </c>
      <c r="H7" s="5">
        <v>4.1959459459459456</v>
      </c>
      <c r="I7" s="2">
        <v>148</v>
      </c>
      <c r="J7" s="12">
        <f>I7/Pondération!$J$9</f>
        <v>6.0408163265306125E-2</v>
      </c>
    </row>
    <row r="8" spans="1:10" x14ac:dyDescent="0.25">
      <c r="A8" s="2" t="s">
        <v>77</v>
      </c>
      <c r="B8" s="2">
        <v>2013</v>
      </c>
      <c r="C8" s="2" t="s">
        <v>55</v>
      </c>
      <c r="D8" s="2" t="s">
        <v>8</v>
      </c>
      <c r="E8" s="2" t="s">
        <v>82</v>
      </c>
      <c r="F8" s="2" t="s">
        <v>98</v>
      </c>
      <c r="G8" s="2">
        <f t="shared" si="0"/>
        <v>0.61346938775510207</v>
      </c>
      <c r="H8" s="5">
        <v>4.1983240223463687</v>
      </c>
      <c r="I8" s="2">
        <v>358</v>
      </c>
      <c r="J8" s="12">
        <f>I8/Pondération!$J$9</f>
        <v>0.14612244897959184</v>
      </c>
    </row>
    <row r="9" spans="1:10" x14ac:dyDescent="0.25">
      <c r="A9" s="2" t="s">
        <v>77</v>
      </c>
      <c r="B9" s="2">
        <v>2013</v>
      </c>
      <c r="C9" s="2" t="s">
        <v>56</v>
      </c>
      <c r="D9" s="2" t="s">
        <v>8</v>
      </c>
      <c r="E9" s="2" t="s">
        <v>82</v>
      </c>
      <c r="F9" s="2" t="s">
        <v>98</v>
      </c>
      <c r="G9" s="2">
        <f t="shared" si="0"/>
        <v>0.84857142857142853</v>
      </c>
      <c r="H9" s="5">
        <v>4.2342158859470471</v>
      </c>
      <c r="I9" s="2">
        <v>491</v>
      </c>
      <c r="J9" s="12">
        <f>I9/Pondération!$J$9</f>
        <v>0.20040816326530611</v>
      </c>
    </row>
    <row r="10" spans="1:10" x14ac:dyDescent="0.25">
      <c r="A10" s="2" t="s">
        <v>77</v>
      </c>
      <c r="B10" s="2">
        <v>2013</v>
      </c>
      <c r="C10" s="2" t="s">
        <v>57</v>
      </c>
      <c r="D10" s="2" t="s">
        <v>8</v>
      </c>
      <c r="E10" s="2" t="s">
        <v>82</v>
      </c>
      <c r="F10" s="2" t="s">
        <v>98</v>
      </c>
      <c r="G10" s="2">
        <f t="shared" si="0"/>
        <v>0.34653061224489801</v>
      </c>
      <c r="H10" s="5">
        <v>4.2238805970149258</v>
      </c>
      <c r="I10" s="2">
        <v>201</v>
      </c>
      <c r="J10" s="12">
        <f>I10/Pondération!$J$9</f>
        <v>8.2040816326530611E-2</v>
      </c>
    </row>
    <row r="11" spans="1:10" x14ac:dyDescent="0.25">
      <c r="A11" s="2" t="s">
        <v>77</v>
      </c>
      <c r="B11" s="2">
        <v>2013</v>
      </c>
      <c r="C11" s="2" t="s">
        <v>58</v>
      </c>
      <c r="D11" s="2" t="s">
        <v>8</v>
      </c>
      <c r="E11" s="2" t="s">
        <v>82</v>
      </c>
      <c r="F11" s="2" t="s">
        <v>98</v>
      </c>
      <c r="G11" s="2">
        <f t="shared" si="0"/>
        <v>0.26040816326530614</v>
      </c>
      <c r="H11" s="5">
        <v>4.1973684210526319</v>
      </c>
      <c r="I11" s="2">
        <v>152</v>
      </c>
      <c r="J11" s="12">
        <f>I11/Pondération!$J$9</f>
        <v>6.2040816326530614E-2</v>
      </c>
    </row>
    <row r="12" spans="1:10" x14ac:dyDescent="0.25">
      <c r="A12" s="2" t="s">
        <v>77</v>
      </c>
      <c r="B12" s="2">
        <v>2013</v>
      </c>
      <c r="C12" s="2" t="s">
        <v>59</v>
      </c>
      <c r="D12" s="2" t="s">
        <v>8</v>
      </c>
      <c r="E12" s="2" t="s">
        <v>82</v>
      </c>
      <c r="F12" s="2" t="s">
        <v>98</v>
      </c>
      <c r="G12" s="2">
        <f t="shared" si="0"/>
        <v>0.16081632653061223</v>
      </c>
      <c r="H12" s="5">
        <v>4.1473684210526311</v>
      </c>
      <c r="I12" s="2">
        <v>95</v>
      </c>
      <c r="J12" s="12">
        <f>I12/Pondération!$J$9</f>
        <v>3.8775510204081633E-2</v>
      </c>
    </row>
    <row r="13" spans="1:10" x14ac:dyDescent="0.25">
      <c r="A13" s="2" t="s">
        <v>77</v>
      </c>
      <c r="B13" s="2">
        <v>2013</v>
      </c>
      <c r="C13" s="2" t="s">
        <v>60</v>
      </c>
      <c r="D13" s="2" t="s">
        <v>8</v>
      </c>
      <c r="E13" s="2" t="s">
        <v>82</v>
      </c>
      <c r="F13" s="2" t="s">
        <v>98</v>
      </c>
      <c r="G13" s="2">
        <f t="shared" si="0"/>
        <v>0.24408163265306121</v>
      </c>
      <c r="H13" s="5">
        <v>4.1527777777777777</v>
      </c>
      <c r="I13" s="2">
        <v>144</v>
      </c>
      <c r="J13" s="12">
        <f>I13/Pondération!$J$9</f>
        <v>5.877551020408163E-2</v>
      </c>
    </row>
    <row r="14" spans="1:10" x14ac:dyDescent="0.25">
      <c r="A14" s="2" t="s">
        <v>77</v>
      </c>
      <c r="B14" s="2">
        <v>2014</v>
      </c>
      <c r="C14" s="2" t="s">
        <v>61</v>
      </c>
      <c r="D14" s="2" t="s">
        <v>8</v>
      </c>
      <c r="E14" s="2" t="s">
        <v>82</v>
      </c>
      <c r="F14" s="2" t="s">
        <v>98</v>
      </c>
      <c r="G14" s="2">
        <f t="shared" si="0"/>
        <v>0.17504980079681276</v>
      </c>
      <c r="H14" s="5">
        <v>4.2349397590361448</v>
      </c>
      <c r="I14" s="2">
        <v>166</v>
      </c>
      <c r="J14" s="12">
        <f>I14/Pondération!$I$9</f>
        <v>4.1334661354581671E-2</v>
      </c>
    </row>
    <row r="15" spans="1:10" x14ac:dyDescent="0.25">
      <c r="A15" s="2" t="s">
        <v>77</v>
      </c>
      <c r="B15" s="2">
        <v>2014</v>
      </c>
      <c r="C15" s="2" t="s">
        <v>62</v>
      </c>
      <c r="D15" s="2" t="s">
        <v>8</v>
      </c>
      <c r="E15" s="2" t="s">
        <v>82</v>
      </c>
      <c r="F15" s="2" t="s">
        <v>98</v>
      </c>
      <c r="G15" s="2">
        <f t="shared" si="0"/>
        <v>0.13794820717131473</v>
      </c>
      <c r="H15" s="5">
        <v>4.229007633587786</v>
      </c>
      <c r="I15" s="2">
        <v>131</v>
      </c>
      <c r="J15" s="12">
        <f>I15/Pondération!$I$9</f>
        <v>3.2619521912350596E-2</v>
      </c>
    </row>
    <row r="16" spans="1:10" x14ac:dyDescent="0.25">
      <c r="A16" s="2" t="s">
        <v>77</v>
      </c>
      <c r="B16" s="2">
        <v>2014</v>
      </c>
      <c r="C16" s="2" t="s">
        <v>63</v>
      </c>
      <c r="D16" s="2" t="s">
        <v>8</v>
      </c>
      <c r="E16" s="2" t="s">
        <v>82</v>
      </c>
      <c r="F16" s="2" t="s">
        <v>98</v>
      </c>
      <c r="G16" s="2">
        <f t="shared" si="0"/>
        <v>0.19945219123505975</v>
      </c>
      <c r="H16" s="5">
        <v>4.2157894736842101</v>
      </c>
      <c r="I16" s="2">
        <v>190</v>
      </c>
      <c r="J16" s="12">
        <f>I16/Pondération!$I$9</f>
        <v>4.7310756972111553E-2</v>
      </c>
    </row>
    <row r="17" spans="1:10" x14ac:dyDescent="0.25">
      <c r="A17" s="2" t="s">
        <v>77</v>
      </c>
      <c r="B17" s="2">
        <v>2014</v>
      </c>
      <c r="C17" s="2" t="s">
        <v>64</v>
      </c>
      <c r="D17" s="2" t="s">
        <v>8</v>
      </c>
      <c r="E17" s="2" t="s">
        <v>82</v>
      </c>
      <c r="F17" s="2" t="s">
        <v>98</v>
      </c>
      <c r="G17" s="2">
        <f t="shared" si="0"/>
        <v>0.27241035856573703</v>
      </c>
      <c r="H17" s="5">
        <v>4.1755725190839694</v>
      </c>
      <c r="I17" s="2">
        <v>262</v>
      </c>
      <c r="J17" s="12">
        <f>I17/Pondération!$I$9</f>
        <v>6.5239043824701193E-2</v>
      </c>
    </row>
    <row r="18" spans="1:10" x14ac:dyDescent="0.25">
      <c r="A18" s="2" t="s">
        <v>77</v>
      </c>
      <c r="B18" s="2">
        <v>2014</v>
      </c>
      <c r="C18" s="2" t="s">
        <v>65</v>
      </c>
      <c r="D18" s="2" t="s">
        <v>8</v>
      </c>
      <c r="E18" s="2" t="s">
        <v>82</v>
      </c>
      <c r="F18" s="2" t="s">
        <v>98</v>
      </c>
      <c r="G18" s="2">
        <f t="shared" si="0"/>
        <v>0.35433266932270913</v>
      </c>
      <c r="H18" s="5">
        <v>4.1366279069767442</v>
      </c>
      <c r="I18" s="2">
        <v>344</v>
      </c>
      <c r="J18" s="12">
        <f>I18/Pondération!$I$9</f>
        <v>8.565737051792828E-2</v>
      </c>
    </row>
    <row r="19" spans="1:10" x14ac:dyDescent="0.25">
      <c r="A19" s="2" t="s">
        <v>77</v>
      </c>
      <c r="B19" s="2">
        <v>2014</v>
      </c>
      <c r="C19" s="2" t="s">
        <v>66</v>
      </c>
      <c r="D19" s="2" t="s">
        <v>8</v>
      </c>
      <c r="E19" s="2" t="s">
        <v>82</v>
      </c>
      <c r="F19" s="2" t="s">
        <v>98</v>
      </c>
      <c r="G19" s="2">
        <f t="shared" si="0"/>
        <v>0.26543824701195218</v>
      </c>
      <c r="H19" s="5">
        <v>4.1968503937007871</v>
      </c>
      <c r="I19" s="2">
        <v>254</v>
      </c>
      <c r="J19" s="12">
        <f>I19/Pondération!$I$9</f>
        <v>6.3247011952191234E-2</v>
      </c>
    </row>
    <row r="20" spans="1:10" x14ac:dyDescent="0.25">
      <c r="A20" s="2" t="s">
        <v>77</v>
      </c>
      <c r="B20" s="2">
        <v>2014</v>
      </c>
      <c r="C20" s="2" t="s">
        <v>67</v>
      </c>
      <c r="D20" s="2" t="s">
        <v>8</v>
      </c>
      <c r="E20" s="2" t="s">
        <v>82</v>
      </c>
      <c r="F20" s="2" t="s">
        <v>98</v>
      </c>
      <c r="G20" s="2">
        <f t="shared" si="0"/>
        <v>0.47883466135458169</v>
      </c>
      <c r="H20" s="5">
        <v>4.1895424836601309</v>
      </c>
      <c r="I20" s="2">
        <v>459</v>
      </c>
      <c r="J20" s="12">
        <f>I20/Pondération!$I$9</f>
        <v>0.11429282868525896</v>
      </c>
    </row>
    <row r="21" spans="1:10" x14ac:dyDescent="0.25">
      <c r="A21" s="2" t="s">
        <v>77</v>
      </c>
      <c r="B21" s="2">
        <v>2014</v>
      </c>
      <c r="C21" s="2" t="s">
        <v>68</v>
      </c>
      <c r="D21" s="2" t="s">
        <v>8</v>
      </c>
      <c r="E21" s="2" t="s">
        <v>82</v>
      </c>
      <c r="F21" s="2" t="s">
        <v>98</v>
      </c>
      <c r="G21" s="2">
        <f t="shared" si="0"/>
        <v>1.0069721115537849</v>
      </c>
      <c r="H21" s="5">
        <v>4.221294363256785</v>
      </c>
      <c r="I21" s="2">
        <v>958</v>
      </c>
      <c r="J21" s="12">
        <f>I21/Pondération!$I$9</f>
        <v>0.23854581673306774</v>
      </c>
    </row>
    <row r="22" spans="1:10" x14ac:dyDescent="0.25">
      <c r="A22" s="2" t="s">
        <v>77</v>
      </c>
      <c r="B22" s="2">
        <v>2014</v>
      </c>
      <c r="C22" s="2" t="s">
        <v>69</v>
      </c>
      <c r="D22" s="2" t="s">
        <v>8</v>
      </c>
      <c r="E22" s="2" t="s">
        <v>82</v>
      </c>
      <c r="F22" s="2" t="s">
        <v>98</v>
      </c>
      <c r="G22" s="2">
        <f t="shared" si="0"/>
        <v>0.52066733067729076</v>
      </c>
      <c r="H22" s="5">
        <v>4.1987951807228914</v>
      </c>
      <c r="I22" s="2">
        <v>498</v>
      </c>
      <c r="J22" s="12">
        <f>I22/Pondération!$I$9</f>
        <v>0.12400398406374502</v>
      </c>
    </row>
    <row r="23" spans="1:10" x14ac:dyDescent="0.25">
      <c r="A23" s="2" t="s">
        <v>77</v>
      </c>
      <c r="B23" s="2">
        <v>2014</v>
      </c>
      <c r="C23" s="2" t="s">
        <v>70</v>
      </c>
      <c r="D23" s="2" t="s">
        <v>8</v>
      </c>
      <c r="E23" s="2" t="s">
        <v>82</v>
      </c>
      <c r="F23" s="2" t="s">
        <v>98</v>
      </c>
      <c r="G23" s="2">
        <f t="shared" si="0"/>
        <v>0.31573705179282868</v>
      </c>
      <c r="H23" s="5">
        <v>4.1986754966887414</v>
      </c>
      <c r="I23" s="2">
        <v>302</v>
      </c>
      <c r="J23" s="12">
        <f>I23/Pondération!$I$9</f>
        <v>7.5199203187250999E-2</v>
      </c>
    </row>
    <row r="24" spans="1:10" x14ac:dyDescent="0.25">
      <c r="A24" s="2" t="s">
        <v>77</v>
      </c>
      <c r="B24" s="2">
        <v>2014</v>
      </c>
      <c r="C24" s="2" t="s">
        <v>71</v>
      </c>
      <c r="D24" s="2" t="s">
        <v>8</v>
      </c>
      <c r="E24" s="2" t="s">
        <v>82</v>
      </c>
      <c r="F24" s="2" t="s">
        <v>98</v>
      </c>
      <c r="G24" s="2">
        <f t="shared" si="0"/>
        <v>0.25298804780876494</v>
      </c>
      <c r="H24" s="5">
        <v>4.1469387755102041</v>
      </c>
      <c r="I24" s="2">
        <v>245</v>
      </c>
      <c r="J24" s="12">
        <f>I24/Pondération!$I$9</f>
        <v>6.1005976095617531E-2</v>
      </c>
    </row>
    <row r="25" spans="1:10" x14ac:dyDescent="0.25">
      <c r="A25" s="2" t="s">
        <v>77</v>
      </c>
      <c r="B25" s="2">
        <v>2014</v>
      </c>
      <c r="C25" s="2" t="s">
        <v>72</v>
      </c>
      <c r="D25" s="2" t="s">
        <v>8</v>
      </c>
      <c r="E25" s="2" t="s">
        <v>82</v>
      </c>
      <c r="F25" s="2" t="s">
        <v>98</v>
      </c>
      <c r="G25" s="2">
        <f t="shared" si="0"/>
        <v>0.21762948207171318</v>
      </c>
      <c r="H25" s="5">
        <v>4.2222222222222223</v>
      </c>
      <c r="I25" s="2">
        <v>207</v>
      </c>
      <c r="J25" s="12">
        <f>I25/Pondération!$I$9</f>
        <v>5.1543824701195222E-2</v>
      </c>
    </row>
    <row r="26" spans="1:10" x14ac:dyDescent="0.25">
      <c r="A26" s="2" t="s">
        <v>77</v>
      </c>
      <c r="B26" s="2">
        <v>2015</v>
      </c>
      <c r="C26" s="2" t="s">
        <v>73</v>
      </c>
      <c r="D26" s="2" t="s">
        <v>8</v>
      </c>
      <c r="E26" s="2" t="s">
        <v>82</v>
      </c>
      <c r="F26" s="2" t="s">
        <v>98</v>
      </c>
      <c r="G26" s="2">
        <f t="shared" si="0"/>
        <v>0.1282606219387174</v>
      </c>
      <c r="H26" s="5">
        <v>4.2330827067669174</v>
      </c>
      <c r="I26" s="2">
        <v>266</v>
      </c>
      <c r="J26" s="12">
        <f>I26/Pondération!$H$9</f>
        <v>3.0299578539697003E-2</v>
      </c>
    </row>
    <row r="27" spans="1:10" x14ac:dyDescent="0.25">
      <c r="A27" s="2" t="s">
        <v>77</v>
      </c>
      <c r="B27" s="2">
        <v>2015</v>
      </c>
      <c r="C27" s="2" t="s">
        <v>74</v>
      </c>
      <c r="D27" s="2" t="s">
        <v>8</v>
      </c>
      <c r="E27" s="2" t="s">
        <v>82</v>
      </c>
      <c r="F27" s="2" t="s">
        <v>98</v>
      </c>
      <c r="G27" s="2">
        <f t="shared" si="0"/>
        <v>0.20731290579792691</v>
      </c>
      <c r="H27" s="5">
        <v>4.2227378190255225</v>
      </c>
      <c r="I27" s="2">
        <v>431</v>
      </c>
      <c r="J27" s="12">
        <f>I27/Pondération!$H$9</f>
        <v>4.9094429889509059E-2</v>
      </c>
    </row>
    <row r="28" spans="1:10" x14ac:dyDescent="0.25">
      <c r="A28" s="2" t="s">
        <v>77</v>
      </c>
      <c r="B28" s="2">
        <v>2015</v>
      </c>
      <c r="C28" s="2" t="s">
        <v>75</v>
      </c>
      <c r="D28" s="2" t="s">
        <v>8</v>
      </c>
      <c r="E28" s="2" t="s">
        <v>82</v>
      </c>
      <c r="F28" s="2" t="s">
        <v>98</v>
      </c>
      <c r="G28" s="2">
        <f t="shared" si="0"/>
        <v>0.2393211071876068</v>
      </c>
      <c r="H28" s="5">
        <v>4.2188755020080322</v>
      </c>
      <c r="I28" s="2">
        <v>498</v>
      </c>
      <c r="J28" s="12">
        <f>I28/Pondération!$H$9</f>
        <v>5.6726278619432739E-2</v>
      </c>
    </row>
    <row r="29" spans="1:10" x14ac:dyDescent="0.25">
      <c r="A29" s="2" t="s">
        <v>77</v>
      </c>
      <c r="B29" s="2">
        <v>2015</v>
      </c>
      <c r="C29" s="2" t="s">
        <v>76</v>
      </c>
      <c r="D29" s="2" t="s">
        <v>8</v>
      </c>
      <c r="E29" s="2" t="s">
        <v>82</v>
      </c>
      <c r="F29" s="2" t="s">
        <v>98</v>
      </c>
      <c r="G29" s="2">
        <f t="shared" si="0"/>
        <v>0.20902152864790979</v>
      </c>
      <c r="H29" s="5">
        <v>4.1799544419134396</v>
      </c>
      <c r="I29" s="2">
        <v>439</v>
      </c>
      <c r="J29" s="12">
        <f>I29/Pondération!$H$9</f>
        <v>5.0005695409499944E-2</v>
      </c>
    </row>
    <row r="30" spans="1:10" x14ac:dyDescent="0.25">
      <c r="A30" s="2" t="s">
        <v>77</v>
      </c>
      <c r="B30" s="2">
        <v>2015</v>
      </c>
      <c r="C30" s="2" t="s">
        <v>7</v>
      </c>
      <c r="D30" s="2" t="s">
        <v>8</v>
      </c>
      <c r="E30" s="2" t="s">
        <v>82</v>
      </c>
      <c r="F30" s="2" t="s">
        <v>98</v>
      </c>
      <c r="G30" s="2">
        <f t="shared" si="0"/>
        <v>0.30914682765690854</v>
      </c>
      <c r="H30" s="5">
        <v>4.1689708141321047</v>
      </c>
      <c r="I30" s="2">
        <v>651</v>
      </c>
      <c r="J30" s="12">
        <f>I30/Pondération!$H$9</f>
        <v>7.4154231689258457E-2</v>
      </c>
    </row>
    <row r="31" spans="1:10" x14ac:dyDescent="0.25">
      <c r="A31" s="2" t="s">
        <v>77</v>
      </c>
      <c r="B31" s="2">
        <v>2015</v>
      </c>
      <c r="C31" s="2" t="s">
        <v>11</v>
      </c>
      <c r="D31" s="2" t="s">
        <v>8</v>
      </c>
      <c r="E31" s="2" t="s">
        <v>82</v>
      </c>
      <c r="F31" s="2" t="s">
        <v>98</v>
      </c>
      <c r="G31" s="2">
        <f t="shared" si="0"/>
        <v>0.27315183961726847</v>
      </c>
      <c r="H31" s="5">
        <v>4.1849912739965092</v>
      </c>
      <c r="I31" s="2">
        <v>573</v>
      </c>
      <c r="J31" s="12">
        <f>I31/Pondération!$H$9</f>
        <v>6.5269392869347312E-2</v>
      </c>
    </row>
    <row r="32" spans="1:10" x14ac:dyDescent="0.25">
      <c r="A32" s="2" t="s">
        <v>77</v>
      </c>
      <c r="B32" s="2">
        <v>2015</v>
      </c>
      <c r="C32" s="2" t="s">
        <v>12</v>
      </c>
      <c r="D32" s="2" t="s">
        <v>8</v>
      </c>
      <c r="E32" s="2" t="s">
        <v>82</v>
      </c>
      <c r="F32" s="2" t="s">
        <v>98</v>
      </c>
      <c r="G32" s="2">
        <f t="shared" si="0"/>
        <v>0.64677070281353222</v>
      </c>
      <c r="H32" s="5">
        <v>4.1935007385524372</v>
      </c>
      <c r="I32" s="2">
        <v>1354</v>
      </c>
      <c r="J32" s="12">
        <f>I32/Pondération!$H$9</f>
        <v>0.15423168925845768</v>
      </c>
    </row>
    <row r="33" spans="1:10" x14ac:dyDescent="0.25">
      <c r="A33" s="2" t="s">
        <v>77</v>
      </c>
      <c r="B33" s="2">
        <v>2015</v>
      </c>
      <c r="C33" s="2" t="s">
        <v>13</v>
      </c>
      <c r="D33" s="2" t="s">
        <v>8</v>
      </c>
      <c r="E33" s="2" t="s">
        <v>82</v>
      </c>
      <c r="F33" s="2" t="s">
        <v>98</v>
      </c>
      <c r="G33" s="2">
        <f t="shared" si="0"/>
        <v>1.0165166875498348</v>
      </c>
      <c r="H33" s="5">
        <v>4.2034856335374471</v>
      </c>
      <c r="I33" s="2">
        <v>2123</v>
      </c>
      <c r="J33" s="12">
        <f>I33/Pondération!$H$9</f>
        <v>0.24182708736758174</v>
      </c>
    </row>
    <row r="34" spans="1:10" x14ac:dyDescent="0.25">
      <c r="A34" s="2" t="s">
        <v>77</v>
      </c>
      <c r="B34" s="2">
        <v>2015</v>
      </c>
      <c r="C34" s="2" t="s">
        <v>14</v>
      </c>
      <c r="D34" s="2" t="s">
        <v>8</v>
      </c>
      <c r="E34" s="2" t="s">
        <v>82</v>
      </c>
      <c r="F34" s="2" t="s">
        <v>98</v>
      </c>
      <c r="G34" s="2">
        <f t="shared" si="0"/>
        <v>0.47533887686524662</v>
      </c>
      <c r="H34" s="5">
        <v>4.2194135490394338</v>
      </c>
      <c r="I34" s="2">
        <v>989</v>
      </c>
      <c r="J34" s="12">
        <f>I34/Pondération!$H$9</f>
        <v>0.11265519990887345</v>
      </c>
    </row>
    <row r="35" spans="1:10" x14ac:dyDescent="0.25">
      <c r="A35" s="2" t="s">
        <v>77</v>
      </c>
      <c r="B35" s="2">
        <v>2015</v>
      </c>
      <c r="C35" s="2" t="s">
        <v>15</v>
      </c>
      <c r="D35" s="2" t="s">
        <v>8</v>
      </c>
      <c r="E35" s="2" t="s">
        <v>82</v>
      </c>
      <c r="F35" s="2" t="s">
        <v>98</v>
      </c>
      <c r="G35" s="2">
        <f t="shared" si="0"/>
        <v>0.27451873789725484</v>
      </c>
      <c r="H35" s="5">
        <v>4.1986062717770034</v>
      </c>
      <c r="I35" s="2">
        <v>574</v>
      </c>
      <c r="J35" s="12">
        <f>I35/Pondération!$H$9</f>
        <v>6.5383301059346172E-2</v>
      </c>
    </row>
    <row r="36" spans="1:10" x14ac:dyDescent="0.25">
      <c r="A36" s="2" t="s">
        <v>77</v>
      </c>
      <c r="B36" s="2">
        <v>2015</v>
      </c>
      <c r="C36" s="2" t="s">
        <v>16</v>
      </c>
      <c r="D36" s="2" t="s">
        <v>8</v>
      </c>
      <c r="E36" s="2" t="s">
        <v>82</v>
      </c>
      <c r="F36" s="2" t="s">
        <v>98</v>
      </c>
      <c r="G36" s="2">
        <f t="shared" si="0"/>
        <v>0.20697118122793026</v>
      </c>
      <c r="H36" s="5">
        <v>4.1674311926605503</v>
      </c>
      <c r="I36" s="2">
        <v>436</v>
      </c>
      <c r="J36" s="12">
        <f>I36/Pondération!$H$9</f>
        <v>4.9663970839503357E-2</v>
      </c>
    </row>
    <row r="37" spans="1:10" x14ac:dyDescent="0.25">
      <c r="A37" s="2" t="s">
        <v>77</v>
      </c>
      <c r="B37" s="2">
        <v>2015</v>
      </c>
      <c r="C37" s="2" t="s">
        <v>17</v>
      </c>
      <c r="D37" s="2" t="s">
        <v>8</v>
      </c>
      <c r="E37" s="2" t="s">
        <v>82</v>
      </c>
      <c r="F37" s="2" t="s">
        <v>98</v>
      </c>
      <c r="G37" s="2">
        <f t="shared" si="0"/>
        <v>0.21300831529786993</v>
      </c>
      <c r="H37" s="5">
        <v>4.202247191011236</v>
      </c>
      <c r="I37" s="2">
        <v>445</v>
      </c>
      <c r="J37" s="12">
        <f>I37/Pondération!$H$9</f>
        <v>5.0689144549493109E-2</v>
      </c>
    </row>
    <row r="38" spans="1:10" x14ac:dyDescent="0.25">
      <c r="A38" s="2" t="s">
        <v>77</v>
      </c>
      <c r="B38" s="2">
        <v>2016</v>
      </c>
      <c r="C38" s="2" t="s">
        <v>18</v>
      </c>
      <c r="D38" s="2" t="s">
        <v>8</v>
      </c>
      <c r="E38" s="2" t="s">
        <v>82</v>
      </c>
      <c r="F38" s="2" t="s">
        <v>98</v>
      </c>
      <c r="G38" s="2">
        <f t="shared" si="0"/>
        <v>0.17192932661605054</v>
      </c>
      <c r="H38" s="5">
        <v>4.2286212914485164</v>
      </c>
      <c r="I38" s="2">
        <v>573</v>
      </c>
      <c r="J38" s="12">
        <f>I38/Pondération!$G$9</f>
        <v>4.0658482934790324E-2</v>
      </c>
    </row>
    <row r="39" spans="1:10" x14ac:dyDescent="0.25">
      <c r="A39" s="2" t="s">
        <v>77</v>
      </c>
      <c r="B39" s="2">
        <v>2016</v>
      </c>
      <c r="C39" s="2" t="s">
        <v>19</v>
      </c>
      <c r="D39" s="2" t="s">
        <v>8</v>
      </c>
      <c r="E39" s="2" t="s">
        <v>82</v>
      </c>
      <c r="F39" s="2" t="s">
        <v>98</v>
      </c>
      <c r="G39" s="2">
        <f t="shared" si="0"/>
        <v>0.30390974242531754</v>
      </c>
      <c r="H39" s="5">
        <v>4.1785365853658538</v>
      </c>
      <c r="I39" s="2">
        <v>1025</v>
      </c>
      <c r="J39" s="12">
        <f>I39/Pondération!$G$9</f>
        <v>7.2731143120698213E-2</v>
      </c>
    </row>
    <row r="40" spans="1:10" x14ac:dyDescent="0.25">
      <c r="A40" s="2" t="s">
        <v>77</v>
      </c>
      <c r="B40" s="2">
        <v>2016</v>
      </c>
      <c r="C40" s="2" t="s">
        <v>20</v>
      </c>
      <c r="D40" s="2" t="s">
        <v>8</v>
      </c>
      <c r="E40" s="2" t="s">
        <v>82</v>
      </c>
      <c r="F40" s="2" t="s">
        <v>98</v>
      </c>
      <c r="G40" s="2">
        <f t="shared" si="0"/>
        <v>0.30461931455332431</v>
      </c>
      <c r="H40" s="5">
        <v>4.1801363193768255</v>
      </c>
      <c r="I40" s="2">
        <v>1027</v>
      </c>
      <c r="J40" s="12">
        <f>I40/Pondération!$G$9</f>
        <v>7.287305754629958E-2</v>
      </c>
    </row>
    <row r="41" spans="1:10" x14ac:dyDescent="0.25">
      <c r="A41" s="2" t="s">
        <v>77</v>
      </c>
      <c r="B41" s="2">
        <v>2016</v>
      </c>
      <c r="C41" s="2" t="s">
        <v>21</v>
      </c>
      <c r="D41" s="2" t="s">
        <v>8</v>
      </c>
      <c r="E41" s="2" t="s">
        <v>82</v>
      </c>
      <c r="F41" s="2" t="s">
        <v>98</v>
      </c>
      <c r="G41" s="2">
        <f t="shared" si="0"/>
        <v>0.29106648690839421</v>
      </c>
      <c r="H41" s="5">
        <v>4.1434343434343432</v>
      </c>
      <c r="I41" s="2">
        <v>990</v>
      </c>
      <c r="J41" s="12">
        <f>I41/Pondération!$G$9</f>
        <v>7.0247640672674375E-2</v>
      </c>
    </row>
    <row r="42" spans="1:10" x14ac:dyDescent="0.25">
      <c r="A42" s="2" t="s">
        <v>77</v>
      </c>
      <c r="B42" s="2">
        <v>2016</v>
      </c>
      <c r="C42" s="2" t="s">
        <v>22</v>
      </c>
      <c r="D42" s="2" t="s">
        <v>8</v>
      </c>
      <c r="E42" s="2" t="s">
        <v>82</v>
      </c>
      <c r="F42" s="2" t="s">
        <v>98</v>
      </c>
      <c r="G42" s="2">
        <f t="shared" si="0"/>
        <v>0.30802526076775705</v>
      </c>
      <c r="H42" s="5">
        <v>4.1620325982742088</v>
      </c>
      <c r="I42" s="2">
        <v>1043</v>
      </c>
      <c r="J42" s="12">
        <f>I42/Pondération!$G$9</f>
        <v>7.4008372951110485E-2</v>
      </c>
    </row>
    <row r="43" spans="1:10" x14ac:dyDescent="0.25">
      <c r="A43" s="2" t="s">
        <v>77</v>
      </c>
      <c r="B43" s="2">
        <v>2016</v>
      </c>
      <c r="C43" s="2" t="s">
        <v>23</v>
      </c>
      <c r="D43" s="2" t="s">
        <v>8</v>
      </c>
      <c r="E43" s="2" t="s">
        <v>82</v>
      </c>
      <c r="F43" s="2" t="s">
        <v>98</v>
      </c>
      <c r="G43" s="2">
        <f t="shared" si="0"/>
        <v>0.23025615553821044</v>
      </c>
      <c r="H43" s="5">
        <v>4.1925064599483202</v>
      </c>
      <c r="I43" s="2">
        <v>774</v>
      </c>
      <c r="J43" s="12">
        <f>I43/Pondération!$G$9</f>
        <v>5.4920882707727242E-2</v>
      </c>
    </row>
    <row r="44" spans="1:10" x14ac:dyDescent="0.25">
      <c r="A44" s="2" t="s">
        <v>77</v>
      </c>
      <c r="B44" s="2">
        <v>2016</v>
      </c>
      <c r="C44" s="2" t="s">
        <v>24</v>
      </c>
      <c r="D44" s="2" t="s">
        <v>8</v>
      </c>
      <c r="E44" s="2" t="s">
        <v>82</v>
      </c>
      <c r="F44" s="2" t="s">
        <v>98</v>
      </c>
      <c r="G44" s="2">
        <f t="shared" si="0"/>
        <v>0.53558504221954162</v>
      </c>
      <c r="H44" s="5">
        <v>4.2050139275766014</v>
      </c>
      <c r="I44" s="2">
        <v>1795</v>
      </c>
      <c r="J44" s="12">
        <f>I44/Pondération!$G$9</f>
        <v>0.12736819697722274</v>
      </c>
    </row>
    <row r="45" spans="1:10" x14ac:dyDescent="0.25">
      <c r="A45" s="2" t="s">
        <v>77</v>
      </c>
      <c r="B45" s="2">
        <v>2016</v>
      </c>
      <c r="C45" s="2" t="s">
        <v>25</v>
      </c>
      <c r="D45" s="2" t="s">
        <v>8</v>
      </c>
      <c r="E45" s="2" t="s">
        <v>82</v>
      </c>
      <c r="F45" s="2" t="s">
        <v>98</v>
      </c>
      <c r="G45" s="2">
        <f t="shared" si="0"/>
        <v>1.0202228056481941</v>
      </c>
      <c r="H45" s="5">
        <v>4.1845168800931312</v>
      </c>
      <c r="I45" s="2">
        <v>3436</v>
      </c>
      <c r="J45" s="12">
        <f>I45/Pondération!$G$9</f>
        <v>0.24380898318314057</v>
      </c>
    </row>
    <row r="46" spans="1:10" x14ac:dyDescent="0.25">
      <c r="A46" s="2" t="s">
        <v>77</v>
      </c>
      <c r="B46" s="2">
        <v>2016</v>
      </c>
      <c r="C46" s="2" t="s">
        <v>26</v>
      </c>
      <c r="D46" s="2" t="s">
        <v>8</v>
      </c>
      <c r="E46" s="2" t="s">
        <v>82</v>
      </c>
      <c r="F46" s="2" t="s">
        <v>98</v>
      </c>
      <c r="G46" s="2">
        <f t="shared" si="0"/>
        <v>0.40388845526147732</v>
      </c>
      <c r="H46" s="5">
        <v>4.2288261515601784</v>
      </c>
      <c r="I46" s="2">
        <v>1346</v>
      </c>
      <c r="J46" s="12">
        <f>I46/Pondération!$G$9</f>
        <v>9.5508408429716876E-2</v>
      </c>
    </row>
    <row r="47" spans="1:10" x14ac:dyDescent="0.25">
      <c r="A47" s="2" t="s">
        <v>77</v>
      </c>
      <c r="B47" s="2">
        <v>2016</v>
      </c>
      <c r="C47" s="2" t="s">
        <v>27</v>
      </c>
      <c r="D47" s="2" t="s">
        <v>8</v>
      </c>
      <c r="E47" s="2" t="s">
        <v>82</v>
      </c>
      <c r="F47" s="2" t="s">
        <v>98</v>
      </c>
      <c r="G47" s="2">
        <f t="shared" si="0"/>
        <v>0.24466046973674874</v>
      </c>
      <c r="H47" s="5">
        <v>4.1793939393939397</v>
      </c>
      <c r="I47" s="2">
        <v>825</v>
      </c>
      <c r="J47" s="12">
        <f>I47/Pondération!$G$9</f>
        <v>5.8539700560561979E-2</v>
      </c>
    </row>
    <row r="48" spans="1:10" x14ac:dyDescent="0.25">
      <c r="A48" s="2" t="s">
        <v>77</v>
      </c>
      <c r="B48" s="2">
        <v>2016</v>
      </c>
      <c r="C48" s="2" t="s">
        <v>28</v>
      </c>
      <c r="D48" s="2" t="s">
        <v>8</v>
      </c>
      <c r="E48" s="2" t="s">
        <v>82</v>
      </c>
      <c r="F48" s="2" t="s">
        <v>98</v>
      </c>
      <c r="G48" s="2">
        <f t="shared" si="0"/>
        <v>0.210104307102817</v>
      </c>
      <c r="H48" s="5">
        <v>4.2059659090909092</v>
      </c>
      <c r="I48" s="2">
        <v>704</v>
      </c>
      <c r="J48" s="12">
        <f>I48/Pondération!$G$9</f>
        <v>4.9953877811679558E-2</v>
      </c>
    </row>
    <row r="49" spans="1:10" x14ac:dyDescent="0.25">
      <c r="A49" s="2" t="s">
        <v>77</v>
      </c>
      <c r="B49" s="2">
        <v>2016</v>
      </c>
      <c r="C49" s="2" t="s">
        <v>29</v>
      </c>
      <c r="D49" s="2" t="s">
        <v>8</v>
      </c>
      <c r="E49" s="2" t="s">
        <v>82</v>
      </c>
      <c r="F49" s="2" t="s">
        <v>98</v>
      </c>
      <c r="G49" s="2">
        <f t="shared" si="0"/>
        <v>0.16469169091038105</v>
      </c>
      <c r="H49" s="5">
        <v>4.1819819819819823</v>
      </c>
      <c r="I49" s="2">
        <v>555</v>
      </c>
      <c r="J49" s="12">
        <f>I49/Pondération!$G$9</f>
        <v>3.938125310437806E-2</v>
      </c>
    </row>
    <row r="50" spans="1:10" x14ac:dyDescent="0.25">
      <c r="A50" s="2" t="s">
        <v>77</v>
      </c>
      <c r="B50" s="2">
        <v>2017</v>
      </c>
      <c r="C50" s="2" t="s">
        <v>30</v>
      </c>
      <c r="D50" s="2" t="s">
        <v>8</v>
      </c>
      <c r="E50" s="2" t="s">
        <v>82</v>
      </c>
      <c r="F50" s="2" t="s">
        <v>98</v>
      </c>
      <c r="G50" s="2">
        <f t="shared" si="0"/>
        <v>0.61137863385054403</v>
      </c>
      <c r="H50" s="5">
        <v>4.190709046454768</v>
      </c>
      <c r="I50" s="2">
        <v>818</v>
      </c>
      <c r="J50" s="12">
        <f>I50/Pondération!$F$9</f>
        <v>0.14588906723738185</v>
      </c>
    </row>
    <row r="51" spans="1:10" x14ac:dyDescent="0.25">
      <c r="A51" s="2" t="s">
        <v>77</v>
      </c>
      <c r="B51" s="2">
        <v>2017</v>
      </c>
      <c r="C51" s="2" t="s">
        <v>31</v>
      </c>
      <c r="D51" s="2" t="s">
        <v>8</v>
      </c>
      <c r="E51" s="2" t="s">
        <v>82</v>
      </c>
      <c r="F51" s="2" t="s">
        <v>98</v>
      </c>
      <c r="G51" s="2">
        <f t="shared" si="0"/>
        <v>0.87854467629748523</v>
      </c>
      <c r="H51" s="5">
        <v>4.171041490262489</v>
      </c>
      <c r="I51" s="2">
        <v>1181</v>
      </c>
      <c r="J51" s="12">
        <f>I51/Pondération!$F$9</f>
        <v>0.21062957018013198</v>
      </c>
    </row>
    <row r="52" spans="1:10" x14ac:dyDescent="0.25">
      <c r="A52" s="2" t="s">
        <v>77</v>
      </c>
      <c r="B52" s="2">
        <v>2017</v>
      </c>
      <c r="C52" s="2" t="s">
        <v>32</v>
      </c>
      <c r="D52" s="2" t="s">
        <v>8</v>
      </c>
      <c r="E52" s="2" t="s">
        <v>82</v>
      </c>
      <c r="F52" s="2" t="s">
        <v>98</v>
      </c>
      <c r="G52" s="2">
        <f t="shared" si="0"/>
        <v>0.78419832352416619</v>
      </c>
      <c r="H52" s="5">
        <v>4.1796577946768059</v>
      </c>
      <c r="I52" s="2">
        <v>1052</v>
      </c>
      <c r="J52" s="12">
        <f>I52/Pondération!$F$9</f>
        <v>0.18762261458890672</v>
      </c>
    </row>
    <row r="53" spans="1:10" x14ac:dyDescent="0.25">
      <c r="A53" s="2" t="s">
        <v>77</v>
      </c>
      <c r="B53" s="2">
        <v>2017</v>
      </c>
      <c r="C53" s="2" t="s">
        <v>33</v>
      </c>
      <c r="D53" s="2" t="s">
        <v>8</v>
      </c>
      <c r="E53" s="2" t="s">
        <v>82</v>
      </c>
      <c r="F53" s="2" t="s">
        <v>98</v>
      </c>
      <c r="G53" s="2">
        <f t="shared" si="0"/>
        <v>0.82075976457998934</v>
      </c>
      <c r="H53" s="5">
        <v>4.1989051094890515</v>
      </c>
      <c r="I53" s="2">
        <v>1096</v>
      </c>
      <c r="J53" s="12">
        <f>I53/Pondération!$F$9</f>
        <v>0.19546994827893704</v>
      </c>
    </row>
    <row r="54" spans="1:10" x14ac:dyDescent="0.25">
      <c r="A54" s="2" t="s">
        <v>77</v>
      </c>
      <c r="B54" s="2">
        <v>2017</v>
      </c>
      <c r="C54" s="2" t="s">
        <v>34</v>
      </c>
      <c r="D54" s="2" t="s">
        <v>8</v>
      </c>
      <c r="E54" s="2" t="s">
        <v>82</v>
      </c>
      <c r="F54" s="2" t="s">
        <v>98</v>
      </c>
      <c r="G54" s="2">
        <f t="shared" si="0"/>
        <v>0.7617264134118068</v>
      </c>
      <c r="H54" s="5">
        <v>4.1831537708129289</v>
      </c>
      <c r="I54" s="2">
        <v>1021</v>
      </c>
      <c r="J54" s="12">
        <f>I54/Pondération!$F$9</f>
        <v>0.18209381130729446</v>
      </c>
    </row>
    <row r="55" spans="1:10" x14ac:dyDescent="0.25">
      <c r="A55" s="2" t="s">
        <v>77</v>
      </c>
      <c r="B55" s="2">
        <v>2017</v>
      </c>
      <c r="C55" s="2" t="s">
        <v>80</v>
      </c>
      <c r="D55" s="2" t="s">
        <v>8</v>
      </c>
      <c r="E55" s="2" t="s">
        <v>82</v>
      </c>
      <c r="F55" s="2" t="s">
        <v>98</v>
      </c>
      <c r="G55" s="2">
        <f t="shared" si="0"/>
        <v>0.32869627251649725</v>
      </c>
      <c r="H55" s="5">
        <v>4.1981776765375853</v>
      </c>
      <c r="I55" s="2">
        <v>439</v>
      </c>
      <c r="J55" s="12">
        <f>I55/Pondération!$F$9</f>
        <v>7.8294988407347957E-2</v>
      </c>
    </row>
    <row r="56" spans="1:10" x14ac:dyDescent="0.25">
      <c r="A56" s="2" t="s">
        <v>77</v>
      </c>
      <c r="B56" s="2">
        <v>2013</v>
      </c>
      <c r="C56" s="2" t="s">
        <v>49</v>
      </c>
      <c r="D56" s="2" t="s">
        <v>35</v>
      </c>
      <c r="E56" s="2" t="s">
        <v>82</v>
      </c>
      <c r="F56" s="2" t="s">
        <v>98</v>
      </c>
      <c r="G56" s="2">
        <f t="shared" si="0"/>
        <v>0.12797167425392009</v>
      </c>
      <c r="H56" s="5">
        <v>4.1475409836065573</v>
      </c>
      <c r="I56" s="2">
        <v>61</v>
      </c>
      <c r="J56" s="12">
        <f>I56/Pondération!$J$22</f>
        <v>3.0854830551340414E-2</v>
      </c>
    </row>
    <row r="57" spans="1:10" x14ac:dyDescent="0.25">
      <c r="A57" s="2" t="s">
        <v>77</v>
      </c>
      <c r="B57" s="2">
        <v>2013</v>
      </c>
      <c r="C57" s="2" t="s">
        <v>50</v>
      </c>
      <c r="D57" s="2" t="s">
        <v>35</v>
      </c>
      <c r="E57" s="2" t="s">
        <v>82</v>
      </c>
      <c r="F57" s="2" t="s">
        <v>98</v>
      </c>
      <c r="G57" s="2">
        <f t="shared" si="0"/>
        <v>0.15730905412240767</v>
      </c>
      <c r="H57" s="5">
        <v>4.1466666666666665</v>
      </c>
      <c r="I57" s="2">
        <v>75</v>
      </c>
      <c r="J57" s="12">
        <f>I57/Pondération!$J$22</f>
        <v>3.7936267071320182E-2</v>
      </c>
    </row>
    <row r="58" spans="1:10" x14ac:dyDescent="0.25">
      <c r="A58" s="2" t="s">
        <v>77</v>
      </c>
      <c r="B58" s="2">
        <v>2013</v>
      </c>
      <c r="C58" s="2" t="s">
        <v>51</v>
      </c>
      <c r="D58" s="2" t="s">
        <v>35</v>
      </c>
      <c r="E58" s="2" t="s">
        <v>82</v>
      </c>
      <c r="F58" s="2" t="s">
        <v>98</v>
      </c>
      <c r="G58" s="2">
        <f t="shared" si="0"/>
        <v>0.1638846737481032</v>
      </c>
      <c r="H58" s="5">
        <v>4.2077922077922079</v>
      </c>
      <c r="I58" s="2">
        <v>77</v>
      </c>
      <c r="J58" s="12">
        <f>I58/Pondération!$J$22</f>
        <v>3.8947900859888723E-2</v>
      </c>
    </row>
    <row r="59" spans="1:10" x14ac:dyDescent="0.25">
      <c r="A59" s="2" t="s">
        <v>77</v>
      </c>
      <c r="B59" s="2">
        <v>2013</v>
      </c>
      <c r="C59" s="2" t="s">
        <v>52</v>
      </c>
      <c r="D59" s="2" t="s">
        <v>35</v>
      </c>
      <c r="E59" s="2" t="s">
        <v>82</v>
      </c>
      <c r="F59" s="2" t="s">
        <v>98</v>
      </c>
      <c r="G59" s="2">
        <f t="shared" si="0"/>
        <v>0.36368234699038943</v>
      </c>
      <c r="H59" s="5">
        <v>4.1321839080459766</v>
      </c>
      <c r="I59" s="2">
        <v>174</v>
      </c>
      <c r="J59" s="12">
        <f>I59/Pondération!$J$22</f>
        <v>8.8012139605462822E-2</v>
      </c>
    </row>
    <row r="60" spans="1:10" x14ac:dyDescent="0.25">
      <c r="A60" s="2" t="s">
        <v>77</v>
      </c>
      <c r="B60" s="2">
        <v>2013</v>
      </c>
      <c r="C60" s="2" t="s">
        <v>53</v>
      </c>
      <c r="D60" s="2" t="s">
        <v>35</v>
      </c>
      <c r="E60" s="2" t="s">
        <v>82</v>
      </c>
      <c r="F60" s="2" t="s">
        <v>98</v>
      </c>
      <c r="G60" s="2">
        <f t="shared" si="0"/>
        <v>0.43095599393019729</v>
      </c>
      <c r="H60" s="5">
        <v>4.217821782178218</v>
      </c>
      <c r="I60" s="2">
        <v>202</v>
      </c>
      <c r="J60" s="12">
        <f>I60/Pondération!$J$22</f>
        <v>0.10217501264542236</v>
      </c>
    </row>
    <row r="61" spans="1:10" x14ac:dyDescent="0.25">
      <c r="A61" s="2" t="s">
        <v>77</v>
      </c>
      <c r="B61" s="2">
        <v>2013</v>
      </c>
      <c r="C61" s="2" t="s">
        <v>54</v>
      </c>
      <c r="D61" s="2" t="s">
        <v>35</v>
      </c>
      <c r="E61" s="2" t="s">
        <v>82</v>
      </c>
      <c r="F61" s="2" t="s">
        <v>98</v>
      </c>
      <c r="G61" s="2">
        <f t="shared" si="0"/>
        <v>0.26555386949924131</v>
      </c>
      <c r="H61" s="5">
        <v>4.2</v>
      </c>
      <c r="I61" s="2">
        <v>125</v>
      </c>
      <c r="J61" s="12">
        <f>I61/Pondération!$J$22</f>
        <v>6.3227111785533641E-2</v>
      </c>
    </row>
    <row r="62" spans="1:10" x14ac:dyDescent="0.25">
      <c r="A62" s="2" t="s">
        <v>77</v>
      </c>
      <c r="B62" s="2">
        <v>2013</v>
      </c>
      <c r="C62" s="2" t="s">
        <v>55</v>
      </c>
      <c r="D62" s="2" t="s">
        <v>35</v>
      </c>
      <c r="E62" s="2" t="s">
        <v>82</v>
      </c>
      <c r="F62" s="2" t="s">
        <v>98</v>
      </c>
      <c r="G62" s="2">
        <f t="shared" si="0"/>
        <v>0.54729387961557918</v>
      </c>
      <c r="H62" s="5">
        <v>4.1140684410646386</v>
      </c>
      <c r="I62" s="2">
        <v>263</v>
      </c>
      <c r="J62" s="12">
        <f>I62/Pondération!$J$22</f>
        <v>0.13302984319676278</v>
      </c>
    </row>
    <row r="63" spans="1:10" x14ac:dyDescent="0.25">
      <c r="A63" s="2" t="s">
        <v>77</v>
      </c>
      <c r="B63" s="2">
        <v>2013</v>
      </c>
      <c r="C63" s="2" t="s">
        <v>56</v>
      </c>
      <c r="D63" s="2" t="s">
        <v>35</v>
      </c>
      <c r="E63" s="2" t="s">
        <v>82</v>
      </c>
      <c r="F63" s="2" t="s">
        <v>98</v>
      </c>
      <c r="G63" s="2">
        <f t="shared" si="0"/>
        <v>0.76580677794638341</v>
      </c>
      <c r="H63" s="5">
        <v>4.1366120218579239</v>
      </c>
      <c r="I63" s="2">
        <v>366</v>
      </c>
      <c r="J63" s="12">
        <f>I63/Pondération!$J$22</f>
        <v>0.18512898330804248</v>
      </c>
    </row>
    <row r="64" spans="1:10" x14ac:dyDescent="0.25">
      <c r="A64" s="2" t="s">
        <v>77</v>
      </c>
      <c r="B64" s="2">
        <v>2013</v>
      </c>
      <c r="C64" s="2" t="s">
        <v>57</v>
      </c>
      <c r="D64" s="2" t="s">
        <v>35</v>
      </c>
      <c r="E64" s="2" t="s">
        <v>82</v>
      </c>
      <c r="F64" s="2" t="s">
        <v>98</v>
      </c>
      <c r="G64" s="2">
        <f t="shared" si="0"/>
        <v>0.43651997976732421</v>
      </c>
      <c r="H64" s="5">
        <v>4.1690821256038646</v>
      </c>
      <c r="I64" s="2">
        <v>207</v>
      </c>
      <c r="J64" s="12">
        <f>I64/Pondération!$J$22</f>
        <v>0.1047040971168437</v>
      </c>
    </row>
    <row r="65" spans="1:10" x14ac:dyDescent="0.25">
      <c r="A65" s="2" t="s">
        <v>77</v>
      </c>
      <c r="B65" s="2">
        <v>2013</v>
      </c>
      <c r="C65" s="2" t="s">
        <v>58</v>
      </c>
      <c r="D65" s="2" t="s">
        <v>35</v>
      </c>
      <c r="E65" s="2" t="s">
        <v>82</v>
      </c>
      <c r="F65" s="2" t="s">
        <v>98</v>
      </c>
      <c r="G65" s="2">
        <f t="shared" si="0"/>
        <v>0.40263024785027818</v>
      </c>
      <c r="H65" s="5">
        <v>4.2340425531914896</v>
      </c>
      <c r="I65" s="2">
        <v>188</v>
      </c>
      <c r="J65" s="12">
        <f>I65/Pondération!$J$22</f>
        <v>9.5093576125442586E-2</v>
      </c>
    </row>
    <row r="66" spans="1:10" x14ac:dyDescent="0.25">
      <c r="A66" s="2" t="s">
        <v>77</v>
      </c>
      <c r="B66" s="2">
        <v>2013</v>
      </c>
      <c r="C66" s="2" t="s">
        <v>59</v>
      </c>
      <c r="D66" s="2" t="s">
        <v>35</v>
      </c>
      <c r="E66" s="2" t="s">
        <v>82</v>
      </c>
      <c r="F66" s="2" t="s">
        <v>98</v>
      </c>
      <c r="G66" s="2">
        <f t="shared" si="0"/>
        <v>0.25594334850784017</v>
      </c>
      <c r="H66" s="5">
        <v>4.2521008403361344</v>
      </c>
      <c r="I66" s="2">
        <v>119</v>
      </c>
      <c r="J66" s="12">
        <f>I66/Pondération!$J$22</f>
        <v>6.0192210419828023E-2</v>
      </c>
    </row>
    <row r="67" spans="1:10" x14ac:dyDescent="0.25">
      <c r="A67" s="2" t="s">
        <v>77</v>
      </c>
      <c r="B67" s="2">
        <v>2013</v>
      </c>
      <c r="C67" s="2" t="s">
        <v>60</v>
      </c>
      <c r="D67" s="2" t="s">
        <v>35</v>
      </c>
      <c r="E67" s="2" t="s">
        <v>82</v>
      </c>
      <c r="F67" s="2" t="s">
        <v>98</v>
      </c>
      <c r="G67" s="2">
        <f t="shared" ref="G67:G130" si="1">H67*J67</f>
        <v>0.25088517956499751</v>
      </c>
      <c r="H67" s="5">
        <v>4.1333333333333337</v>
      </c>
      <c r="I67" s="2">
        <v>120</v>
      </c>
      <c r="J67" s="12">
        <f>I67/Pondération!$J$22</f>
        <v>6.0698027314112293E-2</v>
      </c>
    </row>
    <row r="68" spans="1:10" x14ac:dyDescent="0.25">
      <c r="A68" s="2" t="s">
        <v>77</v>
      </c>
      <c r="B68" s="2">
        <v>2014</v>
      </c>
      <c r="C68" s="2" t="s">
        <v>61</v>
      </c>
      <c r="D68" s="2" t="s">
        <v>35</v>
      </c>
      <c r="E68" s="2" t="s">
        <v>82</v>
      </c>
      <c r="F68" s="2" t="s">
        <v>98</v>
      </c>
      <c r="G68" s="2">
        <f t="shared" si="1"/>
        <v>9.3816631130063971E-2</v>
      </c>
      <c r="H68" s="5">
        <v>4.2191780821917808</v>
      </c>
      <c r="I68" s="2">
        <v>73</v>
      </c>
      <c r="J68" s="12">
        <f>I68/Pondération!$I$22</f>
        <v>2.2235759975632045E-2</v>
      </c>
    </row>
    <row r="69" spans="1:10" x14ac:dyDescent="0.25">
      <c r="A69" s="2" t="s">
        <v>77</v>
      </c>
      <c r="B69" s="2">
        <v>2014</v>
      </c>
      <c r="C69" s="2" t="s">
        <v>62</v>
      </c>
      <c r="D69" s="2" t="s">
        <v>35</v>
      </c>
      <c r="E69" s="2" t="s">
        <v>82</v>
      </c>
      <c r="F69" s="2" t="s">
        <v>98</v>
      </c>
      <c r="G69" s="2">
        <f t="shared" si="1"/>
        <v>0.10660980810234542</v>
      </c>
      <c r="H69" s="5">
        <v>4.166666666666667</v>
      </c>
      <c r="I69" s="2">
        <v>84</v>
      </c>
      <c r="J69" s="12">
        <f>I69/Pondération!$I$22</f>
        <v>2.5586353944562899E-2</v>
      </c>
    </row>
    <row r="70" spans="1:10" x14ac:dyDescent="0.25">
      <c r="A70" s="2" t="s">
        <v>77</v>
      </c>
      <c r="B70" s="2">
        <v>2014</v>
      </c>
      <c r="C70" s="2" t="s">
        <v>63</v>
      </c>
      <c r="D70" s="2" t="s">
        <v>35</v>
      </c>
      <c r="E70" s="2" t="s">
        <v>82</v>
      </c>
      <c r="F70" s="2" t="s">
        <v>98</v>
      </c>
      <c r="G70" s="2">
        <f t="shared" si="1"/>
        <v>0.15534572037770333</v>
      </c>
      <c r="H70" s="5">
        <v>4.1803278688524594</v>
      </c>
      <c r="I70" s="2">
        <v>122</v>
      </c>
      <c r="J70" s="12">
        <f>I70/Pondération!$I$22</f>
        <v>3.7161133109960401E-2</v>
      </c>
    </row>
    <row r="71" spans="1:10" x14ac:dyDescent="0.25">
      <c r="A71" s="2" t="s">
        <v>77</v>
      </c>
      <c r="B71" s="2">
        <v>2014</v>
      </c>
      <c r="C71" s="2" t="s">
        <v>64</v>
      </c>
      <c r="D71" s="2" t="s">
        <v>35</v>
      </c>
      <c r="E71" s="2" t="s">
        <v>82</v>
      </c>
      <c r="F71" s="2" t="s">
        <v>98</v>
      </c>
      <c r="G71" s="2">
        <f t="shared" si="1"/>
        <v>0.19677124581175753</v>
      </c>
      <c r="H71" s="5">
        <v>4.1677419354838712</v>
      </c>
      <c r="I71" s="2">
        <v>155</v>
      </c>
      <c r="J71" s="12">
        <f>I71/Pondération!$I$22</f>
        <v>4.7212915016752968E-2</v>
      </c>
    </row>
    <row r="72" spans="1:10" x14ac:dyDescent="0.25">
      <c r="A72" s="2" t="s">
        <v>77</v>
      </c>
      <c r="B72" s="2">
        <v>2014</v>
      </c>
      <c r="C72" s="2" t="s">
        <v>65</v>
      </c>
      <c r="D72" s="2" t="s">
        <v>35</v>
      </c>
      <c r="E72" s="2" t="s">
        <v>82</v>
      </c>
      <c r="F72" s="2" t="s">
        <v>98</v>
      </c>
      <c r="G72" s="2">
        <f t="shared" si="1"/>
        <v>0.36673773987206826</v>
      </c>
      <c r="H72" s="5">
        <v>4.1374570446735399</v>
      </c>
      <c r="I72" s="2">
        <v>291</v>
      </c>
      <c r="J72" s="12">
        <f>I72/Pondération!$I$22</f>
        <v>8.8638440450807182E-2</v>
      </c>
    </row>
    <row r="73" spans="1:10" x14ac:dyDescent="0.25">
      <c r="A73" s="2" t="s">
        <v>77</v>
      </c>
      <c r="B73" s="2">
        <v>2014</v>
      </c>
      <c r="C73" s="2" t="s">
        <v>66</v>
      </c>
      <c r="D73" s="2" t="s">
        <v>35</v>
      </c>
      <c r="E73" s="2" t="s">
        <v>82</v>
      </c>
      <c r="F73" s="2" t="s">
        <v>98</v>
      </c>
      <c r="G73" s="2">
        <f t="shared" si="1"/>
        <v>0.34115138592750532</v>
      </c>
      <c r="H73" s="5">
        <v>4.117647058823529</v>
      </c>
      <c r="I73" s="2">
        <v>272</v>
      </c>
      <c r="J73" s="12">
        <f>I73/Pondération!$I$22</f>
        <v>8.2851050868108442E-2</v>
      </c>
    </row>
    <row r="74" spans="1:10" x14ac:dyDescent="0.25">
      <c r="A74" s="2" t="s">
        <v>77</v>
      </c>
      <c r="B74" s="2">
        <v>2014</v>
      </c>
      <c r="C74" s="2" t="s">
        <v>67</v>
      </c>
      <c r="D74" s="2" t="s">
        <v>35</v>
      </c>
      <c r="E74" s="2" t="s">
        <v>82</v>
      </c>
      <c r="F74" s="2" t="s">
        <v>98</v>
      </c>
      <c r="G74" s="2">
        <f t="shared" si="1"/>
        <v>0.4438014011574779</v>
      </c>
      <c r="H74" s="5">
        <v>4.1274787535410766</v>
      </c>
      <c r="I74" s="2">
        <v>353</v>
      </c>
      <c r="J74" s="12">
        <f>I74/Pondération!$I$22</f>
        <v>0.10752360645750837</v>
      </c>
    </row>
    <row r="75" spans="1:10" x14ac:dyDescent="0.25">
      <c r="A75" s="2" t="s">
        <v>77</v>
      </c>
      <c r="B75" s="2">
        <v>2014</v>
      </c>
      <c r="C75" s="2" t="s">
        <v>68</v>
      </c>
      <c r="D75" s="2" t="s">
        <v>35</v>
      </c>
      <c r="E75" s="2" t="s">
        <v>82</v>
      </c>
      <c r="F75" s="2" t="s">
        <v>98</v>
      </c>
      <c r="G75" s="2">
        <f t="shared" si="1"/>
        <v>0.91227535790435577</v>
      </c>
      <c r="H75" s="5">
        <v>4.102739726027397</v>
      </c>
      <c r="I75" s="2">
        <v>730</v>
      </c>
      <c r="J75" s="12">
        <f>I75/Pondération!$I$22</f>
        <v>0.22235759975632044</v>
      </c>
    </row>
    <row r="76" spans="1:10" x14ac:dyDescent="0.25">
      <c r="A76" s="2" t="s">
        <v>77</v>
      </c>
      <c r="B76" s="2">
        <v>2014</v>
      </c>
      <c r="C76" s="2" t="s">
        <v>69</v>
      </c>
      <c r="D76" s="2" t="s">
        <v>35</v>
      </c>
      <c r="E76" s="2" t="s">
        <v>82</v>
      </c>
      <c r="F76" s="2" t="s">
        <v>98</v>
      </c>
      <c r="G76" s="2">
        <f t="shared" si="1"/>
        <v>0.47547974413646055</v>
      </c>
      <c r="H76" s="5">
        <v>4.1296296296296298</v>
      </c>
      <c r="I76" s="2">
        <v>378</v>
      </c>
      <c r="J76" s="12">
        <f>I76/Pondération!$I$22</f>
        <v>0.11513859275053305</v>
      </c>
    </row>
    <row r="77" spans="1:10" x14ac:dyDescent="0.25">
      <c r="A77" s="2" t="s">
        <v>77</v>
      </c>
      <c r="B77" s="2">
        <v>2014</v>
      </c>
      <c r="C77" s="2" t="s">
        <v>70</v>
      </c>
      <c r="D77" s="2" t="s">
        <v>35</v>
      </c>
      <c r="E77" s="2" t="s">
        <v>82</v>
      </c>
      <c r="F77" s="2" t="s">
        <v>98</v>
      </c>
      <c r="G77" s="2">
        <f t="shared" si="1"/>
        <v>0.42217484008528788</v>
      </c>
      <c r="H77" s="5">
        <v>4.1497005988023954</v>
      </c>
      <c r="I77" s="2">
        <v>334</v>
      </c>
      <c r="J77" s="12">
        <f>I77/Pondération!$I$22</f>
        <v>0.10173621687480963</v>
      </c>
    </row>
    <row r="78" spans="1:10" x14ac:dyDescent="0.25">
      <c r="A78" s="2" t="s">
        <v>77</v>
      </c>
      <c r="B78" s="2">
        <v>2014</v>
      </c>
      <c r="C78" s="2" t="s">
        <v>71</v>
      </c>
      <c r="D78" s="2" t="s">
        <v>35</v>
      </c>
      <c r="E78" s="2" t="s">
        <v>82</v>
      </c>
      <c r="F78" s="2" t="s">
        <v>98</v>
      </c>
      <c r="G78" s="2">
        <f t="shared" si="1"/>
        <v>0.40359427353030769</v>
      </c>
      <c r="H78" s="5">
        <v>4.166666666666667</v>
      </c>
      <c r="I78" s="2">
        <v>318</v>
      </c>
      <c r="J78" s="12">
        <f>I78/Pondération!$I$22</f>
        <v>9.686262564727384E-2</v>
      </c>
    </row>
    <row r="79" spans="1:10" x14ac:dyDescent="0.25">
      <c r="A79" s="2" t="s">
        <v>77</v>
      </c>
      <c r="B79" s="2">
        <v>2014</v>
      </c>
      <c r="C79" s="2" t="s">
        <v>72</v>
      </c>
      <c r="D79" s="2" t="s">
        <v>35</v>
      </c>
      <c r="E79" s="2" t="s">
        <v>82</v>
      </c>
      <c r="F79" s="2" t="s">
        <v>98</v>
      </c>
      <c r="G79" s="2">
        <f t="shared" si="1"/>
        <v>0.21778860798050562</v>
      </c>
      <c r="H79" s="5">
        <v>4.1329479768786124</v>
      </c>
      <c r="I79" s="2">
        <v>173</v>
      </c>
      <c r="J79" s="12">
        <f>I79/Pondération!$I$22</f>
        <v>5.2695705147730733E-2</v>
      </c>
    </row>
    <row r="80" spans="1:10" x14ac:dyDescent="0.25">
      <c r="A80" s="2" t="s">
        <v>77</v>
      </c>
      <c r="B80" s="2">
        <v>2015</v>
      </c>
      <c r="C80" s="2" t="s">
        <v>73</v>
      </c>
      <c r="D80" s="2" t="s">
        <v>35</v>
      </c>
      <c r="E80" s="2" t="s">
        <v>82</v>
      </c>
      <c r="F80" s="2" t="s">
        <v>98</v>
      </c>
      <c r="G80" s="2">
        <f t="shared" si="1"/>
        <v>9.2299363919339544E-2</v>
      </c>
      <c r="H80" s="5">
        <v>4.1084337349397586</v>
      </c>
      <c r="I80" s="2">
        <v>166</v>
      </c>
      <c r="J80" s="12">
        <f>I80/Pondération!$H$22</f>
        <v>2.2465827581540126E-2</v>
      </c>
    </row>
    <row r="81" spans="1:10" x14ac:dyDescent="0.25">
      <c r="A81" s="2" t="s">
        <v>77</v>
      </c>
      <c r="B81" s="2">
        <v>2015</v>
      </c>
      <c r="C81" s="2" t="s">
        <v>74</v>
      </c>
      <c r="D81" s="2" t="s">
        <v>35</v>
      </c>
      <c r="E81" s="2" t="s">
        <v>82</v>
      </c>
      <c r="F81" s="2" t="s">
        <v>98</v>
      </c>
      <c r="G81" s="2">
        <f t="shared" si="1"/>
        <v>0.12721613208823926</v>
      </c>
      <c r="H81" s="5">
        <v>4.1228070175438596</v>
      </c>
      <c r="I81" s="2">
        <v>228</v>
      </c>
      <c r="J81" s="12">
        <f>I81/Pondération!$H$22</f>
        <v>3.0856678846934632E-2</v>
      </c>
    </row>
    <row r="82" spans="1:10" x14ac:dyDescent="0.25">
      <c r="A82" s="2" t="s">
        <v>77</v>
      </c>
      <c r="B82" s="2">
        <v>2015</v>
      </c>
      <c r="C82" s="2" t="s">
        <v>75</v>
      </c>
      <c r="D82" s="2" t="s">
        <v>35</v>
      </c>
      <c r="E82" s="2" t="s">
        <v>82</v>
      </c>
      <c r="F82" s="2" t="s">
        <v>98</v>
      </c>
      <c r="G82" s="2">
        <f t="shared" si="1"/>
        <v>0.15536608472053051</v>
      </c>
      <c r="H82" s="5">
        <v>4.1594202898550723</v>
      </c>
      <c r="I82" s="2">
        <v>276</v>
      </c>
      <c r="J82" s="12">
        <f>I82/Pondération!$H$22</f>
        <v>3.7352821762078763E-2</v>
      </c>
    </row>
    <row r="83" spans="1:10" x14ac:dyDescent="0.25">
      <c r="A83" s="2" t="s">
        <v>77</v>
      </c>
      <c r="B83" s="2">
        <v>2015</v>
      </c>
      <c r="C83" s="2" t="s">
        <v>76</v>
      </c>
      <c r="D83" s="2" t="s">
        <v>35</v>
      </c>
      <c r="E83" s="2" t="s">
        <v>82</v>
      </c>
      <c r="F83" s="2" t="s">
        <v>98</v>
      </c>
      <c r="G83" s="2">
        <f t="shared" si="1"/>
        <v>0.23047773717688455</v>
      </c>
      <c r="H83" s="5">
        <v>4.1536585365853655</v>
      </c>
      <c r="I83" s="2">
        <v>410</v>
      </c>
      <c r="J83" s="12">
        <f>I83/Pondération!$H$22</f>
        <v>5.5487887400189471E-2</v>
      </c>
    </row>
    <row r="84" spans="1:10" x14ac:dyDescent="0.25">
      <c r="A84" s="2" t="s">
        <v>77</v>
      </c>
      <c r="B84" s="2">
        <v>2015</v>
      </c>
      <c r="C84" s="2" t="s">
        <v>7</v>
      </c>
      <c r="D84" s="2" t="s">
        <v>35</v>
      </c>
      <c r="E84" s="2" t="s">
        <v>82</v>
      </c>
      <c r="F84" s="2" t="s">
        <v>98</v>
      </c>
      <c r="G84" s="2">
        <f t="shared" si="1"/>
        <v>0.39680606306672078</v>
      </c>
      <c r="H84" s="5">
        <v>4.1412429378531073</v>
      </c>
      <c r="I84" s="2">
        <v>708</v>
      </c>
      <c r="J84" s="12">
        <f>I84/Pondération!$H$22</f>
        <v>9.5818107998375965E-2</v>
      </c>
    </row>
    <row r="85" spans="1:10" x14ac:dyDescent="0.25">
      <c r="A85" s="2" t="s">
        <v>77</v>
      </c>
      <c r="B85" s="2">
        <v>2015</v>
      </c>
      <c r="C85" s="2" t="s">
        <v>11</v>
      </c>
      <c r="D85" s="2" t="s">
        <v>35</v>
      </c>
      <c r="E85" s="2" t="s">
        <v>82</v>
      </c>
      <c r="F85" s="2" t="s">
        <v>98</v>
      </c>
      <c r="G85" s="2">
        <f t="shared" si="1"/>
        <v>0.27392069292191096</v>
      </c>
      <c r="H85" s="5">
        <v>4.1560574948665296</v>
      </c>
      <c r="I85" s="2">
        <v>487</v>
      </c>
      <c r="J85" s="12">
        <f>I85/Pondération!$H$22</f>
        <v>6.5908783326566522E-2</v>
      </c>
    </row>
    <row r="86" spans="1:10" x14ac:dyDescent="0.25">
      <c r="A86" s="2" t="s">
        <v>77</v>
      </c>
      <c r="B86" s="2">
        <v>2015</v>
      </c>
      <c r="C86" s="2" t="s">
        <v>12</v>
      </c>
      <c r="D86" s="2" t="s">
        <v>35</v>
      </c>
      <c r="E86" s="2" t="s">
        <v>82</v>
      </c>
      <c r="F86" s="2" t="s">
        <v>98</v>
      </c>
      <c r="G86" s="2">
        <f t="shared" si="1"/>
        <v>0.55406685613750162</v>
      </c>
      <c r="H86" s="5">
        <v>4.1228600201409868</v>
      </c>
      <c r="I86" s="2">
        <v>993</v>
      </c>
      <c r="J86" s="12">
        <f>I86/Pondération!$H$22</f>
        <v>0.13438895655704425</v>
      </c>
    </row>
    <row r="87" spans="1:10" x14ac:dyDescent="0.25">
      <c r="A87" s="2" t="s">
        <v>77</v>
      </c>
      <c r="B87" s="2">
        <v>2015</v>
      </c>
      <c r="C87" s="2" t="s">
        <v>13</v>
      </c>
      <c r="D87" s="2" t="s">
        <v>35</v>
      </c>
      <c r="E87" s="2" t="s">
        <v>82</v>
      </c>
      <c r="F87" s="2" t="s">
        <v>98</v>
      </c>
      <c r="G87" s="2">
        <f t="shared" si="1"/>
        <v>0.85519014751657862</v>
      </c>
      <c r="H87" s="5">
        <v>4.0979247730220489</v>
      </c>
      <c r="I87" s="2">
        <v>1542</v>
      </c>
      <c r="J87" s="12">
        <f>I87/Pondération!$H$22</f>
        <v>0.20868859114900529</v>
      </c>
    </row>
    <row r="88" spans="1:10" x14ac:dyDescent="0.25">
      <c r="A88" s="2" t="s">
        <v>77</v>
      </c>
      <c r="B88" s="2">
        <v>2015</v>
      </c>
      <c r="C88" s="2" t="s">
        <v>14</v>
      </c>
      <c r="D88" s="2" t="s">
        <v>35</v>
      </c>
      <c r="E88" s="2" t="s">
        <v>82</v>
      </c>
      <c r="F88" s="2" t="s">
        <v>98</v>
      </c>
      <c r="G88" s="2">
        <f t="shared" si="1"/>
        <v>0.53620246312085529</v>
      </c>
      <c r="H88" s="5">
        <v>4.1227887617065555</v>
      </c>
      <c r="I88" s="2">
        <v>961</v>
      </c>
      <c r="J88" s="12">
        <f>I88/Pondération!$H$22</f>
        <v>0.13005819461361484</v>
      </c>
    </row>
    <row r="89" spans="1:10" x14ac:dyDescent="0.25">
      <c r="A89" s="2" t="s">
        <v>77</v>
      </c>
      <c r="B89" s="2">
        <v>2015</v>
      </c>
      <c r="C89" s="2" t="s">
        <v>15</v>
      </c>
      <c r="D89" s="2" t="s">
        <v>35</v>
      </c>
      <c r="E89" s="2" t="s">
        <v>82</v>
      </c>
      <c r="F89" s="2" t="s">
        <v>98</v>
      </c>
      <c r="G89" s="2">
        <f t="shared" si="1"/>
        <v>0.35309243470023011</v>
      </c>
      <c r="H89" s="5">
        <v>4.1478537360890302</v>
      </c>
      <c r="I89" s="2">
        <v>629</v>
      </c>
      <c r="J89" s="12">
        <f>I89/Pondération!$H$22</f>
        <v>8.5126539450534583E-2</v>
      </c>
    </row>
    <row r="90" spans="1:10" x14ac:dyDescent="0.25">
      <c r="A90" s="2" t="s">
        <v>77</v>
      </c>
      <c r="B90" s="2">
        <v>2015</v>
      </c>
      <c r="C90" s="2" t="s">
        <v>16</v>
      </c>
      <c r="D90" s="2" t="s">
        <v>35</v>
      </c>
      <c r="E90" s="2" t="s">
        <v>82</v>
      </c>
      <c r="F90" s="2" t="s">
        <v>98</v>
      </c>
      <c r="G90" s="2">
        <f t="shared" si="1"/>
        <v>0.33942346731628092</v>
      </c>
      <c r="H90" s="5">
        <v>4.1182266009852215</v>
      </c>
      <c r="I90" s="2">
        <v>609</v>
      </c>
      <c r="J90" s="12">
        <f>I90/Pondération!$H$22</f>
        <v>8.241981323589119E-2</v>
      </c>
    </row>
    <row r="91" spans="1:10" x14ac:dyDescent="0.25">
      <c r="A91" s="2" t="s">
        <v>77</v>
      </c>
      <c r="B91" s="2">
        <v>2015</v>
      </c>
      <c r="C91" s="2" t="s">
        <v>17</v>
      </c>
      <c r="D91" s="2" t="s">
        <v>35</v>
      </c>
      <c r="E91" s="2" t="s">
        <v>82</v>
      </c>
      <c r="F91" s="2" t="s">
        <v>98</v>
      </c>
      <c r="G91" s="2">
        <f t="shared" si="1"/>
        <v>0.21098930843145219</v>
      </c>
      <c r="H91" s="5">
        <v>4.1026315789473689</v>
      </c>
      <c r="I91" s="2">
        <v>380</v>
      </c>
      <c r="J91" s="12">
        <f>I91/Pondération!$H$22</f>
        <v>5.1427798078224389E-2</v>
      </c>
    </row>
    <row r="92" spans="1:10" x14ac:dyDescent="0.25">
      <c r="A92" s="2" t="s">
        <v>77</v>
      </c>
      <c r="B92" s="2">
        <v>2016</v>
      </c>
      <c r="C92" s="2" t="s">
        <v>18</v>
      </c>
      <c r="D92" s="2" t="s">
        <v>35</v>
      </c>
      <c r="E92" s="2" t="s">
        <v>82</v>
      </c>
      <c r="F92" s="2" t="s">
        <v>98</v>
      </c>
      <c r="G92" s="2">
        <f t="shared" si="1"/>
        <v>0.13225117471166167</v>
      </c>
      <c r="H92" s="5">
        <v>4.1061007957559683</v>
      </c>
      <c r="I92" s="2">
        <v>377</v>
      </c>
      <c r="J92" s="12">
        <f>I92/Pondération!$G$22</f>
        <v>3.2208457923964116E-2</v>
      </c>
    </row>
    <row r="93" spans="1:10" x14ac:dyDescent="0.25">
      <c r="A93" s="2" t="s">
        <v>77</v>
      </c>
      <c r="B93" s="2">
        <v>2016</v>
      </c>
      <c r="C93" s="2" t="s">
        <v>19</v>
      </c>
      <c r="D93" s="2" t="s">
        <v>35</v>
      </c>
      <c r="E93" s="2" t="s">
        <v>82</v>
      </c>
      <c r="F93" s="2" t="s">
        <v>98</v>
      </c>
      <c r="G93" s="2">
        <f t="shared" si="1"/>
        <v>0.18385305425032039</v>
      </c>
      <c r="H93" s="5">
        <v>4.106870229007634</v>
      </c>
      <c r="I93" s="2">
        <v>524</v>
      </c>
      <c r="J93" s="12">
        <f>I93/Pondération!$G$22</f>
        <v>4.4767193507048268E-2</v>
      </c>
    </row>
    <row r="94" spans="1:10" x14ac:dyDescent="0.25">
      <c r="A94" s="2" t="s">
        <v>77</v>
      </c>
      <c r="B94" s="2">
        <v>2016</v>
      </c>
      <c r="C94" s="2" t="s">
        <v>20</v>
      </c>
      <c r="D94" s="2" t="s">
        <v>35</v>
      </c>
      <c r="E94" s="2" t="s">
        <v>82</v>
      </c>
      <c r="F94" s="2" t="s">
        <v>98</v>
      </c>
      <c r="G94" s="2">
        <f t="shared" si="1"/>
        <v>0.22614267407090985</v>
      </c>
      <c r="H94" s="5">
        <v>4.1359374999999998</v>
      </c>
      <c r="I94" s="2">
        <v>640</v>
      </c>
      <c r="J94" s="12">
        <f>I94/Pondération!$G$22</f>
        <v>5.4677488252883384E-2</v>
      </c>
    </row>
    <row r="95" spans="1:10" x14ac:dyDescent="0.25">
      <c r="A95" s="2" t="s">
        <v>77</v>
      </c>
      <c r="B95" s="2">
        <v>2016</v>
      </c>
      <c r="C95" s="2" t="s">
        <v>21</v>
      </c>
      <c r="D95" s="2" t="s">
        <v>35</v>
      </c>
      <c r="E95" s="2" t="s">
        <v>82</v>
      </c>
      <c r="F95" s="2" t="s">
        <v>98</v>
      </c>
      <c r="G95" s="2">
        <f t="shared" si="1"/>
        <v>0.30252029047415635</v>
      </c>
      <c r="H95" s="5">
        <v>4.1415204678362576</v>
      </c>
      <c r="I95" s="2">
        <v>855</v>
      </c>
      <c r="J95" s="12">
        <f>I95/Pondération!$G$22</f>
        <v>7.3045706962836396E-2</v>
      </c>
    </row>
    <row r="96" spans="1:10" x14ac:dyDescent="0.25">
      <c r="A96" s="2" t="s">
        <v>77</v>
      </c>
      <c r="B96" s="2">
        <v>2016</v>
      </c>
      <c r="C96" s="2" t="s">
        <v>22</v>
      </c>
      <c r="D96" s="2" t="s">
        <v>35</v>
      </c>
      <c r="E96" s="2" t="s">
        <v>82</v>
      </c>
      <c r="F96" s="2" t="s">
        <v>98</v>
      </c>
      <c r="G96" s="2">
        <f t="shared" si="1"/>
        <v>0.36480136693720633</v>
      </c>
      <c r="H96" s="5">
        <v>4.1335914811229433</v>
      </c>
      <c r="I96" s="2">
        <v>1033</v>
      </c>
      <c r="J96" s="12">
        <f>I96/Pondération!$G$22</f>
        <v>8.8252883383169584E-2</v>
      </c>
    </row>
    <row r="97" spans="1:10" x14ac:dyDescent="0.25">
      <c r="A97" s="2" t="s">
        <v>77</v>
      </c>
      <c r="B97" s="2">
        <v>2016</v>
      </c>
      <c r="C97" s="2" t="s">
        <v>23</v>
      </c>
      <c r="D97" s="2" t="s">
        <v>35</v>
      </c>
      <c r="E97" s="2" t="s">
        <v>82</v>
      </c>
      <c r="F97" s="2" t="s">
        <v>98</v>
      </c>
      <c r="G97" s="2">
        <f t="shared" si="1"/>
        <v>0.32396411789833407</v>
      </c>
      <c r="H97" s="5">
        <v>4.1083423618634889</v>
      </c>
      <c r="I97" s="2">
        <v>923</v>
      </c>
      <c r="J97" s="12">
        <f>I97/Pondération!$G$22</f>
        <v>7.8855190089705249E-2</v>
      </c>
    </row>
    <row r="98" spans="1:10" x14ac:dyDescent="0.25">
      <c r="A98" s="2" t="s">
        <v>77</v>
      </c>
      <c r="B98" s="2">
        <v>2016</v>
      </c>
      <c r="C98" s="2" t="s">
        <v>24</v>
      </c>
      <c r="D98" s="2" t="s">
        <v>35</v>
      </c>
      <c r="E98" s="2" t="s">
        <v>82</v>
      </c>
      <c r="F98" s="2" t="s">
        <v>98</v>
      </c>
      <c r="G98" s="2">
        <f t="shared" si="1"/>
        <v>0.49047415634344299</v>
      </c>
      <c r="H98" s="5">
        <v>4.1036454610436026</v>
      </c>
      <c r="I98" s="2">
        <v>1399</v>
      </c>
      <c r="J98" s="12">
        <f>I98/Pondération!$G$22</f>
        <v>0.11952157197778727</v>
      </c>
    </row>
    <row r="99" spans="1:10" x14ac:dyDescent="0.25">
      <c r="A99" s="2" t="s">
        <v>77</v>
      </c>
      <c r="B99" s="2">
        <v>2016</v>
      </c>
      <c r="C99" s="2" t="s">
        <v>25</v>
      </c>
      <c r="D99" s="2" t="s">
        <v>35</v>
      </c>
      <c r="E99" s="2" t="s">
        <v>82</v>
      </c>
      <c r="F99" s="2" t="s">
        <v>98</v>
      </c>
      <c r="G99" s="2">
        <f t="shared" si="1"/>
        <v>0.87364374199060235</v>
      </c>
      <c r="H99" s="5">
        <v>4.0903999999999998</v>
      </c>
      <c r="I99" s="2">
        <v>2500</v>
      </c>
      <c r="J99" s="12">
        <f>I99/Pondération!$G$22</f>
        <v>0.21358393848782573</v>
      </c>
    </row>
    <row r="100" spans="1:10" x14ac:dyDescent="0.25">
      <c r="A100" s="2" t="s">
        <v>77</v>
      </c>
      <c r="B100" s="2">
        <v>2016</v>
      </c>
      <c r="C100" s="2" t="s">
        <v>26</v>
      </c>
      <c r="D100" s="2" t="s">
        <v>35</v>
      </c>
      <c r="E100" s="2" t="s">
        <v>82</v>
      </c>
      <c r="F100" s="2" t="s">
        <v>98</v>
      </c>
      <c r="G100" s="2">
        <f t="shared" si="1"/>
        <v>0.43733447244767193</v>
      </c>
      <c r="H100" s="5">
        <v>4.1083467094703048</v>
      </c>
      <c r="I100" s="2">
        <v>1246</v>
      </c>
      <c r="J100" s="12">
        <f>I100/Pondération!$G$22</f>
        <v>0.10645023494233234</v>
      </c>
    </row>
    <row r="101" spans="1:10" x14ac:dyDescent="0.25">
      <c r="A101" s="2" t="s">
        <v>77</v>
      </c>
      <c r="B101" s="2">
        <v>2016</v>
      </c>
      <c r="C101" s="2" t="s">
        <v>27</v>
      </c>
      <c r="D101" s="2" t="s">
        <v>35</v>
      </c>
      <c r="E101" s="2" t="s">
        <v>82</v>
      </c>
      <c r="F101" s="2" t="s">
        <v>98</v>
      </c>
      <c r="G101" s="2">
        <f t="shared" si="1"/>
        <v>0.34335753951302866</v>
      </c>
      <c r="H101" s="5">
        <v>4.1390319258496397</v>
      </c>
      <c r="I101" s="2">
        <v>971</v>
      </c>
      <c r="J101" s="12">
        <f>I101/Pondération!$G$22</f>
        <v>8.2956001708671512E-2</v>
      </c>
    </row>
    <row r="102" spans="1:10" x14ac:dyDescent="0.25">
      <c r="A102" s="2" t="s">
        <v>77</v>
      </c>
      <c r="B102" s="2">
        <v>2016</v>
      </c>
      <c r="C102" s="2" t="s">
        <v>28</v>
      </c>
      <c r="D102" s="2" t="s">
        <v>35</v>
      </c>
      <c r="E102" s="2" t="s">
        <v>82</v>
      </c>
      <c r="F102" s="2" t="s">
        <v>98</v>
      </c>
      <c r="G102" s="2">
        <f t="shared" si="1"/>
        <v>0.26766339171294318</v>
      </c>
      <c r="H102" s="5">
        <v>4.1223684210526317</v>
      </c>
      <c r="I102" s="2">
        <v>760</v>
      </c>
      <c r="J102" s="12">
        <f>I102/Pondération!$G$22</f>
        <v>6.4929517300299014E-2</v>
      </c>
    </row>
    <row r="103" spans="1:10" x14ac:dyDescent="0.25">
      <c r="A103" s="2" t="s">
        <v>77</v>
      </c>
      <c r="B103" s="2">
        <v>2016</v>
      </c>
      <c r="C103" s="2" t="s">
        <v>29</v>
      </c>
      <c r="D103" s="2" t="s">
        <v>35</v>
      </c>
      <c r="E103" s="2" t="s">
        <v>82</v>
      </c>
      <c r="F103" s="2" t="s">
        <v>98</v>
      </c>
      <c r="G103" s="2">
        <f t="shared" si="1"/>
        <v>0.16907304570696285</v>
      </c>
      <c r="H103" s="5">
        <v>4.1488469601677149</v>
      </c>
      <c r="I103" s="2">
        <v>477</v>
      </c>
      <c r="J103" s="12">
        <f>I103/Pondération!$G$22</f>
        <v>4.0751815463477149E-2</v>
      </c>
    </row>
    <row r="104" spans="1:10" x14ac:dyDescent="0.25">
      <c r="A104" s="2" t="s">
        <v>77</v>
      </c>
      <c r="B104" s="2">
        <v>2017</v>
      </c>
      <c r="C104" s="2" t="s">
        <v>30</v>
      </c>
      <c r="D104" s="2" t="s">
        <v>35</v>
      </c>
      <c r="E104" s="2" t="s">
        <v>82</v>
      </c>
      <c r="F104" s="2" t="s">
        <v>98</v>
      </c>
      <c r="G104" s="2">
        <f t="shared" si="1"/>
        <v>0.40413122721749695</v>
      </c>
      <c r="H104" s="5">
        <v>4.1265508684863521</v>
      </c>
      <c r="I104" s="2">
        <v>403</v>
      </c>
      <c r="J104" s="12">
        <f>I104/Pondération!$F$22</f>
        <v>9.7934386391251516E-2</v>
      </c>
    </row>
    <row r="105" spans="1:10" x14ac:dyDescent="0.25">
      <c r="A105" s="2" t="s">
        <v>77</v>
      </c>
      <c r="B105" s="2">
        <v>2017</v>
      </c>
      <c r="C105" s="2" t="s">
        <v>31</v>
      </c>
      <c r="D105" s="2" t="s">
        <v>35</v>
      </c>
      <c r="E105" s="2" t="s">
        <v>82</v>
      </c>
      <c r="F105" s="2" t="s">
        <v>98</v>
      </c>
      <c r="G105" s="2">
        <f t="shared" si="1"/>
        <v>0.58493317132442291</v>
      </c>
      <c r="H105" s="5">
        <v>4.1643598615916959</v>
      </c>
      <c r="I105" s="2">
        <v>578</v>
      </c>
      <c r="J105" s="12">
        <f>I105/Pondération!$F$22</f>
        <v>0.14046172539489671</v>
      </c>
    </row>
    <row r="106" spans="1:10" x14ac:dyDescent="0.25">
      <c r="A106" s="2" t="s">
        <v>77</v>
      </c>
      <c r="B106" s="2">
        <v>2017</v>
      </c>
      <c r="C106" s="2" t="s">
        <v>32</v>
      </c>
      <c r="D106" s="2" t="s">
        <v>35</v>
      </c>
      <c r="E106" s="2" t="s">
        <v>82</v>
      </c>
      <c r="F106" s="2" t="s">
        <v>98</v>
      </c>
      <c r="G106" s="2">
        <f t="shared" si="1"/>
        <v>0.59125151883353577</v>
      </c>
      <c r="H106" s="5">
        <v>4.1518771331058018</v>
      </c>
      <c r="I106" s="2">
        <v>586</v>
      </c>
      <c r="J106" s="12">
        <f>I106/Pondération!$F$22</f>
        <v>0.14240583232077764</v>
      </c>
    </row>
    <row r="107" spans="1:10" x14ac:dyDescent="0.25">
      <c r="A107" s="2" t="s">
        <v>77</v>
      </c>
      <c r="B107" s="2">
        <v>2017</v>
      </c>
      <c r="C107" s="2" t="s">
        <v>33</v>
      </c>
      <c r="D107" s="2" t="s">
        <v>35</v>
      </c>
      <c r="E107" s="2" t="s">
        <v>82</v>
      </c>
      <c r="F107" s="2" t="s">
        <v>98</v>
      </c>
      <c r="G107" s="2">
        <f t="shared" si="1"/>
        <v>1.0034021871202916</v>
      </c>
      <c r="H107" s="5">
        <v>4.1331331331331329</v>
      </c>
      <c r="I107" s="2">
        <v>999</v>
      </c>
      <c r="J107" s="12">
        <f>I107/Pondération!$F$22</f>
        <v>0.24277035236938033</v>
      </c>
    </row>
    <row r="108" spans="1:10" x14ac:dyDescent="0.25">
      <c r="A108" s="2" t="s">
        <v>77</v>
      </c>
      <c r="B108" s="2">
        <v>2017</v>
      </c>
      <c r="C108" s="2" t="s">
        <v>34</v>
      </c>
      <c r="D108" s="2" t="s">
        <v>35</v>
      </c>
      <c r="E108" s="2" t="s">
        <v>82</v>
      </c>
      <c r="F108" s="2" t="s">
        <v>98</v>
      </c>
      <c r="G108" s="2">
        <f t="shared" si="1"/>
        <v>1.1584447144592953</v>
      </c>
      <c r="H108" s="5">
        <v>4.1344319167389418</v>
      </c>
      <c r="I108" s="2">
        <v>1153</v>
      </c>
      <c r="J108" s="12">
        <f>I108/Pondération!$F$22</f>
        <v>0.2801944106925881</v>
      </c>
    </row>
    <row r="109" spans="1:10" x14ac:dyDescent="0.25">
      <c r="A109" s="2" t="s">
        <v>77</v>
      </c>
      <c r="B109" s="2">
        <v>2017</v>
      </c>
      <c r="C109" s="2" t="s">
        <v>80</v>
      </c>
      <c r="D109" s="2" t="s">
        <v>35</v>
      </c>
      <c r="E109" s="2" t="s">
        <v>82</v>
      </c>
      <c r="F109" s="2" t="s">
        <v>98</v>
      </c>
      <c r="G109" s="2">
        <f t="shared" si="1"/>
        <v>0.39829890643985422</v>
      </c>
      <c r="H109" s="5">
        <v>4.1388888888888893</v>
      </c>
      <c r="I109" s="2">
        <v>396</v>
      </c>
      <c r="J109" s="12">
        <f>I109/Pondération!$F$22</f>
        <v>9.623329283110571E-2</v>
      </c>
    </row>
    <row r="110" spans="1:10" x14ac:dyDescent="0.25">
      <c r="A110" s="2" t="s">
        <v>77</v>
      </c>
      <c r="B110" s="2">
        <v>2013</v>
      </c>
      <c r="C110" s="2" t="s">
        <v>49</v>
      </c>
      <c r="D110" s="2" t="s">
        <v>36</v>
      </c>
      <c r="E110" s="2" t="s">
        <v>82</v>
      </c>
      <c r="F110" s="2" t="s">
        <v>98</v>
      </c>
      <c r="G110" s="2">
        <f t="shared" si="1"/>
        <v>0.13685239491691104</v>
      </c>
      <c r="H110" s="5">
        <v>4</v>
      </c>
      <c r="I110" s="2">
        <v>35</v>
      </c>
      <c r="J110" s="12">
        <f>I110/Pondération!$J$35</f>
        <v>3.4213098729227759E-2</v>
      </c>
    </row>
    <row r="111" spans="1:10" x14ac:dyDescent="0.25">
      <c r="A111" s="2" t="s">
        <v>77</v>
      </c>
      <c r="B111" s="2">
        <v>2013</v>
      </c>
      <c r="C111" s="2" t="s">
        <v>50</v>
      </c>
      <c r="D111" s="2" t="s">
        <v>36</v>
      </c>
      <c r="E111" s="2" t="s">
        <v>82</v>
      </c>
      <c r="F111" s="2" t="s">
        <v>98</v>
      </c>
      <c r="G111" s="2">
        <f t="shared" si="1"/>
        <v>0.15444770283479961</v>
      </c>
      <c r="H111" s="5">
        <v>4.0512820512820511</v>
      </c>
      <c r="I111" s="2">
        <v>39</v>
      </c>
      <c r="J111" s="12">
        <f>I111/Pondération!$J$35</f>
        <v>3.8123167155425221E-2</v>
      </c>
    </row>
    <row r="112" spans="1:10" x14ac:dyDescent="0.25">
      <c r="A112" s="2" t="s">
        <v>77</v>
      </c>
      <c r="B112" s="2">
        <v>2013</v>
      </c>
      <c r="C112" s="2" t="s">
        <v>51</v>
      </c>
      <c r="D112" s="2" t="s">
        <v>36</v>
      </c>
      <c r="E112" s="2" t="s">
        <v>82</v>
      </c>
      <c r="F112" s="2" t="s">
        <v>98</v>
      </c>
      <c r="G112" s="2">
        <f t="shared" si="1"/>
        <v>0.23851417399804498</v>
      </c>
      <c r="H112" s="5">
        <v>4</v>
      </c>
      <c r="I112" s="2">
        <v>61</v>
      </c>
      <c r="J112" s="12">
        <f>I112/Pondération!$J$35</f>
        <v>5.9628543499511244E-2</v>
      </c>
    </row>
    <row r="113" spans="1:10" x14ac:dyDescent="0.25">
      <c r="A113" s="2" t="s">
        <v>77</v>
      </c>
      <c r="B113" s="2">
        <v>2013</v>
      </c>
      <c r="C113" s="2" t="s">
        <v>52</v>
      </c>
      <c r="D113" s="2" t="s">
        <v>36</v>
      </c>
      <c r="E113" s="2" t="s">
        <v>82</v>
      </c>
      <c r="F113" s="2" t="s">
        <v>98</v>
      </c>
      <c r="G113" s="2">
        <f t="shared" si="1"/>
        <v>0.31476050830889546</v>
      </c>
      <c r="H113" s="5">
        <v>4.1282051282051286</v>
      </c>
      <c r="I113" s="2">
        <v>78</v>
      </c>
      <c r="J113" s="12">
        <f>I113/Pondération!$J$35</f>
        <v>7.6246334310850442E-2</v>
      </c>
    </row>
    <row r="114" spans="1:10" x14ac:dyDescent="0.25">
      <c r="A114" s="2" t="s">
        <v>77</v>
      </c>
      <c r="B114" s="2">
        <v>2013</v>
      </c>
      <c r="C114" s="2" t="s">
        <v>53</v>
      </c>
      <c r="D114" s="2" t="s">
        <v>36</v>
      </c>
      <c r="E114" s="2" t="s">
        <v>82</v>
      </c>
      <c r="F114" s="2" t="s">
        <v>98</v>
      </c>
      <c r="G114" s="2">
        <f t="shared" si="1"/>
        <v>0.45747800586510268</v>
      </c>
      <c r="H114" s="5">
        <v>4.1052631578947372</v>
      </c>
      <c r="I114" s="2">
        <v>114</v>
      </c>
      <c r="J114" s="12">
        <f>I114/Pondération!$J$35</f>
        <v>0.11143695014662756</v>
      </c>
    </row>
    <row r="115" spans="1:10" x14ac:dyDescent="0.25">
      <c r="A115" s="2" t="s">
        <v>77</v>
      </c>
      <c r="B115" s="2">
        <v>2013</v>
      </c>
      <c r="C115" s="2" t="s">
        <v>54</v>
      </c>
      <c r="D115" s="2" t="s">
        <v>36</v>
      </c>
      <c r="E115" s="2" t="s">
        <v>82</v>
      </c>
      <c r="F115" s="2" t="s">
        <v>98</v>
      </c>
      <c r="G115" s="2">
        <f t="shared" si="1"/>
        <v>0.32062561094819159</v>
      </c>
      <c r="H115" s="5">
        <v>4.0999999999999996</v>
      </c>
      <c r="I115" s="2">
        <v>80</v>
      </c>
      <c r="J115" s="12">
        <f>I115/Pondération!$J$35</f>
        <v>7.8201368523949169E-2</v>
      </c>
    </row>
    <row r="116" spans="1:10" x14ac:dyDescent="0.25">
      <c r="A116" s="2" t="s">
        <v>77</v>
      </c>
      <c r="B116" s="2">
        <v>2013</v>
      </c>
      <c r="C116" s="2" t="s">
        <v>55</v>
      </c>
      <c r="D116" s="2" t="s">
        <v>36</v>
      </c>
      <c r="E116" s="2" t="s">
        <v>82</v>
      </c>
      <c r="F116" s="2" t="s">
        <v>98</v>
      </c>
      <c r="G116" s="2">
        <f t="shared" si="1"/>
        <v>0.58944281524926689</v>
      </c>
      <c r="H116" s="5">
        <v>4.1020408163265305</v>
      </c>
      <c r="I116" s="2">
        <v>147</v>
      </c>
      <c r="J116" s="12">
        <f>I116/Pondération!$J$35</f>
        <v>0.14369501466275661</v>
      </c>
    </row>
    <row r="117" spans="1:10" x14ac:dyDescent="0.25">
      <c r="A117" s="2" t="s">
        <v>77</v>
      </c>
      <c r="B117" s="2">
        <v>2013</v>
      </c>
      <c r="C117" s="2" t="s">
        <v>56</v>
      </c>
      <c r="D117" s="2" t="s">
        <v>36</v>
      </c>
      <c r="E117" s="2" t="s">
        <v>82</v>
      </c>
      <c r="F117" s="2" t="s">
        <v>98</v>
      </c>
      <c r="G117" s="2">
        <f t="shared" si="1"/>
        <v>0.96676441837732163</v>
      </c>
      <c r="H117" s="5">
        <v>4.1380753138075317</v>
      </c>
      <c r="I117" s="2">
        <v>239</v>
      </c>
      <c r="J117" s="12">
        <f>I117/Pondération!$J$35</f>
        <v>0.23362658846529813</v>
      </c>
    </row>
    <row r="118" spans="1:10" x14ac:dyDescent="0.25">
      <c r="A118" s="2" t="s">
        <v>77</v>
      </c>
      <c r="B118" s="2">
        <v>2013</v>
      </c>
      <c r="C118" s="2" t="s">
        <v>57</v>
      </c>
      <c r="D118" s="2" t="s">
        <v>36</v>
      </c>
      <c r="E118" s="2" t="s">
        <v>82</v>
      </c>
      <c r="F118" s="2" t="s">
        <v>98</v>
      </c>
      <c r="G118" s="2">
        <f t="shared" si="1"/>
        <v>0.33333333333333331</v>
      </c>
      <c r="H118" s="5">
        <v>4.1084337349397586</v>
      </c>
      <c r="I118" s="2">
        <v>83</v>
      </c>
      <c r="J118" s="12">
        <f>I118/Pondération!$J$35</f>
        <v>8.113391984359726E-2</v>
      </c>
    </row>
    <row r="119" spans="1:10" x14ac:dyDescent="0.25">
      <c r="A119" s="2" t="s">
        <v>77</v>
      </c>
      <c r="B119" s="2">
        <v>2013</v>
      </c>
      <c r="C119" s="2" t="s">
        <v>58</v>
      </c>
      <c r="D119" s="2" t="s">
        <v>36</v>
      </c>
      <c r="E119" s="2" t="s">
        <v>82</v>
      </c>
      <c r="F119" s="2" t="s">
        <v>98</v>
      </c>
      <c r="G119" s="2">
        <f t="shared" si="1"/>
        <v>0.24633431085043989</v>
      </c>
      <c r="H119" s="5">
        <v>4.064516129032258</v>
      </c>
      <c r="I119" s="2">
        <v>62</v>
      </c>
      <c r="J119" s="12">
        <f>I119/Pondération!$J$35</f>
        <v>6.0606060606060608E-2</v>
      </c>
    </row>
    <row r="120" spans="1:10" x14ac:dyDescent="0.25">
      <c r="A120" s="2" t="s">
        <v>77</v>
      </c>
      <c r="B120" s="2">
        <v>2013</v>
      </c>
      <c r="C120" s="2" t="s">
        <v>59</v>
      </c>
      <c r="D120" s="2" t="s">
        <v>36</v>
      </c>
      <c r="E120" s="2" t="s">
        <v>82</v>
      </c>
      <c r="F120" s="2" t="s">
        <v>98</v>
      </c>
      <c r="G120" s="2">
        <f t="shared" si="1"/>
        <v>0.16520039100684261</v>
      </c>
      <c r="H120" s="5">
        <v>3.9302325581395348</v>
      </c>
      <c r="I120" s="2">
        <v>43</v>
      </c>
      <c r="J120" s="12">
        <f>I120/Pondération!$J$35</f>
        <v>4.2033235581622676E-2</v>
      </c>
    </row>
    <row r="121" spans="1:10" x14ac:dyDescent="0.25">
      <c r="A121" s="2" t="s">
        <v>77</v>
      </c>
      <c r="B121" s="2">
        <v>2013</v>
      </c>
      <c r="C121" s="2" t="s">
        <v>60</v>
      </c>
      <c r="D121" s="2" t="s">
        <v>36</v>
      </c>
      <c r="E121" s="2" t="s">
        <v>82</v>
      </c>
      <c r="F121" s="2" t="s">
        <v>98</v>
      </c>
      <c r="G121" s="2">
        <f t="shared" si="1"/>
        <v>0.16911045943304007</v>
      </c>
      <c r="H121" s="5">
        <v>4.1190476190476186</v>
      </c>
      <c r="I121" s="2">
        <v>42</v>
      </c>
      <c r="J121" s="12">
        <f>I121/Pondération!$J$35</f>
        <v>4.1055718475073312E-2</v>
      </c>
    </row>
    <row r="122" spans="1:10" x14ac:dyDescent="0.25">
      <c r="A122" s="2" t="s">
        <v>77</v>
      </c>
      <c r="B122" s="2">
        <v>2014</v>
      </c>
      <c r="C122" s="2" t="s">
        <v>61</v>
      </c>
      <c r="D122" s="2" t="s">
        <v>36</v>
      </c>
      <c r="E122" s="2" t="s">
        <v>82</v>
      </c>
      <c r="F122" s="2" t="s">
        <v>98</v>
      </c>
      <c r="G122" s="2">
        <f t="shared" si="1"/>
        <v>8.826815642458101E-2</v>
      </c>
      <c r="H122" s="5">
        <v>4.0512820512820511</v>
      </c>
      <c r="I122" s="2">
        <v>39</v>
      </c>
      <c r="J122" s="12">
        <f>I122/Pondération!$I$35</f>
        <v>2.1787709497206705E-2</v>
      </c>
    </row>
    <row r="123" spans="1:10" x14ac:dyDescent="0.25">
      <c r="A123" s="2" t="s">
        <v>77</v>
      </c>
      <c r="B123" s="2">
        <v>2014</v>
      </c>
      <c r="C123" s="2" t="s">
        <v>62</v>
      </c>
      <c r="D123" s="2" t="s">
        <v>36</v>
      </c>
      <c r="E123" s="2" t="s">
        <v>82</v>
      </c>
      <c r="F123" s="2" t="s">
        <v>98</v>
      </c>
      <c r="G123" s="2">
        <f t="shared" si="1"/>
        <v>6.759776536312849E-2</v>
      </c>
      <c r="H123" s="5">
        <v>3.903225806451613</v>
      </c>
      <c r="I123" s="2">
        <v>31</v>
      </c>
      <c r="J123" s="12">
        <f>I123/Pondération!$I$35</f>
        <v>1.7318435754189943E-2</v>
      </c>
    </row>
    <row r="124" spans="1:10" x14ac:dyDescent="0.25">
      <c r="A124" s="2" t="s">
        <v>77</v>
      </c>
      <c r="B124" s="2">
        <v>2014</v>
      </c>
      <c r="C124" s="2" t="s">
        <v>63</v>
      </c>
      <c r="D124" s="2" t="s">
        <v>36</v>
      </c>
      <c r="E124" s="2" t="s">
        <v>82</v>
      </c>
      <c r="F124" s="2" t="s">
        <v>98</v>
      </c>
      <c r="G124" s="2">
        <f t="shared" si="1"/>
        <v>0.14581005586592177</v>
      </c>
      <c r="H124" s="5">
        <v>4.078125</v>
      </c>
      <c r="I124" s="2">
        <v>64</v>
      </c>
      <c r="J124" s="12">
        <f>I124/Pondération!$I$35</f>
        <v>3.5754189944134075E-2</v>
      </c>
    </row>
    <row r="125" spans="1:10" x14ac:dyDescent="0.25">
      <c r="A125" s="2" t="s">
        <v>77</v>
      </c>
      <c r="B125" s="2">
        <v>2014</v>
      </c>
      <c r="C125" s="2" t="s">
        <v>64</v>
      </c>
      <c r="D125" s="2" t="s">
        <v>36</v>
      </c>
      <c r="E125" s="2" t="s">
        <v>82</v>
      </c>
      <c r="F125" s="2" t="s">
        <v>98</v>
      </c>
      <c r="G125" s="2">
        <f t="shared" si="1"/>
        <v>0.23798882681564246</v>
      </c>
      <c r="H125" s="5">
        <v>4.1359223300970873</v>
      </c>
      <c r="I125" s="2">
        <v>103</v>
      </c>
      <c r="J125" s="12">
        <f>I125/Pondération!$I$35</f>
        <v>5.7541899441340784E-2</v>
      </c>
    </row>
    <row r="126" spans="1:10" x14ac:dyDescent="0.25">
      <c r="A126" s="2" t="s">
        <v>77</v>
      </c>
      <c r="B126" s="2">
        <v>2014</v>
      </c>
      <c r="C126" s="2" t="s">
        <v>65</v>
      </c>
      <c r="D126" s="2" t="s">
        <v>36</v>
      </c>
      <c r="E126" s="2" t="s">
        <v>82</v>
      </c>
      <c r="F126" s="2" t="s">
        <v>98</v>
      </c>
      <c r="G126" s="2">
        <f t="shared" si="1"/>
        <v>0.33519553072625702</v>
      </c>
      <c r="H126" s="5">
        <v>4.1095890410958908</v>
      </c>
      <c r="I126" s="2">
        <v>146</v>
      </c>
      <c r="J126" s="12">
        <f>I126/Pondération!$I$35</f>
        <v>8.1564245810055863E-2</v>
      </c>
    </row>
    <row r="127" spans="1:10" x14ac:dyDescent="0.25">
      <c r="A127" s="2" t="s">
        <v>77</v>
      </c>
      <c r="B127" s="2">
        <v>2014</v>
      </c>
      <c r="C127" s="2" t="s">
        <v>66</v>
      </c>
      <c r="D127" s="2" t="s">
        <v>36</v>
      </c>
      <c r="E127" s="2" t="s">
        <v>82</v>
      </c>
      <c r="F127" s="2" t="s">
        <v>98</v>
      </c>
      <c r="G127" s="2">
        <f t="shared" si="1"/>
        <v>0.30223463687150842</v>
      </c>
      <c r="H127" s="5">
        <v>4.0984848484848486</v>
      </c>
      <c r="I127" s="2">
        <v>132</v>
      </c>
      <c r="J127" s="12">
        <f>I127/Pondération!$I$35</f>
        <v>7.3743016759776542E-2</v>
      </c>
    </row>
    <row r="128" spans="1:10" x14ac:dyDescent="0.25">
      <c r="A128" s="2" t="s">
        <v>77</v>
      </c>
      <c r="B128" s="2">
        <v>2014</v>
      </c>
      <c r="C128" s="2" t="s">
        <v>67</v>
      </c>
      <c r="D128" s="2" t="s">
        <v>36</v>
      </c>
      <c r="E128" s="2" t="s">
        <v>82</v>
      </c>
      <c r="F128" s="2" t="s">
        <v>98</v>
      </c>
      <c r="G128" s="2">
        <f t="shared" si="1"/>
        <v>0.51340782122905027</v>
      </c>
      <c r="H128" s="5">
        <v>4.1026785714285712</v>
      </c>
      <c r="I128" s="2">
        <v>224</v>
      </c>
      <c r="J128" s="12">
        <f>I128/Pondération!$I$35</f>
        <v>0.12513966480446928</v>
      </c>
    </row>
    <row r="129" spans="1:10" x14ac:dyDescent="0.25">
      <c r="A129" s="2" t="s">
        <v>77</v>
      </c>
      <c r="B129" s="2">
        <v>2014</v>
      </c>
      <c r="C129" s="2" t="s">
        <v>68</v>
      </c>
      <c r="D129" s="2" t="s">
        <v>36</v>
      </c>
      <c r="E129" s="2" t="s">
        <v>82</v>
      </c>
      <c r="F129" s="2" t="s">
        <v>98</v>
      </c>
      <c r="G129" s="2">
        <f t="shared" si="1"/>
        <v>1.1743016759776537</v>
      </c>
      <c r="H129" s="5">
        <v>4.0657640232108321</v>
      </c>
      <c r="I129" s="2">
        <v>517</v>
      </c>
      <c r="J129" s="12">
        <f>I129/Pondération!$I$35</f>
        <v>0.2888268156424581</v>
      </c>
    </row>
    <row r="130" spans="1:10" x14ac:dyDescent="0.25">
      <c r="A130" s="2" t="s">
        <v>77</v>
      </c>
      <c r="B130" s="2">
        <v>2014</v>
      </c>
      <c r="C130" s="2" t="s">
        <v>69</v>
      </c>
      <c r="D130" s="2" t="s">
        <v>36</v>
      </c>
      <c r="E130" s="2" t="s">
        <v>82</v>
      </c>
      <c r="F130" s="2" t="s">
        <v>98</v>
      </c>
      <c r="G130" s="2">
        <f t="shared" si="1"/>
        <v>0.51284916201117325</v>
      </c>
      <c r="H130" s="5">
        <v>4.08</v>
      </c>
      <c r="I130" s="2">
        <v>225</v>
      </c>
      <c r="J130" s="12">
        <f>I130/Pondération!$I$35</f>
        <v>0.12569832402234637</v>
      </c>
    </row>
    <row r="131" spans="1:10" x14ac:dyDescent="0.25">
      <c r="A131" s="2" t="s">
        <v>77</v>
      </c>
      <c r="B131" s="2">
        <v>2014</v>
      </c>
      <c r="C131" s="2" t="s">
        <v>70</v>
      </c>
      <c r="D131" s="2" t="s">
        <v>36</v>
      </c>
      <c r="E131" s="2" t="s">
        <v>82</v>
      </c>
      <c r="F131" s="2" t="s">
        <v>98</v>
      </c>
      <c r="G131" s="2">
        <f t="shared" ref="G131:G194" si="2">H131*J131</f>
        <v>0.30558659217877099</v>
      </c>
      <c r="H131" s="5">
        <v>4.0518518518518523</v>
      </c>
      <c r="I131" s="2">
        <v>135</v>
      </c>
      <c r="J131" s="12">
        <f>I131/Pondération!$I$35</f>
        <v>7.5418994413407825E-2</v>
      </c>
    </row>
    <row r="132" spans="1:10" x14ac:dyDescent="0.25">
      <c r="A132" s="2" t="s">
        <v>77</v>
      </c>
      <c r="B132" s="2">
        <v>2014</v>
      </c>
      <c r="C132" s="2" t="s">
        <v>71</v>
      </c>
      <c r="D132" s="2" t="s">
        <v>36</v>
      </c>
      <c r="E132" s="2" t="s">
        <v>82</v>
      </c>
      <c r="F132" s="2" t="s">
        <v>98</v>
      </c>
      <c r="G132" s="2">
        <f t="shared" si="2"/>
        <v>0.23016759776536314</v>
      </c>
      <c r="H132" s="5">
        <v>4</v>
      </c>
      <c r="I132" s="2">
        <v>103</v>
      </c>
      <c r="J132" s="12">
        <f>I132/Pondération!$I$35</f>
        <v>5.7541899441340784E-2</v>
      </c>
    </row>
    <row r="133" spans="1:10" x14ac:dyDescent="0.25">
      <c r="A133" s="2" t="s">
        <v>77</v>
      </c>
      <c r="B133" s="2">
        <v>2014</v>
      </c>
      <c r="C133" s="2" t="s">
        <v>72</v>
      </c>
      <c r="D133" s="2" t="s">
        <v>36</v>
      </c>
      <c r="E133" s="2" t="s">
        <v>82</v>
      </c>
      <c r="F133" s="2" t="s">
        <v>98</v>
      </c>
      <c r="G133" s="2">
        <f t="shared" si="2"/>
        <v>0.15977653631284916</v>
      </c>
      <c r="H133" s="5">
        <v>4.028169014084507</v>
      </c>
      <c r="I133" s="2">
        <v>71</v>
      </c>
      <c r="J133" s="12">
        <f>I133/Pondération!$I$35</f>
        <v>3.9664804469273743E-2</v>
      </c>
    </row>
    <row r="134" spans="1:10" x14ac:dyDescent="0.25">
      <c r="A134" s="2" t="s">
        <v>77</v>
      </c>
      <c r="B134" s="2">
        <v>2015</v>
      </c>
      <c r="C134" s="2" t="s">
        <v>73</v>
      </c>
      <c r="D134" s="2" t="s">
        <v>36</v>
      </c>
      <c r="E134" s="2" t="s">
        <v>82</v>
      </c>
      <c r="F134" s="2" t="s">
        <v>98</v>
      </c>
      <c r="G134" s="2">
        <f t="shared" si="2"/>
        <v>6.0133119118659629E-2</v>
      </c>
      <c r="H134" s="5">
        <v>4.0307692307692307</v>
      </c>
      <c r="I134" s="2">
        <v>65</v>
      </c>
      <c r="J134" s="12">
        <f>I134/Pondération!$H$35</f>
        <v>1.4918521918751435E-2</v>
      </c>
    </row>
    <row r="135" spans="1:10" x14ac:dyDescent="0.25">
      <c r="A135" s="2" t="s">
        <v>77</v>
      </c>
      <c r="B135" s="2">
        <v>2015</v>
      </c>
      <c r="C135" s="2" t="s">
        <v>74</v>
      </c>
      <c r="D135" s="2" t="s">
        <v>36</v>
      </c>
      <c r="E135" s="2" t="s">
        <v>82</v>
      </c>
      <c r="F135" s="2" t="s">
        <v>98</v>
      </c>
      <c r="G135" s="2">
        <f t="shared" si="2"/>
        <v>9.0658710121643338E-2</v>
      </c>
      <c r="H135" s="5">
        <v>3.9898989898989901</v>
      </c>
      <c r="I135" s="2">
        <v>99</v>
      </c>
      <c r="J135" s="12">
        <f>I135/Pondération!$H$35</f>
        <v>2.2722056460867571E-2</v>
      </c>
    </row>
    <row r="136" spans="1:10" x14ac:dyDescent="0.25">
      <c r="A136" s="2" t="s">
        <v>77</v>
      </c>
      <c r="B136" s="2">
        <v>2015</v>
      </c>
      <c r="C136" s="2" t="s">
        <v>75</v>
      </c>
      <c r="D136" s="2" t="s">
        <v>36</v>
      </c>
      <c r="E136" s="2" t="s">
        <v>82</v>
      </c>
      <c r="F136" s="2" t="s">
        <v>98</v>
      </c>
      <c r="G136" s="2">
        <f t="shared" si="2"/>
        <v>9.8232728941932523E-2</v>
      </c>
      <c r="H136" s="5">
        <v>3.9629629629629628</v>
      </c>
      <c r="I136" s="2">
        <v>108</v>
      </c>
      <c r="J136" s="12">
        <f>I136/Pondération!$H$35</f>
        <v>2.4787697957310076E-2</v>
      </c>
    </row>
    <row r="137" spans="1:10" x14ac:dyDescent="0.25">
      <c r="A137" s="2" t="s">
        <v>77</v>
      </c>
      <c r="B137" s="2">
        <v>2015</v>
      </c>
      <c r="C137" s="2" t="s">
        <v>76</v>
      </c>
      <c r="D137" s="2" t="s">
        <v>36</v>
      </c>
      <c r="E137" s="2" t="s">
        <v>82</v>
      </c>
      <c r="F137" s="2" t="s">
        <v>98</v>
      </c>
      <c r="G137" s="2">
        <f t="shared" si="2"/>
        <v>0.20449850814780812</v>
      </c>
      <c r="H137" s="5">
        <v>4.0684931506849313</v>
      </c>
      <c r="I137" s="2">
        <v>219</v>
      </c>
      <c r="J137" s="12">
        <f>I137/Pondération!$H$35</f>
        <v>5.0263943080100987E-2</v>
      </c>
    </row>
    <row r="138" spans="1:10" x14ac:dyDescent="0.25">
      <c r="A138" s="2" t="s">
        <v>77</v>
      </c>
      <c r="B138" s="2">
        <v>2015</v>
      </c>
      <c r="C138" s="2" t="s">
        <v>7</v>
      </c>
      <c r="D138" s="2" t="s">
        <v>36</v>
      </c>
      <c r="E138" s="2" t="s">
        <v>82</v>
      </c>
      <c r="F138" s="2" t="s">
        <v>98</v>
      </c>
      <c r="G138" s="2">
        <f t="shared" si="2"/>
        <v>0.34404406701859075</v>
      </c>
      <c r="H138" s="5">
        <v>4.0956284153005464</v>
      </c>
      <c r="I138" s="2">
        <v>366</v>
      </c>
      <c r="J138" s="12">
        <f>I138/Pondération!$H$35</f>
        <v>8.4002754188661918E-2</v>
      </c>
    </row>
    <row r="139" spans="1:10" x14ac:dyDescent="0.25">
      <c r="A139" s="2" t="s">
        <v>77</v>
      </c>
      <c r="B139" s="2">
        <v>2015</v>
      </c>
      <c r="C139" s="2" t="s">
        <v>11</v>
      </c>
      <c r="D139" s="2" t="s">
        <v>36</v>
      </c>
      <c r="E139" s="2" t="s">
        <v>82</v>
      </c>
      <c r="F139" s="2" t="s">
        <v>98</v>
      </c>
      <c r="G139" s="2">
        <f t="shared" si="2"/>
        <v>0.25682809272435164</v>
      </c>
      <c r="H139" s="5">
        <v>4.0690909090909093</v>
      </c>
      <c r="I139" s="2">
        <v>275</v>
      </c>
      <c r="J139" s="12">
        <f>I139/Pondération!$H$35</f>
        <v>6.3116823502409922E-2</v>
      </c>
    </row>
    <row r="140" spans="1:10" x14ac:dyDescent="0.25">
      <c r="A140" s="2" t="s">
        <v>77</v>
      </c>
      <c r="B140" s="2">
        <v>2015</v>
      </c>
      <c r="C140" s="2" t="s">
        <v>12</v>
      </c>
      <c r="D140" s="2" t="s">
        <v>36</v>
      </c>
      <c r="E140" s="2" t="s">
        <v>82</v>
      </c>
      <c r="F140" s="2" t="s">
        <v>98</v>
      </c>
      <c r="G140" s="2">
        <f t="shared" si="2"/>
        <v>0.67225154923112229</v>
      </c>
      <c r="H140" s="5">
        <v>4.1022408963585431</v>
      </c>
      <c r="I140" s="2">
        <v>714</v>
      </c>
      <c r="J140" s="12">
        <f>I140/Pondération!$H$35</f>
        <v>0.16387422538443883</v>
      </c>
    </row>
    <row r="141" spans="1:10" x14ac:dyDescent="0.25">
      <c r="A141" s="2" t="s">
        <v>77</v>
      </c>
      <c r="B141" s="2">
        <v>2015</v>
      </c>
      <c r="C141" s="2" t="s">
        <v>13</v>
      </c>
      <c r="D141" s="2" t="s">
        <v>36</v>
      </c>
      <c r="E141" s="2" t="s">
        <v>82</v>
      </c>
      <c r="F141" s="2" t="s">
        <v>98</v>
      </c>
      <c r="G141" s="2">
        <f t="shared" si="2"/>
        <v>1.0732155152627956</v>
      </c>
      <c r="H141" s="5">
        <v>4.0731707317073171</v>
      </c>
      <c r="I141" s="2">
        <v>1148</v>
      </c>
      <c r="J141" s="12">
        <f>I141/Pondération!$H$35</f>
        <v>0.26348404865733305</v>
      </c>
    </row>
    <row r="142" spans="1:10" x14ac:dyDescent="0.25">
      <c r="A142" s="2" t="s">
        <v>77</v>
      </c>
      <c r="B142" s="2">
        <v>2015</v>
      </c>
      <c r="C142" s="2" t="s">
        <v>14</v>
      </c>
      <c r="D142" s="2" t="s">
        <v>36</v>
      </c>
      <c r="E142" s="2" t="s">
        <v>82</v>
      </c>
      <c r="F142" s="2" t="s">
        <v>98</v>
      </c>
      <c r="G142" s="2">
        <f t="shared" si="2"/>
        <v>0.52375487720908886</v>
      </c>
      <c r="H142" s="5">
        <v>4.1043165467625897</v>
      </c>
      <c r="I142" s="2">
        <v>556</v>
      </c>
      <c r="J142" s="12">
        <f>I142/Pondération!$H$35</f>
        <v>0.12761074133578151</v>
      </c>
    </row>
    <row r="143" spans="1:10" x14ac:dyDescent="0.25">
      <c r="A143" s="2" t="s">
        <v>77</v>
      </c>
      <c r="B143" s="2">
        <v>2015</v>
      </c>
      <c r="C143" s="2" t="s">
        <v>15</v>
      </c>
      <c r="D143" s="2" t="s">
        <v>36</v>
      </c>
      <c r="E143" s="2" t="s">
        <v>82</v>
      </c>
      <c r="F143" s="2" t="s">
        <v>98</v>
      </c>
      <c r="G143" s="2">
        <f t="shared" si="2"/>
        <v>0.35643791599724584</v>
      </c>
      <c r="H143" s="5">
        <v>4.0654450261780104</v>
      </c>
      <c r="I143" s="2">
        <v>382</v>
      </c>
      <c r="J143" s="12">
        <f>I143/Pondération!$H$35</f>
        <v>8.7675005737893053E-2</v>
      </c>
    </row>
    <row r="144" spans="1:10" x14ac:dyDescent="0.25">
      <c r="A144" s="2" t="s">
        <v>77</v>
      </c>
      <c r="B144" s="2">
        <v>2015</v>
      </c>
      <c r="C144" s="2" t="s">
        <v>16</v>
      </c>
      <c r="D144" s="2" t="s">
        <v>36</v>
      </c>
      <c r="E144" s="2" t="s">
        <v>82</v>
      </c>
      <c r="F144" s="2" t="s">
        <v>98</v>
      </c>
      <c r="G144" s="2">
        <f t="shared" si="2"/>
        <v>0.20725269680973146</v>
      </c>
      <c r="H144" s="5">
        <v>4.0859728506787327</v>
      </c>
      <c r="I144" s="2">
        <v>221</v>
      </c>
      <c r="J144" s="12">
        <f>I144/Pondération!$H$35</f>
        <v>5.0722974523754877E-2</v>
      </c>
    </row>
    <row r="145" spans="1:10" x14ac:dyDescent="0.25">
      <c r="A145" s="2" t="s">
        <v>77</v>
      </c>
      <c r="B145" s="2">
        <v>2015</v>
      </c>
      <c r="C145" s="2" t="s">
        <v>17</v>
      </c>
      <c r="D145" s="2" t="s">
        <v>36</v>
      </c>
      <c r="E145" s="2" t="s">
        <v>82</v>
      </c>
      <c r="F145" s="2" t="s">
        <v>98</v>
      </c>
      <c r="G145" s="2">
        <f t="shared" si="2"/>
        <v>0.18774386045444114</v>
      </c>
      <c r="H145" s="5">
        <v>4.0098039215686274</v>
      </c>
      <c r="I145" s="2">
        <v>204</v>
      </c>
      <c r="J145" s="12">
        <f>I145/Pondération!$H$35</f>
        <v>4.6821207252696811E-2</v>
      </c>
    </row>
    <row r="146" spans="1:10" x14ac:dyDescent="0.25">
      <c r="A146" s="2" t="s">
        <v>77</v>
      </c>
      <c r="B146" s="2">
        <v>2016</v>
      </c>
      <c r="C146" s="2" t="s">
        <v>18</v>
      </c>
      <c r="D146" s="2" t="s">
        <v>36</v>
      </c>
      <c r="E146" s="2" t="s">
        <v>82</v>
      </c>
      <c r="F146" s="2" t="s">
        <v>98</v>
      </c>
      <c r="G146" s="2">
        <f t="shared" si="2"/>
        <v>9.9557184302947022E-2</v>
      </c>
      <c r="H146" s="5">
        <v>4.0246913580246915</v>
      </c>
      <c r="I146" s="2">
        <v>162</v>
      </c>
      <c r="J146" s="12">
        <f>I146/Pondération!$G$35</f>
        <v>2.4736601007787448E-2</v>
      </c>
    </row>
    <row r="147" spans="1:10" x14ac:dyDescent="0.25">
      <c r="A147" s="2" t="s">
        <v>77</v>
      </c>
      <c r="B147" s="2">
        <v>2016</v>
      </c>
      <c r="C147" s="2" t="s">
        <v>19</v>
      </c>
      <c r="D147" s="2" t="s">
        <v>36</v>
      </c>
      <c r="E147" s="2" t="s">
        <v>82</v>
      </c>
      <c r="F147" s="2" t="s">
        <v>98</v>
      </c>
      <c r="G147" s="2">
        <f t="shared" si="2"/>
        <v>0.17926400977248433</v>
      </c>
      <c r="H147" s="5">
        <v>4.0068259385665526</v>
      </c>
      <c r="I147" s="2">
        <v>293</v>
      </c>
      <c r="J147" s="12">
        <f>I147/Pondération!$G$35</f>
        <v>4.4739654909146435E-2</v>
      </c>
    </row>
    <row r="148" spans="1:10" x14ac:dyDescent="0.25">
      <c r="A148" s="2" t="s">
        <v>77</v>
      </c>
      <c r="B148" s="2">
        <v>2016</v>
      </c>
      <c r="C148" s="2" t="s">
        <v>20</v>
      </c>
      <c r="D148" s="2" t="s">
        <v>36</v>
      </c>
      <c r="E148" s="2" t="s">
        <v>82</v>
      </c>
      <c r="F148" s="2" t="s">
        <v>98</v>
      </c>
      <c r="G148" s="2">
        <f t="shared" si="2"/>
        <v>0.1843029470148114</v>
      </c>
      <c r="H148" s="5">
        <v>4.0367892976588626</v>
      </c>
      <c r="I148" s="2">
        <v>299</v>
      </c>
      <c r="J148" s="12">
        <f>I148/Pondération!$G$35</f>
        <v>4.5655825316842265E-2</v>
      </c>
    </row>
    <row r="149" spans="1:10" x14ac:dyDescent="0.25">
      <c r="A149" s="2" t="s">
        <v>77</v>
      </c>
      <c r="B149" s="2">
        <v>2016</v>
      </c>
      <c r="C149" s="2" t="s">
        <v>21</v>
      </c>
      <c r="D149" s="2" t="s">
        <v>36</v>
      </c>
      <c r="E149" s="2" t="s">
        <v>82</v>
      </c>
      <c r="F149" s="2" t="s">
        <v>98</v>
      </c>
      <c r="G149" s="2">
        <f t="shared" si="2"/>
        <v>0.33837227057566044</v>
      </c>
      <c r="H149" s="5">
        <v>4.0810313075506448</v>
      </c>
      <c r="I149" s="2">
        <v>543</v>
      </c>
      <c r="J149" s="12">
        <f>I149/Pondération!$G$35</f>
        <v>8.2913421896472744E-2</v>
      </c>
    </row>
    <row r="150" spans="1:10" x14ac:dyDescent="0.25">
      <c r="A150" s="2" t="s">
        <v>77</v>
      </c>
      <c r="B150" s="2">
        <v>2016</v>
      </c>
      <c r="C150" s="2" t="s">
        <v>22</v>
      </c>
      <c r="D150" s="2" t="s">
        <v>36</v>
      </c>
      <c r="E150" s="2" t="s">
        <v>82</v>
      </c>
      <c r="F150" s="2" t="s">
        <v>98</v>
      </c>
      <c r="G150" s="2">
        <f t="shared" si="2"/>
        <v>0.32768361581920902</v>
      </c>
      <c r="H150" s="5">
        <v>4.1348747591522157</v>
      </c>
      <c r="I150" s="2">
        <v>519</v>
      </c>
      <c r="J150" s="12">
        <f>I150/Pondération!$G$35</f>
        <v>7.9248740265689413E-2</v>
      </c>
    </row>
    <row r="151" spans="1:10" x14ac:dyDescent="0.25">
      <c r="A151" s="2" t="s">
        <v>77</v>
      </c>
      <c r="B151" s="2">
        <v>2016</v>
      </c>
      <c r="C151" s="2" t="s">
        <v>23</v>
      </c>
      <c r="D151" s="2" t="s">
        <v>36</v>
      </c>
      <c r="E151" s="2" t="s">
        <v>82</v>
      </c>
      <c r="F151" s="2" t="s">
        <v>98</v>
      </c>
      <c r="G151" s="2">
        <f t="shared" si="2"/>
        <v>0.28584516720109937</v>
      </c>
      <c r="H151" s="5">
        <v>4.0873362445414845</v>
      </c>
      <c r="I151" s="2">
        <v>458</v>
      </c>
      <c r="J151" s="12">
        <f>I151/Pondération!$G$35</f>
        <v>6.9934341120781798E-2</v>
      </c>
    </row>
    <row r="152" spans="1:10" x14ac:dyDescent="0.25">
      <c r="A152" s="2" t="s">
        <v>77</v>
      </c>
      <c r="B152" s="2">
        <v>2016</v>
      </c>
      <c r="C152" s="2" t="s">
        <v>24</v>
      </c>
      <c r="D152" s="2" t="s">
        <v>36</v>
      </c>
      <c r="E152" s="2" t="s">
        <v>82</v>
      </c>
      <c r="F152" s="2" t="s">
        <v>98</v>
      </c>
      <c r="G152" s="2">
        <f t="shared" si="2"/>
        <v>0.55092380516109329</v>
      </c>
      <c r="H152" s="5">
        <v>4.0999999999999996</v>
      </c>
      <c r="I152" s="2">
        <v>880</v>
      </c>
      <c r="J152" s="12">
        <f>I152/Pondération!$G$35</f>
        <v>0.13437165979538862</v>
      </c>
    </row>
    <row r="153" spans="1:10" x14ac:dyDescent="0.25">
      <c r="A153" s="2" t="s">
        <v>77</v>
      </c>
      <c r="B153" s="2">
        <v>2016</v>
      </c>
      <c r="C153" s="2" t="s">
        <v>25</v>
      </c>
      <c r="D153" s="2" t="s">
        <v>36</v>
      </c>
      <c r="E153" s="2" t="s">
        <v>82</v>
      </c>
      <c r="F153" s="2" t="s">
        <v>98</v>
      </c>
      <c r="G153" s="2">
        <f t="shared" si="2"/>
        <v>1.0210719193770039</v>
      </c>
      <c r="H153" s="5">
        <v>4.0824175824175821</v>
      </c>
      <c r="I153" s="2">
        <v>1638</v>
      </c>
      <c r="J153" s="12">
        <f>I153/Pondération!$G$35</f>
        <v>0.25011452130096196</v>
      </c>
    </row>
    <row r="154" spans="1:10" x14ac:dyDescent="0.25">
      <c r="A154" s="2" t="s">
        <v>77</v>
      </c>
      <c r="B154" s="2">
        <v>2016</v>
      </c>
      <c r="C154" s="2" t="s">
        <v>26</v>
      </c>
      <c r="D154" s="2" t="s">
        <v>36</v>
      </c>
      <c r="E154" s="2" t="s">
        <v>82</v>
      </c>
      <c r="F154" s="2" t="s">
        <v>98</v>
      </c>
      <c r="G154" s="2">
        <f t="shared" si="2"/>
        <v>0.42479767903496718</v>
      </c>
      <c r="H154" s="5">
        <v>4.1032448377581119</v>
      </c>
      <c r="I154" s="2">
        <v>678</v>
      </c>
      <c r="J154" s="12">
        <f>I154/Pondération!$G$35</f>
        <v>0.10352725606962895</v>
      </c>
    </row>
    <row r="155" spans="1:10" x14ac:dyDescent="0.25">
      <c r="A155" s="2" t="s">
        <v>77</v>
      </c>
      <c r="B155" s="2">
        <v>2016</v>
      </c>
      <c r="C155" s="2" t="s">
        <v>27</v>
      </c>
      <c r="D155" s="2" t="s">
        <v>36</v>
      </c>
      <c r="E155" s="2" t="s">
        <v>82</v>
      </c>
      <c r="F155" s="2" t="s">
        <v>98</v>
      </c>
      <c r="G155" s="2">
        <f t="shared" si="2"/>
        <v>0.29912963811268894</v>
      </c>
      <c r="H155" s="5">
        <v>4.0897703549060545</v>
      </c>
      <c r="I155" s="2">
        <v>479</v>
      </c>
      <c r="J155" s="12">
        <f>I155/Pondération!$G$35</f>
        <v>7.3140937547717208E-2</v>
      </c>
    </row>
    <row r="156" spans="1:10" x14ac:dyDescent="0.25">
      <c r="A156" s="2" t="s">
        <v>77</v>
      </c>
      <c r="B156" s="2">
        <v>2016</v>
      </c>
      <c r="C156" s="2" t="s">
        <v>28</v>
      </c>
      <c r="D156" s="2" t="s">
        <v>36</v>
      </c>
      <c r="E156" s="2" t="s">
        <v>82</v>
      </c>
      <c r="F156" s="2" t="s">
        <v>98</v>
      </c>
      <c r="G156" s="2">
        <f t="shared" si="2"/>
        <v>0.23026416246755232</v>
      </c>
      <c r="H156" s="5">
        <v>4.0646900269541781</v>
      </c>
      <c r="I156" s="2">
        <v>371</v>
      </c>
      <c r="J156" s="12">
        <f>I156/Pondération!$G$35</f>
        <v>5.6649870209192245E-2</v>
      </c>
    </row>
    <row r="157" spans="1:10" x14ac:dyDescent="0.25">
      <c r="A157" s="2" t="s">
        <v>77</v>
      </c>
      <c r="B157" s="2">
        <v>2016</v>
      </c>
      <c r="C157" s="2" t="s">
        <v>29</v>
      </c>
      <c r="D157" s="2" t="s">
        <v>36</v>
      </c>
      <c r="E157" s="2" t="s">
        <v>82</v>
      </c>
      <c r="F157" s="2" t="s">
        <v>98</v>
      </c>
      <c r="G157" s="2">
        <f t="shared" si="2"/>
        <v>0.14139563292105664</v>
      </c>
      <c r="H157" s="5">
        <v>4.0436681222707422</v>
      </c>
      <c r="I157" s="2">
        <v>229</v>
      </c>
      <c r="J157" s="12">
        <f>I157/Pondération!$G$35</f>
        <v>3.4967170560390899E-2</v>
      </c>
    </row>
    <row r="158" spans="1:10" x14ac:dyDescent="0.25">
      <c r="A158" s="2" t="s">
        <v>77</v>
      </c>
      <c r="B158" s="2">
        <v>2017</v>
      </c>
      <c r="C158" s="2" t="s">
        <v>30</v>
      </c>
      <c r="D158" s="2" t="s">
        <v>36</v>
      </c>
      <c r="E158" s="2" t="s">
        <v>82</v>
      </c>
      <c r="F158" s="2" t="s">
        <v>98</v>
      </c>
      <c r="G158" s="2">
        <f t="shared" si="2"/>
        <v>0.3612472160356347</v>
      </c>
      <c r="H158" s="5">
        <v>4.0348258706467659</v>
      </c>
      <c r="I158" s="2">
        <v>201</v>
      </c>
      <c r="J158" s="12">
        <f>I158/Pondération!$F$35</f>
        <v>8.9532293986636965E-2</v>
      </c>
    </row>
    <row r="159" spans="1:10" x14ac:dyDescent="0.25">
      <c r="A159" s="2" t="s">
        <v>77</v>
      </c>
      <c r="B159" s="2">
        <v>2017</v>
      </c>
      <c r="C159" s="2" t="s">
        <v>31</v>
      </c>
      <c r="D159" s="2" t="s">
        <v>36</v>
      </c>
      <c r="E159" s="2" t="s">
        <v>82</v>
      </c>
      <c r="F159" s="2" t="s">
        <v>98</v>
      </c>
      <c r="G159" s="2">
        <f t="shared" si="2"/>
        <v>0.56525612472160358</v>
      </c>
      <c r="H159" s="5">
        <v>4.0285714285714285</v>
      </c>
      <c r="I159" s="2">
        <v>315</v>
      </c>
      <c r="J159" s="12">
        <f>I159/Pondération!$F$35</f>
        <v>0.14031180400890869</v>
      </c>
    </row>
    <row r="160" spans="1:10" x14ac:dyDescent="0.25">
      <c r="A160" s="2" t="s">
        <v>77</v>
      </c>
      <c r="B160" s="2">
        <v>2017</v>
      </c>
      <c r="C160" s="2" t="s">
        <v>32</v>
      </c>
      <c r="D160" s="2" t="s">
        <v>36</v>
      </c>
      <c r="E160" s="2" t="s">
        <v>82</v>
      </c>
      <c r="F160" s="2" t="s">
        <v>98</v>
      </c>
      <c r="G160" s="2">
        <f t="shared" si="2"/>
        <v>0.52605790645879724</v>
      </c>
      <c r="H160" s="5">
        <v>4.0445205479452051</v>
      </c>
      <c r="I160" s="2">
        <v>292</v>
      </c>
      <c r="J160" s="12">
        <f>I160/Pondération!$F$35</f>
        <v>0.13006681514476615</v>
      </c>
    </row>
    <row r="161" spans="1:10" x14ac:dyDescent="0.25">
      <c r="A161" s="2" t="s">
        <v>77</v>
      </c>
      <c r="B161" s="2">
        <v>2017</v>
      </c>
      <c r="C161" s="2" t="s">
        <v>33</v>
      </c>
      <c r="D161" s="2" t="s">
        <v>36</v>
      </c>
      <c r="E161" s="2" t="s">
        <v>82</v>
      </c>
      <c r="F161" s="2" t="s">
        <v>98</v>
      </c>
      <c r="G161" s="2">
        <f t="shared" si="2"/>
        <v>1.2944320712694879</v>
      </c>
      <c r="H161" s="5">
        <v>4.1045197740112993</v>
      </c>
      <c r="I161" s="2">
        <v>708</v>
      </c>
      <c r="J161" s="12">
        <f>I161/Pondération!$F$35</f>
        <v>0.31536748329621384</v>
      </c>
    </row>
    <row r="162" spans="1:10" x14ac:dyDescent="0.25">
      <c r="A162" s="2" t="s">
        <v>77</v>
      </c>
      <c r="B162" s="2">
        <v>2017</v>
      </c>
      <c r="C162" s="2" t="s">
        <v>34</v>
      </c>
      <c r="D162" s="2" t="s">
        <v>36</v>
      </c>
      <c r="E162" s="2" t="s">
        <v>82</v>
      </c>
      <c r="F162" s="2" t="s">
        <v>98</v>
      </c>
      <c r="G162" s="2">
        <f t="shared" si="2"/>
        <v>0.97327394209354101</v>
      </c>
      <c r="H162" s="5">
        <v>4.1071428571428568</v>
      </c>
      <c r="I162" s="2">
        <v>532</v>
      </c>
      <c r="J162" s="12">
        <f>I162/Pondération!$F$35</f>
        <v>0.23697104677060132</v>
      </c>
    </row>
    <row r="163" spans="1:10" x14ac:dyDescent="0.25">
      <c r="A163" s="2" t="s">
        <v>77</v>
      </c>
      <c r="B163" s="2">
        <v>2017</v>
      </c>
      <c r="C163" s="2" t="s">
        <v>80</v>
      </c>
      <c r="D163" s="2" t="s">
        <v>36</v>
      </c>
      <c r="E163" s="2" t="s">
        <v>82</v>
      </c>
      <c r="F163" s="2" t="s">
        <v>98</v>
      </c>
      <c r="G163" s="2">
        <f t="shared" si="2"/>
        <v>0.36436525612472165</v>
      </c>
      <c r="H163" s="5">
        <v>4.1522842639593911</v>
      </c>
      <c r="I163" s="2">
        <v>197</v>
      </c>
      <c r="J163" s="12">
        <f>I163/Pondération!$F$35</f>
        <v>8.7750556792873052E-2</v>
      </c>
    </row>
    <row r="164" spans="1:10" x14ac:dyDescent="0.25">
      <c r="A164" s="2" t="s">
        <v>77</v>
      </c>
      <c r="B164" s="2">
        <v>2013</v>
      </c>
      <c r="C164" s="2" t="s">
        <v>49</v>
      </c>
      <c r="D164" s="2" t="s">
        <v>37</v>
      </c>
      <c r="E164" s="2" t="s">
        <v>82</v>
      </c>
      <c r="F164" s="2" t="s">
        <v>98</v>
      </c>
      <c r="G164" s="2">
        <f t="shared" si="2"/>
        <v>0.11872586872586872</v>
      </c>
      <c r="H164" s="5">
        <v>3.967741935483871</v>
      </c>
      <c r="I164" s="2">
        <v>31</v>
      </c>
      <c r="J164" s="12">
        <f>I164/Pondération!$J$48</f>
        <v>2.9922779922779922E-2</v>
      </c>
    </row>
    <row r="165" spans="1:10" x14ac:dyDescent="0.25">
      <c r="A165" s="2" t="s">
        <v>77</v>
      </c>
      <c r="B165" s="2">
        <v>2013</v>
      </c>
      <c r="C165" s="2" t="s">
        <v>50</v>
      </c>
      <c r="D165" s="2" t="s">
        <v>37</v>
      </c>
      <c r="E165" s="2" t="s">
        <v>82</v>
      </c>
      <c r="F165" s="2" t="s">
        <v>98</v>
      </c>
      <c r="G165" s="2">
        <f t="shared" si="2"/>
        <v>0.11486486486486487</v>
      </c>
      <c r="H165" s="5">
        <v>3.9666666666666668</v>
      </c>
      <c r="I165" s="2">
        <v>30</v>
      </c>
      <c r="J165" s="12">
        <f>I165/Pondération!$J$48</f>
        <v>2.8957528957528959E-2</v>
      </c>
    </row>
    <row r="166" spans="1:10" x14ac:dyDescent="0.25">
      <c r="A166" s="2" t="s">
        <v>77</v>
      </c>
      <c r="B166" s="2">
        <v>2013</v>
      </c>
      <c r="C166" s="2" t="s">
        <v>51</v>
      </c>
      <c r="D166" s="2" t="s">
        <v>37</v>
      </c>
      <c r="E166" s="2" t="s">
        <v>82</v>
      </c>
      <c r="F166" s="2" t="s">
        <v>98</v>
      </c>
      <c r="G166" s="2">
        <f t="shared" si="2"/>
        <v>0.15347490347490347</v>
      </c>
      <c r="H166" s="5">
        <v>3.9750000000000001</v>
      </c>
      <c r="I166" s="2">
        <v>40</v>
      </c>
      <c r="J166" s="12">
        <f>I166/Pondération!$J$48</f>
        <v>3.8610038610038609E-2</v>
      </c>
    </row>
    <row r="167" spans="1:10" x14ac:dyDescent="0.25">
      <c r="A167" s="2" t="s">
        <v>77</v>
      </c>
      <c r="B167" s="2">
        <v>2013</v>
      </c>
      <c r="C167" s="2" t="s">
        <v>52</v>
      </c>
      <c r="D167" s="2" t="s">
        <v>37</v>
      </c>
      <c r="E167" s="2" t="s">
        <v>82</v>
      </c>
      <c r="F167" s="2" t="s">
        <v>98</v>
      </c>
      <c r="G167" s="2">
        <f t="shared" si="2"/>
        <v>0.28088803088803088</v>
      </c>
      <c r="H167" s="5">
        <v>3.9863013698630136</v>
      </c>
      <c r="I167" s="2">
        <v>73</v>
      </c>
      <c r="J167" s="12">
        <f>I167/Pondération!$J$48</f>
        <v>7.0463320463320461E-2</v>
      </c>
    </row>
    <row r="168" spans="1:10" x14ac:dyDescent="0.25">
      <c r="A168" s="2" t="s">
        <v>77</v>
      </c>
      <c r="B168" s="2">
        <v>2013</v>
      </c>
      <c r="C168" s="2" t="s">
        <v>53</v>
      </c>
      <c r="D168" s="2" t="s">
        <v>37</v>
      </c>
      <c r="E168" s="2" t="s">
        <v>82</v>
      </c>
      <c r="F168" s="2" t="s">
        <v>98</v>
      </c>
      <c r="G168" s="2">
        <f t="shared" si="2"/>
        <v>0.50193050193050193</v>
      </c>
      <c r="H168" s="5">
        <v>4</v>
      </c>
      <c r="I168" s="2">
        <v>130</v>
      </c>
      <c r="J168" s="12">
        <f>I168/Pondération!$J$48</f>
        <v>0.12548262548262548</v>
      </c>
    </row>
    <row r="169" spans="1:10" x14ac:dyDescent="0.25">
      <c r="A169" s="2" t="s">
        <v>77</v>
      </c>
      <c r="B169" s="2">
        <v>2013</v>
      </c>
      <c r="C169" s="2" t="s">
        <v>54</v>
      </c>
      <c r="D169" s="2" t="s">
        <v>37</v>
      </c>
      <c r="E169" s="2" t="s">
        <v>82</v>
      </c>
      <c r="F169" s="2" t="s">
        <v>98</v>
      </c>
      <c r="G169" s="2">
        <f t="shared" si="2"/>
        <v>0.36196911196911197</v>
      </c>
      <c r="H169" s="5">
        <v>4.0760869565217392</v>
      </c>
      <c r="I169" s="2">
        <v>92</v>
      </c>
      <c r="J169" s="12">
        <f>I169/Pondération!$J$48</f>
        <v>8.8803088803088806E-2</v>
      </c>
    </row>
    <row r="170" spans="1:10" x14ac:dyDescent="0.25">
      <c r="A170" s="2" t="s">
        <v>77</v>
      </c>
      <c r="B170" s="2">
        <v>2013</v>
      </c>
      <c r="C170" s="2" t="s">
        <v>55</v>
      </c>
      <c r="D170" s="2" t="s">
        <v>37</v>
      </c>
      <c r="E170" s="2" t="s">
        <v>82</v>
      </c>
      <c r="F170" s="2" t="s">
        <v>98</v>
      </c>
      <c r="G170" s="2">
        <f t="shared" si="2"/>
        <v>0.52316602316602312</v>
      </c>
      <c r="H170" s="5">
        <v>4.0148148148148151</v>
      </c>
      <c r="I170" s="2">
        <v>135</v>
      </c>
      <c r="J170" s="12">
        <f>I170/Pondération!$J$48</f>
        <v>0.1303088803088803</v>
      </c>
    </row>
    <row r="171" spans="1:10" x14ac:dyDescent="0.25">
      <c r="A171" s="2" t="s">
        <v>77</v>
      </c>
      <c r="B171" s="2">
        <v>2013</v>
      </c>
      <c r="C171" s="2" t="s">
        <v>56</v>
      </c>
      <c r="D171" s="2" t="s">
        <v>37</v>
      </c>
      <c r="E171" s="2" t="s">
        <v>82</v>
      </c>
      <c r="F171" s="2" t="s">
        <v>98</v>
      </c>
      <c r="G171" s="2">
        <f t="shared" si="2"/>
        <v>0.9208494208494209</v>
      </c>
      <c r="H171" s="5">
        <v>4.0084033613445378</v>
      </c>
      <c r="I171" s="2">
        <v>238</v>
      </c>
      <c r="J171" s="12">
        <f>I171/Pondération!$J$48</f>
        <v>0.22972972972972974</v>
      </c>
    </row>
    <row r="172" spans="1:10" x14ac:dyDescent="0.25">
      <c r="A172" s="2" t="s">
        <v>77</v>
      </c>
      <c r="B172" s="2">
        <v>2013</v>
      </c>
      <c r="C172" s="2" t="s">
        <v>57</v>
      </c>
      <c r="D172" s="2" t="s">
        <v>37</v>
      </c>
      <c r="E172" s="2" t="s">
        <v>82</v>
      </c>
      <c r="F172" s="2" t="s">
        <v>98</v>
      </c>
      <c r="G172" s="2">
        <f t="shared" si="2"/>
        <v>0.43243243243243246</v>
      </c>
      <c r="H172" s="5">
        <v>4</v>
      </c>
      <c r="I172" s="2">
        <v>112</v>
      </c>
      <c r="J172" s="12">
        <f>I172/Pondération!$J$48</f>
        <v>0.10810810810810811</v>
      </c>
    </row>
    <row r="173" spans="1:10" x14ac:dyDescent="0.25">
      <c r="A173" s="2" t="s">
        <v>77</v>
      </c>
      <c r="B173" s="2">
        <v>2013</v>
      </c>
      <c r="C173" s="2" t="s">
        <v>58</v>
      </c>
      <c r="D173" s="2" t="s">
        <v>37</v>
      </c>
      <c r="E173" s="2" t="s">
        <v>82</v>
      </c>
      <c r="F173" s="2" t="s">
        <v>98</v>
      </c>
      <c r="G173" s="2">
        <f t="shared" si="2"/>
        <v>0.30115830115830117</v>
      </c>
      <c r="H173" s="5">
        <v>4</v>
      </c>
      <c r="I173" s="2">
        <v>78</v>
      </c>
      <c r="J173" s="12">
        <f>I173/Pondération!$J$48</f>
        <v>7.5289575289575292E-2</v>
      </c>
    </row>
    <row r="174" spans="1:10" x14ac:dyDescent="0.25">
      <c r="A174" s="2" t="s">
        <v>77</v>
      </c>
      <c r="B174" s="2">
        <v>2013</v>
      </c>
      <c r="C174" s="2" t="s">
        <v>59</v>
      </c>
      <c r="D174" s="2" t="s">
        <v>37</v>
      </c>
      <c r="E174" s="2" t="s">
        <v>82</v>
      </c>
      <c r="F174" s="2" t="s">
        <v>98</v>
      </c>
      <c r="G174" s="2">
        <f t="shared" si="2"/>
        <v>0.21332046332046334</v>
      </c>
      <c r="H174" s="5">
        <v>3.9464285714285716</v>
      </c>
      <c r="I174" s="2">
        <v>56</v>
      </c>
      <c r="J174" s="12">
        <f>I174/Pondération!$J$48</f>
        <v>5.4054054054054057E-2</v>
      </c>
    </row>
    <row r="175" spans="1:10" x14ac:dyDescent="0.25">
      <c r="A175" s="2" t="s">
        <v>77</v>
      </c>
      <c r="B175" s="2">
        <v>2013</v>
      </c>
      <c r="C175" s="2" t="s">
        <v>60</v>
      </c>
      <c r="D175" s="2" t="s">
        <v>37</v>
      </c>
      <c r="E175" s="2" t="s">
        <v>82</v>
      </c>
      <c r="F175" s="2" t="s">
        <v>98</v>
      </c>
      <c r="G175" s="2">
        <f t="shared" si="2"/>
        <v>8.1081081081081086E-2</v>
      </c>
      <c r="H175" s="5">
        <v>4</v>
      </c>
      <c r="I175" s="2">
        <v>21</v>
      </c>
      <c r="J175" s="12">
        <f>I175/Pondération!$J$48</f>
        <v>2.0270270270270271E-2</v>
      </c>
    </row>
    <row r="176" spans="1:10" x14ac:dyDescent="0.25">
      <c r="A176" s="2" t="s">
        <v>77</v>
      </c>
      <c r="B176" s="2">
        <v>2014</v>
      </c>
      <c r="C176" s="2" t="s">
        <v>61</v>
      </c>
      <c r="D176" s="2" t="s">
        <v>37</v>
      </c>
      <c r="E176" s="2" t="s">
        <v>82</v>
      </c>
      <c r="F176" s="2" t="s">
        <v>98</v>
      </c>
      <c r="G176" s="2">
        <f t="shared" si="2"/>
        <v>6.7550505050505041E-2</v>
      </c>
      <c r="H176" s="5">
        <v>3.9629629629629628</v>
      </c>
      <c r="I176" s="2">
        <v>27</v>
      </c>
      <c r="J176" s="12">
        <f>I176/Pondération!$I$48</f>
        <v>1.7045454545454544E-2</v>
      </c>
    </row>
    <row r="177" spans="1:10" x14ac:dyDescent="0.25">
      <c r="A177" s="2" t="s">
        <v>77</v>
      </c>
      <c r="B177" s="2">
        <v>2014</v>
      </c>
      <c r="C177" s="2" t="s">
        <v>62</v>
      </c>
      <c r="D177" s="2" t="s">
        <v>37</v>
      </c>
      <c r="E177" s="2" t="s">
        <v>82</v>
      </c>
      <c r="F177" s="2" t="s">
        <v>98</v>
      </c>
      <c r="G177" s="2">
        <f t="shared" si="2"/>
        <v>8.4595959595959599E-2</v>
      </c>
      <c r="H177" s="5">
        <v>3.9411764705882355</v>
      </c>
      <c r="I177" s="2">
        <v>34</v>
      </c>
      <c r="J177" s="12">
        <f>I177/Pondération!$I$48</f>
        <v>2.1464646464646464E-2</v>
      </c>
    </row>
    <row r="178" spans="1:10" x14ac:dyDescent="0.25">
      <c r="A178" s="2" t="s">
        <v>77</v>
      </c>
      <c r="B178" s="2">
        <v>2014</v>
      </c>
      <c r="C178" s="2" t="s">
        <v>63</v>
      </c>
      <c r="D178" s="2" t="s">
        <v>37</v>
      </c>
      <c r="E178" s="2" t="s">
        <v>82</v>
      </c>
      <c r="F178" s="2" t="s">
        <v>98</v>
      </c>
      <c r="G178" s="2">
        <f t="shared" si="2"/>
        <v>0.10921717171717173</v>
      </c>
      <c r="H178" s="5">
        <v>4.0232558139534884</v>
      </c>
      <c r="I178" s="2">
        <v>43</v>
      </c>
      <c r="J178" s="12">
        <f>I178/Pondération!$I$48</f>
        <v>2.7146464646464648E-2</v>
      </c>
    </row>
    <row r="179" spans="1:10" x14ac:dyDescent="0.25">
      <c r="A179" s="2" t="s">
        <v>77</v>
      </c>
      <c r="B179" s="2">
        <v>2014</v>
      </c>
      <c r="C179" s="2" t="s">
        <v>64</v>
      </c>
      <c r="D179" s="2" t="s">
        <v>37</v>
      </c>
      <c r="E179" s="2" t="s">
        <v>82</v>
      </c>
      <c r="F179" s="2" t="s">
        <v>98</v>
      </c>
      <c r="G179" s="2">
        <f t="shared" si="2"/>
        <v>0.30366161616161619</v>
      </c>
      <c r="H179" s="5">
        <v>3.9752066115702478</v>
      </c>
      <c r="I179" s="2">
        <v>121</v>
      </c>
      <c r="J179" s="12">
        <f>I179/Pondération!$I$48</f>
        <v>7.6388888888888895E-2</v>
      </c>
    </row>
    <row r="180" spans="1:10" x14ac:dyDescent="0.25">
      <c r="A180" s="2" t="s">
        <v>77</v>
      </c>
      <c r="B180" s="2">
        <v>2014</v>
      </c>
      <c r="C180" s="2" t="s">
        <v>65</v>
      </c>
      <c r="D180" s="2" t="s">
        <v>37</v>
      </c>
      <c r="E180" s="2" t="s">
        <v>82</v>
      </c>
      <c r="F180" s="2" t="s">
        <v>98</v>
      </c>
      <c r="G180" s="2">
        <f t="shared" si="2"/>
        <v>0.39267676767676768</v>
      </c>
      <c r="H180" s="5">
        <v>4.0129032258064514</v>
      </c>
      <c r="I180" s="2">
        <v>155</v>
      </c>
      <c r="J180" s="12">
        <f>I180/Pondération!$I$48</f>
        <v>9.7853535353535359E-2</v>
      </c>
    </row>
    <row r="181" spans="1:10" x14ac:dyDescent="0.25">
      <c r="A181" s="2" t="s">
        <v>77</v>
      </c>
      <c r="B181" s="2">
        <v>2014</v>
      </c>
      <c r="C181" s="2" t="s">
        <v>66</v>
      </c>
      <c r="D181" s="2" t="s">
        <v>37</v>
      </c>
      <c r="E181" s="2" t="s">
        <v>82</v>
      </c>
      <c r="F181" s="2" t="s">
        <v>98</v>
      </c>
      <c r="G181" s="2">
        <f t="shared" si="2"/>
        <v>0.42992424242424243</v>
      </c>
      <c r="H181" s="5">
        <v>3.9593023255813953</v>
      </c>
      <c r="I181" s="2">
        <v>172</v>
      </c>
      <c r="J181" s="12">
        <f>I181/Pondération!$I$48</f>
        <v>0.10858585858585859</v>
      </c>
    </row>
    <row r="182" spans="1:10" x14ac:dyDescent="0.25">
      <c r="A182" s="2" t="s">
        <v>77</v>
      </c>
      <c r="B182" s="2">
        <v>2014</v>
      </c>
      <c r="C182" s="2" t="s">
        <v>67</v>
      </c>
      <c r="D182" s="2" t="s">
        <v>37</v>
      </c>
      <c r="E182" s="2" t="s">
        <v>82</v>
      </c>
      <c r="F182" s="2" t="s">
        <v>98</v>
      </c>
      <c r="G182" s="2">
        <f t="shared" si="2"/>
        <v>0.49305555555555558</v>
      </c>
      <c r="H182" s="5">
        <v>3.9846938775510203</v>
      </c>
      <c r="I182" s="2">
        <v>196</v>
      </c>
      <c r="J182" s="12">
        <f>I182/Pondération!$I$48</f>
        <v>0.12373737373737374</v>
      </c>
    </row>
    <row r="183" spans="1:10" x14ac:dyDescent="0.25">
      <c r="A183" s="2" t="s">
        <v>77</v>
      </c>
      <c r="B183" s="2">
        <v>2014</v>
      </c>
      <c r="C183" s="2" t="s">
        <v>68</v>
      </c>
      <c r="D183" s="2" t="s">
        <v>37</v>
      </c>
      <c r="E183" s="2" t="s">
        <v>82</v>
      </c>
      <c r="F183" s="2" t="s">
        <v>98</v>
      </c>
      <c r="G183" s="2">
        <f t="shared" si="2"/>
        <v>0.9375</v>
      </c>
      <c r="H183" s="5">
        <v>3.9705882352941178</v>
      </c>
      <c r="I183" s="2">
        <v>374</v>
      </c>
      <c r="J183" s="12">
        <f>I183/Pondération!$I$48</f>
        <v>0.2361111111111111</v>
      </c>
    </row>
    <row r="184" spans="1:10" x14ac:dyDescent="0.25">
      <c r="A184" s="2" t="s">
        <v>77</v>
      </c>
      <c r="B184" s="2">
        <v>2014</v>
      </c>
      <c r="C184" s="2" t="s">
        <v>69</v>
      </c>
      <c r="D184" s="2" t="s">
        <v>37</v>
      </c>
      <c r="E184" s="2" t="s">
        <v>82</v>
      </c>
      <c r="F184" s="2" t="s">
        <v>98</v>
      </c>
      <c r="G184" s="2">
        <f t="shared" si="2"/>
        <v>0.46085858585858586</v>
      </c>
      <c r="H184" s="5">
        <v>3.9890710382513661</v>
      </c>
      <c r="I184" s="2">
        <v>183</v>
      </c>
      <c r="J184" s="12">
        <f>I184/Pondération!$I$48</f>
        <v>0.11553030303030302</v>
      </c>
    </row>
    <row r="185" spans="1:10" x14ac:dyDescent="0.25">
      <c r="A185" s="2" t="s">
        <v>77</v>
      </c>
      <c r="B185" s="2">
        <v>2014</v>
      </c>
      <c r="C185" s="2" t="s">
        <v>70</v>
      </c>
      <c r="D185" s="2" t="s">
        <v>37</v>
      </c>
      <c r="E185" s="2" t="s">
        <v>82</v>
      </c>
      <c r="F185" s="2" t="s">
        <v>98</v>
      </c>
      <c r="G185" s="2">
        <f t="shared" si="2"/>
        <v>0.32512626262626265</v>
      </c>
      <c r="H185" s="5">
        <v>4.0551181102362204</v>
      </c>
      <c r="I185" s="2">
        <v>127</v>
      </c>
      <c r="J185" s="12">
        <f>I185/Pondération!$I$48</f>
        <v>8.017676767676768E-2</v>
      </c>
    </row>
    <row r="186" spans="1:10" x14ac:dyDescent="0.25">
      <c r="A186" s="2" t="s">
        <v>77</v>
      </c>
      <c r="B186" s="2">
        <v>2014</v>
      </c>
      <c r="C186" s="2" t="s">
        <v>71</v>
      </c>
      <c r="D186" s="2" t="s">
        <v>37</v>
      </c>
      <c r="E186" s="2" t="s">
        <v>82</v>
      </c>
      <c r="F186" s="2" t="s">
        <v>98</v>
      </c>
      <c r="G186" s="2">
        <f t="shared" si="2"/>
        <v>0.29040404040404039</v>
      </c>
      <c r="H186" s="5">
        <v>4</v>
      </c>
      <c r="I186" s="2">
        <v>115</v>
      </c>
      <c r="J186" s="12">
        <f>I186/Pondération!$I$48</f>
        <v>7.2601010101010097E-2</v>
      </c>
    </row>
    <row r="187" spans="1:10" x14ac:dyDescent="0.25">
      <c r="A187" s="2" t="s">
        <v>77</v>
      </c>
      <c r="B187" s="2">
        <v>2014</v>
      </c>
      <c r="C187" s="2" t="s">
        <v>72</v>
      </c>
      <c r="D187" s="2" t="s">
        <v>37</v>
      </c>
      <c r="E187" s="2" t="s">
        <v>82</v>
      </c>
      <c r="F187" s="2" t="s">
        <v>98</v>
      </c>
      <c r="G187" s="2">
        <f t="shared" si="2"/>
        <v>9.4065656565656575E-2</v>
      </c>
      <c r="H187" s="5">
        <v>4.0270270270270272</v>
      </c>
      <c r="I187" s="2">
        <v>37</v>
      </c>
      <c r="J187" s="12">
        <f>I187/Pondération!$I$48</f>
        <v>2.335858585858586E-2</v>
      </c>
    </row>
    <row r="188" spans="1:10" x14ac:dyDescent="0.25">
      <c r="A188" s="2" t="s">
        <v>77</v>
      </c>
      <c r="B188" s="2">
        <v>2015</v>
      </c>
      <c r="C188" s="2" t="s">
        <v>73</v>
      </c>
      <c r="D188" s="2" t="s">
        <v>37</v>
      </c>
      <c r="E188" s="2" t="s">
        <v>82</v>
      </c>
      <c r="F188" s="2" t="s">
        <v>98</v>
      </c>
      <c r="G188" s="2">
        <f t="shared" si="2"/>
        <v>4.5494570002935136E-2</v>
      </c>
      <c r="H188" s="5">
        <v>3.9743589743589745</v>
      </c>
      <c r="I188" s="2">
        <v>39</v>
      </c>
      <c r="J188" s="12">
        <f>I188/Pondération!$H$48</f>
        <v>1.1447020839448195E-2</v>
      </c>
    </row>
    <row r="189" spans="1:10" x14ac:dyDescent="0.25">
      <c r="A189" s="2" t="s">
        <v>77</v>
      </c>
      <c r="B189" s="2">
        <v>2015</v>
      </c>
      <c r="C189" s="2" t="s">
        <v>74</v>
      </c>
      <c r="D189" s="2" t="s">
        <v>37</v>
      </c>
      <c r="E189" s="2" t="s">
        <v>82</v>
      </c>
      <c r="F189" s="2" t="s">
        <v>98</v>
      </c>
      <c r="G189" s="2">
        <f t="shared" si="2"/>
        <v>9.2750220135016145E-2</v>
      </c>
      <c r="H189" s="5">
        <v>3.95</v>
      </c>
      <c r="I189" s="2">
        <v>80</v>
      </c>
      <c r="J189" s="12">
        <f>I189/Pondération!$H$48</f>
        <v>2.3481068388611682E-2</v>
      </c>
    </row>
    <row r="190" spans="1:10" x14ac:dyDescent="0.25">
      <c r="A190" s="2" t="s">
        <v>77</v>
      </c>
      <c r="B190" s="2">
        <v>2015</v>
      </c>
      <c r="C190" s="2" t="s">
        <v>75</v>
      </c>
      <c r="D190" s="2" t="s">
        <v>37</v>
      </c>
      <c r="E190" s="2" t="s">
        <v>82</v>
      </c>
      <c r="F190" s="2" t="s">
        <v>98</v>
      </c>
      <c r="G190" s="2">
        <f t="shared" si="2"/>
        <v>0.10067508071617258</v>
      </c>
      <c r="H190" s="5">
        <v>3.9883720930232558</v>
      </c>
      <c r="I190" s="2">
        <v>86</v>
      </c>
      <c r="J190" s="12">
        <f>I190/Pondération!$H$48</f>
        <v>2.5242148517757558E-2</v>
      </c>
    </row>
    <row r="191" spans="1:10" x14ac:dyDescent="0.25">
      <c r="A191" s="2" t="s">
        <v>77</v>
      </c>
      <c r="B191" s="2">
        <v>2015</v>
      </c>
      <c r="C191" s="2" t="s">
        <v>76</v>
      </c>
      <c r="D191" s="2" t="s">
        <v>37</v>
      </c>
      <c r="E191" s="2" t="s">
        <v>82</v>
      </c>
      <c r="F191" s="2" t="s">
        <v>98</v>
      </c>
      <c r="G191" s="2">
        <f t="shared" si="2"/>
        <v>0.28353390079248603</v>
      </c>
      <c r="H191" s="5">
        <v>3.9917355371900825</v>
      </c>
      <c r="I191" s="2">
        <v>242</v>
      </c>
      <c r="J191" s="12">
        <f>I191/Pondération!$H$48</f>
        <v>7.103023187555034E-2</v>
      </c>
    </row>
    <row r="192" spans="1:10" x14ac:dyDescent="0.25">
      <c r="A192" s="2" t="s">
        <v>77</v>
      </c>
      <c r="B192" s="2">
        <v>2015</v>
      </c>
      <c r="C192" s="2" t="s">
        <v>7</v>
      </c>
      <c r="D192" s="2" t="s">
        <v>37</v>
      </c>
      <c r="E192" s="2" t="s">
        <v>82</v>
      </c>
      <c r="F192" s="2" t="s">
        <v>98</v>
      </c>
      <c r="G192" s="2">
        <f t="shared" si="2"/>
        <v>0.44027003228646905</v>
      </c>
      <c r="H192" s="5">
        <v>3.9893617021276597</v>
      </c>
      <c r="I192" s="2">
        <v>376</v>
      </c>
      <c r="J192" s="12">
        <f>I192/Pondération!$H$48</f>
        <v>0.1103610214264749</v>
      </c>
    </row>
    <row r="193" spans="1:10" x14ac:dyDescent="0.25">
      <c r="A193" s="2" t="s">
        <v>77</v>
      </c>
      <c r="B193" s="2">
        <v>2015</v>
      </c>
      <c r="C193" s="2" t="s">
        <v>11</v>
      </c>
      <c r="D193" s="2" t="s">
        <v>37</v>
      </c>
      <c r="E193" s="2" t="s">
        <v>82</v>
      </c>
      <c r="F193" s="2" t="s">
        <v>98</v>
      </c>
      <c r="G193" s="2">
        <f t="shared" si="2"/>
        <v>0.28382741414734375</v>
      </c>
      <c r="H193" s="5">
        <v>3.9958677685950414</v>
      </c>
      <c r="I193" s="2">
        <v>242</v>
      </c>
      <c r="J193" s="12">
        <f>I193/Pondération!$H$48</f>
        <v>7.103023187555034E-2</v>
      </c>
    </row>
    <row r="194" spans="1:10" x14ac:dyDescent="0.25">
      <c r="A194" s="2" t="s">
        <v>77</v>
      </c>
      <c r="B194" s="2">
        <v>2015</v>
      </c>
      <c r="C194" s="2" t="s">
        <v>12</v>
      </c>
      <c r="D194" s="2" t="s">
        <v>37</v>
      </c>
      <c r="E194" s="2" t="s">
        <v>82</v>
      </c>
      <c r="F194" s="2" t="s">
        <v>98</v>
      </c>
      <c r="G194" s="2">
        <f t="shared" si="2"/>
        <v>0.59788670384502496</v>
      </c>
      <c r="H194" s="5">
        <v>3.9941176470588236</v>
      </c>
      <c r="I194" s="2">
        <v>510</v>
      </c>
      <c r="J194" s="12">
        <f>I194/Pondération!$H$48</f>
        <v>0.14969181097739948</v>
      </c>
    </row>
    <row r="195" spans="1:10" x14ac:dyDescent="0.25">
      <c r="A195" s="2" t="s">
        <v>77</v>
      </c>
      <c r="B195" s="2">
        <v>2015</v>
      </c>
      <c r="C195" s="2" t="s">
        <v>13</v>
      </c>
      <c r="D195" s="2" t="s">
        <v>37</v>
      </c>
      <c r="E195" s="2" t="s">
        <v>82</v>
      </c>
      <c r="F195" s="2" t="s">
        <v>98</v>
      </c>
      <c r="G195" s="2">
        <f t="shared" ref="G195:G258" si="3">H195*J195</f>
        <v>0.97974757851482241</v>
      </c>
      <c r="H195" s="5">
        <v>3.9880525686977299</v>
      </c>
      <c r="I195" s="2">
        <v>837</v>
      </c>
      <c r="J195" s="12">
        <f>I195/Pondération!$H$48</f>
        <v>0.24567067801584971</v>
      </c>
    </row>
    <row r="196" spans="1:10" x14ac:dyDescent="0.25">
      <c r="A196" s="2" t="s">
        <v>77</v>
      </c>
      <c r="B196" s="2">
        <v>2015</v>
      </c>
      <c r="C196" s="2" t="s">
        <v>14</v>
      </c>
      <c r="D196" s="2" t="s">
        <v>37</v>
      </c>
      <c r="E196" s="2" t="s">
        <v>82</v>
      </c>
      <c r="F196" s="2" t="s">
        <v>98</v>
      </c>
      <c r="G196" s="2">
        <f t="shared" si="3"/>
        <v>0.46903434106251829</v>
      </c>
      <c r="H196" s="5">
        <v>4.0150753768844218</v>
      </c>
      <c r="I196" s="2">
        <v>398</v>
      </c>
      <c r="J196" s="12">
        <f>I196/Pondération!$H$48</f>
        <v>0.11681831523334311</v>
      </c>
    </row>
    <row r="197" spans="1:10" x14ac:dyDescent="0.25">
      <c r="A197" s="2" t="s">
        <v>77</v>
      </c>
      <c r="B197" s="2">
        <v>2015</v>
      </c>
      <c r="C197" s="2" t="s">
        <v>15</v>
      </c>
      <c r="D197" s="2" t="s">
        <v>37</v>
      </c>
      <c r="E197" s="2" t="s">
        <v>82</v>
      </c>
      <c r="F197" s="2" t="s">
        <v>98</v>
      </c>
      <c r="G197" s="2">
        <f t="shared" si="3"/>
        <v>0.35544467273260932</v>
      </c>
      <c r="H197" s="5">
        <v>3.9835526315789473</v>
      </c>
      <c r="I197" s="2">
        <v>304</v>
      </c>
      <c r="J197" s="12">
        <f>I197/Pondération!$H$48</f>
        <v>8.9228059876724386E-2</v>
      </c>
    </row>
    <row r="198" spans="1:10" x14ac:dyDescent="0.25">
      <c r="A198" s="2" t="s">
        <v>77</v>
      </c>
      <c r="B198" s="2">
        <v>2015</v>
      </c>
      <c r="C198" s="2" t="s">
        <v>16</v>
      </c>
      <c r="D198" s="2" t="s">
        <v>37</v>
      </c>
      <c r="E198" s="2" t="s">
        <v>82</v>
      </c>
      <c r="F198" s="2" t="s">
        <v>98</v>
      </c>
      <c r="G198" s="2">
        <f t="shared" si="3"/>
        <v>0.21455826240093925</v>
      </c>
      <c r="H198" s="5">
        <v>3.9945355191256833</v>
      </c>
      <c r="I198" s="2">
        <v>183</v>
      </c>
      <c r="J198" s="12">
        <f>I198/Pondération!$H$48</f>
        <v>5.3712943938949223E-2</v>
      </c>
    </row>
    <row r="199" spans="1:10" x14ac:dyDescent="0.25">
      <c r="A199" s="2" t="s">
        <v>77</v>
      </c>
      <c r="B199" s="2">
        <v>2015</v>
      </c>
      <c r="C199" s="2" t="s">
        <v>17</v>
      </c>
      <c r="D199" s="2" t="s">
        <v>37</v>
      </c>
      <c r="E199" s="2" t="s">
        <v>82</v>
      </c>
      <c r="F199" s="2" t="s">
        <v>98</v>
      </c>
      <c r="G199" s="2">
        <f t="shared" si="3"/>
        <v>0.12973290284707956</v>
      </c>
      <c r="H199" s="5">
        <v>4.0181818181818185</v>
      </c>
      <c r="I199" s="2">
        <v>110</v>
      </c>
      <c r="J199" s="12">
        <f>I199/Pondération!$H$48</f>
        <v>3.2286469034341063E-2</v>
      </c>
    </row>
    <row r="200" spans="1:10" x14ac:dyDescent="0.25">
      <c r="A200" s="2" t="s">
        <v>77</v>
      </c>
      <c r="B200" s="2">
        <v>2016</v>
      </c>
      <c r="C200" s="2" t="s">
        <v>18</v>
      </c>
      <c r="D200" s="2" t="s">
        <v>37</v>
      </c>
      <c r="E200" s="2" t="s">
        <v>82</v>
      </c>
      <c r="F200" s="2" t="s">
        <v>98</v>
      </c>
      <c r="G200" s="2">
        <f t="shared" si="3"/>
        <v>8.2157151885401306E-2</v>
      </c>
      <c r="H200" s="5">
        <v>3.9795918367346941</v>
      </c>
      <c r="I200" s="2">
        <v>98</v>
      </c>
      <c r="J200" s="12">
        <f>I200/Pondération!$G$48</f>
        <v>2.0644617653254687E-2</v>
      </c>
    </row>
    <row r="201" spans="1:10" x14ac:dyDescent="0.25">
      <c r="A201" s="2" t="s">
        <v>77</v>
      </c>
      <c r="B201" s="2">
        <v>2016</v>
      </c>
      <c r="C201" s="2" t="s">
        <v>19</v>
      </c>
      <c r="D201" s="2" t="s">
        <v>37</v>
      </c>
      <c r="E201" s="2" t="s">
        <v>82</v>
      </c>
      <c r="F201" s="2" t="s">
        <v>98</v>
      </c>
      <c r="G201" s="2">
        <f t="shared" si="3"/>
        <v>0.14956814830419213</v>
      </c>
      <c r="H201" s="5">
        <v>3.9664804469273744</v>
      </c>
      <c r="I201" s="2">
        <v>179</v>
      </c>
      <c r="J201" s="12">
        <f>I201/Pondération!$G$48</f>
        <v>3.7708026121761114E-2</v>
      </c>
    </row>
    <row r="202" spans="1:10" x14ac:dyDescent="0.25">
      <c r="A202" s="2" t="s">
        <v>77</v>
      </c>
      <c r="B202" s="2">
        <v>2016</v>
      </c>
      <c r="C202" s="2" t="s">
        <v>20</v>
      </c>
      <c r="D202" s="2" t="s">
        <v>37</v>
      </c>
      <c r="E202" s="2" t="s">
        <v>82</v>
      </c>
      <c r="F202" s="2" t="s">
        <v>98</v>
      </c>
      <c r="G202" s="2">
        <f t="shared" si="3"/>
        <v>0.18137771223930901</v>
      </c>
      <c r="H202" s="5">
        <v>4.0046511627906973</v>
      </c>
      <c r="I202" s="2">
        <v>215</v>
      </c>
      <c r="J202" s="12">
        <f>I202/Pondération!$G$48</f>
        <v>4.5291763218875077E-2</v>
      </c>
    </row>
    <row r="203" spans="1:10" x14ac:dyDescent="0.25">
      <c r="A203" s="2" t="s">
        <v>77</v>
      </c>
      <c r="B203" s="2">
        <v>2016</v>
      </c>
      <c r="C203" s="2" t="s">
        <v>21</v>
      </c>
      <c r="D203" s="2" t="s">
        <v>37</v>
      </c>
      <c r="E203" s="2" t="s">
        <v>82</v>
      </c>
      <c r="F203" s="2" t="s">
        <v>98</v>
      </c>
      <c r="G203" s="2">
        <f t="shared" si="3"/>
        <v>0.3583315778386349</v>
      </c>
      <c r="H203" s="5">
        <v>3.965034965034965</v>
      </c>
      <c r="I203" s="2">
        <v>429</v>
      </c>
      <c r="J203" s="12">
        <f>I203/Pondération!$G$48</f>
        <v>9.0372867073941432E-2</v>
      </c>
    </row>
    <row r="204" spans="1:10" x14ac:dyDescent="0.25">
      <c r="A204" s="2" t="s">
        <v>77</v>
      </c>
      <c r="B204" s="2">
        <v>2016</v>
      </c>
      <c r="C204" s="2" t="s">
        <v>22</v>
      </c>
      <c r="D204" s="2" t="s">
        <v>37</v>
      </c>
      <c r="E204" s="2" t="s">
        <v>82</v>
      </c>
      <c r="F204" s="2" t="s">
        <v>98</v>
      </c>
      <c r="G204" s="2">
        <f t="shared" si="3"/>
        <v>0.4552348851906467</v>
      </c>
      <c r="H204" s="5">
        <v>3.9870848708487086</v>
      </c>
      <c r="I204" s="2">
        <v>542</v>
      </c>
      <c r="J204" s="12">
        <f>I204/Pondération!$G$48</f>
        <v>0.11417737518432694</v>
      </c>
    </row>
    <row r="205" spans="1:10" x14ac:dyDescent="0.25">
      <c r="A205" s="2" t="s">
        <v>77</v>
      </c>
      <c r="B205" s="2">
        <v>2016</v>
      </c>
      <c r="C205" s="2" t="s">
        <v>23</v>
      </c>
      <c r="D205" s="2" t="s">
        <v>37</v>
      </c>
      <c r="E205" s="2" t="s">
        <v>82</v>
      </c>
      <c r="F205" s="2" t="s">
        <v>98</v>
      </c>
      <c r="G205" s="2">
        <f t="shared" si="3"/>
        <v>0.291763218875079</v>
      </c>
      <c r="H205" s="5">
        <v>3.9913544668587897</v>
      </c>
      <c r="I205" s="2">
        <v>347</v>
      </c>
      <c r="J205" s="12">
        <f>I205/Pondération!$G$48</f>
        <v>7.3098799241626294E-2</v>
      </c>
    </row>
    <row r="206" spans="1:10" x14ac:dyDescent="0.25">
      <c r="A206" s="2" t="s">
        <v>77</v>
      </c>
      <c r="B206" s="2">
        <v>2016</v>
      </c>
      <c r="C206" s="2" t="s">
        <v>24</v>
      </c>
      <c r="D206" s="2" t="s">
        <v>37</v>
      </c>
      <c r="E206" s="2" t="s">
        <v>82</v>
      </c>
      <c r="F206" s="2" t="s">
        <v>98</v>
      </c>
      <c r="G206" s="2">
        <f t="shared" si="3"/>
        <v>0.53676005898462187</v>
      </c>
      <c r="H206" s="5">
        <v>3.9874804381846634</v>
      </c>
      <c r="I206" s="2">
        <v>639</v>
      </c>
      <c r="J206" s="12">
        <f>I206/Pondération!$G$48</f>
        <v>0.13461133347377291</v>
      </c>
    </row>
    <row r="207" spans="1:10" x14ac:dyDescent="0.25">
      <c r="A207" s="2" t="s">
        <v>77</v>
      </c>
      <c r="B207" s="2">
        <v>2016</v>
      </c>
      <c r="C207" s="2" t="s">
        <v>25</v>
      </c>
      <c r="D207" s="2" t="s">
        <v>37</v>
      </c>
      <c r="E207" s="2" t="s">
        <v>82</v>
      </c>
      <c r="F207" s="2" t="s">
        <v>98</v>
      </c>
      <c r="G207" s="2">
        <f t="shared" si="3"/>
        <v>0.93996208131451442</v>
      </c>
      <c r="H207" s="5">
        <v>3.9803746654772523</v>
      </c>
      <c r="I207" s="2">
        <v>1121</v>
      </c>
      <c r="J207" s="12">
        <f>I207/Pondération!$G$48</f>
        <v>0.23614914682957658</v>
      </c>
    </row>
    <row r="208" spans="1:10" x14ac:dyDescent="0.25">
      <c r="A208" s="2" t="s">
        <v>77</v>
      </c>
      <c r="B208" s="2">
        <v>2016</v>
      </c>
      <c r="C208" s="2" t="s">
        <v>26</v>
      </c>
      <c r="D208" s="2" t="s">
        <v>37</v>
      </c>
      <c r="E208" s="2" t="s">
        <v>82</v>
      </c>
      <c r="F208" s="2" t="s">
        <v>98</v>
      </c>
      <c r="G208" s="2">
        <f t="shared" si="3"/>
        <v>0.40657257215083209</v>
      </c>
      <c r="H208" s="5">
        <v>3.9958592132505175</v>
      </c>
      <c r="I208" s="2">
        <v>483</v>
      </c>
      <c r="J208" s="12">
        <f>I208/Pondération!$G$48</f>
        <v>0.10174847271961239</v>
      </c>
    </row>
    <row r="209" spans="1:10" x14ac:dyDescent="0.25">
      <c r="A209" s="2" t="s">
        <v>77</v>
      </c>
      <c r="B209" s="2">
        <v>2016</v>
      </c>
      <c r="C209" s="2" t="s">
        <v>27</v>
      </c>
      <c r="D209" s="2" t="s">
        <v>37</v>
      </c>
      <c r="E209" s="2" t="s">
        <v>82</v>
      </c>
      <c r="F209" s="2" t="s">
        <v>98</v>
      </c>
      <c r="G209" s="2">
        <f t="shared" si="3"/>
        <v>0.29871497788076684</v>
      </c>
      <c r="H209" s="5">
        <v>3.9943661971830986</v>
      </c>
      <c r="I209" s="2">
        <v>355</v>
      </c>
      <c r="J209" s="12">
        <f>I209/Pondération!$G$48</f>
        <v>7.4784074152096064E-2</v>
      </c>
    </row>
    <row r="210" spans="1:10" x14ac:dyDescent="0.25">
      <c r="A210" s="2" t="s">
        <v>77</v>
      </c>
      <c r="B210" s="2">
        <v>2016</v>
      </c>
      <c r="C210" s="2" t="s">
        <v>28</v>
      </c>
      <c r="D210" s="2" t="s">
        <v>37</v>
      </c>
      <c r="E210" s="2" t="s">
        <v>82</v>
      </c>
      <c r="F210" s="2" t="s">
        <v>98</v>
      </c>
      <c r="G210" s="2">
        <f t="shared" si="3"/>
        <v>0.20244364862018119</v>
      </c>
      <c r="H210" s="5">
        <v>3.9875518672199171</v>
      </c>
      <c r="I210" s="2">
        <v>241</v>
      </c>
      <c r="J210" s="12">
        <f>I210/Pondération!$G$48</f>
        <v>5.0768906677901834E-2</v>
      </c>
    </row>
    <row r="211" spans="1:10" x14ac:dyDescent="0.25">
      <c r="A211" s="2" t="s">
        <v>77</v>
      </c>
      <c r="B211" s="2">
        <v>2016</v>
      </c>
      <c r="C211" s="2" t="s">
        <v>29</v>
      </c>
      <c r="D211" s="2" t="s">
        <v>37</v>
      </c>
      <c r="E211" s="2" t="s">
        <v>82</v>
      </c>
      <c r="F211" s="2" t="s">
        <v>98</v>
      </c>
      <c r="G211" s="2">
        <f t="shared" si="3"/>
        <v>8.1525173793975142E-2</v>
      </c>
      <c r="H211" s="5">
        <v>3.9489795918367347</v>
      </c>
      <c r="I211" s="2">
        <v>98</v>
      </c>
      <c r="J211" s="12">
        <f>I211/Pondération!$G$48</f>
        <v>2.0644617653254687E-2</v>
      </c>
    </row>
    <row r="212" spans="1:10" x14ac:dyDescent="0.25">
      <c r="A212" s="2" t="s">
        <v>77</v>
      </c>
      <c r="B212" s="2">
        <v>2017</v>
      </c>
      <c r="C212" s="2" t="s">
        <v>30</v>
      </c>
      <c r="D212" s="2" t="s">
        <v>37</v>
      </c>
      <c r="E212" s="2" t="s">
        <v>82</v>
      </c>
      <c r="F212" s="2" t="s">
        <v>98</v>
      </c>
      <c r="G212" s="2">
        <f t="shared" si="3"/>
        <v>0.32446206115515286</v>
      </c>
      <c r="H212" s="5">
        <v>4.0069930069930066</v>
      </c>
      <c r="I212" s="2">
        <v>143</v>
      </c>
      <c r="J212" s="12">
        <f>I212/Pondération!$F$48</f>
        <v>8.0973952434881091E-2</v>
      </c>
    </row>
    <row r="213" spans="1:10" x14ac:dyDescent="0.25">
      <c r="A213" s="2" t="s">
        <v>77</v>
      </c>
      <c r="B213" s="2">
        <v>2017</v>
      </c>
      <c r="C213" s="2" t="s">
        <v>31</v>
      </c>
      <c r="D213" s="2" t="s">
        <v>37</v>
      </c>
      <c r="E213" s="2" t="s">
        <v>82</v>
      </c>
      <c r="F213" s="2" t="s">
        <v>98</v>
      </c>
      <c r="G213" s="2">
        <f t="shared" si="3"/>
        <v>0.34597961494903734</v>
      </c>
      <c r="H213" s="5">
        <v>3.9934640522875817</v>
      </c>
      <c r="I213" s="2">
        <v>153</v>
      </c>
      <c r="J213" s="12">
        <f>I213/Pondération!$F$48</f>
        <v>8.6636466591166472E-2</v>
      </c>
    </row>
    <row r="214" spans="1:10" x14ac:dyDescent="0.25">
      <c r="A214" s="2" t="s">
        <v>77</v>
      </c>
      <c r="B214" s="2">
        <v>2017</v>
      </c>
      <c r="C214" s="2" t="s">
        <v>32</v>
      </c>
      <c r="D214" s="2" t="s">
        <v>37</v>
      </c>
      <c r="E214" s="2" t="s">
        <v>82</v>
      </c>
      <c r="F214" s="2" t="s">
        <v>98</v>
      </c>
      <c r="G214" s="2">
        <f t="shared" si="3"/>
        <v>0.3765571913929785</v>
      </c>
      <c r="H214" s="5">
        <v>3.9583333333333335</v>
      </c>
      <c r="I214" s="2">
        <v>168</v>
      </c>
      <c r="J214" s="12">
        <f>I214/Pondération!$F$48</f>
        <v>9.5130237825594557E-2</v>
      </c>
    </row>
    <row r="215" spans="1:10" x14ac:dyDescent="0.25">
      <c r="A215" s="2" t="s">
        <v>77</v>
      </c>
      <c r="B215" s="2">
        <v>2017</v>
      </c>
      <c r="C215" s="2" t="s">
        <v>33</v>
      </c>
      <c r="D215" s="2" t="s">
        <v>37</v>
      </c>
      <c r="E215" s="2" t="s">
        <v>82</v>
      </c>
      <c r="F215" s="2" t="s">
        <v>98</v>
      </c>
      <c r="G215" s="2">
        <f t="shared" si="3"/>
        <v>1.2191392978482447</v>
      </c>
      <c r="H215" s="5">
        <v>4.0018587360594795</v>
      </c>
      <c r="I215" s="2">
        <v>538</v>
      </c>
      <c r="J215" s="12">
        <f>I215/Pondération!$F$48</f>
        <v>0.30464326160815403</v>
      </c>
    </row>
    <row r="216" spans="1:10" x14ac:dyDescent="0.25">
      <c r="A216" s="2" t="s">
        <v>77</v>
      </c>
      <c r="B216" s="2">
        <v>2017</v>
      </c>
      <c r="C216" s="2" t="s">
        <v>34</v>
      </c>
      <c r="D216" s="2" t="s">
        <v>37</v>
      </c>
      <c r="E216" s="2" t="s">
        <v>82</v>
      </c>
      <c r="F216" s="2" t="s">
        <v>98</v>
      </c>
      <c r="G216" s="2">
        <f t="shared" si="3"/>
        <v>1.3465458663646661</v>
      </c>
      <c r="H216" s="5">
        <v>3.9966386554621849</v>
      </c>
      <c r="I216" s="2">
        <v>595</v>
      </c>
      <c r="J216" s="12">
        <f>I216/Pondération!$F$48</f>
        <v>0.33691959229898077</v>
      </c>
    </row>
    <row r="217" spans="1:10" x14ac:dyDescent="0.25">
      <c r="A217" s="2" t="s">
        <v>77</v>
      </c>
      <c r="B217" s="2">
        <v>2017</v>
      </c>
      <c r="C217" s="2" t="s">
        <v>80</v>
      </c>
      <c r="D217" s="2" t="s">
        <v>37</v>
      </c>
      <c r="E217" s="2" t="s">
        <v>82</v>
      </c>
      <c r="F217" s="2" t="s">
        <v>98</v>
      </c>
      <c r="G217" s="2">
        <f t="shared" si="3"/>
        <v>0.37938844847112119</v>
      </c>
      <c r="H217" s="5">
        <v>3.9644970414201182</v>
      </c>
      <c r="I217" s="2">
        <v>169</v>
      </c>
      <c r="J217" s="12">
        <f>I217/Pondération!$F$48</f>
        <v>9.5696489241223107E-2</v>
      </c>
    </row>
    <row r="218" spans="1:10" x14ac:dyDescent="0.25">
      <c r="A218" s="2" t="s">
        <v>77</v>
      </c>
      <c r="B218" s="2">
        <v>2013</v>
      </c>
      <c r="C218" s="2" t="s">
        <v>49</v>
      </c>
      <c r="D218" s="2" t="s">
        <v>38</v>
      </c>
      <c r="E218" s="2" t="s">
        <v>82</v>
      </c>
      <c r="F218" s="2" t="s">
        <v>98</v>
      </c>
      <c r="G218" s="2">
        <f t="shared" si="3"/>
        <v>5.0894085281980736E-2</v>
      </c>
      <c r="H218" s="5">
        <v>4.1111111111111107</v>
      </c>
      <c r="I218" s="2">
        <v>9</v>
      </c>
      <c r="J218" s="12">
        <f>I218/Pondération!$J$61</f>
        <v>1.2379642365887207E-2</v>
      </c>
    </row>
    <row r="219" spans="1:10" x14ac:dyDescent="0.25">
      <c r="A219" s="2" t="s">
        <v>77</v>
      </c>
      <c r="B219" s="2">
        <v>2013</v>
      </c>
      <c r="C219" s="2" t="s">
        <v>50</v>
      </c>
      <c r="D219" s="2" t="s">
        <v>38</v>
      </c>
      <c r="E219" s="2" t="s">
        <v>82</v>
      </c>
      <c r="F219" s="2" t="s">
        <v>98</v>
      </c>
      <c r="G219" s="2">
        <f t="shared" si="3"/>
        <v>9.2159559834938107E-2</v>
      </c>
      <c r="H219" s="5">
        <v>4.1875</v>
      </c>
      <c r="I219" s="2">
        <v>16</v>
      </c>
      <c r="J219" s="12">
        <f>I219/Pondération!$J$61</f>
        <v>2.2008253094910592E-2</v>
      </c>
    </row>
    <row r="220" spans="1:10" x14ac:dyDescent="0.25">
      <c r="A220" s="2" t="s">
        <v>77</v>
      </c>
      <c r="B220" s="2">
        <v>2013</v>
      </c>
      <c r="C220" s="2" t="s">
        <v>51</v>
      </c>
      <c r="D220" s="2" t="s">
        <v>38</v>
      </c>
      <c r="E220" s="2" t="s">
        <v>82</v>
      </c>
      <c r="F220" s="2" t="s">
        <v>98</v>
      </c>
      <c r="G220" s="2">
        <f t="shared" si="3"/>
        <v>3.4387895460797797E-2</v>
      </c>
      <c r="H220" s="5">
        <v>4.166666666666667</v>
      </c>
      <c r="I220" s="2">
        <v>6</v>
      </c>
      <c r="J220" s="12">
        <f>I220/Pondération!$J$61</f>
        <v>8.253094910591471E-3</v>
      </c>
    </row>
    <row r="221" spans="1:10" x14ac:dyDescent="0.25">
      <c r="A221" s="2" t="s">
        <v>77</v>
      </c>
      <c r="B221" s="2">
        <v>2013</v>
      </c>
      <c r="C221" s="2" t="s">
        <v>52</v>
      </c>
      <c r="D221" s="2" t="s">
        <v>38</v>
      </c>
      <c r="E221" s="2" t="s">
        <v>82</v>
      </c>
      <c r="F221" s="2" t="s">
        <v>98</v>
      </c>
      <c r="G221" s="2">
        <f t="shared" si="3"/>
        <v>9.6286107290233833E-2</v>
      </c>
      <c r="H221" s="5">
        <v>4.117647058823529</v>
      </c>
      <c r="I221" s="2">
        <v>17</v>
      </c>
      <c r="J221" s="12">
        <f>I221/Pondération!$J$61</f>
        <v>2.3383768913342505E-2</v>
      </c>
    </row>
    <row r="222" spans="1:10" x14ac:dyDescent="0.25">
      <c r="A222" s="2" t="s">
        <v>77</v>
      </c>
      <c r="B222" s="2">
        <v>2013</v>
      </c>
      <c r="C222" s="2" t="s">
        <v>53</v>
      </c>
      <c r="D222" s="2" t="s">
        <v>38</v>
      </c>
      <c r="E222" s="2" t="s">
        <v>82</v>
      </c>
      <c r="F222" s="2" t="s">
        <v>98</v>
      </c>
      <c r="G222" s="2">
        <f t="shared" si="3"/>
        <v>0.41815680880330119</v>
      </c>
      <c r="H222" s="5">
        <v>4.28169014084507</v>
      </c>
      <c r="I222" s="2">
        <v>71</v>
      </c>
      <c r="J222" s="12">
        <f>I222/Pondération!$J$61</f>
        <v>9.7661623108665746E-2</v>
      </c>
    </row>
    <row r="223" spans="1:10" x14ac:dyDescent="0.25">
      <c r="A223" s="2" t="s">
        <v>77</v>
      </c>
      <c r="B223" s="2">
        <v>2013</v>
      </c>
      <c r="C223" s="2" t="s">
        <v>54</v>
      </c>
      <c r="D223" s="2" t="s">
        <v>38</v>
      </c>
      <c r="E223" s="2" t="s">
        <v>82</v>
      </c>
      <c r="F223" s="2" t="s">
        <v>98</v>
      </c>
      <c r="G223" s="2">
        <f t="shared" si="3"/>
        <v>0.4607977991746906</v>
      </c>
      <c r="H223" s="5">
        <v>4.2405063291139244</v>
      </c>
      <c r="I223" s="2">
        <v>79</v>
      </c>
      <c r="J223" s="12">
        <f>I223/Pondération!$J$61</f>
        <v>0.10866574965612105</v>
      </c>
    </row>
    <row r="224" spans="1:10" x14ac:dyDescent="0.25">
      <c r="A224" s="2" t="s">
        <v>77</v>
      </c>
      <c r="B224" s="2">
        <v>2013</v>
      </c>
      <c r="C224" s="2" t="s">
        <v>55</v>
      </c>
      <c r="D224" s="2" t="s">
        <v>38</v>
      </c>
      <c r="E224" s="2" t="s">
        <v>82</v>
      </c>
      <c r="F224" s="2" t="s">
        <v>98</v>
      </c>
      <c r="G224" s="2">
        <f t="shared" si="3"/>
        <v>0.592847317744154</v>
      </c>
      <c r="H224" s="5">
        <v>4.2254901960784315</v>
      </c>
      <c r="I224" s="2">
        <v>102</v>
      </c>
      <c r="J224" s="12">
        <f>I224/Pondération!$J$61</f>
        <v>0.14030261348005502</v>
      </c>
    </row>
    <row r="225" spans="1:10" x14ac:dyDescent="0.25">
      <c r="A225" s="2" t="s">
        <v>77</v>
      </c>
      <c r="B225" s="2">
        <v>2013</v>
      </c>
      <c r="C225" s="2" t="s">
        <v>56</v>
      </c>
      <c r="D225" s="2" t="s">
        <v>38</v>
      </c>
      <c r="E225" s="2" t="s">
        <v>82</v>
      </c>
      <c r="F225" s="2" t="s">
        <v>98</v>
      </c>
      <c r="G225" s="2">
        <f t="shared" si="3"/>
        <v>1.0839064649243466</v>
      </c>
      <c r="H225" s="5">
        <v>4.213903743315508</v>
      </c>
      <c r="I225" s="2">
        <v>187</v>
      </c>
      <c r="J225" s="12">
        <f>I225/Pondération!$J$61</f>
        <v>0.25722145804676755</v>
      </c>
    </row>
    <row r="226" spans="1:10" x14ac:dyDescent="0.25">
      <c r="A226" s="2" t="s">
        <v>77</v>
      </c>
      <c r="B226" s="2">
        <v>2013</v>
      </c>
      <c r="C226" s="2" t="s">
        <v>57</v>
      </c>
      <c r="D226" s="2" t="s">
        <v>38</v>
      </c>
      <c r="E226" s="2" t="s">
        <v>82</v>
      </c>
      <c r="F226" s="2" t="s">
        <v>98</v>
      </c>
      <c r="G226" s="2">
        <f t="shared" si="3"/>
        <v>0.83768913342503437</v>
      </c>
      <c r="H226" s="5">
        <v>4.288732394366197</v>
      </c>
      <c r="I226" s="2">
        <v>142</v>
      </c>
      <c r="J226" s="12">
        <f>I226/Pondération!$J$61</f>
        <v>0.19532324621733149</v>
      </c>
    </row>
    <row r="227" spans="1:10" x14ac:dyDescent="0.25">
      <c r="A227" s="2" t="s">
        <v>77</v>
      </c>
      <c r="B227" s="2">
        <v>2013</v>
      </c>
      <c r="C227" s="2" t="s">
        <v>58</v>
      </c>
      <c r="D227" s="2" t="s">
        <v>38</v>
      </c>
      <c r="E227" s="2" t="s">
        <v>82</v>
      </c>
      <c r="F227" s="2" t="s">
        <v>98</v>
      </c>
      <c r="G227" s="2">
        <f t="shared" si="3"/>
        <v>0.43741403026134801</v>
      </c>
      <c r="H227" s="5">
        <v>4.24</v>
      </c>
      <c r="I227" s="2">
        <v>75</v>
      </c>
      <c r="J227" s="12">
        <f>I227/Pondération!$J$61</f>
        <v>0.1031636863823934</v>
      </c>
    </row>
    <row r="228" spans="1:10" x14ac:dyDescent="0.25">
      <c r="A228" s="2" t="s">
        <v>77</v>
      </c>
      <c r="B228" s="2">
        <v>2013</v>
      </c>
      <c r="C228" s="2" t="s">
        <v>59</v>
      </c>
      <c r="D228" s="2" t="s">
        <v>38</v>
      </c>
      <c r="E228" s="2" t="s">
        <v>82</v>
      </c>
      <c r="F228" s="2" t="s">
        <v>98</v>
      </c>
      <c r="G228" s="2">
        <f t="shared" si="3"/>
        <v>6.4649243466299855E-2</v>
      </c>
      <c r="H228" s="5">
        <v>4.2727272727272725</v>
      </c>
      <c r="I228" s="2">
        <v>11</v>
      </c>
      <c r="J228" s="12">
        <f>I228/Pondération!$J$61</f>
        <v>1.5130674002751032E-2</v>
      </c>
    </row>
    <row r="229" spans="1:10" x14ac:dyDescent="0.25">
      <c r="A229" s="2" t="s">
        <v>77</v>
      </c>
      <c r="B229" s="2">
        <v>2013</v>
      </c>
      <c r="C229" s="2" t="s">
        <v>60</v>
      </c>
      <c r="D229" s="2" t="s">
        <v>38</v>
      </c>
      <c r="E229" s="2" t="s">
        <v>82</v>
      </c>
      <c r="F229" s="2" t="s">
        <v>98</v>
      </c>
      <c r="G229" s="2">
        <f t="shared" si="3"/>
        <v>6.8775790921595595E-2</v>
      </c>
      <c r="H229" s="5">
        <v>4.166666666666667</v>
      </c>
      <c r="I229" s="2">
        <v>12</v>
      </c>
      <c r="J229" s="12">
        <f>I229/Pondération!$J$61</f>
        <v>1.6506189821182942E-2</v>
      </c>
    </row>
    <row r="230" spans="1:10" x14ac:dyDescent="0.25">
      <c r="A230" s="2" t="s">
        <v>77</v>
      </c>
      <c r="B230" s="2">
        <v>2014</v>
      </c>
      <c r="C230" s="2" t="s">
        <v>61</v>
      </c>
      <c r="D230" s="2" t="s">
        <v>38</v>
      </c>
      <c r="E230" s="2" t="s">
        <v>82</v>
      </c>
      <c r="F230" s="2" t="s">
        <v>98</v>
      </c>
      <c r="G230" s="2">
        <f t="shared" si="3"/>
        <v>4.2399999999999993E-2</v>
      </c>
      <c r="H230" s="5">
        <v>4.0769230769230766</v>
      </c>
      <c r="I230" s="2">
        <v>13</v>
      </c>
      <c r="J230" s="12">
        <f>I230/Pondération!$I$61</f>
        <v>1.04E-2</v>
      </c>
    </row>
    <row r="231" spans="1:10" x14ac:dyDescent="0.25">
      <c r="A231" s="2" t="s">
        <v>77</v>
      </c>
      <c r="B231" s="2">
        <v>2014</v>
      </c>
      <c r="C231" s="2" t="s">
        <v>62</v>
      </c>
      <c r="D231" s="2" t="s">
        <v>38</v>
      </c>
      <c r="E231" s="2" t="s">
        <v>82</v>
      </c>
      <c r="F231" s="2" t="s">
        <v>98</v>
      </c>
      <c r="G231" s="2">
        <f t="shared" si="3"/>
        <v>8.879999999999999E-2</v>
      </c>
      <c r="H231" s="5">
        <v>4.2692307692307692</v>
      </c>
      <c r="I231" s="2">
        <v>26</v>
      </c>
      <c r="J231" s="12">
        <f>I231/Pondération!$I$61</f>
        <v>2.0799999999999999E-2</v>
      </c>
    </row>
    <row r="232" spans="1:10" x14ac:dyDescent="0.25">
      <c r="A232" s="2" t="s">
        <v>77</v>
      </c>
      <c r="B232" s="2">
        <v>2014</v>
      </c>
      <c r="C232" s="2" t="s">
        <v>63</v>
      </c>
      <c r="D232" s="2" t="s">
        <v>38</v>
      </c>
      <c r="E232" s="2" t="s">
        <v>82</v>
      </c>
      <c r="F232" s="2" t="s">
        <v>98</v>
      </c>
      <c r="G232" s="2">
        <f t="shared" si="3"/>
        <v>4.9600000000000005E-2</v>
      </c>
      <c r="H232" s="5">
        <v>4.1333333333333337</v>
      </c>
      <c r="I232" s="2">
        <v>15</v>
      </c>
      <c r="J232" s="12">
        <f>I232/Pondération!$I$61</f>
        <v>1.2E-2</v>
      </c>
    </row>
    <row r="233" spans="1:10" x14ac:dyDescent="0.25">
      <c r="A233" s="2" t="s">
        <v>77</v>
      </c>
      <c r="B233" s="2">
        <v>2014</v>
      </c>
      <c r="C233" s="2" t="s">
        <v>64</v>
      </c>
      <c r="D233" s="2" t="s">
        <v>38</v>
      </c>
      <c r="E233" s="2" t="s">
        <v>82</v>
      </c>
      <c r="F233" s="2" t="s">
        <v>98</v>
      </c>
      <c r="G233" s="2">
        <f t="shared" si="3"/>
        <v>6.1599999999999995E-2</v>
      </c>
      <c r="H233" s="5">
        <v>4.2777777777777777</v>
      </c>
      <c r="I233" s="2">
        <v>18</v>
      </c>
      <c r="J233" s="12">
        <f>I233/Pondération!$I$61</f>
        <v>1.44E-2</v>
      </c>
    </row>
    <row r="234" spans="1:10" x14ac:dyDescent="0.25">
      <c r="A234" s="2" t="s">
        <v>77</v>
      </c>
      <c r="B234" s="2">
        <v>2014</v>
      </c>
      <c r="C234" s="2" t="s">
        <v>65</v>
      </c>
      <c r="D234" s="2" t="s">
        <v>38</v>
      </c>
      <c r="E234" s="2" t="s">
        <v>82</v>
      </c>
      <c r="F234" s="2" t="s">
        <v>98</v>
      </c>
      <c r="G234" s="2">
        <f t="shared" si="3"/>
        <v>0.22399999999999998</v>
      </c>
      <c r="H234" s="5">
        <v>4.2424242424242422</v>
      </c>
      <c r="I234" s="2">
        <v>66</v>
      </c>
      <c r="J234" s="12">
        <f>I234/Pondération!$I$61</f>
        <v>5.28E-2</v>
      </c>
    </row>
    <row r="235" spans="1:10" x14ac:dyDescent="0.25">
      <c r="A235" s="2" t="s">
        <v>77</v>
      </c>
      <c r="B235" s="2">
        <v>2014</v>
      </c>
      <c r="C235" s="2" t="s">
        <v>66</v>
      </c>
      <c r="D235" s="2" t="s">
        <v>38</v>
      </c>
      <c r="E235" s="2" t="s">
        <v>82</v>
      </c>
      <c r="F235" s="2" t="s">
        <v>98</v>
      </c>
      <c r="G235" s="2">
        <f t="shared" si="3"/>
        <v>0.43119999999999992</v>
      </c>
      <c r="H235" s="5">
        <v>4.2440944881889759</v>
      </c>
      <c r="I235" s="2">
        <v>127</v>
      </c>
      <c r="J235" s="12">
        <f>I235/Pondération!$I$61</f>
        <v>0.1016</v>
      </c>
    </row>
    <row r="236" spans="1:10" x14ac:dyDescent="0.25">
      <c r="A236" s="2" t="s">
        <v>77</v>
      </c>
      <c r="B236" s="2">
        <v>2014</v>
      </c>
      <c r="C236" s="2" t="s">
        <v>67</v>
      </c>
      <c r="D236" s="2" t="s">
        <v>38</v>
      </c>
      <c r="E236" s="2" t="s">
        <v>82</v>
      </c>
      <c r="F236" s="2" t="s">
        <v>98</v>
      </c>
      <c r="G236" s="2">
        <f t="shared" si="3"/>
        <v>0.71040000000000003</v>
      </c>
      <c r="H236" s="5">
        <v>4.2285714285714286</v>
      </c>
      <c r="I236" s="2">
        <v>210</v>
      </c>
      <c r="J236" s="12">
        <f>I236/Pondération!$I$61</f>
        <v>0.16800000000000001</v>
      </c>
    </row>
    <row r="237" spans="1:10" x14ac:dyDescent="0.25">
      <c r="A237" s="2" t="s">
        <v>77</v>
      </c>
      <c r="B237" s="2">
        <v>2014</v>
      </c>
      <c r="C237" s="2" t="s">
        <v>68</v>
      </c>
      <c r="D237" s="2" t="s">
        <v>38</v>
      </c>
      <c r="E237" s="2" t="s">
        <v>82</v>
      </c>
      <c r="F237" s="2" t="s">
        <v>98</v>
      </c>
      <c r="G237" s="2">
        <f t="shared" si="3"/>
        <v>1.1712000000000002</v>
      </c>
      <c r="H237" s="5">
        <v>4.1828571428571433</v>
      </c>
      <c r="I237" s="2">
        <v>350</v>
      </c>
      <c r="J237" s="12">
        <f>I237/Pondération!$I$61</f>
        <v>0.28000000000000003</v>
      </c>
    </row>
    <row r="238" spans="1:10" x14ac:dyDescent="0.25">
      <c r="A238" s="2" t="s">
        <v>77</v>
      </c>
      <c r="B238" s="2">
        <v>2014</v>
      </c>
      <c r="C238" s="2" t="s">
        <v>69</v>
      </c>
      <c r="D238" s="2" t="s">
        <v>38</v>
      </c>
      <c r="E238" s="2" t="s">
        <v>82</v>
      </c>
      <c r="F238" s="2" t="s">
        <v>98</v>
      </c>
      <c r="G238" s="2">
        <f t="shared" si="3"/>
        <v>0.89280000000000004</v>
      </c>
      <c r="H238" s="5">
        <v>4.1641791044776122</v>
      </c>
      <c r="I238" s="2">
        <v>268</v>
      </c>
      <c r="J238" s="12">
        <f>I238/Pondération!$I$61</f>
        <v>0.21440000000000001</v>
      </c>
    </row>
    <row r="239" spans="1:10" x14ac:dyDescent="0.25">
      <c r="A239" s="2" t="s">
        <v>77</v>
      </c>
      <c r="B239" s="2">
        <v>2014</v>
      </c>
      <c r="C239" s="2" t="s">
        <v>70</v>
      </c>
      <c r="D239" s="2" t="s">
        <v>38</v>
      </c>
      <c r="E239" s="2" t="s">
        <v>82</v>
      </c>
      <c r="F239" s="2" t="s">
        <v>98</v>
      </c>
      <c r="G239" s="2">
        <f t="shared" si="3"/>
        <v>0.34960000000000002</v>
      </c>
      <c r="H239" s="5">
        <v>4.1619047619047622</v>
      </c>
      <c r="I239" s="2">
        <v>105</v>
      </c>
      <c r="J239" s="12">
        <f>I239/Pondération!$I$61</f>
        <v>8.4000000000000005E-2</v>
      </c>
    </row>
    <row r="240" spans="1:10" x14ac:dyDescent="0.25">
      <c r="A240" s="2" t="s">
        <v>77</v>
      </c>
      <c r="B240" s="2">
        <v>2014</v>
      </c>
      <c r="C240" s="2" t="s">
        <v>71</v>
      </c>
      <c r="D240" s="2" t="s">
        <v>38</v>
      </c>
      <c r="E240" s="2" t="s">
        <v>82</v>
      </c>
      <c r="F240" s="2" t="s">
        <v>98</v>
      </c>
      <c r="G240" s="2">
        <f t="shared" si="3"/>
        <v>7.9199999999999993E-2</v>
      </c>
      <c r="H240" s="5">
        <v>4.125</v>
      </c>
      <c r="I240" s="2">
        <v>24</v>
      </c>
      <c r="J240" s="12">
        <f>I240/Pondération!$I$61</f>
        <v>1.9199999999999998E-2</v>
      </c>
    </row>
    <row r="241" spans="1:10" x14ac:dyDescent="0.25">
      <c r="A241" s="2" t="s">
        <v>77</v>
      </c>
      <c r="B241" s="2">
        <v>2014</v>
      </c>
      <c r="C241" s="2" t="s">
        <v>72</v>
      </c>
      <c r="D241" s="2" t="s">
        <v>38</v>
      </c>
      <c r="E241" s="2" t="s">
        <v>82</v>
      </c>
      <c r="F241" s="2" t="s">
        <v>98</v>
      </c>
      <c r="G241" s="2">
        <f t="shared" si="3"/>
        <v>9.1999999999999985E-2</v>
      </c>
      <c r="H241" s="5">
        <v>4.1071428571428568</v>
      </c>
      <c r="I241" s="2">
        <v>28</v>
      </c>
      <c r="J241" s="12">
        <f>I241/Pondération!$I$61</f>
        <v>2.24E-2</v>
      </c>
    </row>
    <row r="242" spans="1:10" x14ac:dyDescent="0.25">
      <c r="A242" s="2" t="s">
        <v>77</v>
      </c>
      <c r="B242" s="2">
        <v>2015</v>
      </c>
      <c r="C242" s="2" t="s">
        <v>73</v>
      </c>
      <c r="D242" s="2" t="s">
        <v>38</v>
      </c>
      <c r="E242" s="2" t="s">
        <v>82</v>
      </c>
      <c r="F242" s="2" t="s">
        <v>98</v>
      </c>
      <c r="G242" s="2">
        <f t="shared" si="3"/>
        <v>1.5768725361366621E-2</v>
      </c>
      <c r="H242" s="5">
        <v>4</v>
      </c>
      <c r="I242" s="2">
        <v>15</v>
      </c>
      <c r="J242" s="12">
        <f>I242/Pondération!$H$61</f>
        <v>3.9421813403416554E-3</v>
      </c>
    </row>
    <row r="243" spans="1:10" x14ac:dyDescent="0.25">
      <c r="A243" s="2" t="s">
        <v>77</v>
      </c>
      <c r="B243" s="2">
        <v>2015</v>
      </c>
      <c r="C243" s="2" t="s">
        <v>74</v>
      </c>
      <c r="D243" s="2" t="s">
        <v>38</v>
      </c>
      <c r="E243" s="2" t="s">
        <v>82</v>
      </c>
      <c r="F243" s="2" t="s">
        <v>98</v>
      </c>
      <c r="G243" s="2">
        <f t="shared" si="3"/>
        <v>5.3876478318002623E-2</v>
      </c>
      <c r="H243" s="5">
        <v>4.0999999999999996</v>
      </c>
      <c r="I243" s="2">
        <v>50</v>
      </c>
      <c r="J243" s="12">
        <f>I243/Pondération!$H$61</f>
        <v>1.3140604467805518E-2</v>
      </c>
    </row>
    <row r="244" spans="1:10" x14ac:dyDescent="0.25">
      <c r="A244" s="2" t="s">
        <v>77</v>
      </c>
      <c r="B244" s="2">
        <v>2015</v>
      </c>
      <c r="C244" s="2" t="s">
        <v>75</v>
      </c>
      <c r="D244" s="2" t="s">
        <v>38</v>
      </c>
      <c r="E244" s="2" t="s">
        <v>82</v>
      </c>
      <c r="F244" s="2" t="s">
        <v>98</v>
      </c>
      <c r="G244" s="2">
        <f t="shared" si="3"/>
        <v>3.2588699080157685E-2</v>
      </c>
      <c r="H244" s="5">
        <v>4</v>
      </c>
      <c r="I244" s="2">
        <v>31</v>
      </c>
      <c r="J244" s="12">
        <f>I244/Pondération!$H$61</f>
        <v>8.1471747700394212E-3</v>
      </c>
    </row>
    <row r="245" spans="1:10" x14ac:dyDescent="0.25">
      <c r="A245" s="2" t="s">
        <v>77</v>
      </c>
      <c r="B245" s="2">
        <v>2015</v>
      </c>
      <c r="C245" s="2" t="s">
        <v>76</v>
      </c>
      <c r="D245" s="2" t="s">
        <v>38</v>
      </c>
      <c r="E245" s="2" t="s">
        <v>82</v>
      </c>
      <c r="F245" s="2" t="s">
        <v>98</v>
      </c>
      <c r="G245" s="2">
        <f t="shared" si="3"/>
        <v>8.8304862023653091E-2</v>
      </c>
      <c r="H245" s="5">
        <v>4.1481481481481479</v>
      </c>
      <c r="I245" s="2">
        <v>81</v>
      </c>
      <c r="J245" s="12">
        <f>I245/Pondération!$H$61</f>
        <v>2.1287779237844941E-2</v>
      </c>
    </row>
    <row r="246" spans="1:10" x14ac:dyDescent="0.25">
      <c r="A246" s="2" t="s">
        <v>77</v>
      </c>
      <c r="B246" s="2">
        <v>2015</v>
      </c>
      <c r="C246" s="2" t="s">
        <v>7</v>
      </c>
      <c r="D246" s="2" t="s">
        <v>38</v>
      </c>
      <c r="E246" s="2" t="s">
        <v>82</v>
      </c>
      <c r="F246" s="2" t="s">
        <v>98</v>
      </c>
      <c r="G246" s="2">
        <f t="shared" si="3"/>
        <v>0.26570302233902765</v>
      </c>
      <c r="H246" s="5">
        <v>4.1265306122448981</v>
      </c>
      <c r="I246" s="2">
        <v>245</v>
      </c>
      <c r="J246" s="12">
        <f>I246/Pondération!$H$61</f>
        <v>6.4388961892247049E-2</v>
      </c>
    </row>
    <row r="247" spans="1:10" x14ac:dyDescent="0.25">
      <c r="A247" s="2" t="s">
        <v>77</v>
      </c>
      <c r="B247" s="2">
        <v>2015</v>
      </c>
      <c r="C247" s="2" t="s">
        <v>11</v>
      </c>
      <c r="D247" s="2" t="s">
        <v>38</v>
      </c>
      <c r="E247" s="2" t="s">
        <v>82</v>
      </c>
      <c r="F247" s="2" t="s">
        <v>98</v>
      </c>
      <c r="G247" s="2">
        <f t="shared" si="3"/>
        <v>0.43311432325886989</v>
      </c>
      <c r="H247" s="5">
        <v>4.099502487562189</v>
      </c>
      <c r="I247" s="2">
        <v>402</v>
      </c>
      <c r="J247" s="12">
        <f>I247/Pondération!$H$61</f>
        <v>0.10565045992115638</v>
      </c>
    </row>
    <row r="248" spans="1:10" x14ac:dyDescent="0.25">
      <c r="A248" s="2" t="s">
        <v>77</v>
      </c>
      <c r="B248" s="2">
        <v>2015</v>
      </c>
      <c r="C248" s="2" t="s">
        <v>12</v>
      </c>
      <c r="D248" s="2" t="s">
        <v>38</v>
      </c>
      <c r="E248" s="2" t="s">
        <v>82</v>
      </c>
      <c r="F248" s="2" t="s">
        <v>98</v>
      </c>
      <c r="G248" s="2">
        <f t="shared" si="3"/>
        <v>0.79789750328515119</v>
      </c>
      <c r="H248" s="5">
        <v>4.1418826739427015</v>
      </c>
      <c r="I248" s="2">
        <v>733</v>
      </c>
      <c r="J248" s="12">
        <f>I248/Pondération!$H$61</f>
        <v>0.1926412614980289</v>
      </c>
    </row>
    <row r="249" spans="1:10" x14ac:dyDescent="0.25">
      <c r="A249" s="2" t="s">
        <v>77</v>
      </c>
      <c r="B249" s="2">
        <v>2015</v>
      </c>
      <c r="C249" s="2" t="s">
        <v>13</v>
      </c>
      <c r="D249" s="2" t="s">
        <v>38</v>
      </c>
      <c r="E249" s="2" t="s">
        <v>82</v>
      </c>
      <c r="F249" s="2" t="s">
        <v>98</v>
      </c>
      <c r="G249" s="2">
        <f t="shared" si="3"/>
        <v>1.0712220762155058</v>
      </c>
      <c r="H249" s="5">
        <v>4.1088709677419351</v>
      </c>
      <c r="I249" s="2">
        <v>992</v>
      </c>
      <c r="J249" s="12">
        <f>I249/Pondération!$H$61</f>
        <v>0.26070959264126148</v>
      </c>
    </row>
    <row r="250" spans="1:10" x14ac:dyDescent="0.25">
      <c r="A250" s="2" t="s">
        <v>77</v>
      </c>
      <c r="B250" s="2">
        <v>2015</v>
      </c>
      <c r="C250" s="2" t="s">
        <v>14</v>
      </c>
      <c r="D250" s="2" t="s">
        <v>38</v>
      </c>
      <c r="E250" s="2" t="s">
        <v>82</v>
      </c>
      <c r="F250" s="2" t="s">
        <v>98</v>
      </c>
      <c r="G250" s="2">
        <f t="shared" si="3"/>
        <v>0.87752956636005253</v>
      </c>
      <c r="H250" s="5">
        <v>4.1478260869565213</v>
      </c>
      <c r="I250" s="2">
        <v>805</v>
      </c>
      <c r="J250" s="12">
        <f>I250/Pondération!$H$61</f>
        <v>0.21156373193166886</v>
      </c>
    </row>
    <row r="251" spans="1:10" x14ac:dyDescent="0.25">
      <c r="A251" s="2" t="s">
        <v>77</v>
      </c>
      <c r="B251" s="2">
        <v>2015</v>
      </c>
      <c r="C251" s="2" t="s">
        <v>15</v>
      </c>
      <c r="D251" s="2" t="s">
        <v>38</v>
      </c>
      <c r="E251" s="2" t="s">
        <v>82</v>
      </c>
      <c r="F251" s="2" t="s">
        <v>98</v>
      </c>
      <c r="G251" s="2">
        <f t="shared" si="3"/>
        <v>0.35427069645203679</v>
      </c>
      <c r="H251" s="5">
        <v>4.1604938271604937</v>
      </c>
      <c r="I251" s="2">
        <v>324</v>
      </c>
      <c r="J251" s="12">
        <f>I251/Pondération!$H$61</f>
        <v>8.5151116951379766E-2</v>
      </c>
    </row>
    <row r="252" spans="1:10" x14ac:dyDescent="0.25">
      <c r="A252" s="2" t="s">
        <v>77</v>
      </c>
      <c r="B252" s="2">
        <v>2015</v>
      </c>
      <c r="C252" s="2" t="s">
        <v>16</v>
      </c>
      <c r="D252" s="2" t="s">
        <v>38</v>
      </c>
      <c r="E252" s="2" t="s">
        <v>82</v>
      </c>
      <c r="F252" s="2" t="s">
        <v>98</v>
      </c>
      <c r="G252" s="2">
        <f t="shared" si="3"/>
        <v>6.7805519053876467E-2</v>
      </c>
      <c r="H252" s="5">
        <v>4.161290322580645</v>
      </c>
      <c r="I252" s="2">
        <v>62</v>
      </c>
      <c r="J252" s="12">
        <f>I252/Pondération!$H$61</f>
        <v>1.6294349540078842E-2</v>
      </c>
    </row>
    <row r="253" spans="1:10" x14ac:dyDescent="0.25">
      <c r="A253" s="2" t="s">
        <v>77</v>
      </c>
      <c r="B253" s="2">
        <v>2015</v>
      </c>
      <c r="C253" s="2" t="s">
        <v>17</v>
      </c>
      <c r="D253" s="2" t="s">
        <v>38</v>
      </c>
      <c r="E253" s="2" t="s">
        <v>82</v>
      </c>
      <c r="F253" s="2" t="s">
        <v>98</v>
      </c>
      <c r="G253" s="2">
        <f t="shared" si="3"/>
        <v>7.06964520367937E-2</v>
      </c>
      <c r="H253" s="5">
        <v>4.1384615384615389</v>
      </c>
      <c r="I253" s="2">
        <v>65</v>
      </c>
      <c r="J253" s="12">
        <f>I253/Pondération!$H$61</f>
        <v>1.7082785808147174E-2</v>
      </c>
    </row>
    <row r="254" spans="1:10" x14ac:dyDescent="0.25">
      <c r="A254" s="2" t="s">
        <v>77</v>
      </c>
      <c r="B254" s="2">
        <v>2016</v>
      </c>
      <c r="C254" s="2" t="s">
        <v>18</v>
      </c>
      <c r="D254" s="2" t="s">
        <v>38</v>
      </c>
      <c r="E254" s="2" t="s">
        <v>82</v>
      </c>
      <c r="F254" s="2" t="s">
        <v>98</v>
      </c>
      <c r="G254" s="2">
        <f t="shared" si="3"/>
        <v>3.056843551433969E-2</v>
      </c>
      <c r="H254" s="5">
        <v>4.1395348837209305</v>
      </c>
      <c r="I254" s="2">
        <v>43</v>
      </c>
      <c r="J254" s="12">
        <f>I254/Pondération!$G$61</f>
        <v>7.3845097029022842E-3</v>
      </c>
    </row>
    <row r="255" spans="1:10" x14ac:dyDescent="0.25">
      <c r="A255" s="2" t="s">
        <v>77</v>
      </c>
      <c r="B255" s="2">
        <v>2016</v>
      </c>
      <c r="C255" s="2" t="s">
        <v>19</v>
      </c>
      <c r="D255" s="2" t="s">
        <v>38</v>
      </c>
      <c r="E255" s="2" t="s">
        <v>82</v>
      </c>
      <c r="F255" s="2" t="s">
        <v>98</v>
      </c>
      <c r="G255" s="2">
        <f t="shared" si="3"/>
        <v>6.9380044650523776E-2</v>
      </c>
      <c r="H255" s="5">
        <v>4.0808080808080804</v>
      </c>
      <c r="I255" s="2">
        <v>99</v>
      </c>
      <c r="J255" s="12">
        <f>I255/Pondération!$G$61</f>
        <v>1.7001545595054096E-2</v>
      </c>
    </row>
    <row r="256" spans="1:10" x14ac:dyDescent="0.25">
      <c r="A256" s="2" t="s">
        <v>77</v>
      </c>
      <c r="B256" s="2">
        <v>2016</v>
      </c>
      <c r="C256" s="2" t="s">
        <v>20</v>
      </c>
      <c r="D256" s="2" t="s">
        <v>38</v>
      </c>
      <c r="E256" s="2" t="s">
        <v>82</v>
      </c>
      <c r="F256" s="2" t="s">
        <v>98</v>
      </c>
      <c r="G256" s="2">
        <f t="shared" si="3"/>
        <v>4.0700669757856772E-2</v>
      </c>
      <c r="H256" s="5">
        <v>4.2321428571428568</v>
      </c>
      <c r="I256" s="2">
        <v>56</v>
      </c>
      <c r="J256" s="12">
        <f>I256/Pondération!$G$61</f>
        <v>9.617035892151812E-3</v>
      </c>
    </row>
    <row r="257" spans="1:10" x14ac:dyDescent="0.25">
      <c r="A257" s="2" t="s">
        <v>77</v>
      </c>
      <c r="B257" s="2">
        <v>2016</v>
      </c>
      <c r="C257" s="2" t="s">
        <v>21</v>
      </c>
      <c r="D257" s="2" t="s">
        <v>38</v>
      </c>
      <c r="E257" s="2" t="s">
        <v>82</v>
      </c>
      <c r="F257" s="2" t="s">
        <v>98</v>
      </c>
      <c r="G257" s="2">
        <f t="shared" si="3"/>
        <v>0.15284217757169843</v>
      </c>
      <c r="H257" s="5">
        <v>4.1203703703703702</v>
      </c>
      <c r="I257" s="2">
        <v>216</v>
      </c>
      <c r="J257" s="12">
        <f>I257/Pondération!$G$61</f>
        <v>3.7094281298299843E-2</v>
      </c>
    </row>
    <row r="258" spans="1:10" x14ac:dyDescent="0.25">
      <c r="A258" s="2" t="s">
        <v>77</v>
      </c>
      <c r="B258" s="2">
        <v>2016</v>
      </c>
      <c r="C258" s="2" t="s">
        <v>22</v>
      </c>
      <c r="D258" s="2" t="s">
        <v>38</v>
      </c>
      <c r="E258" s="2" t="s">
        <v>82</v>
      </c>
      <c r="F258" s="2" t="s">
        <v>98</v>
      </c>
      <c r="G258" s="2">
        <f t="shared" si="3"/>
        <v>0.2608620985746179</v>
      </c>
      <c r="H258" s="5">
        <v>4.1277173913043477</v>
      </c>
      <c r="I258" s="2">
        <v>368</v>
      </c>
      <c r="J258" s="12">
        <f>I258/Pondération!$G$61</f>
        <v>6.3197664434140474E-2</v>
      </c>
    </row>
    <row r="259" spans="1:10" x14ac:dyDescent="0.25">
      <c r="A259" s="2" t="s">
        <v>77</v>
      </c>
      <c r="B259" s="2">
        <v>2016</v>
      </c>
      <c r="C259" s="2" t="s">
        <v>23</v>
      </c>
      <c r="D259" s="2" t="s">
        <v>38</v>
      </c>
      <c r="E259" s="2" t="s">
        <v>82</v>
      </c>
      <c r="F259" s="2" t="s">
        <v>98</v>
      </c>
      <c r="G259" s="2">
        <f t="shared" ref="G259:G322" si="4">H259*J259</f>
        <v>0.44427271166065607</v>
      </c>
      <c r="H259" s="5">
        <v>4.1128775834658189</v>
      </c>
      <c r="I259" s="2">
        <v>629</v>
      </c>
      <c r="J259" s="12">
        <f>I259/Pondération!$G$61</f>
        <v>0.10801992100291946</v>
      </c>
    </row>
    <row r="260" spans="1:10" x14ac:dyDescent="0.25">
      <c r="A260" s="2" t="s">
        <v>77</v>
      </c>
      <c r="B260" s="2">
        <v>2016</v>
      </c>
      <c r="C260" s="2" t="s">
        <v>24</v>
      </c>
      <c r="D260" s="2" t="s">
        <v>38</v>
      </c>
      <c r="E260" s="2" t="s">
        <v>82</v>
      </c>
      <c r="F260" s="2" t="s">
        <v>98</v>
      </c>
      <c r="G260" s="2">
        <f t="shared" si="4"/>
        <v>0.72402541645200069</v>
      </c>
      <c r="H260" s="5">
        <v>4.0892337536372452</v>
      </c>
      <c r="I260" s="2">
        <v>1031</v>
      </c>
      <c r="J260" s="12">
        <f>I260/Pondération!$G$61</f>
        <v>0.1770565000858664</v>
      </c>
    </row>
    <row r="261" spans="1:10" x14ac:dyDescent="0.25">
      <c r="A261" s="2" t="s">
        <v>77</v>
      </c>
      <c r="B261" s="2">
        <v>2016</v>
      </c>
      <c r="C261" s="2" t="s">
        <v>25</v>
      </c>
      <c r="D261" s="2" t="s">
        <v>38</v>
      </c>
      <c r="E261" s="2" t="s">
        <v>82</v>
      </c>
      <c r="F261" s="2" t="s">
        <v>98</v>
      </c>
      <c r="G261" s="2">
        <f t="shared" si="4"/>
        <v>1.1193542847329554</v>
      </c>
      <c r="H261" s="5">
        <v>4.0661260137242667</v>
      </c>
      <c r="I261" s="2">
        <v>1603</v>
      </c>
      <c r="J261" s="12">
        <f>I261/Pondération!$G$61</f>
        <v>0.27528765241284558</v>
      </c>
    </row>
    <row r="262" spans="1:10" x14ac:dyDescent="0.25">
      <c r="A262" s="2" t="s">
        <v>77</v>
      </c>
      <c r="B262" s="2">
        <v>2016</v>
      </c>
      <c r="C262" s="2" t="s">
        <v>26</v>
      </c>
      <c r="D262" s="2" t="s">
        <v>38</v>
      </c>
      <c r="E262" s="2" t="s">
        <v>82</v>
      </c>
      <c r="F262" s="2" t="s">
        <v>98</v>
      </c>
      <c r="G262" s="2">
        <f t="shared" si="4"/>
        <v>0.78997080542675591</v>
      </c>
      <c r="H262" s="5">
        <v>4.0780141843971629</v>
      </c>
      <c r="I262" s="2">
        <v>1128</v>
      </c>
      <c r="J262" s="12">
        <f>I262/Pondération!$G$61</f>
        <v>0.19371458011334364</v>
      </c>
    </row>
    <row r="263" spans="1:10" x14ac:dyDescent="0.25">
      <c r="A263" s="2" t="s">
        <v>77</v>
      </c>
      <c r="B263" s="2">
        <v>2016</v>
      </c>
      <c r="C263" s="2" t="s">
        <v>27</v>
      </c>
      <c r="D263" s="2" t="s">
        <v>38</v>
      </c>
      <c r="E263" s="2" t="s">
        <v>82</v>
      </c>
      <c r="F263" s="2" t="s">
        <v>98</v>
      </c>
      <c r="G263" s="2">
        <f t="shared" si="4"/>
        <v>0.33608105787394815</v>
      </c>
      <c r="H263" s="5">
        <v>4.1113445378151257</v>
      </c>
      <c r="I263" s="2">
        <v>476</v>
      </c>
      <c r="J263" s="12">
        <f>I263/Pondération!$G$61</f>
        <v>8.1744805083290406E-2</v>
      </c>
    </row>
    <row r="264" spans="1:10" x14ac:dyDescent="0.25">
      <c r="A264" s="2" t="s">
        <v>77</v>
      </c>
      <c r="B264" s="2">
        <v>2016</v>
      </c>
      <c r="C264" s="2" t="s">
        <v>28</v>
      </c>
      <c r="D264" s="2" t="s">
        <v>38</v>
      </c>
      <c r="E264" s="2" t="s">
        <v>82</v>
      </c>
      <c r="F264" s="2" t="s">
        <v>98</v>
      </c>
      <c r="G264" s="2">
        <f t="shared" si="4"/>
        <v>9.6170358921518109E-2</v>
      </c>
      <c r="H264" s="5">
        <v>4.117647058823529</v>
      </c>
      <c r="I264" s="2">
        <v>136</v>
      </c>
      <c r="J264" s="12">
        <f>I264/Pondération!$G$61</f>
        <v>2.3355658595225828E-2</v>
      </c>
    </row>
    <row r="265" spans="1:10" x14ac:dyDescent="0.25">
      <c r="A265" s="2" t="s">
        <v>77</v>
      </c>
      <c r="B265" s="2">
        <v>2016</v>
      </c>
      <c r="C265" s="2" t="s">
        <v>29</v>
      </c>
      <c r="D265" s="2" t="s">
        <v>38</v>
      </c>
      <c r="E265" s="2" t="s">
        <v>82</v>
      </c>
      <c r="F265" s="2" t="s">
        <v>98</v>
      </c>
      <c r="G265" s="2">
        <f t="shared" si="4"/>
        <v>2.5931650352052207E-2</v>
      </c>
      <c r="H265" s="5">
        <v>3.9736842105263159</v>
      </c>
      <c r="I265" s="2">
        <v>38</v>
      </c>
      <c r="J265" s="12">
        <f>I265/Pondération!$G$61</f>
        <v>6.5258457839601578E-3</v>
      </c>
    </row>
    <row r="266" spans="1:10" x14ac:dyDescent="0.25">
      <c r="A266" s="2" t="s">
        <v>77</v>
      </c>
      <c r="B266" s="2">
        <v>2017</v>
      </c>
      <c r="C266" s="2" t="s">
        <v>30</v>
      </c>
      <c r="D266" s="2" t="s">
        <v>38</v>
      </c>
      <c r="E266" s="2" t="s">
        <v>82</v>
      </c>
      <c r="F266" s="2" t="s">
        <v>98</v>
      </c>
      <c r="G266" s="2">
        <f t="shared" si="4"/>
        <v>0.20577933450087565</v>
      </c>
      <c r="H266" s="5">
        <v>4.1964285714285712</v>
      </c>
      <c r="I266" s="2">
        <v>56</v>
      </c>
      <c r="J266" s="12">
        <f>I266/Pondération!$F$61</f>
        <v>4.9036777583187391E-2</v>
      </c>
    </row>
    <row r="267" spans="1:10" x14ac:dyDescent="0.25">
      <c r="A267" s="2" t="s">
        <v>77</v>
      </c>
      <c r="B267" s="2">
        <v>2017</v>
      </c>
      <c r="C267" s="2" t="s">
        <v>31</v>
      </c>
      <c r="D267" s="2" t="s">
        <v>38</v>
      </c>
      <c r="E267" s="2" t="s">
        <v>82</v>
      </c>
      <c r="F267" s="2" t="s">
        <v>98</v>
      </c>
      <c r="G267" s="2">
        <f t="shared" si="4"/>
        <v>0.20315236427320491</v>
      </c>
      <c r="H267" s="5">
        <v>4.0701754385964914</v>
      </c>
      <c r="I267" s="2">
        <v>57</v>
      </c>
      <c r="J267" s="12">
        <f>I267/Pondération!$F$61</f>
        <v>4.9912434325744305E-2</v>
      </c>
    </row>
    <row r="268" spans="1:10" x14ac:dyDescent="0.25">
      <c r="A268" s="2" t="s">
        <v>77</v>
      </c>
      <c r="B268" s="2">
        <v>2017</v>
      </c>
      <c r="C268" s="2" t="s">
        <v>32</v>
      </c>
      <c r="D268" s="2" t="s">
        <v>38</v>
      </c>
      <c r="E268" s="2" t="s">
        <v>82</v>
      </c>
      <c r="F268" s="2" t="s">
        <v>98</v>
      </c>
      <c r="G268" s="2">
        <f t="shared" si="4"/>
        <v>0.19789842381786341</v>
      </c>
      <c r="H268" s="5">
        <v>4.0357142857142856</v>
      </c>
      <c r="I268" s="2">
        <v>56</v>
      </c>
      <c r="J268" s="12">
        <f>I268/Pondération!$F$61</f>
        <v>4.9036777583187391E-2</v>
      </c>
    </row>
    <row r="269" spans="1:10" x14ac:dyDescent="0.25">
      <c r="A269" s="2" t="s">
        <v>77</v>
      </c>
      <c r="B269" s="2">
        <v>2017</v>
      </c>
      <c r="C269" s="2" t="s">
        <v>33</v>
      </c>
      <c r="D269" s="2" t="s">
        <v>38</v>
      </c>
      <c r="E269" s="2" t="s">
        <v>82</v>
      </c>
      <c r="F269" s="2" t="s">
        <v>98</v>
      </c>
      <c r="G269" s="2">
        <f t="shared" si="4"/>
        <v>0.92732049036777586</v>
      </c>
      <c r="H269" s="5">
        <v>4.1046511627906979</v>
      </c>
      <c r="I269" s="2">
        <v>258</v>
      </c>
      <c r="J269" s="12">
        <f>I269/Pondération!$F$61</f>
        <v>0.22591943957968477</v>
      </c>
    </row>
    <row r="270" spans="1:10" x14ac:dyDescent="0.25">
      <c r="A270" s="2" t="s">
        <v>77</v>
      </c>
      <c r="B270" s="2">
        <v>2017</v>
      </c>
      <c r="C270" s="2" t="s">
        <v>34</v>
      </c>
      <c r="D270" s="2" t="s">
        <v>38</v>
      </c>
      <c r="E270" s="2" t="s">
        <v>82</v>
      </c>
      <c r="F270" s="2" t="s">
        <v>98</v>
      </c>
      <c r="G270" s="2">
        <f t="shared" si="4"/>
        <v>1.6348511383537652</v>
      </c>
      <c r="H270" s="5">
        <v>4.0942982456140351</v>
      </c>
      <c r="I270" s="2">
        <v>456</v>
      </c>
      <c r="J270" s="12">
        <f>I270/Pondération!$F$61</f>
        <v>0.39929947460595444</v>
      </c>
    </row>
    <row r="271" spans="1:10" x14ac:dyDescent="0.25">
      <c r="A271" s="2" t="s">
        <v>77</v>
      </c>
      <c r="B271" s="2">
        <v>2017</v>
      </c>
      <c r="C271" s="2" t="s">
        <v>80</v>
      </c>
      <c r="D271" s="2" t="s">
        <v>38</v>
      </c>
      <c r="E271" s="2" t="s">
        <v>82</v>
      </c>
      <c r="F271" s="2" t="s">
        <v>98</v>
      </c>
      <c r="G271" s="2">
        <f t="shared" si="4"/>
        <v>0.92469352014010509</v>
      </c>
      <c r="H271" s="5">
        <v>4.0772200772200771</v>
      </c>
      <c r="I271" s="2">
        <v>259</v>
      </c>
      <c r="J271" s="12">
        <f>I271/Pondération!$F$61</f>
        <v>0.22679509632224168</v>
      </c>
    </row>
    <row r="272" spans="1:10" x14ac:dyDescent="0.25">
      <c r="A272" s="2" t="s">
        <v>77</v>
      </c>
      <c r="B272" s="2">
        <v>2013</v>
      </c>
      <c r="C272" s="2" t="s">
        <v>49</v>
      </c>
      <c r="D272" s="2" t="s">
        <v>39</v>
      </c>
      <c r="E272" s="2" t="s">
        <v>82</v>
      </c>
      <c r="F272" s="2" t="s">
        <v>98</v>
      </c>
      <c r="G272" s="2">
        <f t="shared" si="4"/>
        <v>0.16883116883116883</v>
      </c>
      <c r="H272" s="5">
        <v>3.8048780487804876</v>
      </c>
      <c r="I272" s="2">
        <v>41</v>
      </c>
      <c r="J272" s="12">
        <f>I272/Pondération!$J$74</f>
        <v>4.4372294372294376E-2</v>
      </c>
    </row>
    <row r="273" spans="1:10" x14ac:dyDescent="0.25">
      <c r="A273" s="2" t="s">
        <v>77</v>
      </c>
      <c r="B273" s="2">
        <v>2013</v>
      </c>
      <c r="C273" s="2" t="s">
        <v>50</v>
      </c>
      <c r="D273" s="2" t="s">
        <v>39</v>
      </c>
      <c r="E273" s="2" t="s">
        <v>82</v>
      </c>
      <c r="F273" s="2" t="s">
        <v>98</v>
      </c>
      <c r="G273" s="2">
        <f t="shared" si="4"/>
        <v>0.12878787878787878</v>
      </c>
      <c r="H273" s="5">
        <v>3.9666666666666668</v>
      </c>
      <c r="I273" s="2">
        <v>30</v>
      </c>
      <c r="J273" s="12">
        <f>I273/Pondération!$J$74</f>
        <v>3.2467532467532464E-2</v>
      </c>
    </row>
    <row r="274" spans="1:10" x14ac:dyDescent="0.25">
      <c r="A274" s="2" t="s">
        <v>77</v>
      </c>
      <c r="B274" s="2">
        <v>2013</v>
      </c>
      <c r="C274" s="2" t="s">
        <v>51</v>
      </c>
      <c r="D274" s="2" t="s">
        <v>39</v>
      </c>
      <c r="E274" s="2" t="s">
        <v>82</v>
      </c>
      <c r="F274" s="2" t="s">
        <v>98</v>
      </c>
      <c r="G274" s="2">
        <f t="shared" si="4"/>
        <v>0.20995670995670995</v>
      </c>
      <c r="H274" s="5">
        <v>3.9591836734693877</v>
      </c>
      <c r="I274" s="2">
        <v>49</v>
      </c>
      <c r="J274" s="12">
        <f>I274/Pondération!$J$74</f>
        <v>5.3030303030303032E-2</v>
      </c>
    </row>
    <row r="275" spans="1:10" x14ac:dyDescent="0.25">
      <c r="A275" s="2" t="s">
        <v>77</v>
      </c>
      <c r="B275" s="2">
        <v>2013</v>
      </c>
      <c r="C275" s="2" t="s">
        <v>52</v>
      </c>
      <c r="D275" s="2" t="s">
        <v>39</v>
      </c>
      <c r="E275" s="2" t="s">
        <v>82</v>
      </c>
      <c r="F275" s="2" t="s">
        <v>98</v>
      </c>
      <c r="G275" s="2">
        <f t="shared" si="4"/>
        <v>0.35064935064935066</v>
      </c>
      <c r="H275" s="5">
        <v>4</v>
      </c>
      <c r="I275" s="2">
        <v>81</v>
      </c>
      <c r="J275" s="12">
        <f>I275/Pondération!$J$74</f>
        <v>8.7662337662337664E-2</v>
      </c>
    </row>
    <row r="276" spans="1:10" x14ac:dyDescent="0.25">
      <c r="A276" s="2" t="s">
        <v>77</v>
      </c>
      <c r="B276" s="2">
        <v>2013</v>
      </c>
      <c r="C276" s="2" t="s">
        <v>53</v>
      </c>
      <c r="D276" s="2" t="s">
        <v>39</v>
      </c>
      <c r="E276" s="2" t="s">
        <v>82</v>
      </c>
      <c r="F276" s="2" t="s">
        <v>98</v>
      </c>
      <c r="G276" s="2">
        <f t="shared" si="4"/>
        <v>0.47186147186147182</v>
      </c>
      <c r="H276" s="5">
        <v>3.8584070796460175</v>
      </c>
      <c r="I276" s="2">
        <v>113</v>
      </c>
      <c r="J276" s="12">
        <f>I276/Pondération!$J$74</f>
        <v>0.12229437229437229</v>
      </c>
    </row>
    <row r="277" spans="1:10" x14ac:dyDescent="0.25">
      <c r="A277" s="2" t="s">
        <v>77</v>
      </c>
      <c r="B277" s="2">
        <v>2013</v>
      </c>
      <c r="C277" s="2" t="s">
        <v>54</v>
      </c>
      <c r="D277" s="2" t="s">
        <v>39</v>
      </c>
      <c r="E277" s="2" t="s">
        <v>82</v>
      </c>
      <c r="F277" s="2" t="s">
        <v>98</v>
      </c>
      <c r="G277" s="2">
        <f t="shared" si="4"/>
        <v>0.25216450216450215</v>
      </c>
      <c r="H277" s="5">
        <v>3.8833333333333333</v>
      </c>
      <c r="I277" s="2">
        <v>60</v>
      </c>
      <c r="J277" s="12">
        <f>I277/Pondération!$J$74</f>
        <v>6.4935064935064929E-2</v>
      </c>
    </row>
    <row r="278" spans="1:10" x14ac:dyDescent="0.25">
      <c r="A278" s="2" t="s">
        <v>77</v>
      </c>
      <c r="B278" s="2">
        <v>2013</v>
      </c>
      <c r="C278" s="2" t="s">
        <v>55</v>
      </c>
      <c r="D278" s="2" t="s">
        <v>39</v>
      </c>
      <c r="E278" s="2" t="s">
        <v>82</v>
      </c>
      <c r="F278" s="2" t="s">
        <v>98</v>
      </c>
      <c r="G278" s="2">
        <f t="shared" si="4"/>
        <v>0.55735930735930739</v>
      </c>
      <c r="H278" s="5">
        <v>3.7867647058823528</v>
      </c>
      <c r="I278" s="2">
        <v>136</v>
      </c>
      <c r="J278" s="12">
        <f>I278/Pondération!$J$74</f>
        <v>0.1471861471861472</v>
      </c>
    </row>
    <row r="279" spans="1:10" x14ac:dyDescent="0.25">
      <c r="A279" s="2" t="s">
        <v>77</v>
      </c>
      <c r="B279" s="2">
        <v>2013</v>
      </c>
      <c r="C279" s="2" t="s">
        <v>56</v>
      </c>
      <c r="D279" s="2" t="s">
        <v>39</v>
      </c>
      <c r="E279" s="2" t="s">
        <v>82</v>
      </c>
      <c r="F279" s="2" t="s">
        <v>98</v>
      </c>
      <c r="G279" s="2">
        <f t="shared" si="4"/>
        <v>0.84632034632034636</v>
      </c>
      <c r="H279" s="5">
        <v>3.796116504854369</v>
      </c>
      <c r="I279" s="2">
        <v>206</v>
      </c>
      <c r="J279" s="12">
        <f>I279/Pondération!$J$74</f>
        <v>0.22294372294372294</v>
      </c>
    </row>
    <row r="280" spans="1:10" x14ac:dyDescent="0.25">
      <c r="A280" s="2" t="s">
        <v>77</v>
      </c>
      <c r="B280" s="2">
        <v>2013</v>
      </c>
      <c r="C280" s="2" t="s">
        <v>57</v>
      </c>
      <c r="D280" s="2" t="s">
        <v>39</v>
      </c>
      <c r="E280" s="2" t="s">
        <v>82</v>
      </c>
      <c r="F280" s="2" t="s">
        <v>98</v>
      </c>
      <c r="G280" s="2">
        <f t="shared" si="4"/>
        <v>0.27056277056277062</v>
      </c>
      <c r="H280" s="5">
        <v>3.8461538461538463</v>
      </c>
      <c r="I280" s="2">
        <v>65</v>
      </c>
      <c r="J280" s="12">
        <f>I280/Pondération!$J$74</f>
        <v>7.0346320346320351E-2</v>
      </c>
    </row>
    <row r="281" spans="1:10" x14ac:dyDescent="0.25">
      <c r="A281" s="2" t="s">
        <v>77</v>
      </c>
      <c r="B281" s="2">
        <v>2013</v>
      </c>
      <c r="C281" s="2" t="s">
        <v>58</v>
      </c>
      <c r="D281" s="2" t="s">
        <v>39</v>
      </c>
      <c r="E281" s="2" t="s">
        <v>82</v>
      </c>
      <c r="F281" s="2" t="s">
        <v>98</v>
      </c>
      <c r="G281" s="2">
        <f t="shared" si="4"/>
        <v>0.27705627705627706</v>
      </c>
      <c r="H281" s="5">
        <v>4</v>
      </c>
      <c r="I281" s="2">
        <v>64</v>
      </c>
      <c r="J281" s="12">
        <f>I281/Pondération!$J$74</f>
        <v>6.9264069264069264E-2</v>
      </c>
    </row>
    <row r="282" spans="1:10" x14ac:dyDescent="0.25">
      <c r="A282" s="2" t="s">
        <v>77</v>
      </c>
      <c r="B282" s="2">
        <v>2013</v>
      </c>
      <c r="C282" s="2" t="s">
        <v>59</v>
      </c>
      <c r="D282" s="2" t="s">
        <v>39</v>
      </c>
      <c r="E282" s="2" t="s">
        <v>82</v>
      </c>
      <c r="F282" s="2" t="s">
        <v>98</v>
      </c>
      <c r="G282" s="2">
        <f t="shared" si="4"/>
        <v>0.13636363636363635</v>
      </c>
      <c r="H282" s="5">
        <v>3.9375</v>
      </c>
      <c r="I282" s="2">
        <v>32</v>
      </c>
      <c r="J282" s="12">
        <f>I282/Pondération!$J$74</f>
        <v>3.4632034632034632E-2</v>
      </c>
    </row>
    <row r="283" spans="1:10" x14ac:dyDescent="0.25">
      <c r="A283" s="2" t="s">
        <v>77</v>
      </c>
      <c r="B283" s="2">
        <v>2013</v>
      </c>
      <c r="C283" s="2" t="s">
        <v>60</v>
      </c>
      <c r="D283" s="2" t="s">
        <v>39</v>
      </c>
      <c r="E283" s="2" t="s">
        <v>82</v>
      </c>
      <c r="F283" s="2" t="s">
        <v>98</v>
      </c>
      <c r="G283" s="2">
        <f t="shared" si="4"/>
        <v>0.20129870129870131</v>
      </c>
      <c r="H283" s="5">
        <v>3.9574468085106385</v>
      </c>
      <c r="I283" s="2">
        <v>47</v>
      </c>
      <c r="J283" s="12">
        <f>I283/Pondération!$J$74</f>
        <v>5.0865800865800864E-2</v>
      </c>
    </row>
    <row r="284" spans="1:10" x14ac:dyDescent="0.25">
      <c r="A284" s="2" t="s">
        <v>77</v>
      </c>
      <c r="B284" s="2">
        <v>2014</v>
      </c>
      <c r="C284" s="2" t="s">
        <v>61</v>
      </c>
      <c r="D284" s="2" t="s">
        <v>39</v>
      </c>
      <c r="E284" s="2" t="s">
        <v>82</v>
      </c>
      <c r="F284" s="2" t="s">
        <v>98</v>
      </c>
      <c r="G284" s="2">
        <f t="shared" si="4"/>
        <v>0.12280701754385964</v>
      </c>
      <c r="H284" s="5">
        <v>3.9565217391304346</v>
      </c>
      <c r="I284" s="2">
        <v>46</v>
      </c>
      <c r="J284" s="12">
        <f>I284/Pondération!$I$74</f>
        <v>3.1039136302294199E-2</v>
      </c>
    </row>
    <row r="285" spans="1:10" x14ac:dyDescent="0.25">
      <c r="A285" s="2" t="s">
        <v>77</v>
      </c>
      <c r="B285" s="2">
        <v>2014</v>
      </c>
      <c r="C285" s="2" t="s">
        <v>62</v>
      </c>
      <c r="D285" s="2" t="s">
        <v>39</v>
      </c>
      <c r="E285" s="2" t="s">
        <v>82</v>
      </c>
      <c r="F285" s="2" t="s">
        <v>98</v>
      </c>
      <c r="G285" s="2">
        <f t="shared" si="4"/>
        <v>8.8394062078272606E-2</v>
      </c>
      <c r="H285" s="5">
        <v>3.8529411764705883</v>
      </c>
      <c r="I285" s="2">
        <v>34</v>
      </c>
      <c r="J285" s="12">
        <f>I285/Pondération!$I$74</f>
        <v>2.2941970310391364E-2</v>
      </c>
    </row>
    <row r="286" spans="1:10" x14ac:dyDescent="0.25">
      <c r="A286" s="2" t="s">
        <v>77</v>
      </c>
      <c r="B286" s="2">
        <v>2014</v>
      </c>
      <c r="C286" s="2" t="s">
        <v>63</v>
      </c>
      <c r="D286" s="2" t="s">
        <v>39</v>
      </c>
      <c r="E286" s="2" t="s">
        <v>82</v>
      </c>
      <c r="F286" s="2" t="s">
        <v>98</v>
      </c>
      <c r="G286" s="2">
        <f t="shared" si="4"/>
        <v>0.11201079622132254</v>
      </c>
      <c r="H286" s="5">
        <v>3.9523809523809526</v>
      </c>
      <c r="I286" s="2">
        <v>42</v>
      </c>
      <c r="J286" s="12">
        <f>I286/Pondération!$I$74</f>
        <v>2.8340080971659919E-2</v>
      </c>
    </row>
    <row r="287" spans="1:10" x14ac:dyDescent="0.25">
      <c r="A287" s="2" t="s">
        <v>77</v>
      </c>
      <c r="B287" s="2">
        <v>2014</v>
      </c>
      <c r="C287" s="2" t="s">
        <v>64</v>
      </c>
      <c r="D287" s="2" t="s">
        <v>39</v>
      </c>
      <c r="E287" s="2" t="s">
        <v>82</v>
      </c>
      <c r="F287" s="2" t="s">
        <v>98</v>
      </c>
      <c r="G287" s="2">
        <f t="shared" si="4"/>
        <v>0.2847503373819163</v>
      </c>
      <c r="H287" s="5">
        <v>3.8018018018018016</v>
      </c>
      <c r="I287" s="2">
        <v>111</v>
      </c>
      <c r="J287" s="12">
        <f>I287/Pondération!$I$74</f>
        <v>7.4898785425101214E-2</v>
      </c>
    </row>
    <row r="288" spans="1:10" x14ac:dyDescent="0.25">
      <c r="A288" s="2" t="s">
        <v>77</v>
      </c>
      <c r="B288" s="2">
        <v>2014</v>
      </c>
      <c r="C288" s="2" t="s">
        <v>65</v>
      </c>
      <c r="D288" s="2" t="s">
        <v>39</v>
      </c>
      <c r="E288" s="2" t="s">
        <v>82</v>
      </c>
      <c r="F288" s="2" t="s">
        <v>98</v>
      </c>
      <c r="G288" s="2">
        <f t="shared" si="4"/>
        <v>0.33805668016194329</v>
      </c>
      <c r="H288" s="5">
        <v>3.9140625</v>
      </c>
      <c r="I288" s="2">
        <v>128</v>
      </c>
      <c r="J288" s="12">
        <f>I288/Pondération!$I$74</f>
        <v>8.6369770580296892E-2</v>
      </c>
    </row>
    <row r="289" spans="1:10" x14ac:dyDescent="0.25">
      <c r="A289" s="2" t="s">
        <v>77</v>
      </c>
      <c r="B289" s="2">
        <v>2014</v>
      </c>
      <c r="C289" s="2" t="s">
        <v>66</v>
      </c>
      <c r="D289" s="2" t="s">
        <v>39</v>
      </c>
      <c r="E289" s="2" t="s">
        <v>82</v>
      </c>
      <c r="F289" s="2" t="s">
        <v>98</v>
      </c>
      <c r="G289" s="2">
        <f t="shared" si="4"/>
        <v>0.29284750337381921</v>
      </c>
      <c r="H289" s="5">
        <v>3.875</v>
      </c>
      <c r="I289" s="2">
        <v>112</v>
      </c>
      <c r="J289" s="12">
        <f>I289/Pondération!$I$74</f>
        <v>7.5573549257759789E-2</v>
      </c>
    </row>
    <row r="290" spans="1:10" x14ac:dyDescent="0.25">
      <c r="A290" s="2" t="s">
        <v>77</v>
      </c>
      <c r="B290" s="2">
        <v>2014</v>
      </c>
      <c r="C290" s="2" t="s">
        <v>67</v>
      </c>
      <c r="D290" s="2" t="s">
        <v>39</v>
      </c>
      <c r="E290" s="2" t="s">
        <v>82</v>
      </c>
      <c r="F290" s="2" t="s">
        <v>98</v>
      </c>
      <c r="G290" s="2">
        <f t="shared" si="4"/>
        <v>0.44939271255060731</v>
      </c>
      <c r="H290" s="5">
        <v>3.8720930232558142</v>
      </c>
      <c r="I290" s="2">
        <v>172</v>
      </c>
      <c r="J290" s="12">
        <f>I290/Pondération!$I$74</f>
        <v>0.11605937921727395</v>
      </c>
    </row>
    <row r="291" spans="1:10" x14ac:dyDescent="0.25">
      <c r="A291" s="2" t="s">
        <v>77</v>
      </c>
      <c r="B291" s="2">
        <v>2014</v>
      </c>
      <c r="C291" s="2" t="s">
        <v>68</v>
      </c>
      <c r="D291" s="2" t="s">
        <v>39</v>
      </c>
      <c r="E291" s="2" t="s">
        <v>82</v>
      </c>
      <c r="F291" s="2" t="s">
        <v>98</v>
      </c>
      <c r="G291" s="2">
        <f t="shared" si="4"/>
        <v>0.90553306342780027</v>
      </c>
      <c r="H291" s="5">
        <v>3.9011627906976742</v>
      </c>
      <c r="I291" s="2">
        <v>344</v>
      </c>
      <c r="J291" s="12">
        <f>I291/Pondération!$I$74</f>
        <v>0.23211875843454791</v>
      </c>
    </row>
    <row r="292" spans="1:10" x14ac:dyDescent="0.25">
      <c r="A292" s="2" t="s">
        <v>77</v>
      </c>
      <c r="B292" s="2">
        <v>2014</v>
      </c>
      <c r="C292" s="2" t="s">
        <v>69</v>
      </c>
      <c r="D292" s="2" t="s">
        <v>39</v>
      </c>
      <c r="E292" s="2" t="s">
        <v>82</v>
      </c>
      <c r="F292" s="2" t="s">
        <v>98</v>
      </c>
      <c r="G292" s="2">
        <f t="shared" si="4"/>
        <v>0.46288798920377866</v>
      </c>
      <c r="H292" s="5">
        <v>3.8539325842696628</v>
      </c>
      <c r="I292" s="2">
        <v>178</v>
      </c>
      <c r="J292" s="12">
        <f>I292/Pondération!$I$74</f>
        <v>0.12010796221322537</v>
      </c>
    </row>
    <row r="293" spans="1:10" x14ac:dyDescent="0.25">
      <c r="A293" s="2" t="s">
        <v>77</v>
      </c>
      <c r="B293" s="2">
        <v>2014</v>
      </c>
      <c r="C293" s="2" t="s">
        <v>70</v>
      </c>
      <c r="D293" s="2" t="s">
        <v>39</v>
      </c>
      <c r="E293" s="2" t="s">
        <v>82</v>
      </c>
      <c r="F293" s="2" t="s">
        <v>98</v>
      </c>
      <c r="G293" s="2">
        <f t="shared" si="4"/>
        <v>0.30904183535762481</v>
      </c>
      <c r="H293" s="5">
        <v>3.8813559322033897</v>
      </c>
      <c r="I293" s="2">
        <v>118</v>
      </c>
      <c r="J293" s="12">
        <f>I293/Pondération!$I$74</f>
        <v>7.9622132253711203E-2</v>
      </c>
    </row>
    <row r="294" spans="1:10" x14ac:dyDescent="0.25">
      <c r="A294" s="2" t="s">
        <v>77</v>
      </c>
      <c r="B294" s="2">
        <v>2014</v>
      </c>
      <c r="C294" s="2" t="s">
        <v>71</v>
      </c>
      <c r="D294" s="2" t="s">
        <v>39</v>
      </c>
      <c r="E294" s="2" t="s">
        <v>82</v>
      </c>
      <c r="F294" s="2" t="s">
        <v>98</v>
      </c>
      <c r="G294" s="2">
        <f t="shared" si="4"/>
        <v>0.29554655870445345</v>
      </c>
      <c r="H294" s="5">
        <v>3.9107142857142856</v>
      </c>
      <c r="I294" s="2">
        <v>112</v>
      </c>
      <c r="J294" s="12">
        <f>I294/Pondération!$I$74</f>
        <v>7.5573549257759789E-2</v>
      </c>
    </row>
    <row r="295" spans="1:10" x14ac:dyDescent="0.25">
      <c r="A295" s="2" t="s">
        <v>77</v>
      </c>
      <c r="B295" s="2">
        <v>2014</v>
      </c>
      <c r="C295" s="2" t="s">
        <v>72</v>
      </c>
      <c r="D295" s="2" t="s">
        <v>39</v>
      </c>
      <c r="E295" s="2" t="s">
        <v>82</v>
      </c>
      <c r="F295" s="2" t="s">
        <v>98</v>
      </c>
      <c r="G295" s="2">
        <f t="shared" si="4"/>
        <v>0.22402159244264508</v>
      </c>
      <c r="H295" s="5">
        <v>3.9058823529411764</v>
      </c>
      <c r="I295" s="2">
        <v>85</v>
      </c>
      <c r="J295" s="12">
        <f>I295/Pondération!$I$74</f>
        <v>5.7354925775978408E-2</v>
      </c>
    </row>
    <row r="296" spans="1:10" x14ac:dyDescent="0.25">
      <c r="A296" s="2" t="s">
        <v>77</v>
      </c>
      <c r="B296" s="2">
        <v>2015</v>
      </c>
      <c r="C296" s="2" t="s">
        <v>73</v>
      </c>
      <c r="D296" s="2" t="s">
        <v>39</v>
      </c>
      <c r="E296" s="2" t="s">
        <v>82</v>
      </c>
      <c r="F296" s="2" t="s">
        <v>98</v>
      </c>
      <c r="G296" s="2">
        <f t="shared" si="4"/>
        <v>7.8431372549019607E-2</v>
      </c>
      <c r="H296" s="5">
        <v>3.943661971830986</v>
      </c>
      <c r="I296" s="2">
        <v>71</v>
      </c>
      <c r="J296" s="12">
        <f>I296/Pondération!$H$74</f>
        <v>1.9887955182072828E-2</v>
      </c>
    </row>
    <row r="297" spans="1:10" x14ac:dyDescent="0.25">
      <c r="A297" s="2" t="s">
        <v>77</v>
      </c>
      <c r="B297" s="2">
        <v>2015</v>
      </c>
      <c r="C297" s="2" t="s">
        <v>74</v>
      </c>
      <c r="D297" s="2" t="s">
        <v>39</v>
      </c>
      <c r="E297" s="2" t="s">
        <v>82</v>
      </c>
      <c r="F297" s="2" t="s">
        <v>98</v>
      </c>
      <c r="G297" s="2">
        <f t="shared" si="4"/>
        <v>0.1226890756302521</v>
      </c>
      <c r="H297" s="5">
        <v>4.0555555555555554</v>
      </c>
      <c r="I297" s="2">
        <v>108</v>
      </c>
      <c r="J297" s="12">
        <f>I297/Pondération!$H$74</f>
        <v>3.0252100840336135E-2</v>
      </c>
    </row>
    <row r="298" spans="1:10" x14ac:dyDescent="0.25">
      <c r="A298" s="2" t="s">
        <v>77</v>
      </c>
      <c r="B298" s="2">
        <v>2015</v>
      </c>
      <c r="C298" s="2" t="s">
        <v>75</v>
      </c>
      <c r="D298" s="2" t="s">
        <v>39</v>
      </c>
      <c r="E298" s="2" t="s">
        <v>82</v>
      </c>
      <c r="F298" s="2" t="s">
        <v>98</v>
      </c>
      <c r="G298" s="2">
        <f t="shared" si="4"/>
        <v>0.12633053221288515</v>
      </c>
      <c r="H298" s="5">
        <v>3.8879310344827585</v>
      </c>
      <c r="I298" s="2">
        <v>116</v>
      </c>
      <c r="J298" s="12">
        <f>I298/Pondération!$H$74</f>
        <v>3.2492997198879554E-2</v>
      </c>
    </row>
    <row r="299" spans="1:10" x14ac:dyDescent="0.25">
      <c r="A299" s="2" t="s">
        <v>77</v>
      </c>
      <c r="B299" s="2">
        <v>2015</v>
      </c>
      <c r="C299" s="2" t="s">
        <v>76</v>
      </c>
      <c r="D299" s="2" t="s">
        <v>39</v>
      </c>
      <c r="E299" s="2" t="s">
        <v>82</v>
      </c>
      <c r="F299" s="2" t="s">
        <v>98</v>
      </c>
      <c r="G299" s="2">
        <f t="shared" si="4"/>
        <v>0.21932773109243697</v>
      </c>
      <c r="H299" s="5">
        <v>3.8762376237623761</v>
      </c>
      <c r="I299" s="2">
        <v>202</v>
      </c>
      <c r="J299" s="12">
        <f>I299/Pondération!$H$74</f>
        <v>5.6582633053221289E-2</v>
      </c>
    </row>
    <row r="300" spans="1:10" x14ac:dyDescent="0.25">
      <c r="A300" s="2" t="s">
        <v>77</v>
      </c>
      <c r="B300" s="2">
        <v>2015</v>
      </c>
      <c r="C300" s="2" t="s">
        <v>7</v>
      </c>
      <c r="D300" s="2" t="s">
        <v>39</v>
      </c>
      <c r="E300" s="2" t="s">
        <v>82</v>
      </c>
      <c r="F300" s="2" t="s">
        <v>98</v>
      </c>
      <c r="G300" s="2">
        <f t="shared" si="4"/>
        <v>0.36638655462184871</v>
      </c>
      <c r="H300" s="5">
        <v>3.8470588235294119</v>
      </c>
      <c r="I300" s="2">
        <v>340</v>
      </c>
      <c r="J300" s="12">
        <f>I300/Pondération!$H$74</f>
        <v>9.5238095238095233E-2</v>
      </c>
    </row>
    <row r="301" spans="1:10" x14ac:dyDescent="0.25">
      <c r="A301" s="2" t="s">
        <v>77</v>
      </c>
      <c r="B301" s="2">
        <v>2015</v>
      </c>
      <c r="C301" s="2" t="s">
        <v>11</v>
      </c>
      <c r="D301" s="2" t="s">
        <v>39</v>
      </c>
      <c r="E301" s="2" t="s">
        <v>82</v>
      </c>
      <c r="F301" s="2" t="s">
        <v>98</v>
      </c>
      <c r="G301" s="2">
        <f t="shared" si="4"/>
        <v>0.25630252100840339</v>
      </c>
      <c r="H301" s="5">
        <v>3.8771186440677967</v>
      </c>
      <c r="I301" s="2">
        <v>236</v>
      </c>
      <c r="J301" s="12">
        <f>I301/Pondération!$H$74</f>
        <v>6.6106442577030813E-2</v>
      </c>
    </row>
    <row r="302" spans="1:10" x14ac:dyDescent="0.25">
      <c r="A302" s="2" t="s">
        <v>77</v>
      </c>
      <c r="B302" s="2">
        <v>2015</v>
      </c>
      <c r="C302" s="2" t="s">
        <v>12</v>
      </c>
      <c r="D302" s="2" t="s">
        <v>39</v>
      </c>
      <c r="E302" s="2" t="s">
        <v>82</v>
      </c>
      <c r="F302" s="2" t="s">
        <v>98</v>
      </c>
      <c r="G302" s="2">
        <f t="shared" si="4"/>
        <v>0.58991596638655464</v>
      </c>
      <c r="H302" s="5">
        <v>3.9144981412639406</v>
      </c>
      <c r="I302" s="2">
        <v>538</v>
      </c>
      <c r="J302" s="12">
        <f>I302/Pondération!$H$74</f>
        <v>0.15070028011204481</v>
      </c>
    </row>
    <row r="303" spans="1:10" x14ac:dyDescent="0.25">
      <c r="A303" s="2" t="s">
        <v>77</v>
      </c>
      <c r="B303" s="2">
        <v>2015</v>
      </c>
      <c r="C303" s="2" t="s">
        <v>13</v>
      </c>
      <c r="D303" s="2" t="s">
        <v>39</v>
      </c>
      <c r="E303" s="2" t="s">
        <v>82</v>
      </c>
      <c r="F303" s="2" t="s">
        <v>98</v>
      </c>
      <c r="G303" s="2">
        <f t="shared" si="4"/>
        <v>0.96106442577030815</v>
      </c>
      <c r="H303" s="5">
        <v>3.8768361581920905</v>
      </c>
      <c r="I303" s="2">
        <v>885</v>
      </c>
      <c r="J303" s="12">
        <f>I303/Pondération!$H$74</f>
        <v>0.24789915966386555</v>
      </c>
    </row>
    <row r="304" spans="1:10" x14ac:dyDescent="0.25">
      <c r="A304" s="2" t="s">
        <v>77</v>
      </c>
      <c r="B304" s="2">
        <v>2015</v>
      </c>
      <c r="C304" s="2" t="s">
        <v>14</v>
      </c>
      <c r="D304" s="2" t="s">
        <v>39</v>
      </c>
      <c r="E304" s="2" t="s">
        <v>82</v>
      </c>
      <c r="F304" s="2" t="s">
        <v>98</v>
      </c>
      <c r="G304" s="2">
        <f t="shared" si="4"/>
        <v>0.43193277310924366</v>
      </c>
      <c r="H304" s="5">
        <v>3.9037974683544303</v>
      </c>
      <c r="I304" s="2">
        <v>395</v>
      </c>
      <c r="J304" s="12">
        <f>I304/Pondération!$H$74</f>
        <v>0.11064425770308123</v>
      </c>
    </row>
    <row r="305" spans="1:10" x14ac:dyDescent="0.25">
      <c r="A305" s="2" t="s">
        <v>77</v>
      </c>
      <c r="B305" s="2">
        <v>2015</v>
      </c>
      <c r="C305" s="2" t="s">
        <v>15</v>
      </c>
      <c r="D305" s="2" t="s">
        <v>39</v>
      </c>
      <c r="E305" s="2" t="s">
        <v>82</v>
      </c>
      <c r="F305" s="2" t="s">
        <v>98</v>
      </c>
      <c r="G305" s="2">
        <f t="shared" si="4"/>
        <v>0.34481792717086834</v>
      </c>
      <c r="H305" s="5">
        <v>3.9455128205128207</v>
      </c>
      <c r="I305" s="2">
        <v>312</v>
      </c>
      <c r="J305" s="12">
        <f>I305/Pondération!$H$74</f>
        <v>8.7394957983193272E-2</v>
      </c>
    </row>
    <row r="306" spans="1:10" x14ac:dyDescent="0.25">
      <c r="A306" s="2" t="s">
        <v>77</v>
      </c>
      <c r="B306" s="2">
        <v>2015</v>
      </c>
      <c r="C306" s="2" t="s">
        <v>16</v>
      </c>
      <c r="D306" s="2" t="s">
        <v>39</v>
      </c>
      <c r="E306" s="2" t="s">
        <v>82</v>
      </c>
      <c r="F306" s="2" t="s">
        <v>98</v>
      </c>
      <c r="G306" s="2">
        <f t="shared" si="4"/>
        <v>0.21232492997198879</v>
      </c>
      <c r="H306" s="5">
        <v>3.9685863874345548</v>
      </c>
      <c r="I306" s="2">
        <v>191</v>
      </c>
      <c r="J306" s="12">
        <f>I306/Pondération!$H$74</f>
        <v>5.3501400560224087E-2</v>
      </c>
    </row>
    <row r="307" spans="1:10" x14ac:dyDescent="0.25">
      <c r="A307" s="2" t="s">
        <v>77</v>
      </c>
      <c r="B307" s="2">
        <v>2015</v>
      </c>
      <c r="C307" s="2" t="s">
        <v>17</v>
      </c>
      <c r="D307" s="2" t="s">
        <v>39</v>
      </c>
      <c r="E307" s="2" t="s">
        <v>82</v>
      </c>
      <c r="F307" s="2" t="s">
        <v>98</v>
      </c>
      <c r="G307" s="2">
        <f t="shared" si="4"/>
        <v>0.18459383753501399</v>
      </c>
      <c r="H307" s="5">
        <v>3.7443181818181817</v>
      </c>
      <c r="I307" s="2">
        <v>176</v>
      </c>
      <c r="J307" s="12">
        <f>I307/Pondération!$H$74</f>
        <v>4.929971988795518E-2</v>
      </c>
    </row>
    <row r="308" spans="1:10" x14ac:dyDescent="0.25">
      <c r="A308" s="2" t="s">
        <v>77</v>
      </c>
      <c r="B308" s="2">
        <v>2016</v>
      </c>
      <c r="C308" s="2" t="s">
        <v>18</v>
      </c>
      <c r="D308" s="2" t="s">
        <v>39</v>
      </c>
      <c r="E308" s="2" t="s">
        <v>82</v>
      </c>
      <c r="F308" s="2" t="s">
        <v>98</v>
      </c>
      <c r="G308" s="2">
        <f t="shared" si="4"/>
        <v>0.20041556479032868</v>
      </c>
      <c r="H308" s="5">
        <v>3.915129151291513</v>
      </c>
      <c r="I308" s="2">
        <v>271</v>
      </c>
      <c r="J308" s="12">
        <f>I308/Pondération!$G$74</f>
        <v>5.1190026445032115E-2</v>
      </c>
    </row>
    <row r="309" spans="1:10" x14ac:dyDescent="0.25">
      <c r="A309" s="2" t="s">
        <v>77</v>
      </c>
      <c r="B309" s="2">
        <v>2016</v>
      </c>
      <c r="C309" s="2" t="s">
        <v>19</v>
      </c>
      <c r="D309" s="2" t="s">
        <v>39</v>
      </c>
      <c r="E309" s="2" t="s">
        <v>82</v>
      </c>
      <c r="F309" s="2" t="s">
        <v>98</v>
      </c>
      <c r="G309" s="2">
        <f t="shared" si="4"/>
        <v>0.2066490366452588</v>
      </c>
      <c r="H309" s="5">
        <v>3.978181818181818</v>
      </c>
      <c r="I309" s="2">
        <v>275</v>
      </c>
      <c r="J309" s="12">
        <f>I309/Pondération!$G$74</f>
        <v>5.1945598791084249E-2</v>
      </c>
    </row>
    <row r="310" spans="1:10" x14ac:dyDescent="0.25">
      <c r="A310" s="2" t="s">
        <v>77</v>
      </c>
      <c r="B310" s="2">
        <v>2016</v>
      </c>
      <c r="C310" s="2" t="s">
        <v>20</v>
      </c>
      <c r="D310" s="2" t="s">
        <v>39</v>
      </c>
      <c r="E310" s="2" t="s">
        <v>82</v>
      </c>
      <c r="F310" s="2" t="s">
        <v>98</v>
      </c>
      <c r="G310" s="2">
        <f t="shared" si="4"/>
        <v>0.24159425765017001</v>
      </c>
      <c r="H310" s="5">
        <v>3.9844236760124612</v>
      </c>
      <c r="I310" s="2">
        <v>321</v>
      </c>
      <c r="J310" s="12">
        <f>I310/Pondération!$G$74</f>
        <v>6.0634680770683791E-2</v>
      </c>
    </row>
    <row r="311" spans="1:10" x14ac:dyDescent="0.25">
      <c r="A311" s="2" t="s">
        <v>77</v>
      </c>
      <c r="B311" s="2">
        <v>2016</v>
      </c>
      <c r="C311" s="2" t="s">
        <v>21</v>
      </c>
      <c r="D311" s="2" t="s">
        <v>39</v>
      </c>
      <c r="E311" s="2" t="s">
        <v>82</v>
      </c>
      <c r="F311" s="2" t="s">
        <v>98</v>
      </c>
      <c r="G311" s="2">
        <f t="shared" si="4"/>
        <v>0.31280695126558367</v>
      </c>
      <c r="H311" s="5">
        <v>3.971223021582734</v>
      </c>
      <c r="I311" s="2">
        <v>417</v>
      </c>
      <c r="J311" s="12">
        <f>I311/Pondération!$G$74</f>
        <v>7.8768417075935016E-2</v>
      </c>
    </row>
    <row r="312" spans="1:10" x14ac:dyDescent="0.25">
      <c r="A312" s="2" t="s">
        <v>77</v>
      </c>
      <c r="B312" s="2">
        <v>2016</v>
      </c>
      <c r="C312" s="2" t="s">
        <v>22</v>
      </c>
      <c r="D312" s="2" t="s">
        <v>39</v>
      </c>
      <c r="E312" s="2" t="s">
        <v>82</v>
      </c>
      <c r="F312" s="2" t="s">
        <v>98</v>
      </c>
      <c r="G312" s="2">
        <f t="shared" si="4"/>
        <v>0.35908575746127691</v>
      </c>
      <c r="H312" s="5">
        <v>3.9195876288659792</v>
      </c>
      <c r="I312" s="2">
        <v>485</v>
      </c>
      <c r="J312" s="12">
        <f>I312/Pondération!$G$74</f>
        <v>9.1613146958821307E-2</v>
      </c>
    </row>
    <row r="313" spans="1:10" x14ac:dyDescent="0.25">
      <c r="A313" s="2" t="s">
        <v>77</v>
      </c>
      <c r="B313" s="2">
        <v>2016</v>
      </c>
      <c r="C313" s="2" t="s">
        <v>23</v>
      </c>
      <c r="D313" s="2" t="s">
        <v>39</v>
      </c>
      <c r="E313" s="2" t="s">
        <v>82</v>
      </c>
      <c r="F313" s="2" t="s">
        <v>98</v>
      </c>
      <c r="G313" s="2">
        <f t="shared" si="4"/>
        <v>0.23743860974688324</v>
      </c>
      <c r="H313" s="5">
        <v>3.9528301886792452</v>
      </c>
      <c r="I313" s="2">
        <v>318</v>
      </c>
      <c r="J313" s="12">
        <f>I313/Pondération!$G$74</f>
        <v>6.0068001511144692E-2</v>
      </c>
    </row>
    <row r="314" spans="1:10" x14ac:dyDescent="0.25">
      <c r="A314" s="2" t="s">
        <v>77</v>
      </c>
      <c r="B314" s="2">
        <v>2016</v>
      </c>
      <c r="C314" s="2" t="s">
        <v>24</v>
      </c>
      <c r="D314" s="2" t="s">
        <v>39</v>
      </c>
      <c r="E314" s="2" t="s">
        <v>82</v>
      </c>
      <c r="F314" s="2" t="s">
        <v>98</v>
      </c>
      <c r="G314" s="2">
        <f t="shared" si="4"/>
        <v>0.51114469210426905</v>
      </c>
      <c r="H314" s="5">
        <v>3.967741935483871</v>
      </c>
      <c r="I314" s="2">
        <v>682</v>
      </c>
      <c r="J314" s="12">
        <f>I314/Pondération!$G$74</f>
        <v>0.12882508500188894</v>
      </c>
    </row>
    <row r="315" spans="1:10" x14ac:dyDescent="0.25">
      <c r="A315" s="2" t="s">
        <v>77</v>
      </c>
      <c r="B315" s="2">
        <v>2016</v>
      </c>
      <c r="C315" s="2" t="s">
        <v>25</v>
      </c>
      <c r="D315" s="2" t="s">
        <v>39</v>
      </c>
      <c r="E315" s="2" t="s">
        <v>82</v>
      </c>
      <c r="F315" s="2" t="s">
        <v>98</v>
      </c>
      <c r="G315" s="2">
        <f t="shared" si="4"/>
        <v>0.91046467699282208</v>
      </c>
      <c r="H315" s="5">
        <v>3.9411283728536386</v>
      </c>
      <c r="I315" s="2">
        <v>1223</v>
      </c>
      <c r="J315" s="12">
        <f>I315/Pondération!$G$74</f>
        <v>0.23101624480544011</v>
      </c>
    </row>
    <row r="316" spans="1:10" x14ac:dyDescent="0.25">
      <c r="A316" s="2" t="s">
        <v>77</v>
      </c>
      <c r="B316" s="2">
        <v>2016</v>
      </c>
      <c r="C316" s="2" t="s">
        <v>26</v>
      </c>
      <c r="D316" s="2" t="s">
        <v>39</v>
      </c>
      <c r="E316" s="2" t="s">
        <v>82</v>
      </c>
      <c r="F316" s="2" t="s">
        <v>98</v>
      </c>
      <c r="G316" s="2">
        <f t="shared" si="4"/>
        <v>0.37608613524744994</v>
      </c>
      <c r="H316" s="5">
        <v>3.9425742574257425</v>
      </c>
      <c r="I316" s="2">
        <v>505</v>
      </c>
      <c r="J316" s="12">
        <f>I316/Pondération!$G$74</f>
        <v>9.5391008689081985E-2</v>
      </c>
    </row>
    <row r="317" spans="1:10" x14ac:dyDescent="0.25">
      <c r="A317" s="2" t="s">
        <v>77</v>
      </c>
      <c r="B317" s="2">
        <v>2016</v>
      </c>
      <c r="C317" s="2" t="s">
        <v>27</v>
      </c>
      <c r="D317" s="2" t="s">
        <v>39</v>
      </c>
      <c r="E317" s="2" t="s">
        <v>82</v>
      </c>
      <c r="F317" s="2" t="s">
        <v>98</v>
      </c>
      <c r="G317" s="2">
        <f t="shared" si="4"/>
        <v>0.28069512655836798</v>
      </c>
      <c r="H317" s="5">
        <v>3.9626666666666668</v>
      </c>
      <c r="I317" s="2">
        <v>375</v>
      </c>
      <c r="J317" s="12">
        <f>I317/Pondération!$G$74</f>
        <v>7.0834907442387615E-2</v>
      </c>
    </row>
    <row r="318" spans="1:10" x14ac:dyDescent="0.25">
      <c r="A318" s="2" t="s">
        <v>77</v>
      </c>
      <c r="B318" s="2">
        <v>2016</v>
      </c>
      <c r="C318" s="2" t="s">
        <v>28</v>
      </c>
      <c r="D318" s="2" t="s">
        <v>39</v>
      </c>
      <c r="E318" s="2" t="s">
        <v>82</v>
      </c>
      <c r="F318" s="2" t="s">
        <v>98</v>
      </c>
      <c r="G318" s="2">
        <f t="shared" si="4"/>
        <v>0.19455987910842462</v>
      </c>
      <c r="H318" s="5">
        <v>3.9615384615384617</v>
      </c>
      <c r="I318" s="2">
        <v>260</v>
      </c>
      <c r="J318" s="12">
        <f>I318/Pondération!$G$74</f>
        <v>4.911220249338874E-2</v>
      </c>
    </row>
    <row r="319" spans="1:10" x14ac:dyDescent="0.25">
      <c r="A319" s="2" t="s">
        <v>77</v>
      </c>
      <c r="B319" s="2">
        <v>2016</v>
      </c>
      <c r="C319" s="2" t="s">
        <v>29</v>
      </c>
      <c r="D319" s="2" t="s">
        <v>39</v>
      </c>
      <c r="E319" s="2" t="s">
        <v>82</v>
      </c>
      <c r="F319" s="2" t="s">
        <v>98</v>
      </c>
      <c r="G319" s="2">
        <f t="shared" si="4"/>
        <v>0.12353607857952401</v>
      </c>
      <c r="H319" s="5">
        <v>4.0370370370370372</v>
      </c>
      <c r="I319" s="2">
        <v>162</v>
      </c>
      <c r="J319" s="12">
        <f>I319/Pondération!$G$74</f>
        <v>3.0600680015111448E-2</v>
      </c>
    </row>
    <row r="320" spans="1:10" x14ac:dyDescent="0.25">
      <c r="A320" s="2" t="s">
        <v>77</v>
      </c>
      <c r="B320" s="2">
        <v>2017</v>
      </c>
      <c r="C320" s="2" t="s">
        <v>30</v>
      </c>
      <c r="D320" s="2" t="s">
        <v>39</v>
      </c>
      <c r="E320" s="2" t="s">
        <v>82</v>
      </c>
      <c r="F320" s="2" t="s">
        <v>98</v>
      </c>
      <c r="G320" s="2">
        <f t="shared" si="4"/>
        <v>0.4587046939988117</v>
      </c>
      <c r="H320" s="5">
        <v>3.9793814432989691</v>
      </c>
      <c r="I320" s="2">
        <v>194</v>
      </c>
      <c r="J320" s="12">
        <f>I320/Pondération!$F$74</f>
        <v>0.11527035056446822</v>
      </c>
    </row>
    <row r="321" spans="1:10" x14ac:dyDescent="0.25">
      <c r="A321" s="2" t="s">
        <v>77</v>
      </c>
      <c r="B321" s="2">
        <v>2017</v>
      </c>
      <c r="C321" s="2" t="s">
        <v>31</v>
      </c>
      <c r="D321" s="2" t="s">
        <v>39</v>
      </c>
      <c r="E321" s="2" t="s">
        <v>82</v>
      </c>
      <c r="F321" s="2" t="s">
        <v>98</v>
      </c>
      <c r="G321" s="2">
        <f t="shared" si="4"/>
        <v>0.66131907308377902</v>
      </c>
      <c r="H321" s="5">
        <v>4.0035971223021587</v>
      </c>
      <c r="I321" s="2">
        <v>278</v>
      </c>
      <c r="J321" s="12">
        <f>I321/Pondération!$F$74</f>
        <v>0.16518122400475341</v>
      </c>
    </row>
    <row r="322" spans="1:10" x14ac:dyDescent="0.25">
      <c r="A322" s="2" t="s">
        <v>77</v>
      </c>
      <c r="B322" s="2">
        <v>2017</v>
      </c>
      <c r="C322" s="2" t="s">
        <v>32</v>
      </c>
      <c r="D322" s="2" t="s">
        <v>39</v>
      </c>
      <c r="E322" s="2" t="s">
        <v>82</v>
      </c>
      <c r="F322" s="2" t="s">
        <v>98</v>
      </c>
      <c r="G322" s="2">
        <f t="shared" si="4"/>
        <v>0.58823529411764697</v>
      </c>
      <c r="H322" s="5">
        <v>4.0408163265306118</v>
      </c>
      <c r="I322" s="2">
        <v>245</v>
      </c>
      <c r="J322" s="12">
        <f>I322/Pondération!$F$74</f>
        <v>0.14557338086749852</v>
      </c>
    </row>
    <row r="323" spans="1:10" x14ac:dyDescent="0.25">
      <c r="A323" s="2" t="s">
        <v>77</v>
      </c>
      <c r="B323" s="2">
        <v>2017</v>
      </c>
      <c r="C323" s="2" t="s">
        <v>33</v>
      </c>
      <c r="D323" s="2" t="s">
        <v>39</v>
      </c>
      <c r="E323" s="2" t="s">
        <v>82</v>
      </c>
      <c r="F323" s="2" t="s">
        <v>98</v>
      </c>
      <c r="G323" s="2">
        <f t="shared" ref="G323:G386" si="5">H323*J323</f>
        <v>0.946524064171123</v>
      </c>
      <c r="H323" s="5">
        <v>3.9140049140049138</v>
      </c>
      <c r="I323" s="2">
        <v>407</v>
      </c>
      <c r="J323" s="12">
        <f>I323/Pondération!$F$74</f>
        <v>0.24183006535947713</v>
      </c>
    </row>
    <row r="324" spans="1:10" x14ac:dyDescent="0.25">
      <c r="A324" s="2" t="s">
        <v>77</v>
      </c>
      <c r="B324" s="2">
        <v>2017</v>
      </c>
      <c r="C324" s="2" t="s">
        <v>34</v>
      </c>
      <c r="D324" s="2" t="s">
        <v>39</v>
      </c>
      <c r="E324" s="2" t="s">
        <v>82</v>
      </c>
      <c r="F324" s="2" t="s">
        <v>98</v>
      </c>
      <c r="G324" s="2">
        <f t="shared" si="5"/>
        <v>0.9673202614379085</v>
      </c>
      <c r="H324" s="5">
        <v>3.9610705596107056</v>
      </c>
      <c r="I324" s="2">
        <v>411</v>
      </c>
      <c r="J324" s="12">
        <f>I324/Pondération!$F$74</f>
        <v>0.24420677361853832</v>
      </c>
    </row>
    <row r="325" spans="1:10" x14ac:dyDescent="0.25">
      <c r="A325" s="2" t="s">
        <v>77</v>
      </c>
      <c r="B325" s="2">
        <v>2017</v>
      </c>
      <c r="C325" s="2" t="s">
        <v>80</v>
      </c>
      <c r="D325" s="2" t="s">
        <v>39</v>
      </c>
      <c r="E325" s="2" t="s">
        <v>82</v>
      </c>
      <c r="F325" s="2" t="s">
        <v>98</v>
      </c>
      <c r="G325" s="2">
        <f t="shared" si="5"/>
        <v>0.34402852049910876</v>
      </c>
      <c r="H325" s="5">
        <v>3.9121621621621623</v>
      </c>
      <c r="I325" s="2">
        <v>148</v>
      </c>
      <c r="J325" s="12">
        <f>I325/Pondération!$F$74</f>
        <v>8.7938205585264412E-2</v>
      </c>
    </row>
    <row r="326" spans="1:10" x14ac:dyDescent="0.25">
      <c r="A326" s="2" t="s">
        <v>77</v>
      </c>
      <c r="B326" s="2">
        <v>2013</v>
      </c>
      <c r="C326" s="2" t="s">
        <v>49</v>
      </c>
      <c r="D326" s="2" t="s">
        <v>40</v>
      </c>
      <c r="E326" s="2" t="s">
        <v>82</v>
      </c>
      <c r="F326" s="2" t="s">
        <v>98</v>
      </c>
      <c r="G326" s="2">
        <f t="shared" si="5"/>
        <v>0.19527896995708152</v>
      </c>
      <c r="H326" s="5">
        <v>3.9565217391304346</v>
      </c>
      <c r="I326" s="2">
        <v>46</v>
      </c>
      <c r="J326" s="12">
        <f>I326/Pondération!$J$87</f>
        <v>4.9356223175965663E-2</v>
      </c>
    </row>
    <row r="327" spans="1:10" x14ac:dyDescent="0.25">
      <c r="A327" s="2" t="s">
        <v>77</v>
      </c>
      <c r="B327" s="2">
        <v>2013</v>
      </c>
      <c r="C327" s="2" t="s">
        <v>50</v>
      </c>
      <c r="D327" s="2" t="s">
        <v>40</v>
      </c>
      <c r="E327" s="2" t="s">
        <v>82</v>
      </c>
      <c r="F327" s="2" t="s">
        <v>98</v>
      </c>
      <c r="G327" s="2">
        <f t="shared" si="5"/>
        <v>0.18025751072961374</v>
      </c>
      <c r="H327" s="5">
        <v>4</v>
      </c>
      <c r="I327" s="2">
        <v>42</v>
      </c>
      <c r="J327" s="12">
        <f>I327/Pondération!$J$87</f>
        <v>4.5064377682403435E-2</v>
      </c>
    </row>
    <row r="328" spans="1:10" x14ac:dyDescent="0.25">
      <c r="A328" s="2" t="s">
        <v>77</v>
      </c>
      <c r="B328" s="2">
        <v>2013</v>
      </c>
      <c r="C328" s="2" t="s">
        <v>51</v>
      </c>
      <c r="D328" s="2" t="s">
        <v>40</v>
      </c>
      <c r="E328" s="2" t="s">
        <v>82</v>
      </c>
      <c r="F328" s="2" t="s">
        <v>98</v>
      </c>
      <c r="G328" s="2">
        <f t="shared" si="5"/>
        <v>0.19742489270386265</v>
      </c>
      <c r="H328" s="5">
        <v>4</v>
      </c>
      <c r="I328" s="2">
        <v>46</v>
      </c>
      <c r="J328" s="12">
        <f>I328/Pondération!$J$87</f>
        <v>4.9356223175965663E-2</v>
      </c>
    </row>
    <row r="329" spans="1:10" x14ac:dyDescent="0.25">
      <c r="A329" s="2" t="s">
        <v>77</v>
      </c>
      <c r="B329" s="2">
        <v>2013</v>
      </c>
      <c r="C329" s="2" t="s">
        <v>52</v>
      </c>
      <c r="D329" s="2" t="s">
        <v>40</v>
      </c>
      <c r="E329" s="2" t="s">
        <v>82</v>
      </c>
      <c r="F329" s="2" t="s">
        <v>98</v>
      </c>
      <c r="G329" s="2">
        <f t="shared" si="5"/>
        <v>0.3927038626609442</v>
      </c>
      <c r="H329" s="5">
        <v>3.935483870967742</v>
      </c>
      <c r="I329" s="2">
        <v>93</v>
      </c>
      <c r="J329" s="12">
        <f>I329/Pondération!$J$87</f>
        <v>9.9785407725321892E-2</v>
      </c>
    </row>
    <row r="330" spans="1:10" x14ac:dyDescent="0.25">
      <c r="A330" s="2" t="s">
        <v>77</v>
      </c>
      <c r="B330" s="2">
        <v>2013</v>
      </c>
      <c r="C330" s="2" t="s">
        <v>53</v>
      </c>
      <c r="D330" s="2" t="s">
        <v>40</v>
      </c>
      <c r="E330" s="2" t="s">
        <v>82</v>
      </c>
      <c r="F330" s="2" t="s">
        <v>98</v>
      </c>
      <c r="G330" s="2">
        <f t="shared" si="5"/>
        <v>0.44635193133047213</v>
      </c>
      <c r="H330" s="5">
        <v>3.961904761904762</v>
      </c>
      <c r="I330" s="2">
        <v>105</v>
      </c>
      <c r="J330" s="12">
        <f>I330/Pondération!$J$87</f>
        <v>0.11266094420600858</v>
      </c>
    </row>
    <row r="331" spans="1:10" x14ac:dyDescent="0.25">
      <c r="A331" s="2" t="s">
        <v>77</v>
      </c>
      <c r="B331" s="2">
        <v>2013</v>
      </c>
      <c r="C331" s="2" t="s">
        <v>54</v>
      </c>
      <c r="D331" s="2" t="s">
        <v>40</v>
      </c>
      <c r="E331" s="2" t="s">
        <v>82</v>
      </c>
      <c r="F331" s="2" t="s">
        <v>98</v>
      </c>
      <c r="G331" s="2">
        <f t="shared" si="5"/>
        <v>0.28648068669527899</v>
      </c>
      <c r="H331" s="5">
        <v>3.9264705882352939</v>
      </c>
      <c r="I331" s="2">
        <v>68</v>
      </c>
      <c r="J331" s="12">
        <f>I331/Pondération!$J$87</f>
        <v>7.2961373390557943E-2</v>
      </c>
    </row>
    <row r="332" spans="1:10" x14ac:dyDescent="0.25">
      <c r="A332" s="2" t="s">
        <v>77</v>
      </c>
      <c r="B332" s="2">
        <v>2013</v>
      </c>
      <c r="C332" s="2" t="s">
        <v>55</v>
      </c>
      <c r="D332" s="2" t="s">
        <v>40</v>
      </c>
      <c r="E332" s="2" t="s">
        <v>82</v>
      </c>
      <c r="F332" s="2" t="s">
        <v>98</v>
      </c>
      <c r="G332" s="2">
        <f t="shared" si="5"/>
        <v>0.63519313304721037</v>
      </c>
      <c r="H332" s="5">
        <v>3.9731543624161074</v>
      </c>
      <c r="I332" s="2">
        <v>149</v>
      </c>
      <c r="J332" s="12">
        <f>I332/Pondération!$J$87</f>
        <v>0.15987124463519314</v>
      </c>
    </row>
    <row r="333" spans="1:10" x14ac:dyDescent="0.25">
      <c r="A333" s="2" t="s">
        <v>77</v>
      </c>
      <c r="B333" s="2">
        <v>2013</v>
      </c>
      <c r="C333" s="2" t="s">
        <v>56</v>
      </c>
      <c r="D333" s="2" t="s">
        <v>40</v>
      </c>
      <c r="E333" s="2" t="s">
        <v>82</v>
      </c>
      <c r="F333" s="2" t="s">
        <v>98</v>
      </c>
      <c r="G333" s="2">
        <f t="shared" si="5"/>
        <v>0.68025751072961371</v>
      </c>
      <c r="H333" s="5">
        <v>3.9624999999999999</v>
      </c>
      <c r="I333" s="2">
        <v>160</v>
      </c>
      <c r="J333" s="12">
        <f>I333/Pondération!$J$87</f>
        <v>0.17167381974248927</v>
      </c>
    </row>
    <row r="334" spans="1:10" x14ac:dyDescent="0.25">
      <c r="A334" s="2" t="s">
        <v>77</v>
      </c>
      <c r="B334" s="2">
        <v>2013</v>
      </c>
      <c r="C334" s="2" t="s">
        <v>57</v>
      </c>
      <c r="D334" s="2" t="s">
        <v>40</v>
      </c>
      <c r="E334" s="2" t="s">
        <v>82</v>
      </c>
      <c r="F334" s="2" t="s">
        <v>98</v>
      </c>
      <c r="G334" s="2">
        <f t="shared" si="5"/>
        <v>0.27038626609442062</v>
      </c>
      <c r="H334" s="5">
        <v>4</v>
      </c>
      <c r="I334" s="2">
        <v>63</v>
      </c>
      <c r="J334" s="12">
        <f>I334/Pondération!$J$87</f>
        <v>6.7596566523605156E-2</v>
      </c>
    </row>
    <row r="335" spans="1:10" x14ac:dyDescent="0.25">
      <c r="A335" s="2" t="s">
        <v>77</v>
      </c>
      <c r="B335" s="2">
        <v>2013</v>
      </c>
      <c r="C335" s="2" t="s">
        <v>58</v>
      </c>
      <c r="D335" s="2" t="s">
        <v>40</v>
      </c>
      <c r="E335" s="2" t="s">
        <v>82</v>
      </c>
      <c r="F335" s="2" t="s">
        <v>98</v>
      </c>
      <c r="G335" s="2">
        <f t="shared" si="5"/>
        <v>0.27253218884120173</v>
      </c>
      <c r="H335" s="5">
        <v>3.96875</v>
      </c>
      <c r="I335" s="2">
        <v>64</v>
      </c>
      <c r="J335" s="12">
        <f>I335/Pondération!$J$87</f>
        <v>6.8669527896995708E-2</v>
      </c>
    </row>
    <row r="336" spans="1:10" x14ac:dyDescent="0.25">
      <c r="A336" s="2" t="s">
        <v>77</v>
      </c>
      <c r="B336" s="2">
        <v>2013</v>
      </c>
      <c r="C336" s="2" t="s">
        <v>59</v>
      </c>
      <c r="D336" s="2" t="s">
        <v>40</v>
      </c>
      <c r="E336" s="2" t="s">
        <v>82</v>
      </c>
      <c r="F336" s="2" t="s">
        <v>98</v>
      </c>
      <c r="G336" s="2">
        <f t="shared" si="5"/>
        <v>0.18454935622317598</v>
      </c>
      <c r="H336" s="5">
        <v>4</v>
      </c>
      <c r="I336" s="2">
        <v>43</v>
      </c>
      <c r="J336" s="12">
        <f>I336/Pondération!$J$87</f>
        <v>4.6137339055793994E-2</v>
      </c>
    </row>
    <row r="337" spans="1:10" x14ac:dyDescent="0.25">
      <c r="A337" s="2" t="s">
        <v>77</v>
      </c>
      <c r="B337" s="2">
        <v>2013</v>
      </c>
      <c r="C337" s="2" t="s">
        <v>60</v>
      </c>
      <c r="D337" s="2" t="s">
        <v>40</v>
      </c>
      <c r="E337" s="2" t="s">
        <v>82</v>
      </c>
      <c r="F337" s="2" t="s">
        <v>98</v>
      </c>
      <c r="G337" s="2">
        <f t="shared" si="5"/>
        <v>0.22639484978540769</v>
      </c>
      <c r="H337" s="5">
        <v>3.9811320754716979</v>
      </c>
      <c r="I337" s="2">
        <v>53</v>
      </c>
      <c r="J337" s="12">
        <f>I337/Pondération!$J$87</f>
        <v>5.6866952789699568E-2</v>
      </c>
    </row>
    <row r="338" spans="1:10" x14ac:dyDescent="0.25">
      <c r="A338" s="2" t="s">
        <v>77</v>
      </c>
      <c r="B338" s="2">
        <v>2014</v>
      </c>
      <c r="C338" s="2" t="s">
        <v>61</v>
      </c>
      <c r="D338" s="2" t="s">
        <v>40</v>
      </c>
      <c r="E338" s="2" t="s">
        <v>82</v>
      </c>
      <c r="F338" s="2" t="s">
        <v>98</v>
      </c>
      <c r="G338" s="2">
        <f t="shared" si="5"/>
        <v>9.591982820329277E-2</v>
      </c>
      <c r="H338" s="5">
        <v>3.9411764705882355</v>
      </c>
      <c r="I338" s="2">
        <v>34</v>
      </c>
      <c r="J338" s="12">
        <f>I338/Pondération!$I$87</f>
        <v>2.4337866857551897E-2</v>
      </c>
    </row>
    <row r="339" spans="1:10" x14ac:dyDescent="0.25">
      <c r="A339" s="2" t="s">
        <v>77</v>
      </c>
      <c r="B339" s="2">
        <v>2014</v>
      </c>
      <c r="C339" s="2" t="s">
        <v>62</v>
      </c>
      <c r="D339" s="2" t="s">
        <v>40</v>
      </c>
      <c r="E339" s="2" t="s">
        <v>82</v>
      </c>
      <c r="F339" s="2" t="s">
        <v>98</v>
      </c>
      <c r="G339" s="2">
        <f t="shared" si="5"/>
        <v>0.1238367931281317</v>
      </c>
      <c r="H339" s="5">
        <v>3.9318181818181817</v>
      </c>
      <c r="I339" s="2">
        <v>44</v>
      </c>
      <c r="J339" s="12">
        <f>I339/Pondération!$I$87</f>
        <v>3.1496062992125984E-2</v>
      </c>
    </row>
    <row r="340" spans="1:10" x14ac:dyDescent="0.25">
      <c r="A340" s="2" t="s">
        <v>77</v>
      </c>
      <c r="B340" s="2">
        <v>2014</v>
      </c>
      <c r="C340" s="2" t="s">
        <v>63</v>
      </c>
      <c r="D340" s="2" t="s">
        <v>40</v>
      </c>
      <c r="E340" s="2" t="s">
        <v>82</v>
      </c>
      <c r="F340" s="2" t="s">
        <v>98</v>
      </c>
      <c r="G340" s="2">
        <f t="shared" si="5"/>
        <v>0.20042949176807445</v>
      </c>
      <c r="H340" s="5">
        <v>3.943661971830986</v>
      </c>
      <c r="I340" s="2">
        <v>71</v>
      </c>
      <c r="J340" s="12">
        <f>I340/Pondération!$I$87</f>
        <v>5.0823192555476022E-2</v>
      </c>
    </row>
    <row r="341" spans="1:10" x14ac:dyDescent="0.25">
      <c r="A341" s="2" t="s">
        <v>77</v>
      </c>
      <c r="B341" s="2">
        <v>2014</v>
      </c>
      <c r="C341" s="2" t="s">
        <v>64</v>
      </c>
      <c r="D341" s="2" t="s">
        <v>40</v>
      </c>
      <c r="E341" s="2" t="s">
        <v>82</v>
      </c>
      <c r="F341" s="2" t="s">
        <v>98</v>
      </c>
      <c r="G341" s="2">
        <f t="shared" si="5"/>
        <v>0.34001431639226914</v>
      </c>
      <c r="H341" s="5">
        <v>3.9915966386554622</v>
      </c>
      <c r="I341" s="2">
        <v>119</v>
      </c>
      <c r="J341" s="12">
        <f>I341/Pondération!$I$87</f>
        <v>8.5182534001431637E-2</v>
      </c>
    </row>
    <row r="342" spans="1:10" x14ac:dyDescent="0.25">
      <c r="A342" s="2" t="s">
        <v>77</v>
      </c>
      <c r="B342" s="2">
        <v>2014</v>
      </c>
      <c r="C342" s="2" t="s">
        <v>65</v>
      </c>
      <c r="D342" s="2" t="s">
        <v>40</v>
      </c>
      <c r="E342" s="2" t="s">
        <v>82</v>
      </c>
      <c r="F342" s="2" t="s">
        <v>98</v>
      </c>
      <c r="G342" s="2">
        <f t="shared" si="5"/>
        <v>0.41016463851109519</v>
      </c>
      <c r="H342" s="5">
        <v>3.9791666666666665</v>
      </c>
      <c r="I342" s="2">
        <v>144</v>
      </c>
      <c r="J342" s="12">
        <f>I342/Pondération!$I$87</f>
        <v>0.10307802433786686</v>
      </c>
    </row>
    <row r="343" spans="1:10" x14ac:dyDescent="0.25">
      <c r="A343" s="2" t="s">
        <v>77</v>
      </c>
      <c r="B343" s="2">
        <v>2014</v>
      </c>
      <c r="C343" s="2" t="s">
        <v>66</v>
      </c>
      <c r="D343" s="2" t="s">
        <v>40</v>
      </c>
      <c r="E343" s="2" t="s">
        <v>82</v>
      </c>
      <c r="F343" s="2" t="s">
        <v>98</v>
      </c>
      <c r="G343" s="2">
        <f t="shared" si="5"/>
        <v>0.31138153185397283</v>
      </c>
      <c r="H343" s="5">
        <v>3.9908256880733943</v>
      </c>
      <c r="I343" s="2">
        <v>109</v>
      </c>
      <c r="J343" s="12">
        <f>I343/Pondération!$I$87</f>
        <v>7.8024337866857557E-2</v>
      </c>
    </row>
    <row r="344" spans="1:10" x14ac:dyDescent="0.25">
      <c r="A344" s="2" t="s">
        <v>77</v>
      </c>
      <c r="B344" s="2">
        <v>2014</v>
      </c>
      <c r="C344" s="2" t="s">
        <v>67</v>
      </c>
      <c r="D344" s="2" t="s">
        <v>40</v>
      </c>
      <c r="E344" s="2" t="s">
        <v>82</v>
      </c>
      <c r="F344" s="2" t="s">
        <v>98</v>
      </c>
      <c r="G344" s="2">
        <f t="shared" si="5"/>
        <v>0.42949176807444522</v>
      </c>
      <c r="H344" s="5">
        <v>3.9473684210526314</v>
      </c>
      <c r="I344" s="2">
        <v>152</v>
      </c>
      <c r="J344" s="12">
        <f>I344/Pondération!$I$87</f>
        <v>0.10880458124552612</v>
      </c>
    </row>
    <row r="345" spans="1:10" x14ac:dyDescent="0.25">
      <c r="A345" s="2" t="s">
        <v>77</v>
      </c>
      <c r="B345" s="2">
        <v>2014</v>
      </c>
      <c r="C345" s="2" t="s">
        <v>68</v>
      </c>
      <c r="D345" s="2" t="s">
        <v>40</v>
      </c>
      <c r="E345" s="2" t="s">
        <v>82</v>
      </c>
      <c r="F345" s="2" t="s">
        <v>98</v>
      </c>
      <c r="G345" s="2">
        <f t="shared" si="5"/>
        <v>0.75304223335719411</v>
      </c>
      <c r="H345" s="5">
        <v>3.9548872180451129</v>
      </c>
      <c r="I345" s="2">
        <v>266</v>
      </c>
      <c r="J345" s="12">
        <f>I345/Pondération!$I$87</f>
        <v>0.19040801717967074</v>
      </c>
    </row>
    <row r="346" spans="1:10" x14ac:dyDescent="0.25">
      <c r="A346" s="2" t="s">
        <v>77</v>
      </c>
      <c r="B346" s="2">
        <v>2014</v>
      </c>
      <c r="C346" s="2" t="s">
        <v>69</v>
      </c>
      <c r="D346" s="2" t="s">
        <v>40</v>
      </c>
      <c r="E346" s="2" t="s">
        <v>82</v>
      </c>
      <c r="F346" s="2" t="s">
        <v>98</v>
      </c>
      <c r="G346" s="2">
        <f t="shared" si="5"/>
        <v>0.43736578382247676</v>
      </c>
      <c r="H346" s="5">
        <v>3.9675324675324677</v>
      </c>
      <c r="I346" s="2">
        <v>154</v>
      </c>
      <c r="J346" s="12">
        <f>I346/Pondération!$I$87</f>
        <v>0.11023622047244094</v>
      </c>
    </row>
    <row r="347" spans="1:10" x14ac:dyDescent="0.25">
      <c r="A347" s="2" t="s">
        <v>77</v>
      </c>
      <c r="B347" s="2">
        <v>2014</v>
      </c>
      <c r="C347" s="2" t="s">
        <v>70</v>
      </c>
      <c r="D347" s="2" t="s">
        <v>40</v>
      </c>
      <c r="E347" s="2" t="s">
        <v>82</v>
      </c>
      <c r="F347" s="2" t="s">
        <v>98</v>
      </c>
      <c r="G347" s="2">
        <f t="shared" si="5"/>
        <v>0.33786685755189694</v>
      </c>
      <c r="H347" s="5">
        <v>4</v>
      </c>
      <c r="I347" s="2">
        <v>118</v>
      </c>
      <c r="J347" s="12">
        <f>I347/Pondération!$I$87</f>
        <v>8.4466714387974234E-2</v>
      </c>
    </row>
    <row r="348" spans="1:10" x14ac:dyDescent="0.25">
      <c r="A348" s="2" t="s">
        <v>77</v>
      </c>
      <c r="B348" s="2">
        <v>2014</v>
      </c>
      <c r="C348" s="2" t="s">
        <v>71</v>
      </c>
      <c r="D348" s="2" t="s">
        <v>40</v>
      </c>
      <c r="E348" s="2" t="s">
        <v>82</v>
      </c>
      <c r="F348" s="2" t="s">
        <v>98</v>
      </c>
      <c r="G348" s="2">
        <f t="shared" si="5"/>
        <v>0.3163922691481747</v>
      </c>
      <c r="H348" s="5">
        <v>3.9819819819819822</v>
      </c>
      <c r="I348" s="2">
        <v>111</v>
      </c>
      <c r="J348" s="12">
        <f>I348/Pondération!$I$87</f>
        <v>7.9455977093772376E-2</v>
      </c>
    </row>
    <row r="349" spans="1:10" x14ac:dyDescent="0.25">
      <c r="A349" s="2" t="s">
        <v>77</v>
      </c>
      <c r="B349" s="2">
        <v>2014</v>
      </c>
      <c r="C349" s="2" t="s">
        <v>72</v>
      </c>
      <c r="D349" s="2" t="s">
        <v>40</v>
      </c>
      <c r="E349" s="2" t="s">
        <v>82</v>
      </c>
      <c r="F349" s="2" t="s">
        <v>98</v>
      </c>
      <c r="G349" s="2">
        <f t="shared" si="5"/>
        <v>0.21331424481030778</v>
      </c>
      <c r="H349" s="5">
        <v>3.9733333333333332</v>
      </c>
      <c r="I349" s="2">
        <v>75</v>
      </c>
      <c r="J349" s="12">
        <f>I349/Pondération!$I$87</f>
        <v>5.3686471009305653E-2</v>
      </c>
    </row>
    <row r="350" spans="1:10" x14ac:dyDescent="0.25">
      <c r="A350" s="2" t="s">
        <v>77</v>
      </c>
      <c r="B350" s="2">
        <v>2015</v>
      </c>
      <c r="C350" s="2" t="s">
        <v>73</v>
      </c>
      <c r="D350" s="2" t="s">
        <v>40</v>
      </c>
      <c r="E350" s="2" t="s">
        <v>82</v>
      </c>
      <c r="F350" s="2" t="s">
        <v>98</v>
      </c>
      <c r="G350" s="2">
        <f t="shared" si="5"/>
        <v>0.10130922693266833</v>
      </c>
      <c r="H350" s="5">
        <v>3.9634146341463414</v>
      </c>
      <c r="I350" s="2">
        <v>82</v>
      </c>
      <c r="J350" s="12">
        <f>I350/Pondération!$H$87</f>
        <v>2.5561097256857856E-2</v>
      </c>
    </row>
    <row r="351" spans="1:10" x14ac:dyDescent="0.25">
      <c r="A351" s="2" t="s">
        <v>77</v>
      </c>
      <c r="B351" s="2">
        <v>2015</v>
      </c>
      <c r="C351" s="2" t="s">
        <v>74</v>
      </c>
      <c r="D351" s="2" t="s">
        <v>40</v>
      </c>
      <c r="E351" s="2" t="s">
        <v>82</v>
      </c>
      <c r="F351" s="2" t="s">
        <v>98</v>
      </c>
      <c r="G351" s="2">
        <f t="shared" si="5"/>
        <v>0.14557356608478803</v>
      </c>
      <c r="H351" s="5">
        <v>3.9914529914529915</v>
      </c>
      <c r="I351" s="2">
        <v>117</v>
      </c>
      <c r="J351" s="12">
        <f>I351/Pondération!$H$87</f>
        <v>3.6471321695760596E-2</v>
      </c>
    </row>
    <row r="352" spans="1:10" x14ac:dyDescent="0.25">
      <c r="A352" s="2" t="s">
        <v>77</v>
      </c>
      <c r="B352" s="2">
        <v>2015</v>
      </c>
      <c r="C352" s="2" t="s">
        <v>75</v>
      </c>
      <c r="D352" s="2" t="s">
        <v>40</v>
      </c>
      <c r="E352" s="2" t="s">
        <v>82</v>
      </c>
      <c r="F352" s="2" t="s">
        <v>98</v>
      </c>
      <c r="G352" s="2">
        <f t="shared" si="5"/>
        <v>0.19731920199501246</v>
      </c>
      <c r="H352" s="5">
        <v>3.9811320754716979</v>
      </c>
      <c r="I352" s="2">
        <v>159</v>
      </c>
      <c r="J352" s="12">
        <f>I352/Pondération!$H$87</f>
        <v>4.9563591022443891E-2</v>
      </c>
    </row>
    <row r="353" spans="1:10" x14ac:dyDescent="0.25">
      <c r="A353" s="2" t="s">
        <v>77</v>
      </c>
      <c r="B353" s="2">
        <v>2015</v>
      </c>
      <c r="C353" s="2" t="s">
        <v>76</v>
      </c>
      <c r="D353" s="2" t="s">
        <v>40</v>
      </c>
      <c r="E353" s="2" t="s">
        <v>82</v>
      </c>
      <c r="F353" s="2" t="s">
        <v>98</v>
      </c>
      <c r="G353" s="2">
        <f t="shared" si="5"/>
        <v>0.20355361596009977</v>
      </c>
      <c r="H353" s="5">
        <v>3.9817073170731709</v>
      </c>
      <c r="I353" s="2">
        <v>164</v>
      </c>
      <c r="J353" s="12">
        <f>I353/Pondération!$H$87</f>
        <v>5.1122194513715712E-2</v>
      </c>
    </row>
    <row r="354" spans="1:10" x14ac:dyDescent="0.25">
      <c r="A354" s="2" t="s">
        <v>77</v>
      </c>
      <c r="B354" s="2">
        <v>2015</v>
      </c>
      <c r="C354" s="2" t="s">
        <v>7</v>
      </c>
      <c r="D354" s="2" t="s">
        <v>40</v>
      </c>
      <c r="E354" s="2" t="s">
        <v>82</v>
      </c>
      <c r="F354" s="2" t="s">
        <v>98</v>
      </c>
      <c r="G354" s="2">
        <f t="shared" si="5"/>
        <v>0.37905236907730672</v>
      </c>
      <c r="H354" s="5">
        <v>3.9738562091503269</v>
      </c>
      <c r="I354" s="2">
        <v>306</v>
      </c>
      <c r="J354" s="12">
        <f>I354/Pondération!$H$87</f>
        <v>9.538653366583541E-2</v>
      </c>
    </row>
    <row r="355" spans="1:10" x14ac:dyDescent="0.25">
      <c r="A355" s="2" t="s">
        <v>77</v>
      </c>
      <c r="B355" s="2">
        <v>2015</v>
      </c>
      <c r="C355" s="2" t="s">
        <v>11</v>
      </c>
      <c r="D355" s="2" t="s">
        <v>40</v>
      </c>
      <c r="E355" s="2" t="s">
        <v>82</v>
      </c>
      <c r="F355" s="2" t="s">
        <v>98</v>
      </c>
      <c r="G355" s="2">
        <f t="shared" si="5"/>
        <v>0.28678304239401498</v>
      </c>
      <c r="H355" s="5">
        <v>3.9826839826839828</v>
      </c>
      <c r="I355" s="2">
        <v>231</v>
      </c>
      <c r="J355" s="12">
        <f>I355/Pondération!$H$87</f>
        <v>7.2007481296758102E-2</v>
      </c>
    </row>
    <row r="356" spans="1:10" x14ac:dyDescent="0.25">
      <c r="A356" s="2" t="s">
        <v>77</v>
      </c>
      <c r="B356" s="2">
        <v>2015</v>
      </c>
      <c r="C356" s="2" t="s">
        <v>12</v>
      </c>
      <c r="D356" s="2" t="s">
        <v>40</v>
      </c>
      <c r="E356" s="2" t="s">
        <v>82</v>
      </c>
      <c r="F356" s="2" t="s">
        <v>98</v>
      </c>
      <c r="G356" s="2">
        <f t="shared" si="5"/>
        <v>0.65087281795511231</v>
      </c>
      <c r="H356" s="5">
        <v>3.9771428571428573</v>
      </c>
      <c r="I356" s="2">
        <v>525</v>
      </c>
      <c r="J356" s="12">
        <f>I356/Pondération!$H$87</f>
        <v>0.16365336658354115</v>
      </c>
    </row>
    <row r="357" spans="1:10" x14ac:dyDescent="0.25">
      <c r="A357" s="2" t="s">
        <v>77</v>
      </c>
      <c r="B357" s="2">
        <v>2015</v>
      </c>
      <c r="C357" s="2" t="s">
        <v>13</v>
      </c>
      <c r="D357" s="2" t="s">
        <v>40</v>
      </c>
      <c r="E357" s="2" t="s">
        <v>82</v>
      </c>
      <c r="F357" s="2" t="s">
        <v>98</v>
      </c>
      <c r="G357" s="2">
        <f t="shared" si="5"/>
        <v>0.82886533665835405</v>
      </c>
      <c r="H357" s="5">
        <v>3.9745889387144993</v>
      </c>
      <c r="I357" s="2">
        <v>669</v>
      </c>
      <c r="J357" s="12">
        <f>I357/Pondération!$H$87</f>
        <v>0.20854114713216956</v>
      </c>
    </row>
    <row r="358" spans="1:10" x14ac:dyDescent="0.25">
      <c r="A358" s="2" t="s">
        <v>77</v>
      </c>
      <c r="B358" s="2">
        <v>2015</v>
      </c>
      <c r="C358" s="2" t="s">
        <v>14</v>
      </c>
      <c r="D358" s="2" t="s">
        <v>40</v>
      </c>
      <c r="E358" s="2" t="s">
        <v>82</v>
      </c>
      <c r="F358" s="2" t="s">
        <v>98</v>
      </c>
      <c r="G358" s="2">
        <f t="shared" si="5"/>
        <v>0.42394014962593518</v>
      </c>
      <c r="H358" s="5">
        <v>3.9882697947214076</v>
      </c>
      <c r="I358" s="2">
        <v>341</v>
      </c>
      <c r="J358" s="12">
        <f>I358/Pondération!$H$87</f>
        <v>0.10629675810473815</v>
      </c>
    </row>
    <row r="359" spans="1:10" x14ac:dyDescent="0.25">
      <c r="A359" s="2" t="s">
        <v>77</v>
      </c>
      <c r="B359" s="2">
        <v>2015</v>
      </c>
      <c r="C359" s="2" t="s">
        <v>15</v>
      </c>
      <c r="D359" s="2" t="s">
        <v>40</v>
      </c>
      <c r="E359" s="2" t="s">
        <v>82</v>
      </c>
      <c r="F359" s="2" t="s">
        <v>98</v>
      </c>
      <c r="G359" s="2">
        <f t="shared" si="5"/>
        <v>0.33291770573566087</v>
      </c>
      <c r="H359" s="5">
        <v>3.9850746268656718</v>
      </c>
      <c r="I359" s="2">
        <v>268</v>
      </c>
      <c r="J359" s="12">
        <f>I359/Pondération!$H$87</f>
        <v>8.3541147132169577E-2</v>
      </c>
    </row>
    <row r="360" spans="1:10" x14ac:dyDescent="0.25">
      <c r="A360" s="2" t="s">
        <v>77</v>
      </c>
      <c r="B360" s="2">
        <v>2015</v>
      </c>
      <c r="C360" s="2" t="s">
        <v>16</v>
      </c>
      <c r="D360" s="2" t="s">
        <v>40</v>
      </c>
      <c r="E360" s="2" t="s">
        <v>82</v>
      </c>
      <c r="F360" s="2" t="s">
        <v>98</v>
      </c>
      <c r="G360" s="2">
        <f t="shared" si="5"/>
        <v>0.21726932668329177</v>
      </c>
      <c r="H360" s="5">
        <v>3.9828571428571427</v>
      </c>
      <c r="I360" s="2">
        <v>175</v>
      </c>
      <c r="J360" s="12">
        <f>I360/Pondération!$H$87</f>
        <v>5.4551122194513718E-2</v>
      </c>
    </row>
    <row r="361" spans="1:10" x14ac:dyDescent="0.25">
      <c r="A361" s="2" t="s">
        <v>77</v>
      </c>
      <c r="B361" s="2">
        <v>2015</v>
      </c>
      <c r="C361" s="2" t="s">
        <v>17</v>
      </c>
      <c r="D361" s="2" t="s">
        <v>40</v>
      </c>
      <c r="E361" s="2" t="s">
        <v>82</v>
      </c>
      <c r="F361" s="2" t="s">
        <v>98</v>
      </c>
      <c r="G361" s="2">
        <f t="shared" si="5"/>
        <v>0.2107231920199501</v>
      </c>
      <c r="H361" s="5">
        <v>3.9532163742690059</v>
      </c>
      <c r="I361" s="2">
        <v>171</v>
      </c>
      <c r="J361" s="12">
        <f>I361/Pondération!$H$87</f>
        <v>5.3304239401496256E-2</v>
      </c>
    </row>
    <row r="362" spans="1:10" x14ac:dyDescent="0.25">
      <c r="A362" s="2" t="s">
        <v>77</v>
      </c>
      <c r="B362" s="2">
        <v>2016</v>
      </c>
      <c r="C362" s="2" t="s">
        <v>18</v>
      </c>
      <c r="D362" s="2" t="s">
        <v>40</v>
      </c>
      <c r="E362" s="2" t="s">
        <v>82</v>
      </c>
      <c r="F362" s="2" t="s">
        <v>98</v>
      </c>
      <c r="G362" s="2">
        <f t="shared" si="5"/>
        <v>0.11490424646128226</v>
      </c>
      <c r="H362" s="5">
        <v>3.971223021582734</v>
      </c>
      <c r="I362" s="2">
        <v>139</v>
      </c>
      <c r="J362" s="12">
        <f>I362/Pondération!$G$87</f>
        <v>2.893422148209825E-2</v>
      </c>
    </row>
    <row r="363" spans="1:10" x14ac:dyDescent="0.25">
      <c r="A363" s="2" t="s">
        <v>77</v>
      </c>
      <c r="B363" s="2">
        <v>2016</v>
      </c>
      <c r="C363" s="2" t="s">
        <v>19</v>
      </c>
      <c r="D363" s="2" t="s">
        <v>40</v>
      </c>
      <c r="E363" s="2" t="s">
        <v>82</v>
      </c>
      <c r="F363" s="2" t="s">
        <v>98</v>
      </c>
      <c r="G363" s="2">
        <f t="shared" si="5"/>
        <v>0.20774354704412989</v>
      </c>
      <c r="H363" s="5">
        <v>3.9760956175298805</v>
      </c>
      <c r="I363" s="2">
        <v>251</v>
      </c>
      <c r="J363" s="12">
        <f>I363/Pondération!$G$87</f>
        <v>5.2248126561199003E-2</v>
      </c>
    </row>
    <row r="364" spans="1:10" x14ac:dyDescent="0.25">
      <c r="A364" s="2" t="s">
        <v>77</v>
      </c>
      <c r="B364" s="2">
        <v>2016</v>
      </c>
      <c r="C364" s="2" t="s">
        <v>20</v>
      </c>
      <c r="D364" s="2" t="s">
        <v>40</v>
      </c>
      <c r="E364" s="2" t="s">
        <v>82</v>
      </c>
      <c r="F364" s="2" t="s">
        <v>98</v>
      </c>
      <c r="G364" s="2">
        <f t="shared" si="5"/>
        <v>0.23293089092422981</v>
      </c>
      <c r="H364" s="5">
        <v>4.010752688172043</v>
      </c>
      <c r="I364" s="2">
        <v>279</v>
      </c>
      <c r="J364" s="12">
        <f>I364/Pondération!$G$87</f>
        <v>5.807660283097419E-2</v>
      </c>
    </row>
    <row r="365" spans="1:10" x14ac:dyDescent="0.25">
      <c r="A365" s="2" t="s">
        <v>77</v>
      </c>
      <c r="B365" s="2">
        <v>2016</v>
      </c>
      <c r="C365" s="2" t="s">
        <v>21</v>
      </c>
      <c r="D365" s="2" t="s">
        <v>40</v>
      </c>
      <c r="E365" s="2" t="s">
        <v>82</v>
      </c>
      <c r="F365" s="2" t="s">
        <v>98</v>
      </c>
      <c r="G365" s="2">
        <f t="shared" si="5"/>
        <v>0.35158201498751041</v>
      </c>
      <c r="H365" s="5">
        <v>3.9929078014184398</v>
      </c>
      <c r="I365" s="2">
        <v>423</v>
      </c>
      <c r="J365" s="12">
        <f>I365/Pondération!$G$87</f>
        <v>8.8051623646960869E-2</v>
      </c>
    </row>
    <row r="366" spans="1:10" x14ac:dyDescent="0.25">
      <c r="A366" s="2" t="s">
        <v>77</v>
      </c>
      <c r="B366" s="2">
        <v>2016</v>
      </c>
      <c r="C366" s="2" t="s">
        <v>22</v>
      </c>
      <c r="D366" s="2" t="s">
        <v>40</v>
      </c>
      <c r="E366" s="2" t="s">
        <v>82</v>
      </c>
      <c r="F366" s="2" t="s">
        <v>98</v>
      </c>
      <c r="G366" s="2">
        <f t="shared" si="5"/>
        <v>0.39862614487926729</v>
      </c>
      <c r="H366" s="5">
        <v>3.9895833333333335</v>
      </c>
      <c r="I366" s="2">
        <v>480</v>
      </c>
      <c r="J366" s="12">
        <f>I366/Pondération!$G$87</f>
        <v>9.9916736053288921E-2</v>
      </c>
    </row>
    <row r="367" spans="1:10" x14ac:dyDescent="0.25">
      <c r="A367" s="2" t="s">
        <v>77</v>
      </c>
      <c r="B367" s="2">
        <v>2016</v>
      </c>
      <c r="C367" s="2" t="s">
        <v>23</v>
      </c>
      <c r="D367" s="2" t="s">
        <v>40</v>
      </c>
      <c r="E367" s="2" t="s">
        <v>82</v>
      </c>
      <c r="F367" s="2" t="s">
        <v>98</v>
      </c>
      <c r="G367" s="2">
        <f t="shared" si="5"/>
        <v>0.28413821815154044</v>
      </c>
      <c r="H367" s="5">
        <v>3.9912280701754388</v>
      </c>
      <c r="I367" s="2">
        <v>342</v>
      </c>
      <c r="J367" s="12">
        <f>I367/Pondération!$G$87</f>
        <v>7.1190674437968365E-2</v>
      </c>
    </row>
    <row r="368" spans="1:10" x14ac:dyDescent="0.25">
      <c r="A368" s="2" t="s">
        <v>77</v>
      </c>
      <c r="B368" s="2">
        <v>2016</v>
      </c>
      <c r="C368" s="2" t="s">
        <v>24</v>
      </c>
      <c r="D368" s="2" t="s">
        <v>40</v>
      </c>
      <c r="E368" s="2" t="s">
        <v>82</v>
      </c>
      <c r="F368" s="2" t="s">
        <v>98</v>
      </c>
      <c r="G368" s="2">
        <f t="shared" si="5"/>
        <v>0.46773522064945877</v>
      </c>
      <c r="H368" s="5">
        <v>3.9699646643109539</v>
      </c>
      <c r="I368" s="2">
        <v>566</v>
      </c>
      <c r="J368" s="12">
        <f>I368/Pondération!$G$87</f>
        <v>0.11781848459616986</v>
      </c>
    </row>
    <row r="369" spans="1:10" x14ac:dyDescent="0.25">
      <c r="A369" s="2" t="s">
        <v>77</v>
      </c>
      <c r="B369" s="2">
        <v>2016</v>
      </c>
      <c r="C369" s="2" t="s">
        <v>25</v>
      </c>
      <c r="D369" s="2" t="s">
        <v>40</v>
      </c>
      <c r="E369" s="2" t="s">
        <v>82</v>
      </c>
      <c r="F369" s="2" t="s">
        <v>98</v>
      </c>
      <c r="G369" s="2">
        <f t="shared" si="5"/>
        <v>0.81890091590341374</v>
      </c>
      <c r="H369" s="5">
        <v>3.9737373737373738</v>
      </c>
      <c r="I369" s="2">
        <v>990</v>
      </c>
      <c r="J369" s="12">
        <f>I369/Pondération!$G$87</f>
        <v>0.2060782681099084</v>
      </c>
    </row>
    <row r="370" spans="1:10" x14ac:dyDescent="0.25">
      <c r="A370" s="2" t="s">
        <v>77</v>
      </c>
      <c r="B370" s="2">
        <v>2016</v>
      </c>
      <c r="C370" s="2" t="s">
        <v>26</v>
      </c>
      <c r="D370" s="2" t="s">
        <v>40</v>
      </c>
      <c r="E370" s="2" t="s">
        <v>82</v>
      </c>
      <c r="F370" s="2" t="s">
        <v>98</v>
      </c>
      <c r="G370" s="2">
        <f t="shared" si="5"/>
        <v>0.38030807660283095</v>
      </c>
      <c r="H370" s="5">
        <v>3.9890829694323142</v>
      </c>
      <c r="I370" s="2">
        <v>458</v>
      </c>
      <c r="J370" s="12">
        <f>I370/Pondération!$G$87</f>
        <v>9.533721898417985E-2</v>
      </c>
    </row>
    <row r="371" spans="1:10" x14ac:dyDescent="0.25">
      <c r="A371" s="2" t="s">
        <v>77</v>
      </c>
      <c r="B371" s="2">
        <v>2016</v>
      </c>
      <c r="C371" s="2" t="s">
        <v>27</v>
      </c>
      <c r="D371" s="2" t="s">
        <v>40</v>
      </c>
      <c r="E371" s="2" t="s">
        <v>82</v>
      </c>
      <c r="F371" s="2" t="s">
        <v>98</v>
      </c>
      <c r="G371" s="2">
        <f t="shared" si="5"/>
        <v>0.32452123230641133</v>
      </c>
      <c r="H371" s="5">
        <v>3.9770408163265305</v>
      </c>
      <c r="I371" s="2">
        <v>392</v>
      </c>
      <c r="J371" s="12">
        <f>I371/Pondération!$G$87</f>
        <v>8.1598667776852624E-2</v>
      </c>
    </row>
    <row r="372" spans="1:10" x14ac:dyDescent="0.25">
      <c r="A372" s="2" t="s">
        <v>77</v>
      </c>
      <c r="B372" s="2">
        <v>2016</v>
      </c>
      <c r="C372" s="2" t="s">
        <v>28</v>
      </c>
      <c r="D372" s="2" t="s">
        <v>40</v>
      </c>
      <c r="E372" s="2" t="s">
        <v>82</v>
      </c>
      <c r="F372" s="2" t="s">
        <v>98</v>
      </c>
      <c r="G372" s="2">
        <f t="shared" si="5"/>
        <v>0.26436303080766033</v>
      </c>
      <c r="H372" s="5">
        <v>3.981191222570533</v>
      </c>
      <c r="I372" s="2">
        <v>319</v>
      </c>
      <c r="J372" s="12">
        <f>I372/Pondération!$G$87</f>
        <v>6.6402997502081604E-2</v>
      </c>
    </row>
    <row r="373" spans="1:10" x14ac:dyDescent="0.25">
      <c r="A373" s="2" t="s">
        <v>77</v>
      </c>
      <c r="B373" s="2">
        <v>2016</v>
      </c>
      <c r="C373" s="2" t="s">
        <v>29</v>
      </c>
      <c r="D373" s="2" t="s">
        <v>40</v>
      </c>
      <c r="E373" s="2" t="s">
        <v>82</v>
      </c>
      <c r="F373" s="2" t="s">
        <v>98</v>
      </c>
      <c r="G373" s="2">
        <f t="shared" si="5"/>
        <v>0.13655287260616153</v>
      </c>
      <c r="H373" s="5">
        <v>3.9757575757575756</v>
      </c>
      <c r="I373" s="2">
        <v>165</v>
      </c>
      <c r="J373" s="12">
        <f>I373/Pondération!$G$87</f>
        <v>3.4346378018318066E-2</v>
      </c>
    </row>
    <row r="374" spans="1:10" x14ac:dyDescent="0.25">
      <c r="A374" s="2" t="s">
        <v>77</v>
      </c>
      <c r="B374" s="2">
        <v>2017</v>
      </c>
      <c r="C374" s="2" t="s">
        <v>30</v>
      </c>
      <c r="D374" s="2" t="s">
        <v>40</v>
      </c>
      <c r="E374" s="2" t="s">
        <v>82</v>
      </c>
      <c r="F374" s="2" t="s">
        <v>98</v>
      </c>
      <c r="G374" s="2">
        <f t="shared" si="5"/>
        <v>0.38374485596707819</v>
      </c>
      <c r="H374" s="5">
        <v>3.9893048128342246</v>
      </c>
      <c r="I374" s="2">
        <v>187</v>
      </c>
      <c r="J374" s="12">
        <f>I374/Pondération!$F$87</f>
        <v>9.6193415637860089E-2</v>
      </c>
    </row>
    <row r="375" spans="1:10" x14ac:dyDescent="0.25">
      <c r="A375" s="2" t="s">
        <v>77</v>
      </c>
      <c r="B375" s="2">
        <v>2017</v>
      </c>
      <c r="C375" s="2" t="s">
        <v>31</v>
      </c>
      <c r="D375" s="2" t="s">
        <v>40</v>
      </c>
      <c r="E375" s="2" t="s">
        <v>82</v>
      </c>
      <c r="F375" s="2" t="s">
        <v>98</v>
      </c>
      <c r="G375" s="2">
        <f t="shared" si="5"/>
        <v>0.50720164609053497</v>
      </c>
      <c r="H375" s="5">
        <v>3.975806451612903</v>
      </c>
      <c r="I375" s="2">
        <v>248</v>
      </c>
      <c r="J375" s="12">
        <f>I375/Pondération!$F$87</f>
        <v>0.12757201646090535</v>
      </c>
    </row>
    <row r="376" spans="1:10" x14ac:dyDescent="0.25">
      <c r="A376" s="2" t="s">
        <v>77</v>
      </c>
      <c r="B376" s="2">
        <v>2017</v>
      </c>
      <c r="C376" s="2" t="s">
        <v>32</v>
      </c>
      <c r="D376" s="2" t="s">
        <v>40</v>
      </c>
      <c r="E376" s="2" t="s">
        <v>82</v>
      </c>
      <c r="F376" s="2" t="s">
        <v>98</v>
      </c>
      <c r="G376" s="2">
        <f t="shared" si="5"/>
        <v>0.54989711934156371</v>
      </c>
      <c r="H376" s="5">
        <v>4.0037453183520597</v>
      </c>
      <c r="I376" s="2">
        <v>267</v>
      </c>
      <c r="J376" s="12">
        <f>I376/Pondération!$F$87</f>
        <v>0.13734567901234568</v>
      </c>
    </row>
    <row r="377" spans="1:10" x14ac:dyDescent="0.25">
      <c r="A377" s="2" t="s">
        <v>77</v>
      </c>
      <c r="B377" s="2">
        <v>2017</v>
      </c>
      <c r="C377" s="2" t="s">
        <v>33</v>
      </c>
      <c r="D377" s="2" t="s">
        <v>40</v>
      </c>
      <c r="E377" s="2" t="s">
        <v>82</v>
      </c>
      <c r="F377" s="2" t="s">
        <v>98</v>
      </c>
      <c r="G377" s="2">
        <f t="shared" si="5"/>
        <v>1.1311728395061729</v>
      </c>
      <c r="H377" s="5">
        <v>3.9621621621621621</v>
      </c>
      <c r="I377" s="2">
        <v>555</v>
      </c>
      <c r="J377" s="12">
        <f>I377/Pondération!$F$87</f>
        <v>0.28549382716049382</v>
      </c>
    </row>
    <row r="378" spans="1:10" x14ac:dyDescent="0.25">
      <c r="A378" s="2" t="s">
        <v>77</v>
      </c>
      <c r="B378" s="2">
        <v>2017</v>
      </c>
      <c r="C378" s="2" t="s">
        <v>34</v>
      </c>
      <c r="D378" s="2" t="s">
        <v>40</v>
      </c>
      <c r="E378" s="2" t="s">
        <v>82</v>
      </c>
      <c r="F378" s="2" t="s">
        <v>98</v>
      </c>
      <c r="G378" s="2">
        <f t="shared" si="5"/>
        <v>0.99074074074074081</v>
      </c>
      <c r="H378" s="5">
        <v>3.9793388429752068</v>
      </c>
      <c r="I378" s="2">
        <v>484</v>
      </c>
      <c r="J378" s="12">
        <f>I378/Pondération!$F$87</f>
        <v>0.24897119341563786</v>
      </c>
    </row>
    <row r="379" spans="1:10" x14ac:dyDescent="0.25">
      <c r="A379" s="2" t="s">
        <v>77</v>
      </c>
      <c r="B379" s="2">
        <v>2017</v>
      </c>
      <c r="C379" s="2" t="s">
        <v>80</v>
      </c>
      <c r="D379" s="2" t="s">
        <v>40</v>
      </c>
      <c r="E379" s="2" t="s">
        <v>82</v>
      </c>
      <c r="F379" s="2" t="s">
        <v>98</v>
      </c>
      <c r="G379" s="2">
        <f t="shared" si="5"/>
        <v>0.41460905349794236</v>
      </c>
      <c r="H379" s="5">
        <v>3.9704433497536944</v>
      </c>
      <c r="I379" s="2">
        <v>203</v>
      </c>
      <c r="J379" s="12">
        <f>I379/Pondération!$F$87</f>
        <v>0.1044238683127572</v>
      </c>
    </row>
    <row r="380" spans="1:10" x14ac:dyDescent="0.25">
      <c r="A380" s="2" t="s">
        <v>77</v>
      </c>
      <c r="B380" s="2">
        <v>2013</v>
      </c>
      <c r="C380" s="2" t="s">
        <v>49</v>
      </c>
      <c r="D380" s="2" t="s">
        <v>41</v>
      </c>
      <c r="E380" s="2" t="s">
        <v>82</v>
      </c>
      <c r="F380" s="2" t="s">
        <v>98</v>
      </c>
      <c r="G380" s="2">
        <f t="shared" si="5"/>
        <v>0.34193548387096778</v>
      </c>
      <c r="H380" s="5">
        <v>4.416666666666667</v>
      </c>
      <c r="I380" s="2">
        <v>132</v>
      </c>
      <c r="J380" s="12">
        <f>I380/Pondération!$J$100</f>
        <v>7.7419354838709681E-2</v>
      </c>
    </row>
    <row r="381" spans="1:10" x14ac:dyDescent="0.25">
      <c r="A381" s="2" t="s">
        <v>77</v>
      </c>
      <c r="B381" s="2">
        <v>2013</v>
      </c>
      <c r="C381" s="2" t="s">
        <v>50</v>
      </c>
      <c r="D381" s="2" t="s">
        <v>41</v>
      </c>
      <c r="E381" s="2" t="s">
        <v>82</v>
      </c>
      <c r="F381" s="2" t="s">
        <v>98</v>
      </c>
      <c r="G381" s="2">
        <f t="shared" si="5"/>
        <v>0.22903225806451613</v>
      </c>
      <c r="H381" s="5">
        <v>4.3876404494382024</v>
      </c>
      <c r="I381" s="2">
        <v>89</v>
      </c>
      <c r="J381" s="12">
        <f>I381/Pondération!$J$100</f>
        <v>5.2199413489736071E-2</v>
      </c>
    </row>
    <row r="382" spans="1:10" x14ac:dyDescent="0.25">
      <c r="A382" s="2" t="s">
        <v>77</v>
      </c>
      <c r="B382" s="2">
        <v>2013</v>
      </c>
      <c r="C382" s="2" t="s">
        <v>51</v>
      </c>
      <c r="D382" s="2" t="s">
        <v>41</v>
      </c>
      <c r="E382" s="2" t="s">
        <v>82</v>
      </c>
      <c r="F382" s="2" t="s">
        <v>98</v>
      </c>
      <c r="G382" s="2">
        <f t="shared" si="5"/>
        <v>0.30410557184750736</v>
      </c>
      <c r="H382" s="5">
        <v>4.4316239316239319</v>
      </c>
      <c r="I382" s="2">
        <v>117</v>
      </c>
      <c r="J382" s="12">
        <f>I382/Pondération!$J$100</f>
        <v>6.8621700879765393E-2</v>
      </c>
    </row>
    <row r="383" spans="1:10" x14ac:dyDescent="0.25">
      <c r="A383" s="2" t="s">
        <v>77</v>
      </c>
      <c r="B383" s="2">
        <v>2013</v>
      </c>
      <c r="C383" s="2" t="s">
        <v>52</v>
      </c>
      <c r="D383" s="2" t="s">
        <v>41</v>
      </c>
      <c r="E383" s="2" t="s">
        <v>82</v>
      </c>
      <c r="F383" s="2" t="s">
        <v>98</v>
      </c>
      <c r="G383" s="2">
        <f t="shared" si="5"/>
        <v>0.32258064516129026</v>
      </c>
      <c r="H383" s="5">
        <v>4.3650793650793647</v>
      </c>
      <c r="I383" s="2">
        <v>126</v>
      </c>
      <c r="J383" s="12">
        <f>I383/Pondération!$J$100</f>
        <v>7.3900293255131963E-2</v>
      </c>
    </row>
    <row r="384" spans="1:10" x14ac:dyDescent="0.25">
      <c r="A384" s="2" t="s">
        <v>77</v>
      </c>
      <c r="B384" s="2">
        <v>2013</v>
      </c>
      <c r="C384" s="2" t="s">
        <v>53</v>
      </c>
      <c r="D384" s="2" t="s">
        <v>41</v>
      </c>
      <c r="E384" s="2" t="s">
        <v>82</v>
      </c>
      <c r="F384" s="2" t="s">
        <v>98</v>
      </c>
      <c r="G384" s="2">
        <f t="shared" si="5"/>
        <v>0.47126099706744867</v>
      </c>
      <c r="H384" s="5">
        <v>4.3668478260869561</v>
      </c>
      <c r="I384" s="2">
        <v>184</v>
      </c>
      <c r="J384" s="12">
        <f>I384/Pondération!$J$100</f>
        <v>0.10791788856304986</v>
      </c>
    </row>
    <row r="385" spans="1:10" x14ac:dyDescent="0.25">
      <c r="A385" s="2" t="s">
        <v>77</v>
      </c>
      <c r="B385" s="2">
        <v>2013</v>
      </c>
      <c r="C385" s="2" t="s">
        <v>54</v>
      </c>
      <c r="D385" s="2" t="s">
        <v>41</v>
      </c>
      <c r="E385" s="2" t="s">
        <v>82</v>
      </c>
      <c r="F385" s="2" t="s">
        <v>98</v>
      </c>
      <c r="G385" s="2">
        <f t="shared" si="5"/>
        <v>0.35337243401759527</v>
      </c>
      <c r="H385" s="5">
        <v>4.3659420289855069</v>
      </c>
      <c r="I385" s="2">
        <v>138</v>
      </c>
      <c r="J385" s="12">
        <f>I385/Pondération!$J$100</f>
        <v>8.0938416422287385E-2</v>
      </c>
    </row>
    <row r="386" spans="1:10" x14ac:dyDescent="0.25">
      <c r="A386" s="2" t="s">
        <v>77</v>
      </c>
      <c r="B386" s="2">
        <v>2013</v>
      </c>
      <c r="C386" s="2" t="s">
        <v>55</v>
      </c>
      <c r="D386" s="2" t="s">
        <v>41</v>
      </c>
      <c r="E386" s="2" t="s">
        <v>82</v>
      </c>
      <c r="F386" s="2" t="s">
        <v>98</v>
      </c>
      <c r="G386" s="2">
        <f t="shared" si="5"/>
        <v>0.45454545454545453</v>
      </c>
      <c r="H386" s="5">
        <v>4.3296089385474863</v>
      </c>
      <c r="I386" s="2">
        <v>179</v>
      </c>
      <c r="J386" s="12">
        <f>I386/Pondération!$J$100</f>
        <v>0.10498533724340176</v>
      </c>
    </row>
    <row r="387" spans="1:10" x14ac:dyDescent="0.25">
      <c r="A387" s="2" t="s">
        <v>77</v>
      </c>
      <c r="B387" s="2">
        <v>2013</v>
      </c>
      <c r="C387" s="2" t="s">
        <v>56</v>
      </c>
      <c r="D387" s="2" t="s">
        <v>41</v>
      </c>
      <c r="E387" s="2" t="s">
        <v>82</v>
      </c>
      <c r="F387" s="2" t="s">
        <v>98</v>
      </c>
      <c r="G387" s="2">
        <f t="shared" ref="G387:G450" si="6">H387*J387</f>
        <v>0.75835777126099713</v>
      </c>
      <c r="H387" s="5">
        <v>4.3535353535353538</v>
      </c>
      <c r="I387" s="2">
        <v>297</v>
      </c>
      <c r="J387" s="12">
        <f>I387/Pondération!$J$100</f>
        <v>0.17419354838709677</v>
      </c>
    </row>
    <row r="388" spans="1:10" x14ac:dyDescent="0.25">
      <c r="A388" s="2" t="s">
        <v>77</v>
      </c>
      <c r="B388" s="2">
        <v>2013</v>
      </c>
      <c r="C388" s="2" t="s">
        <v>57</v>
      </c>
      <c r="D388" s="2" t="s">
        <v>41</v>
      </c>
      <c r="E388" s="2" t="s">
        <v>82</v>
      </c>
      <c r="F388" s="2" t="s">
        <v>98</v>
      </c>
      <c r="G388" s="2">
        <f t="shared" si="6"/>
        <v>0.3835777126099707</v>
      </c>
      <c r="H388" s="5">
        <v>4.3600000000000003</v>
      </c>
      <c r="I388" s="2">
        <v>150</v>
      </c>
      <c r="J388" s="12">
        <f>I388/Pondération!$J$100</f>
        <v>8.797653958944282E-2</v>
      </c>
    </row>
    <row r="389" spans="1:10" x14ac:dyDescent="0.25">
      <c r="A389" s="2" t="s">
        <v>77</v>
      </c>
      <c r="B389" s="2">
        <v>2013</v>
      </c>
      <c r="C389" s="2" t="s">
        <v>58</v>
      </c>
      <c r="D389" s="2" t="s">
        <v>41</v>
      </c>
      <c r="E389" s="2" t="s">
        <v>82</v>
      </c>
      <c r="F389" s="2" t="s">
        <v>98</v>
      </c>
      <c r="G389" s="2">
        <f t="shared" si="6"/>
        <v>0.32639296187683287</v>
      </c>
      <c r="H389" s="5">
        <v>4.3818897637795278</v>
      </c>
      <c r="I389" s="2">
        <v>127</v>
      </c>
      <c r="J389" s="12">
        <f>I389/Pondération!$J$100</f>
        <v>7.448680351906159E-2</v>
      </c>
    </row>
    <row r="390" spans="1:10" x14ac:dyDescent="0.25">
      <c r="A390" s="2" t="s">
        <v>77</v>
      </c>
      <c r="B390" s="2">
        <v>2013</v>
      </c>
      <c r="C390" s="2" t="s">
        <v>59</v>
      </c>
      <c r="D390" s="2" t="s">
        <v>41</v>
      </c>
      <c r="E390" s="2" t="s">
        <v>82</v>
      </c>
      <c r="F390" s="2" t="s">
        <v>98</v>
      </c>
      <c r="G390" s="2">
        <f t="shared" si="6"/>
        <v>0.20146627565982406</v>
      </c>
      <c r="H390" s="5">
        <v>4.3481012658227849</v>
      </c>
      <c r="I390" s="2">
        <v>79</v>
      </c>
      <c r="J390" s="12">
        <f>I390/Pondération!$J$100</f>
        <v>4.6334310850439882E-2</v>
      </c>
    </row>
    <row r="391" spans="1:10" x14ac:dyDescent="0.25">
      <c r="A391" s="2" t="s">
        <v>77</v>
      </c>
      <c r="B391" s="2">
        <v>2013</v>
      </c>
      <c r="C391" s="2" t="s">
        <v>60</v>
      </c>
      <c r="D391" s="2" t="s">
        <v>41</v>
      </c>
      <c r="E391" s="2" t="s">
        <v>82</v>
      </c>
      <c r="F391" s="2" t="s">
        <v>98</v>
      </c>
      <c r="G391" s="2">
        <f t="shared" si="6"/>
        <v>0.22639296187683286</v>
      </c>
      <c r="H391" s="5">
        <v>4.4367816091954024</v>
      </c>
      <c r="I391" s="2">
        <v>87</v>
      </c>
      <c r="J391" s="12">
        <f>I391/Pondération!$J$100</f>
        <v>5.1026392961876832E-2</v>
      </c>
    </row>
    <row r="392" spans="1:10" x14ac:dyDescent="0.25">
      <c r="A392" s="2" t="s">
        <v>77</v>
      </c>
      <c r="B392" s="2">
        <v>2014</v>
      </c>
      <c r="C392" s="2" t="s">
        <v>61</v>
      </c>
      <c r="D392" s="2" t="s">
        <v>41</v>
      </c>
      <c r="E392" s="2" t="s">
        <v>82</v>
      </c>
      <c r="F392" s="2" t="s">
        <v>98</v>
      </c>
      <c r="G392" s="2">
        <f t="shared" si="6"/>
        <v>0.1362185172046825</v>
      </c>
      <c r="H392" s="5">
        <v>4.4137931034482758</v>
      </c>
      <c r="I392" s="2">
        <v>87</v>
      </c>
      <c r="J392" s="12">
        <f>I392/Pondération!$I$100</f>
        <v>3.0862007804185881E-2</v>
      </c>
    </row>
    <row r="393" spans="1:10" x14ac:dyDescent="0.25">
      <c r="A393" s="2" t="s">
        <v>77</v>
      </c>
      <c r="B393" s="2">
        <v>2014</v>
      </c>
      <c r="C393" s="2" t="s">
        <v>62</v>
      </c>
      <c r="D393" s="2" t="s">
        <v>41</v>
      </c>
      <c r="E393" s="2" t="s">
        <v>82</v>
      </c>
      <c r="F393" s="2" t="s">
        <v>98</v>
      </c>
      <c r="G393" s="2">
        <f t="shared" si="6"/>
        <v>0.1190138346931536</v>
      </c>
      <c r="H393" s="5">
        <v>4.3571428571428568</v>
      </c>
      <c r="I393" s="2">
        <v>77</v>
      </c>
      <c r="J393" s="12">
        <f>I393/Pondération!$I$100</f>
        <v>2.7314650585313942E-2</v>
      </c>
    </row>
    <row r="394" spans="1:10" x14ac:dyDescent="0.25">
      <c r="A394" s="2" t="s">
        <v>77</v>
      </c>
      <c r="B394" s="2">
        <v>2014</v>
      </c>
      <c r="C394" s="2" t="s">
        <v>63</v>
      </c>
      <c r="D394" s="2" t="s">
        <v>41</v>
      </c>
      <c r="E394" s="2" t="s">
        <v>82</v>
      </c>
      <c r="F394" s="2" t="s">
        <v>98</v>
      </c>
      <c r="G394" s="2">
        <f t="shared" si="6"/>
        <v>0.17435260730755589</v>
      </c>
      <c r="H394" s="5">
        <v>4.3495575221238942</v>
      </c>
      <c r="I394" s="2">
        <v>113</v>
      </c>
      <c r="J394" s="12">
        <f>I394/Pondération!$I$100</f>
        <v>4.0085136573252925E-2</v>
      </c>
    </row>
    <row r="395" spans="1:10" x14ac:dyDescent="0.25">
      <c r="A395" s="2" t="s">
        <v>77</v>
      </c>
      <c r="B395" s="2">
        <v>2014</v>
      </c>
      <c r="C395" s="2" t="s">
        <v>64</v>
      </c>
      <c r="D395" s="2" t="s">
        <v>41</v>
      </c>
      <c r="E395" s="2" t="s">
        <v>82</v>
      </c>
      <c r="F395" s="2" t="s">
        <v>98</v>
      </c>
      <c r="G395" s="2">
        <f t="shared" si="6"/>
        <v>0.29833274210713018</v>
      </c>
      <c r="H395" s="5">
        <v>4.2690355329949234</v>
      </c>
      <c r="I395" s="2">
        <v>197</v>
      </c>
      <c r="J395" s="12">
        <f>I395/Pondération!$I$100</f>
        <v>6.9882937211777227E-2</v>
      </c>
    </row>
    <row r="396" spans="1:10" x14ac:dyDescent="0.25">
      <c r="A396" s="2" t="s">
        <v>77</v>
      </c>
      <c r="B396" s="2">
        <v>2014</v>
      </c>
      <c r="C396" s="2" t="s">
        <v>65</v>
      </c>
      <c r="D396" s="2" t="s">
        <v>41</v>
      </c>
      <c r="E396" s="2" t="s">
        <v>82</v>
      </c>
      <c r="F396" s="2" t="s">
        <v>98</v>
      </c>
      <c r="G396" s="2">
        <f t="shared" si="6"/>
        <v>0.44058176658389497</v>
      </c>
      <c r="H396" s="5">
        <v>4.2534246575342465</v>
      </c>
      <c r="I396" s="2">
        <v>292</v>
      </c>
      <c r="J396" s="12">
        <f>I396/Pondération!$I$100</f>
        <v>0.10358283079106066</v>
      </c>
    </row>
    <row r="397" spans="1:10" x14ac:dyDescent="0.25">
      <c r="A397" s="2" t="s">
        <v>77</v>
      </c>
      <c r="B397" s="2">
        <v>2014</v>
      </c>
      <c r="C397" s="2" t="s">
        <v>66</v>
      </c>
      <c r="D397" s="2" t="s">
        <v>41</v>
      </c>
      <c r="E397" s="2" t="s">
        <v>82</v>
      </c>
      <c r="F397" s="2" t="s">
        <v>98</v>
      </c>
      <c r="G397" s="2">
        <f t="shared" si="6"/>
        <v>0.33717630365377793</v>
      </c>
      <c r="H397" s="5">
        <v>4.2433035714285712</v>
      </c>
      <c r="I397" s="2">
        <v>224</v>
      </c>
      <c r="J397" s="12">
        <f>I397/Pondération!$I$100</f>
        <v>7.9460801702731468E-2</v>
      </c>
    </row>
    <row r="398" spans="1:10" x14ac:dyDescent="0.25">
      <c r="A398" s="2" t="s">
        <v>77</v>
      </c>
      <c r="B398" s="2">
        <v>2014</v>
      </c>
      <c r="C398" s="2" t="s">
        <v>67</v>
      </c>
      <c r="D398" s="2" t="s">
        <v>41</v>
      </c>
      <c r="E398" s="2" t="s">
        <v>82</v>
      </c>
      <c r="F398" s="2" t="s">
        <v>98</v>
      </c>
      <c r="G398" s="2">
        <f t="shared" si="6"/>
        <v>0.45902802412202909</v>
      </c>
      <c r="H398" s="5">
        <v>4.2847682119205297</v>
      </c>
      <c r="I398" s="2">
        <v>302</v>
      </c>
      <c r="J398" s="12">
        <f>I398/Pondération!$I$100</f>
        <v>0.1071301880099326</v>
      </c>
    </row>
    <row r="399" spans="1:10" x14ac:dyDescent="0.25">
      <c r="A399" s="2" t="s">
        <v>77</v>
      </c>
      <c r="B399" s="2">
        <v>2014</v>
      </c>
      <c r="C399" s="2" t="s">
        <v>68</v>
      </c>
      <c r="D399" s="2" t="s">
        <v>41</v>
      </c>
      <c r="E399" s="2" t="s">
        <v>82</v>
      </c>
      <c r="F399" s="2" t="s">
        <v>98</v>
      </c>
      <c r="G399" s="2">
        <f t="shared" si="6"/>
        <v>0.72862717275629652</v>
      </c>
      <c r="H399" s="5">
        <v>4.2438016528925617</v>
      </c>
      <c r="I399" s="2">
        <v>484</v>
      </c>
      <c r="J399" s="12">
        <f>I399/Pondération!$I$100</f>
        <v>0.17169208939340191</v>
      </c>
    </row>
    <row r="400" spans="1:10" x14ac:dyDescent="0.25">
      <c r="A400" s="2" t="s">
        <v>77</v>
      </c>
      <c r="B400" s="2">
        <v>2014</v>
      </c>
      <c r="C400" s="2" t="s">
        <v>69</v>
      </c>
      <c r="D400" s="2" t="s">
        <v>41</v>
      </c>
      <c r="E400" s="2" t="s">
        <v>82</v>
      </c>
      <c r="F400" s="2" t="s">
        <v>98</v>
      </c>
      <c r="G400" s="2">
        <f t="shared" si="6"/>
        <v>0.44714437743880808</v>
      </c>
      <c r="H400" s="5">
        <v>4.2874149659863949</v>
      </c>
      <c r="I400" s="2">
        <v>294</v>
      </c>
      <c r="J400" s="12">
        <f>I400/Pondération!$I$100</f>
        <v>0.10429230223483504</v>
      </c>
    </row>
    <row r="401" spans="1:10" x14ac:dyDescent="0.25">
      <c r="A401" s="2" t="s">
        <v>77</v>
      </c>
      <c r="B401" s="2">
        <v>2014</v>
      </c>
      <c r="C401" s="2" t="s">
        <v>70</v>
      </c>
      <c r="D401" s="2" t="s">
        <v>41</v>
      </c>
      <c r="E401" s="2" t="s">
        <v>82</v>
      </c>
      <c r="F401" s="2" t="s">
        <v>98</v>
      </c>
      <c r="G401" s="2">
        <f t="shared" si="6"/>
        <v>0.44501596310748498</v>
      </c>
      <c r="H401" s="5">
        <v>4.2815699658703075</v>
      </c>
      <c r="I401" s="2">
        <v>293</v>
      </c>
      <c r="J401" s="12">
        <f>I401/Pondération!$I$100</f>
        <v>0.10393756651294786</v>
      </c>
    </row>
    <row r="402" spans="1:10" x14ac:dyDescent="0.25">
      <c r="A402" s="2" t="s">
        <v>77</v>
      </c>
      <c r="B402" s="2">
        <v>2014</v>
      </c>
      <c r="C402" s="2" t="s">
        <v>71</v>
      </c>
      <c r="D402" s="2" t="s">
        <v>41</v>
      </c>
      <c r="E402" s="2" t="s">
        <v>82</v>
      </c>
      <c r="F402" s="2" t="s">
        <v>98</v>
      </c>
      <c r="G402" s="2">
        <f t="shared" si="6"/>
        <v>0.40741397658744238</v>
      </c>
      <c r="H402" s="5">
        <v>4.3503787878787881</v>
      </c>
      <c r="I402" s="2">
        <v>264</v>
      </c>
      <c r="J402" s="12">
        <f>I402/Pondération!$I$100</f>
        <v>9.3650230578219223E-2</v>
      </c>
    </row>
    <row r="403" spans="1:10" x14ac:dyDescent="0.25">
      <c r="A403" s="2" t="s">
        <v>77</v>
      </c>
      <c r="B403" s="2">
        <v>2014</v>
      </c>
      <c r="C403" s="2" t="s">
        <v>72</v>
      </c>
      <c r="D403" s="2" t="s">
        <v>41</v>
      </c>
      <c r="E403" s="2" t="s">
        <v>82</v>
      </c>
      <c r="F403" s="2" t="s">
        <v>98</v>
      </c>
      <c r="G403" s="2">
        <f t="shared" si="6"/>
        <v>0.29780063852429939</v>
      </c>
      <c r="H403" s="5">
        <v>4.372395833333333</v>
      </c>
      <c r="I403" s="2">
        <v>192</v>
      </c>
      <c r="J403" s="12">
        <f>I403/Pondération!$I$100</f>
        <v>6.8109258602341252E-2</v>
      </c>
    </row>
    <row r="404" spans="1:10" x14ac:dyDescent="0.25">
      <c r="A404" s="2" t="s">
        <v>77</v>
      </c>
      <c r="B404" s="2">
        <v>2015</v>
      </c>
      <c r="C404" s="2" t="s">
        <v>73</v>
      </c>
      <c r="D404" s="2" t="s">
        <v>41</v>
      </c>
      <c r="E404" s="2" t="s">
        <v>82</v>
      </c>
      <c r="F404" s="2" t="s">
        <v>98</v>
      </c>
      <c r="G404" s="2">
        <f t="shared" si="6"/>
        <v>0.10448943661971831</v>
      </c>
      <c r="H404" s="5">
        <v>4.3639705882352944</v>
      </c>
      <c r="I404" s="2">
        <v>136</v>
      </c>
      <c r="J404" s="12">
        <f>I404/Pondération!$H$100</f>
        <v>2.3943661971830985E-2</v>
      </c>
    </row>
    <row r="405" spans="1:10" x14ac:dyDescent="0.25">
      <c r="A405" s="2" t="s">
        <v>77</v>
      </c>
      <c r="B405" s="2">
        <v>2015</v>
      </c>
      <c r="C405" s="2" t="s">
        <v>74</v>
      </c>
      <c r="D405" s="2" t="s">
        <v>41</v>
      </c>
      <c r="E405" s="2" t="s">
        <v>82</v>
      </c>
      <c r="F405" s="2" t="s">
        <v>98</v>
      </c>
      <c r="G405" s="2">
        <f t="shared" si="6"/>
        <v>0.2237676056338028</v>
      </c>
      <c r="H405" s="5">
        <v>4.352739726027397</v>
      </c>
      <c r="I405" s="2">
        <v>292</v>
      </c>
      <c r="J405" s="12">
        <f>I405/Pondération!$H$100</f>
        <v>5.1408450704225353E-2</v>
      </c>
    </row>
    <row r="406" spans="1:10" x14ac:dyDescent="0.25">
      <c r="A406" s="2" t="s">
        <v>77</v>
      </c>
      <c r="B406" s="2">
        <v>2015</v>
      </c>
      <c r="C406" s="2" t="s">
        <v>75</v>
      </c>
      <c r="D406" s="2" t="s">
        <v>41</v>
      </c>
      <c r="E406" s="2" t="s">
        <v>82</v>
      </c>
      <c r="F406" s="2" t="s">
        <v>98</v>
      </c>
      <c r="G406" s="2">
        <f t="shared" si="6"/>
        <v>0.20272887323943661</v>
      </c>
      <c r="H406" s="5">
        <v>4.3452830188679243</v>
      </c>
      <c r="I406" s="2">
        <v>265</v>
      </c>
      <c r="J406" s="12">
        <f>I406/Pondération!$H$100</f>
        <v>4.6654929577464789E-2</v>
      </c>
    </row>
    <row r="407" spans="1:10" x14ac:dyDescent="0.25">
      <c r="A407" s="2" t="s">
        <v>77</v>
      </c>
      <c r="B407" s="2">
        <v>2015</v>
      </c>
      <c r="C407" s="2" t="s">
        <v>76</v>
      </c>
      <c r="D407" s="2" t="s">
        <v>41</v>
      </c>
      <c r="E407" s="2" t="s">
        <v>82</v>
      </c>
      <c r="F407" s="2" t="s">
        <v>98</v>
      </c>
      <c r="G407" s="2">
        <f t="shared" si="6"/>
        <v>0.2840669014084507</v>
      </c>
      <c r="H407" s="5">
        <v>4.3141711229946527</v>
      </c>
      <c r="I407" s="2">
        <v>374</v>
      </c>
      <c r="J407" s="12">
        <f>I407/Pondération!$H$100</f>
        <v>6.5845070422535207E-2</v>
      </c>
    </row>
    <row r="408" spans="1:10" x14ac:dyDescent="0.25">
      <c r="A408" s="2" t="s">
        <v>77</v>
      </c>
      <c r="B408" s="2">
        <v>2015</v>
      </c>
      <c r="C408" s="2" t="s">
        <v>7</v>
      </c>
      <c r="D408" s="2" t="s">
        <v>41</v>
      </c>
      <c r="E408" s="2" t="s">
        <v>82</v>
      </c>
      <c r="F408" s="2" t="s">
        <v>98</v>
      </c>
      <c r="G408" s="2">
        <f t="shared" si="6"/>
        <v>0.39040492957746481</v>
      </c>
      <c r="H408" s="5">
        <v>4.3226120857699808</v>
      </c>
      <c r="I408" s="2">
        <v>513</v>
      </c>
      <c r="J408" s="12">
        <f>I408/Pondération!$H$100</f>
        <v>9.0316901408450709E-2</v>
      </c>
    </row>
    <row r="409" spans="1:10" x14ac:dyDescent="0.25">
      <c r="A409" s="2" t="s">
        <v>77</v>
      </c>
      <c r="B409" s="2">
        <v>2015</v>
      </c>
      <c r="C409" s="2" t="s">
        <v>11</v>
      </c>
      <c r="D409" s="2" t="s">
        <v>41</v>
      </c>
      <c r="E409" s="2" t="s">
        <v>82</v>
      </c>
      <c r="F409" s="2" t="s">
        <v>98</v>
      </c>
      <c r="G409" s="2">
        <f t="shared" si="6"/>
        <v>0.35660211267605635</v>
      </c>
      <c r="H409" s="5">
        <v>4.3279914529914532</v>
      </c>
      <c r="I409" s="2">
        <v>468</v>
      </c>
      <c r="J409" s="12">
        <f>I409/Pondération!$H$100</f>
        <v>8.23943661971831E-2</v>
      </c>
    </row>
    <row r="410" spans="1:10" x14ac:dyDescent="0.25">
      <c r="A410" s="2" t="s">
        <v>77</v>
      </c>
      <c r="B410" s="2">
        <v>2015</v>
      </c>
      <c r="C410" s="2" t="s">
        <v>12</v>
      </c>
      <c r="D410" s="2" t="s">
        <v>41</v>
      </c>
      <c r="E410" s="2" t="s">
        <v>82</v>
      </c>
      <c r="F410" s="2" t="s">
        <v>98</v>
      </c>
      <c r="G410" s="2">
        <f t="shared" si="6"/>
        <v>0.60061619718309867</v>
      </c>
      <c r="H410" s="5">
        <v>4.3569604086845466</v>
      </c>
      <c r="I410" s="2">
        <v>783</v>
      </c>
      <c r="J410" s="12">
        <f>I410/Pondération!$H$100</f>
        <v>0.13785211267605635</v>
      </c>
    </row>
    <row r="411" spans="1:10" x14ac:dyDescent="0.25">
      <c r="A411" s="2" t="s">
        <v>77</v>
      </c>
      <c r="B411" s="2">
        <v>2015</v>
      </c>
      <c r="C411" s="2" t="s">
        <v>13</v>
      </c>
      <c r="D411" s="2" t="s">
        <v>41</v>
      </c>
      <c r="E411" s="2" t="s">
        <v>82</v>
      </c>
      <c r="F411" s="2" t="s">
        <v>98</v>
      </c>
      <c r="G411" s="2">
        <f t="shared" si="6"/>
        <v>0.73257042253521132</v>
      </c>
      <c r="H411" s="5">
        <v>4.3298647242455779</v>
      </c>
      <c r="I411" s="2">
        <v>961</v>
      </c>
      <c r="J411" s="12">
        <f>I411/Pondération!$H$100</f>
        <v>0.16919014084507042</v>
      </c>
    </row>
    <row r="412" spans="1:10" x14ac:dyDescent="0.25">
      <c r="A412" s="2" t="s">
        <v>77</v>
      </c>
      <c r="B412" s="2">
        <v>2015</v>
      </c>
      <c r="C412" s="2" t="s">
        <v>14</v>
      </c>
      <c r="D412" s="2" t="s">
        <v>41</v>
      </c>
      <c r="E412" s="2" t="s">
        <v>82</v>
      </c>
      <c r="F412" s="2" t="s">
        <v>98</v>
      </c>
      <c r="G412" s="2">
        <f t="shared" si="6"/>
        <v>0.43926056338028174</v>
      </c>
      <c r="H412" s="5">
        <v>4.3848857644991215</v>
      </c>
      <c r="I412" s="2">
        <v>569</v>
      </c>
      <c r="J412" s="12">
        <f>I412/Pondération!$H$100</f>
        <v>0.10017605633802817</v>
      </c>
    </row>
    <row r="413" spans="1:10" x14ac:dyDescent="0.25">
      <c r="A413" s="2" t="s">
        <v>77</v>
      </c>
      <c r="B413" s="2">
        <v>2015</v>
      </c>
      <c r="C413" s="2" t="s">
        <v>15</v>
      </c>
      <c r="D413" s="2" t="s">
        <v>41</v>
      </c>
      <c r="E413" s="2" t="s">
        <v>82</v>
      </c>
      <c r="F413" s="2" t="s">
        <v>98</v>
      </c>
      <c r="G413" s="2">
        <f t="shared" si="6"/>
        <v>0.4347711267605634</v>
      </c>
      <c r="H413" s="5">
        <v>4.3553791887125222</v>
      </c>
      <c r="I413" s="2">
        <v>567</v>
      </c>
      <c r="J413" s="12">
        <f>I413/Pondération!$H$100</f>
        <v>9.9823943661971837E-2</v>
      </c>
    </row>
    <row r="414" spans="1:10" x14ac:dyDescent="0.25">
      <c r="A414" s="2" t="s">
        <v>77</v>
      </c>
      <c r="B414" s="2">
        <v>2015</v>
      </c>
      <c r="C414" s="2" t="s">
        <v>16</v>
      </c>
      <c r="D414" s="2" t="s">
        <v>41</v>
      </c>
      <c r="E414" s="2" t="s">
        <v>82</v>
      </c>
      <c r="F414" s="2" t="s">
        <v>98</v>
      </c>
      <c r="G414" s="2">
        <f t="shared" si="6"/>
        <v>0.304137323943662</v>
      </c>
      <c r="H414" s="5">
        <v>4.3956743002544529</v>
      </c>
      <c r="I414" s="2">
        <v>393</v>
      </c>
      <c r="J414" s="12">
        <f>I414/Pondération!$H$100</f>
        <v>6.9190140845070427E-2</v>
      </c>
    </row>
    <row r="415" spans="1:10" x14ac:dyDescent="0.25">
      <c r="A415" s="2" t="s">
        <v>77</v>
      </c>
      <c r="B415" s="2">
        <v>2015</v>
      </c>
      <c r="C415" s="2" t="s">
        <v>17</v>
      </c>
      <c r="D415" s="2" t="s">
        <v>41</v>
      </c>
      <c r="E415" s="2" t="s">
        <v>82</v>
      </c>
      <c r="F415" s="2" t="s">
        <v>98</v>
      </c>
      <c r="G415" s="2">
        <f t="shared" si="6"/>
        <v>0.27931338028169017</v>
      </c>
      <c r="H415" s="5">
        <v>4.4192200557103067</v>
      </c>
      <c r="I415" s="2">
        <v>359</v>
      </c>
      <c r="J415" s="12">
        <f>I415/Pondération!$H$100</f>
        <v>6.3204225352112675E-2</v>
      </c>
    </row>
    <row r="416" spans="1:10" x14ac:dyDescent="0.25">
      <c r="A416" s="2" t="s">
        <v>77</v>
      </c>
      <c r="B416" s="2">
        <v>2016</v>
      </c>
      <c r="C416" s="2" t="s">
        <v>18</v>
      </c>
      <c r="D416" s="2" t="s">
        <v>41</v>
      </c>
      <c r="E416" s="2" t="s">
        <v>82</v>
      </c>
      <c r="F416" s="2" t="s">
        <v>98</v>
      </c>
      <c r="G416" s="2">
        <f t="shared" si="6"/>
        <v>0.24052315009092184</v>
      </c>
      <c r="H416" s="5">
        <v>4.4089743589743593</v>
      </c>
      <c r="I416" s="2">
        <v>390</v>
      </c>
      <c r="J416" s="12">
        <f>I416/Pondération!$G$100</f>
        <v>5.4553084347461187E-2</v>
      </c>
    </row>
    <row r="417" spans="1:10" x14ac:dyDescent="0.25">
      <c r="A417" s="2" t="s">
        <v>77</v>
      </c>
      <c r="B417" s="2">
        <v>2016</v>
      </c>
      <c r="C417" s="2" t="s">
        <v>19</v>
      </c>
      <c r="D417" s="2" t="s">
        <v>41</v>
      </c>
      <c r="E417" s="2" t="s">
        <v>82</v>
      </c>
      <c r="F417" s="2" t="s">
        <v>98</v>
      </c>
      <c r="G417" s="2">
        <f t="shared" si="6"/>
        <v>0.29661491117638833</v>
      </c>
      <c r="H417" s="5">
        <v>4.3993775933609962</v>
      </c>
      <c r="I417" s="2">
        <v>482</v>
      </c>
      <c r="J417" s="12">
        <f>I417/Pondération!$G$100</f>
        <v>6.7422017065323817E-2</v>
      </c>
    </row>
    <row r="418" spans="1:10" x14ac:dyDescent="0.25">
      <c r="A418" s="2" t="s">
        <v>77</v>
      </c>
      <c r="B418" s="2">
        <v>2016</v>
      </c>
      <c r="C418" s="2" t="s">
        <v>20</v>
      </c>
      <c r="D418" s="2" t="s">
        <v>41</v>
      </c>
      <c r="E418" s="2" t="s">
        <v>82</v>
      </c>
      <c r="F418" s="2" t="s">
        <v>98</v>
      </c>
      <c r="G418" s="2">
        <f t="shared" si="6"/>
        <v>0.32969646104350259</v>
      </c>
      <c r="H418" s="5">
        <v>4.3810408921933082</v>
      </c>
      <c r="I418" s="2">
        <v>538</v>
      </c>
      <c r="J418" s="12">
        <f>I418/Pondération!$G$100</f>
        <v>7.5255280458805432E-2</v>
      </c>
    </row>
    <row r="419" spans="1:10" x14ac:dyDescent="0.25">
      <c r="A419" s="2" t="s">
        <v>77</v>
      </c>
      <c r="B419" s="2">
        <v>2016</v>
      </c>
      <c r="C419" s="2" t="s">
        <v>21</v>
      </c>
      <c r="D419" s="2" t="s">
        <v>41</v>
      </c>
      <c r="E419" s="2" t="s">
        <v>82</v>
      </c>
      <c r="F419" s="2" t="s">
        <v>98</v>
      </c>
      <c r="G419" s="2">
        <f t="shared" si="6"/>
        <v>0.38019303399076793</v>
      </c>
      <c r="H419" s="5">
        <v>4.3557692307692308</v>
      </c>
      <c r="I419" s="2">
        <v>624</v>
      </c>
      <c r="J419" s="12">
        <f>I419/Pondération!$G$100</f>
        <v>8.7284934955937893E-2</v>
      </c>
    </row>
    <row r="420" spans="1:10" x14ac:dyDescent="0.25">
      <c r="A420" s="2" t="s">
        <v>77</v>
      </c>
      <c r="B420" s="2">
        <v>2016</v>
      </c>
      <c r="C420" s="2" t="s">
        <v>22</v>
      </c>
      <c r="D420" s="2" t="s">
        <v>41</v>
      </c>
      <c r="E420" s="2" t="s">
        <v>82</v>
      </c>
      <c r="F420" s="2" t="s">
        <v>98</v>
      </c>
      <c r="G420" s="2">
        <f t="shared" si="6"/>
        <v>0.36970205623164082</v>
      </c>
      <c r="H420" s="5">
        <v>4.3470394736842106</v>
      </c>
      <c r="I420" s="2">
        <v>608</v>
      </c>
      <c r="J420" s="12">
        <f>I420/Pondération!$G$100</f>
        <v>8.5046859700657437E-2</v>
      </c>
    </row>
    <row r="421" spans="1:10" x14ac:dyDescent="0.25">
      <c r="A421" s="2" t="s">
        <v>77</v>
      </c>
      <c r="B421" s="2">
        <v>2016</v>
      </c>
      <c r="C421" s="2" t="s">
        <v>23</v>
      </c>
      <c r="D421" s="2" t="s">
        <v>41</v>
      </c>
      <c r="E421" s="2" t="s">
        <v>82</v>
      </c>
      <c r="F421" s="2" t="s">
        <v>98</v>
      </c>
      <c r="G421" s="2">
        <f t="shared" si="6"/>
        <v>0.29451671562456283</v>
      </c>
      <c r="H421" s="5">
        <v>4.3773388773388771</v>
      </c>
      <c r="I421" s="2">
        <v>481</v>
      </c>
      <c r="J421" s="12">
        <f>I421/Pondération!$G$100</f>
        <v>6.7282137361868791E-2</v>
      </c>
    </row>
    <row r="422" spans="1:10" x14ac:dyDescent="0.25">
      <c r="A422" s="2" t="s">
        <v>77</v>
      </c>
      <c r="B422" s="2">
        <v>2016</v>
      </c>
      <c r="C422" s="2" t="s">
        <v>24</v>
      </c>
      <c r="D422" s="2" t="s">
        <v>41</v>
      </c>
      <c r="E422" s="2" t="s">
        <v>82</v>
      </c>
      <c r="F422" s="2" t="s">
        <v>98</v>
      </c>
      <c r="G422" s="2">
        <f t="shared" si="6"/>
        <v>0.46167296125332213</v>
      </c>
      <c r="H422" s="5">
        <v>4.3484848484848486</v>
      </c>
      <c r="I422" s="2">
        <v>759</v>
      </c>
      <c r="J422" s="12">
        <f>I422/Pondération!$G$100</f>
        <v>0.10616869492236676</v>
      </c>
    </row>
    <row r="423" spans="1:10" x14ac:dyDescent="0.25">
      <c r="A423" s="2" t="s">
        <v>77</v>
      </c>
      <c r="B423" s="2">
        <v>2016</v>
      </c>
      <c r="C423" s="2" t="s">
        <v>25</v>
      </c>
      <c r="D423" s="2" t="s">
        <v>41</v>
      </c>
      <c r="E423" s="2" t="s">
        <v>82</v>
      </c>
      <c r="F423" s="2" t="s">
        <v>98</v>
      </c>
      <c r="G423" s="2">
        <f t="shared" si="6"/>
        <v>0.73038187159043222</v>
      </c>
      <c r="H423" s="5">
        <v>4.3331950207468877</v>
      </c>
      <c r="I423" s="2">
        <v>1205</v>
      </c>
      <c r="J423" s="12">
        <f>I423/Pondération!$G$100</f>
        <v>0.16855504266330956</v>
      </c>
    </row>
    <row r="424" spans="1:10" x14ac:dyDescent="0.25">
      <c r="A424" s="2" t="s">
        <v>77</v>
      </c>
      <c r="B424" s="2">
        <v>2016</v>
      </c>
      <c r="C424" s="2" t="s">
        <v>26</v>
      </c>
      <c r="D424" s="2" t="s">
        <v>41</v>
      </c>
      <c r="E424" s="2" t="s">
        <v>82</v>
      </c>
      <c r="F424" s="2" t="s">
        <v>98</v>
      </c>
      <c r="G424" s="2">
        <f t="shared" si="6"/>
        <v>0.37396838718701919</v>
      </c>
      <c r="H424" s="5">
        <v>4.3684640522875817</v>
      </c>
      <c r="I424" s="2">
        <v>612</v>
      </c>
      <c r="J424" s="12">
        <f>I424/Pondération!$G$100</f>
        <v>8.5606378514477555E-2</v>
      </c>
    </row>
    <row r="425" spans="1:10" x14ac:dyDescent="0.25">
      <c r="A425" s="2" t="s">
        <v>77</v>
      </c>
      <c r="B425" s="2">
        <v>2016</v>
      </c>
      <c r="C425" s="2" t="s">
        <v>27</v>
      </c>
      <c r="D425" s="2" t="s">
        <v>41</v>
      </c>
      <c r="E425" s="2" t="s">
        <v>82</v>
      </c>
      <c r="F425" s="2" t="s">
        <v>98</v>
      </c>
      <c r="G425" s="2">
        <f t="shared" si="6"/>
        <v>0.36005035669324381</v>
      </c>
      <c r="H425" s="5">
        <v>4.3627118644067799</v>
      </c>
      <c r="I425" s="2">
        <v>590</v>
      </c>
      <c r="J425" s="12">
        <f>I425/Pondération!$G$100</f>
        <v>8.2529025038466916E-2</v>
      </c>
    </row>
    <row r="426" spans="1:10" x14ac:dyDescent="0.25">
      <c r="A426" s="2" t="s">
        <v>77</v>
      </c>
      <c r="B426" s="2">
        <v>2016</v>
      </c>
      <c r="C426" s="2" t="s">
        <v>28</v>
      </c>
      <c r="D426" s="2" t="s">
        <v>41</v>
      </c>
      <c r="E426" s="2" t="s">
        <v>82</v>
      </c>
      <c r="F426" s="2" t="s">
        <v>98</v>
      </c>
      <c r="G426" s="2">
        <f t="shared" si="6"/>
        <v>0.30542733249405513</v>
      </c>
      <c r="H426" s="5">
        <v>4.3757515030060121</v>
      </c>
      <c r="I426" s="2">
        <v>499</v>
      </c>
      <c r="J426" s="12">
        <f>I426/Pondération!$G$100</f>
        <v>6.9799972024059312E-2</v>
      </c>
    </row>
    <row r="427" spans="1:10" x14ac:dyDescent="0.25">
      <c r="A427" s="2" t="s">
        <v>77</v>
      </c>
      <c r="B427" s="2">
        <v>2016</v>
      </c>
      <c r="C427" s="2" t="s">
        <v>29</v>
      </c>
      <c r="D427" s="2" t="s">
        <v>41</v>
      </c>
      <c r="E427" s="2" t="s">
        <v>82</v>
      </c>
      <c r="F427" s="2" t="s">
        <v>98</v>
      </c>
      <c r="G427" s="2">
        <f t="shared" si="6"/>
        <v>0.2212896908658554</v>
      </c>
      <c r="H427" s="5">
        <v>4.3822714681440447</v>
      </c>
      <c r="I427" s="2">
        <v>361</v>
      </c>
      <c r="J427" s="12">
        <f>I427/Pondération!$G$100</f>
        <v>5.0496572947265353E-2</v>
      </c>
    </row>
    <row r="428" spans="1:10" x14ac:dyDescent="0.25">
      <c r="A428" s="2" t="s">
        <v>77</v>
      </c>
      <c r="B428" s="2">
        <v>2017</v>
      </c>
      <c r="C428" s="2" t="s">
        <v>30</v>
      </c>
      <c r="D428" s="2" t="s">
        <v>41</v>
      </c>
      <c r="E428" s="2" t="s">
        <v>82</v>
      </c>
      <c r="F428" s="2" t="s">
        <v>98</v>
      </c>
      <c r="G428" s="2">
        <f t="shared" si="6"/>
        <v>0.55353280461427534</v>
      </c>
      <c r="H428" s="5">
        <v>4.387142857142857</v>
      </c>
      <c r="I428" s="2">
        <v>350</v>
      </c>
      <c r="J428" s="12">
        <f>I428/Pondération!$F$100</f>
        <v>0.12617159336697908</v>
      </c>
    </row>
    <row r="429" spans="1:10" x14ac:dyDescent="0.25">
      <c r="A429" s="2" t="s">
        <v>77</v>
      </c>
      <c r="B429" s="2">
        <v>2017</v>
      </c>
      <c r="C429" s="2" t="s">
        <v>31</v>
      </c>
      <c r="D429" s="2" t="s">
        <v>41</v>
      </c>
      <c r="E429" s="2" t="s">
        <v>82</v>
      </c>
      <c r="F429" s="2" t="s">
        <v>98</v>
      </c>
      <c r="G429" s="2">
        <f t="shared" si="6"/>
        <v>0.70079307858687823</v>
      </c>
      <c r="H429" s="5">
        <v>4.368539325842697</v>
      </c>
      <c r="I429" s="2">
        <v>445</v>
      </c>
      <c r="J429" s="12">
        <f>I429/Pondération!$F$100</f>
        <v>0.16041816870944484</v>
      </c>
    </row>
    <row r="430" spans="1:10" x14ac:dyDescent="0.25">
      <c r="A430" s="2" t="s">
        <v>77</v>
      </c>
      <c r="B430" s="2">
        <v>2017</v>
      </c>
      <c r="C430" s="2" t="s">
        <v>32</v>
      </c>
      <c r="D430" s="2" t="s">
        <v>41</v>
      </c>
      <c r="E430" s="2" t="s">
        <v>82</v>
      </c>
      <c r="F430" s="2" t="s">
        <v>98</v>
      </c>
      <c r="G430" s="2">
        <f t="shared" si="6"/>
        <v>0.70475847152126891</v>
      </c>
      <c r="H430" s="5">
        <v>4.3638392857142856</v>
      </c>
      <c r="I430" s="2">
        <v>448</v>
      </c>
      <c r="J430" s="12">
        <f>I430/Pondération!$F$100</f>
        <v>0.16149963950973323</v>
      </c>
    </row>
    <row r="431" spans="1:10" x14ac:dyDescent="0.25">
      <c r="A431" s="2" t="s">
        <v>77</v>
      </c>
      <c r="B431" s="2">
        <v>2017</v>
      </c>
      <c r="C431" s="2" t="s">
        <v>33</v>
      </c>
      <c r="D431" s="2" t="s">
        <v>41</v>
      </c>
      <c r="E431" s="2" t="s">
        <v>82</v>
      </c>
      <c r="F431" s="2" t="s">
        <v>98</v>
      </c>
      <c r="G431" s="2">
        <f t="shared" si="6"/>
        <v>1.0620043258832013</v>
      </c>
      <c r="H431" s="5">
        <v>4.3451327433628322</v>
      </c>
      <c r="I431" s="2">
        <v>678</v>
      </c>
      <c r="J431" s="12">
        <f>I431/Pondération!$F$100</f>
        <v>0.24441240086517663</v>
      </c>
    </row>
    <row r="432" spans="1:10" x14ac:dyDescent="0.25">
      <c r="A432" s="2" t="s">
        <v>77</v>
      </c>
      <c r="B432" s="2">
        <v>2017</v>
      </c>
      <c r="C432" s="2" t="s">
        <v>34</v>
      </c>
      <c r="D432" s="2" t="s">
        <v>41</v>
      </c>
      <c r="E432" s="2" t="s">
        <v>82</v>
      </c>
      <c r="F432" s="2" t="s">
        <v>98</v>
      </c>
      <c r="G432" s="2">
        <f t="shared" si="6"/>
        <v>0.93421052631578938</v>
      </c>
      <c r="H432" s="5">
        <v>4.3701517706576727</v>
      </c>
      <c r="I432" s="2">
        <v>593</v>
      </c>
      <c r="J432" s="12">
        <f>I432/Pondération!$F$100</f>
        <v>0.21377072819033885</v>
      </c>
    </row>
    <row r="433" spans="1:10" x14ac:dyDescent="0.25">
      <c r="A433" s="2" t="s">
        <v>77</v>
      </c>
      <c r="B433" s="2">
        <v>2017</v>
      </c>
      <c r="C433" s="2" t="s">
        <v>80</v>
      </c>
      <c r="D433" s="2" t="s">
        <v>41</v>
      </c>
      <c r="E433" s="2" t="s">
        <v>82</v>
      </c>
      <c r="F433" s="2" t="s">
        <v>98</v>
      </c>
      <c r="G433" s="2">
        <f t="shared" si="6"/>
        <v>0.40699351117519822</v>
      </c>
      <c r="H433" s="5">
        <v>4.342307692307692</v>
      </c>
      <c r="I433" s="2">
        <v>260</v>
      </c>
      <c r="J433" s="12">
        <f>I433/Pondération!$F$100</f>
        <v>9.372746935832732E-2</v>
      </c>
    </row>
    <row r="434" spans="1:10" x14ac:dyDescent="0.25">
      <c r="A434" s="2" t="s">
        <v>77</v>
      </c>
      <c r="B434" s="2">
        <v>2013</v>
      </c>
      <c r="C434" s="2" t="s">
        <v>49</v>
      </c>
      <c r="D434" s="2" t="s">
        <v>42</v>
      </c>
      <c r="E434" s="2" t="s">
        <v>82</v>
      </c>
      <c r="F434" s="2" t="s">
        <v>98</v>
      </c>
      <c r="G434" s="2">
        <f t="shared" si="6"/>
        <v>0.16864295125164688</v>
      </c>
      <c r="H434" s="5">
        <v>4.4137931034482758</v>
      </c>
      <c r="I434" s="2">
        <v>29</v>
      </c>
      <c r="J434" s="12">
        <f>I434/Pondération!$J$113</f>
        <v>3.8208168642951248E-2</v>
      </c>
    </row>
    <row r="435" spans="1:10" x14ac:dyDescent="0.25">
      <c r="A435" s="2" t="s">
        <v>77</v>
      </c>
      <c r="B435" s="2">
        <v>2013</v>
      </c>
      <c r="C435" s="2" t="s">
        <v>50</v>
      </c>
      <c r="D435" s="2" t="s">
        <v>42</v>
      </c>
      <c r="E435" s="2" t="s">
        <v>82</v>
      </c>
      <c r="F435" s="2" t="s">
        <v>98</v>
      </c>
      <c r="G435" s="2">
        <f t="shared" si="6"/>
        <v>0.17193675889328061</v>
      </c>
      <c r="H435" s="5">
        <v>4.3499999999999996</v>
      </c>
      <c r="I435" s="2">
        <v>30</v>
      </c>
      <c r="J435" s="12">
        <f>I435/Pondération!$J$113</f>
        <v>3.9525691699604744E-2</v>
      </c>
    </row>
    <row r="436" spans="1:10" x14ac:dyDescent="0.25">
      <c r="A436" s="2" t="s">
        <v>77</v>
      </c>
      <c r="B436" s="2">
        <v>2013</v>
      </c>
      <c r="C436" s="2" t="s">
        <v>51</v>
      </c>
      <c r="D436" s="2" t="s">
        <v>42</v>
      </c>
      <c r="E436" s="2" t="s">
        <v>82</v>
      </c>
      <c r="F436" s="2" t="s">
        <v>98</v>
      </c>
      <c r="G436" s="2">
        <f t="shared" si="6"/>
        <v>0.26152832674571802</v>
      </c>
      <c r="H436" s="5">
        <v>4.3152173913043477</v>
      </c>
      <c r="I436" s="2">
        <v>46</v>
      </c>
      <c r="J436" s="12">
        <f>I436/Pondération!$J$113</f>
        <v>6.0606060606060608E-2</v>
      </c>
    </row>
    <row r="437" spans="1:10" x14ac:dyDescent="0.25">
      <c r="A437" s="2" t="s">
        <v>77</v>
      </c>
      <c r="B437" s="2">
        <v>2013</v>
      </c>
      <c r="C437" s="2" t="s">
        <v>52</v>
      </c>
      <c r="D437" s="2" t="s">
        <v>42</v>
      </c>
      <c r="E437" s="2" t="s">
        <v>82</v>
      </c>
      <c r="F437" s="2" t="s">
        <v>98</v>
      </c>
      <c r="G437" s="2">
        <f t="shared" si="6"/>
        <v>0.3188405797101449</v>
      </c>
      <c r="H437" s="5">
        <v>4.2456140350877192</v>
      </c>
      <c r="I437" s="2">
        <v>57</v>
      </c>
      <c r="J437" s="12">
        <f>I437/Pondération!$J$113</f>
        <v>7.5098814229249009E-2</v>
      </c>
    </row>
    <row r="438" spans="1:10" x14ac:dyDescent="0.25">
      <c r="A438" s="2" t="s">
        <v>77</v>
      </c>
      <c r="B438" s="2">
        <v>2013</v>
      </c>
      <c r="C438" s="2" t="s">
        <v>53</v>
      </c>
      <c r="D438" s="2" t="s">
        <v>42</v>
      </c>
      <c r="E438" s="2" t="s">
        <v>82</v>
      </c>
      <c r="F438" s="2" t="s">
        <v>98</v>
      </c>
      <c r="G438" s="2">
        <f t="shared" si="6"/>
        <v>0.45915678524374182</v>
      </c>
      <c r="H438" s="5">
        <v>4.25</v>
      </c>
      <c r="I438" s="2">
        <v>82</v>
      </c>
      <c r="J438" s="12">
        <f>I438/Pondération!$J$113</f>
        <v>0.1080368906455863</v>
      </c>
    </row>
    <row r="439" spans="1:10" x14ac:dyDescent="0.25">
      <c r="A439" s="2" t="s">
        <v>77</v>
      </c>
      <c r="B439" s="2">
        <v>2013</v>
      </c>
      <c r="C439" s="2" t="s">
        <v>54</v>
      </c>
      <c r="D439" s="2" t="s">
        <v>42</v>
      </c>
      <c r="E439" s="2" t="s">
        <v>82</v>
      </c>
      <c r="F439" s="2" t="s">
        <v>98</v>
      </c>
      <c r="G439" s="2">
        <f t="shared" si="6"/>
        <v>0.33992094861660077</v>
      </c>
      <c r="H439" s="5">
        <v>4.2295081967213113</v>
      </c>
      <c r="I439" s="2">
        <v>61</v>
      </c>
      <c r="J439" s="12">
        <f>I439/Pondération!$J$113</f>
        <v>8.0368906455862976E-2</v>
      </c>
    </row>
    <row r="440" spans="1:10" x14ac:dyDescent="0.25">
      <c r="A440" s="2" t="s">
        <v>77</v>
      </c>
      <c r="B440" s="2">
        <v>2013</v>
      </c>
      <c r="C440" s="2" t="s">
        <v>55</v>
      </c>
      <c r="D440" s="2" t="s">
        <v>42</v>
      </c>
      <c r="E440" s="2" t="s">
        <v>82</v>
      </c>
      <c r="F440" s="2" t="s">
        <v>98</v>
      </c>
      <c r="G440" s="2">
        <f t="shared" si="6"/>
        <v>0.58432147562582337</v>
      </c>
      <c r="H440" s="5">
        <v>4.3480392156862742</v>
      </c>
      <c r="I440" s="2">
        <v>102</v>
      </c>
      <c r="J440" s="12">
        <f>I440/Pondération!$J$113</f>
        <v>0.13438735177865613</v>
      </c>
    </row>
    <row r="441" spans="1:10" x14ac:dyDescent="0.25">
      <c r="A441" s="2" t="s">
        <v>77</v>
      </c>
      <c r="B441" s="2">
        <v>2013</v>
      </c>
      <c r="C441" s="2" t="s">
        <v>56</v>
      </c>
      <c r="D441" s="2" t="s">
        <v>42</v>
      </c>
      <c r="E441" s="2" t="s">
        <v>82</v>
      </c>
      <c r="F441" s="2" t="s">
        <v>98</v>
      </c>
      <c r="G441" s="2">
        <f t="shared" si="6"/>
        <v>1.0500658761528328</v>
      </c>
      <c r="H441" s="5">
        <v>4.28494623655914</v>
      </c>
      <c r="I441" s="2">
        <v>186</v>
      </c>
      <c r="J441" s="12">
        <f>I441/Pondération!$J$113</f>
        <v>0.24505928853754941</v>
      </c>
    </row>
    <row r="442" spans="1:10" x14ac:dyDescent="0.25">
      <c r="A442" s="2" t="s">
        <v>77</v>
      </c>
      <c r="B442" s="2">
        <v>2013</v>
      </c>
      <c r="C442" s="2" t="s">
        <v>57</v>
      </c>
      <c r="D442" s="2" t="s">
        <v>42</v>
      </c>
      <c r="E442" s="2" t="s">
        <v>82</v>
      </c>
      <c r="F442" s="2" t="s">
        <v>98</v>
      </c>
      <c r="G442" s="2">
        <f t="shared" si="6"/>
        <v>0.38801054018445325</v>
      </c>
      <c r="H442" s="5">
        <v>4.3308823529411766</v>
      </c>
      <c r="I442" s="2">
        <v>68</v>
      </c>
      <c r="J442" s="12">
        <f>I442/Pondération!$J$113</f>
        <v>8.9591567852437423E-2</v>
      </c>
    </row>
    <row r="443" spans="1:10" x14ac:dyDescent="0.25">
      <c r="A443" s="2" t="s">
        <v>77</v>
      </c>
      <c r="B443" s="2">
        <v>2013</v>
      </c>
      <c r="C443" s="2" t="s">
        <v>58</v>
      </c>
      <c r="D443" s="2" t="s">
        <v>42</v>
      </c>
      <c r="E443" s="2" t="s">
        <v>82</v>
      </c>
      <c r="F443" s="2" t="s">
        <v>98</v>
      </c>
      <c r="G443" s="2">
        <f t="shared" si="6"/>
        <v>0.28985507246376813</v>
      </c>
      <c r="H443" s="5">
        <v>4.3137254901960782</v>
      </c>
      <c r="I443" s="2">
        <v>51</v>
      </c>
      <c r="J443" s="12">
        <f>I443/Pondération!$J$113</f>
        <v>6.7193675889328064E-2</v>
      </c>
    </row>
    <row r="444" spans="1:10" x14ac:dyDescent="0.25">
      <c r="A444" s="2" t="s">
        <v>77</v>
      </c>
      <c r="B444" s="2">
        <v>2013</v>
      </c>
      <c r="C444" s="2" t="s">
        <v>59</v>
      </c>
      <c r="D444" s="2" t="s">
        <v>42</v>
      </c>
      <c r="E444" s="2" t="s">
        <v>82</v>
      </c>
      <c r="F444" s="2" t="s">
        <v>98</v>
      </c>
      <c r="G444" s="2">
        <f t="shared" si="6"/>
        <v>0.1567852437417655</v>
      </c>
      <c r="H444" s="5">
        <v>4.4074074074074074</v>
      </c>
      <c r="I444" s="2">
        <v>27</v>
      </c>
      <c r="J444" s="12">
        <f>I444/Pondération!$J$113</f>
        <v>3.5573122529644272E-2</v>
      </c>
    </row>
    <row r="445" spans="1:10" x14ac:dyDescent="0.25">
      <c r="A445" s="2" t="s">
        <v>77</v>
      </c>
      <c r="B445" s="2">
        <v>2013</v>
      </c>
      <c r="C445" s="2" t="s">
        <v>60</v>
      </c>
      <c r="D445" s="2" t="s">
        <v>42</v>
      </c>
      <c r="E445" s="2" t="s">
        <v>82</v>
      </c>
      <c r="F445" s="2" t="s">
        <v>98</v>
      </c>
      <c r="G445" s="2">
        <f t="shared" si="6"/>
        <v>0.11660079051383399</v>
      </c>
      <c r="H445" s="5">
        <v>4.4249999999999998</v>
      </c>
      <c r="I445" s="2">
        <v>20</v>
      </c>
      <c r="J445" s="12">
        <f>I445/Pondération!$J$113</f>
        <v>2.6350461133069828E-2</v>
      </c>
    </row>
    <row r="446" spans="1:10" x14ac:dyDescent="0.25">
      <c r="A446" s="2" t="s">
        <v>77</v>
      </c>
      <c r="B446" s="2">
        <v>2014</v>
      </c>
      <c r="C446" s="2" t="s">
        <v>61</v>
      </c>
      <c r="D446" s="2" t="s">
        <v>42</v>
      </c>
      <c r="E446" s="2" t="s">
        <v>82</v>
      </c>
      <c r="F446" s="2" t="s">
        <v>98</v>
      </c>
      <c r="G446" s="2">
        <f t="shared" si="6"/>
        <v>8.4922010398613509E-2</v>
      </c>
      <c r="H446" s="5">
        <v>4.4545454545454541</v>
      </c>
      <c r="I446" s="2">
        <v>22</v>
      </c>
      <c r="J446" s="12">
        <f>I446/Pondération!$I$113</f>
        <v>1.9064124783362217E-2</v>
      </c>
    </row>
    <row r="447" spans="1:10" x14ac:dyDescent="0.25">
      <c r="A447" s="2" t="s">
        <v>77</v>
      </c>
      <c r="B447" s="2">
        <v>2014</v>
      </c>
      <c r="C447" s="2" t="s">
        <v>62</v>
      </c>
      <c r="D447" s="2" t="s">
        <v>42</v>
      </c>
      <c r="E447" s="2" t="s">
        <v>82</v>
      </c>
      <c r="F447" s="2" t="s">
        <v>98</v>
      </c>
      <c r="G447" s="2">
        <f t="shared" si="6"/>
        <v>8.6221837088388209E-2</v>
      </c>
      <c r="H447" s="5">
        <v>4.3260869565217392</v>
      </c>
      <c r="I447" s="2">
        <v>23</v>
      </c>
      <c r="J447" s="12">
        <f>I447/Pondération!$I$113</f>
        <v>1.9930675909878681E-2</v>
      </c>
    </row>
    <row r="448" spans="1:10" x14ac:dyDescent="0.25">
      <c r="A448" s="2" t="s">
        <v>77</v>
      </c>
      <c r="B448" s="2">
        <v>2014</v>
      </c>
      <c r="C448" s="2" t="s">
        <v>63</v>
      </c>
      <c r="D448" s="2" t="s">
        <v>42</v>
      </c>
      <c r="E448" s="2" t="s">
        <v>82</v>
      </c>
      <c r="F448" s="2" t="s">
        <v>98</v>
      </c>
      <c r="G448" s="2">
        <f t="shared" si="6"/>
        <v>0.13561525129982668</v>
      </c>
      <c r="H448" s="5">
        <v>4.3472222222222223</v>
      </c>
      <c r="I448" s="2">
        <v>36</v>
      </c>
      <c r="J448" s="12">
        <f>I448/Pondération!$I$113</f>
        <v>3.1195840554592721E-2</v>
      </c>
    </row>
    <row r="449" spans="1:10" x14ac:dyDescent="0.25">
      <c r="A449" s="2" t="s">
        <v>77</v>
      </c>
      <c r="B449" s="2">
        <v>2014</v>
      </c>
      <c r="C449" s="2" t="s">
        <v>64</v>
      </c>
      <c r="D449" s="2" t="s">
        <v>42</v>
      </c>
      <c r="E449" s="2" t="s">
        <v>82</v>
      </c>
      <c r="F449" s="2" t="s">
        <v>98</v>
      </c>
      <c r="G449" s="2">
        <f t="shared" si="6"/>
        <v>0.2603986135181976</v>
      </c>
      <c r="H449" s="5">
        <v>4.232394366197183</v>
      </c>
      <c r="I449" s="2">
        <v>71</v>
      </c>
      <c r="J449" s="12">
        <f>I449/Pondération!$I$113</f>
        <v>6.1525129982668979E-2</v>
      </c>
    </row>
    <row r="450" spans="1:10" x14ac:dyDescent="0.25">
      <c r="A450" s="2" t="s">
        <v>77</v>
      </c>
      <c r="B450" s="2">
        <v>2014</v>
      </c>
      <c r="C450" s="2" t="s">
        <v>65</v>
      </c>
      <c r="D450" s="2" t="s">
        <v>42</v>
      </c>
      <c r="E450" s="2" t="s">
        <v>82</v>
      </c>
      <c r="F450" s="2" t="s">
        <v>98</v>
      </c>
      <c r="G450" s="2">
        <f t="shared" si="6"/>
        <v>0.49393414211438474</v>
      </c>
      <c r="H450" s="5">
        <v>4.2222222222222223</v>
      </c>
      <c r="I450" s="2">
        <v>135</v>
      </c>
      <c r="J450" s="12">
        <f>I450/Pondération!$I$113</f>
        <v>0.1169844020797227</v>
      </c>
    </row>
    <row r="451" spans="1:10" x14ac:dyDescent="0.25">
      <c r="A451" s="2" t="s">
        <v>77</v>
      </c>
      <c r="B451" s="2">
        <v>2014</v>
      </c>
      <c r="C451" s="2" t="s">
        <v>66</v>
      </c>
      <c r="D451" s="2" t="s">
        <v>42</v>
      </c>
      <c r="E451" s="2" t="s">
        <v>82</v>
      </c>
      <c r="F451" s="2" t="s">
        <v>98</v>
      </c>
      <c r="G451" s="2">
        <f t="shared" ref="G451:G514" si="7">H451*J451</f>
        <v>0.35268630849220106</v>
      </c>
      <c r="H451" s="5">
        <v>4.2842105263157899</v>
      </c>
      <c r="I451" s="2">
        <v>95</v>
      </c>
      <c r="J451" s="12">
        <f>I451/Pondération!$I$113</f>
        <v>8.2322357019064124E-2</v>
      </c>
    </row>
    <row r="452" spans="1:10" x14ac:dyDescent="0.25">
      <c r="A452" s="2" t="s">
        <v>77</v>
      </c>
      <c r="B452" s="2">
        <v>2014</v>
      </c>
      <c r="C452" s="2" t="s">
        <v>67</v>
      </c>
      <c r="D452" s="2" t="s">
        <v>42</v>
      </c>
      <c r="E452" s="2" t="s">
        <v>82</v>
      </c>
      <c r="F452" s="2" t="s">
        <v>98</v>
      </c>
      <c r="G452" s="2">
        <f t="shared" si="7"/>
        <v>0.5</v>
      </c>
      <c r="H452" s="5">
        <v>4.3059701492537314</v>
      </c>
      <c r="I452" s="2">
        <v>134</v>
      </c>
      <c r="J452" s="12">
        <f>I452/Pondération!$I$113</f>
        <v>0.11611785095320624</v>
      </c>
    </row>
    <row r="453" spans="1:10" x14ac:dyDescent="0.25">
      <c r="A453" s="2" t="s">
        <v>77</v>
      </c>
      <c r="B453" s="2">
        <v>2014</v>
      </c>
      <c r="C453" s="2" t="s">
        <v>68</v>
      </c>
      <c r="D453" s="2" t="s">
        <v>42</v>
      </c>
      <c r="E453" s="2" t="s">
        <v>82</v>
      </c>
      <c r="F453" s="2" t="s">
        <v>98</v>
      </c>
      <c r="G453" s="2">
        <f t="shared" si="7"/>
        <v>1.0446273830155979</v>
      </c>
      <c r="H453" s="5">
        <v>4.3053571428571429</v>
      </c>
      <c r="I453" s="2">
        <v>280</v>
      </c>
      <c r="J453" s="12">
        <f>I453/Pondération!$I$113</f>
        <v>0.24263431542461006</v>
      </c>
    </row>
    <row r="454" spans="1:10" x14ac:dyDescent="0.25">
      <c r="A454" s="2" t="s">
        <v>77</v>
      </c>
      <c r="B454" s="2">
        <v>2014</v>
      </c>
      <c r="C454" s="2" t="s">
        <v>69</v>
      </c>
      <c r="D454" s="2" t="s">
        <v>42</v>
      </c>
      <c r="E454" s="2" t="s">
        <v>82</v>
      </c>
      <c r="F454" s="2" t="s">
        <v>98</v>
      </c>
      <c r="G454" s="2">
        <f t="shared" si="7"/>
        <v>0.54332755632582308</v>
      </c>
      <c r="H454" s="5">
        <v>4.2945205479452051</v>
      </c>
      <c r="I454" s="2">
        <v>146</v>
      </c>
      <c r="J454" s="12">
        <f>I454/Pondération!$I$113</f>
        <v>0.1265164644714038</v>
      </c>
    </row>
    <row r="455" spans="1:10" x14ac:dyDescent="0.25">
      <c r="A455" s="2" t="s">
        <v>77</v>
      </c>
      <c r="B455" s="2">
        <v>2014</v>
      </c>
      <c r="C455" s="2" t="s">
        <v>70</v>
      </c>
      <c r="D455" s="2" t="s">
        <v>42</v>
      </c>
      <c r="E455" s="2" t="s">
        <v>82</v>
      </c>
      <c r="F455" s="2" t="s">
        <v>98</v>
      </c>
      <c r="G455" s="2">
        <f t="shared" si="7"/>
        <v>0.36481802426343152</v>
      </c>
      <c r="H455" s="5">
        <v>4.2525252525252526</v>
      </c>
      <c r="I455" s="2">
        <v>99</v>
      </c>
      <c r="J455" s="12">
        <f>I455/Pondération!$I$113</f>
        <v>8.578856152512998E-2</v>
      </c>
    </row>
    <row r="456" spans="1:10" x14ac:dyDescent="0.25">
      <c r="A456" s="2" t="s">
        <v>77</v>
      </c>
      <c r="B456" s="2">
        <v>2014</v>
      </c>
      <c r="C456" s="2" t="s">
        <v>71</v>
      </c>
      <c r="D456" s="2" t="s">
        <v>42</v>
      </c>
      <c r="E456" s="2" t="s">
        <v>82</v>
      </c>
      <c r="F456" s="2" t="s">
        <v>98</v>
      </c>
      <c r="G456" s="2">
        <f t="shared" si="7"/>
        <v>0.25779896013864817</v>
      </c>
      <c r="H456" s="5">
        <v>4.375</v>
      </c>
      <c r="I456" s="2">
        <v>68</v>
      </c>
      <c r="J456" s="12">
        <f>I456/Pondération!$I$113</f>
        <v>5.8925476603119586E-2</v>
      </c>
    </row>
    <row r="457" spans="1:10" x14ac:dyDescent="0.25">
      <c r="A457" s="2" t="s">
        <v>77</v>
      </c>
      <c r="B457" s="2">
        <v>2014</v>
      </c>
      <c r="C457" s="2" t="s">
        <v>72</v>
      </c>
      <c r="D457" s="2" t="s">
        <v>42</v>
      </c>
      <c r="E457" s="2" t="s">
        <v>82</v>
      </c>
      <c r="F457" s="2" t="s">
        <v>98</v>
      </c>
      <c r="G457" s="2">
        <f t="shared" si="7"/>
        <v>0.17027729636048525</v>
      </c>
      <c r="H457" s="5">
        <v>4.3666666666666663</v>
      </c>
      <c r="I457" s="2">
        <v>45</v>
      </c>
      <c r="J457" s="12">
        <f>I457/Pondération!$I$113</f>
        <v>3.8994800693240898E-2</v>
      </c>
    </row>
    <row r="458" spans="1:10" x14ac:dyDescent="0.25">
      <c r="A458" s="2" t="s">
        <v>77</v>
      </c>
      <c r="B458" s="2">
        <v>2015</v>
      </c>
      <c r="C458" s="2" t="s">
        <v>73</v>
      </c>
      <c r="D458" s="2" t="s">
        <v>42</v>
      </c>
      <c r="E458" s="2" t="s">
        <v>82</v>
      </c>
      <c r="F458" s="2" t="s">
        <v>98</v>
      </c>
      <c r="G458" s="2">
        <f t="shared" si="7"/>
        <v>7.2991508817766171E-2</v>
      </c>
      <c r="H458" s="5">
        <v>4.216981132075472</v>
      </c>
      <c r="I458" s="2">
        <v>53</v>
      </c>
      <c r="J458" s="12">
        <f>I458/Pondération!$H$113</f>
        <v>1.7308948399738733E-2</v>
      </c>
    </row>
    <row r="459" spans="1:10" x14ac:dyDescent="0.25">
      <c r="A459" s="2" t="s">
        <v>77</v>
      </c>
      <c r="B459" s="2">
        <v>2015</v>
      </c>
      <c r="C459" s="2" t="s">
        <v>74</v>
      </c>
      <c r="D459" s="2" t="s">
        <v>42</v>
      </c>
      <c r="E459" s="2" t="s">
        <v>82</v>
      </c>
      <c r="F459" s="2" t="s">
        <v>98</v>
      </c>
      <c r="G459" s="2">
        <f t="shared" si="7"/>
        <v>0.12459177008491182</v>
      </c>
      <c r="H459" s="5">
        <v>4.3352272727272725</v>
      </c>
      <c r="I459" s="2">
        <v>88</v>
      </c>
      <c r="J459" s="12">
        <f>I459/Pondération!$H$113</f>
        <v>2.8739386022207707E-2</v>
      </c>
    </row>
    <row r="460" spans="1:10" x14ac:dyDescent="0.25">
      <c r="A460" s="2" t="s">
        <v>77</v>
      </c>
      <c r="B460" s="2">
        <v>2015</v>
      </c>
      <c r="C460" s="2" t="s">
        <v>75</v>
      </c>
      <c r="D460" s="2" t="s">
        <v>42</v>
      </c>
      <c r="E460" s="2" t="s">
        <v>82</v>
      </c>
      <c r="F460" s="2" t="s">
        <v>98</v>
      </c>
      <c r="G460" s="2">
        <f t="shared" si="7"/>
        <v>0.16067929457870675</v>
      </c>
      <c r="H460" s="5">
        <v>4.3157894736842106</v>
      </c>
      <c r="I460" s="2">
        <v>114</v>
      </c>
      <c r="J460" s="12">
        <f>I460/Pondération!$H$113</f>
        <v>3.7230568256041804E-2</v>
      </c>
    </row>
    <row r="461" spans="1:10" x14ac:dyDescent="0.25">
      <c r="A461" s="2" t="s">
        <v>77</v>
      </c>
      <c r="B461" s="2">
        <v>2015</v>
      </c>
      <c r="C461" s="2" t="s">
        <v>76</v>
      </c>
      <c r="D461" s="2" t="s">
        <v>42</v>
      </c>
      <c r="E461" s="2" t="s">
        <v>82</v>
      </c>
      <c r="F461" s="2" t="s">
        <v>98</v>
      </c>
      <c r="G461" s="2">
        <f t="shared" si="7"/>
        <v>0.26436969301110386</v>
      </c>
      <c r="H461" s="5">
        <v>4.1943005181347148</v>
      </c>
      <c r="I461" s="2">
        <v>193</v>
      </c>
      <c r="J461" s="12">
        <f>I461/Pondération!$H$113</f>
        <v>6.3030698889614628E-2</v>
      </c>
    </row>
    <row r="462" spans="1:10" x14ac:dyDescent="0.25">
      <c r="A462" s="2" t="s">
        <v>77</v>
      </c>
      <c r="B462" s="2">
        <v>2015</v>
      </c>
      <c r="C462" s="2" t="s">
        <v>7</v>
      </c>
      <c r="D462" s="2" t="s">
        <v>42</v>
      </c>
      <c r="E462" s="2" t="s">
        <v>82</v>
      </c>
      <c r="F462" s="2" t="s">
        <v>98</v>
      </c>
      <c r="G462" s="2">
        <f t="shared" si="7"/>
        <v>0.41966035271064667</v>
      </c>
      <c r="H462" s="5">
        <v>4.2409240924092408</v>
      </c>
      <c r="I462" s="2">
        <v>303</v>
      </c>
      <c r="J462" s="12">
        <f>I462/Pondération!$H$113</f>
        <v>9.895493141737427E-2</v>
      </c>
    </row>
    <row r="463" spans="1:10" x14ac:dyDescent="0.25">
      <c r="A463" s="2" t="s">
        <v>77</v>
      </c>
      <c r="B463" s="2">
        <v>2015</v>
      </c>
      <c r="C463" s="2" t="s">
        <v>11</v>
      </c>
      <c r="D463" s="2" t="s">
        <v>42</v>
      </c>
      <c r="E463" s="2" t="s">
        <v>82</v>
      </c>
      <c r="F463" s="2" t="s">
        <v>98</v>
      </c>
      <c r="G463" s="2">
        <f t="shared" si="7"/>
        <v>0.33017635532331807</v>
      </c>
      <c r="H463" s="5">
        <v>4.2658227848101262</v>
      </c>
      <c r="I463" s="2">
        <v>237</v>
      </c>
      <c r="J463" s="12">
        <f>I463/Pondération!$H$113</f>
        <v>7.7400391900718485E-2</v>
      </c>
    </row>
    <row r="464" spans="1:10" x14ac:dyDescent="0.25">
      <c r="A464" s="2" t="s">
        <v>77</v>
      </c>
      <c r="B464" s="2">
        <v>2015</v>
      </c>
      <c r="C464" s="2" t="s">
        <v>12</v>
      </c>
      <c r="D464" s="2" t="s">
        <v>42</v>
      </c>
      <c r="E464" s="2" t="s">
        <v>82</v>
      </c>
      <c r="F464" s="2" t="s">
        <v>98</v>
      </c>
      <c r="G464" s="2">
        <f t="shared" si="7"/>
        <v>0.65627041149575438</v>
      </c>
      <c r="H464" s="5">
        <v>4.2664543524416132</v>
      </c>
      <c r="I464" s="2">
        <v>471</v>
      </c>
      <c r="J464" s="12">
        <f>I464/Pondération!$H$113</f>
        <v>0.15382103200522534</v>
      </c>
    </row>
    <row r="465" spans="1:10" x14ac:dyDescent="0.25">
      <c r="A465" s="2" t="s">
        <v>77</v>
      </c>
      <c r="B465" s="2">
        <v>2015</v>
      </c>
      <c r="C465" s="2" t="s">
        <v>13</v>
      </c>
      <c r="D465" s="2" t="s">
        <v>42</v>
      </c>
      <c r="E465" s="2" t="s">
        <v>82</v>
      </c>
      <c r="F465" s="2" t="s">
        <v>98</v>
      </c>
      <c r="G465" s="2">
        <f t="shared" si="7"/>
        <v>0.96995427824951019</v>
      </c>
      <c r="H465" s="5">
        <v>4.2428571428571429</v>
      </c>
      <c r="I465" s="2">
        <v>700</v>
      </c>
      <c r="J465" s="12">
        <f>I465/Pondération!$H$113</f>
        <v>0.2286087524493795</v>
      </c>
    </row>
    <row r="466" spans="1:10" x14ac:dyDescent="0.25">
      <c r="A466" s="2" t="s">
        <v>77</v>
      </c>
      <c r="B466" s="2">
        <v>2015</v>
      </c>
      <c r="C466" s="2" t="s">
        <v>14</v>
      </c>
      <c r="D466" s="2" t="s">
        <v>42</v>
      </c>
      <c r="E466" s="2" t="s">
        <v>82</v>
      </c>
      <c r="F466" s="2" t="s">
        <v>98</v>
      </c>
      <c r="G466" s="2">
        <f t="shared" si="7"/>
        <v>0.49199869366427179</v>
      </c>
      <c r="H466" s="5">
        <v>4.2920227920227925</v>
      </c>
      <c r="I466" s="2">
        <v>351</v>
      </c>
      <c r="J466" s="12">
        <f>I466/Pondération!$H$113</f>
        <v>0.11463096015676029</v>
      </c>
    </row>
    <row r="467" spans="1:10" x14ac:dyDescent="0.25">
      <c r="A467" s="2" t="s">
        <v>77</v>
      </c>
      <c r="B467" s="2">
        <v>2015</v>
      </c>
      <c r="C467" s="2" t="s">
        <v>15</v>
      </c>
      <c r="D467" s="2" t="s">
        <v>42</v>
      </c>
      <c r="E467" s="2" t="s">
        <v>82</v>
      </c>
      <c r="F467" s="2" t="s">
        <v>98</v>
      </c>
      <c r="G467" s="2">
        <f t="shared" si="7"/>
        <v>0.42145656433703466</v>
      </c>
      <c r="H467" s="5">
        <v>4.3016666666666667</v>
      </c>
      <c r="I467" s="2">
        <v>300</v>
      </c>
      <c r="J467" s="12">
        <f>I467/Pondération!$H$113</f>
        <v>9.7975179621162645E-2</v>
      </c>
    </row>
    <row r="468" spans="1:10" x14ac:dyDescent="0.25">
      <c r="A468" s="2" t="s">
        <v>77</v>
      </c>
      <c r="B468" s="2">
        <v>2015</v>
      </c>
      <c r="C468" s="2" t="s">
        <v>16</v>
      </c>
      <c r="D468" s="2" t="s">
        <v>42</v>
      </c>
      <c r="E468" s="2" t="s">
        <v>82</v>
      </c>
      <c r="F468" s="2" t="s">
        <v>98</v>
      </c>
      <c r="G468" s="2">
        <f t="shared" si="7"/>
        <v>0.19709340300457218</v>
      </c>
      <c r="H468" s="5">
        <v>4.3417266187050361</v>
      </c>
      <c r="I468" s="2">
        <v>139</v>
      </c>
      <c r="J468" s="12">
        <f>I468/Pondération!$H$113</f>
        <v>4.5395166557805358E-2</v>
      </c>
    </row>
    <row r="469" spans="1:10" x14ac:dyDescent="0.25">
      <c r="A469" s="2" t="s">
        <v>77</v>
      </c>
      <c r="B469" s="2">
        <v>2015</v>
      </c>
      <c r="C469" s="2" t="s">
        <v>17</v>
      </c>
      <c r="D469" s="2" t="s">
        <v>42</v>
      </c>
      <c r="E469" s="2" t="s">
        <v>82</v>
      </c>
      <c r="F469" s="2" t="s">
        <v>98</v>
      </c>
      <c r="G469" s="2">
        <f t="shared" si="7"/>
        <v>0.1619856303069889</v>
      </c>
      <c r="H469" s="5">
        <v>4.389380530973451</v>
      </c>
      <c r="I469" s="2">
        <v>113</v>
      </c>
      <c r="J469" s="12">
        <f>I469/Pondération!$H$113</f>
        <v>3.690398432397126E-2</v>
      </c>
    </row>
    <row r="470" spans="1:10" x14ac:dyDescent="0.25">
      <c r="A470" s="2" t="s">
        <v>77</v>
      </c>
      <c r="B470" s="2">
        <v>2016</v>
      </c>
      <c r="C470" s="2" t="s">
        <v>18</v>
      </c>
      <c r="D470" s="2" t="s">
        <v>42</v>
      </c>
      <c r="E470" s="2" t="s">
        <v>82</v>
      </c>
      <c r="F470" s="2" t="s">
        <v>98</v>
      </c>
      <c r="G470" s="2">
        <f t="shared" si="7"/>
        <v>0.14062853267013337</v>
      </c>
      <c r="H470" s="5">
        <v>4.380281690140845</v>
      </c>
      <c r="I470" s="2">
        <v>142</v>
      </c>
      <c r="J470" s="12">
        <f>I470/Pondération!$G$113</f>
        <v>3.2104906172281254E-2</v>
      </c>
    </row>
    <row r="471" spans="1:10" x14ac:dyDescent="0.25">
      <c r="A471" s="2" t="s">
        <v>77</v>
      </c>
      <c r="B471" s="2">
        <v>2016</v>
      </c>
      <c r="C471" s="2" t="s">
        <v>19</v>
      </c>
      <c r="D471" s="2" t="s">
        <v>42</v>
      </c>
      <c r="E471" s="2" t="s">
        <v>82</v>
      </c>
      <c r="F471" s="2" t="s">
        <v>98</v>
      </c>
      <c r="G471" s="2">
        <f t="shared" si="7"/>
        <v>0.22247343432059685</v>
      </c>
      <c r="H471" s="5">
        <v>4.3539823008849554</v>
      </c>
      <c r="I471" s="2">
        <v>226</v>
      </c>
      <c r="J471" s="12">
        <f>I471/Pondération!$G$113</f>
        <v>5.1096540809405379E-2</v>
      </c>
    </row>
    <row r="472" spans="1:10" x14ac:dyDescent="0.25">
      <c r="A472" s="2" t="s">
        <v>77</v>
      </c>
      <c r="B472" s="2">
        <v>2016</v>
      </c>
      <c r="C472" s="2" t="s">
        <v>20</v>
      </c>
      <c r="D472" s="2" t="s">
        <v>42</v>
      </c>
      <c r="E472" s="2" t="s">
        <v>82</v>
      </c>
      <c r="F472" s="2" t="s">
        <v>98</v>
      </c>
      <c r="G472" s="2">
        <f t="shared" si="7"/>
        <v>0.22541261587158037</v>
      </c>
      <c r="H472" s="5">
        <v>4.2974137931034484</v>
      </c>
      <c r="I472" s="2">
        <v>232</v>
      </c>
      <c r="J472" s="12">
        <f>I472/Pondération!$G$113</f>
        <v>5.2453086140628533E-2</v>
      </c>
    </row>
    <row r="473" spans="1:10" x14ac:dyDescent="0.25">
      <c r="A473" s="2" t="s">
        <v>77</v>
      </c>
      <c r="B473" s="2">
        <v>2016</v>
      </c>
      <c r="C473" s="2" t="s">
        <v>21</v>
      </c>
      <c r="D473" s="2" t="s">
        <v>42</v>
      </c>
      <c r="E473" s="2" t="s">
        <v>82</v>
      </c>
      <c r="F473" s="2" t="s">
        <v>98</v>
      </c>
      <c r="G473" s="2">
        <f t="shared" si="7"/>
        <v>0.36581505765317657</v>
      </c>
      <c r="H473" s="5">
        <v>4.2691292875989442</v>
      </c>
      <c r="I473" s="2">
        <v>379</v>
      </c>
      <c r="J473" s="12">
        <f>I473/Pondération!$G$113</f>
        <v>8.5688446755595754E-2</v>
      </c>
    </row>
    <row r="474" spans="1:10" x14ac:dyDescent="0.25">
      <c r="A474" s="2" t="s">
        <v>77</v>
      </c>
      <c r="B474" s="2">
        <v>2016</v>
      </c>
      <c r="C474" s="2" t="s">
        <v>22</v>
      </c>
      <c r="D474" s="2" t="s">
        <v>42</v>
      </c>
      <c r="E474" s="2" t="s">
        <v>82</v>
      </c>
      <c r="F474" s="2" t="s">
        <v>98</v>
      </c>
      <c r="G474" s="2">
        <f t="shared" si="7"/>
        <v>0.39204160072349081</v>
      </c>
      <c r="H474" s="5">
        <v>4.2709359605911326</v>
      </c>
      <c r="I474" s="2">
        <v>406</v>
      </c>
      <c r="J474" s="12">
        <f>I474/Pondération!$G$113</f>
        <v>9.1792900746099929E-2</v>
      </c>
    </row>
    <row r="475" spans="1:10" x14ac:dyDescent="0.25">
      <c r="A475" s="2" t="s">
        <v>77</v>
      </c>
      <c r="B475" s="2">
        <v>2016</v>
      </c>
      <c r="C475" s="2" t="s">
        <v>23</v>
      </c>
      <c r="D475" s="2" t="s">
        <v>42</v>
      </c>
      <c r="E475" s="2" t="s">
        <v>82</v>
      </c>
      <c r="F475" s="2" t="s">
        <v>98</v>
      </c>
      <c r="G475" s="2">
        <f t="shared" si="7"/>
        <v>0.30714447207777529</v>
      </c>
      <c r="H475" s="5">
        <v>4.2720125786163523</v>
      </c>
      <c r="I475" s="2">
        <v>318</v>
      </c>
      <c r="J475" s="12">
        <f>I475/Pondération!$G$113</f>
        <v>7.1896902554827044E-2</v>
      </c>
    </row>
    <row r="476" spans="1:10" x14ac:dyDescent="0.25">
      <c r="A476" s="2" t="s">
        <v>77</v>
      </c>
      <c r="B476" s="2">
        <v>2016</v>
      </c>
      <c r="C476" s="2" t="s">
        <v>24</v>
      </c>
      <c r="D476" s="2" t="s">
        <v>42</v>
      </c>
      <c r="E476" s="2" t="s">
        <v>82</v>
      </c>
      <c r="F476" s="2" t="s">
        <v>98</v>
      </c>
      <c r="G476" s="2">
        <f t="shared" si="7"/>
        <v>0.51119149898259097</v>
      </c>
      <c r="H476" s="5">
        <v>4.2821969696969697</v>
      </c>
      <c r="I476" s="2">
        <v>528</v>
      </c>
      <c r="J476" s="12">
        <f>I476/Pondération!$G$113</f>
        <v>0.11937598914763735</v>
      </c>
    </row>
    <row r="477" spans="1:10" x14ac:dyDescent="0.25">
      <c r="A477" s="2" t="s">
        <v>77</v>
      </c>
      <c r="B477" s="2">
        <v>2016</v>
      </c>
      <c r="C477" s="2" t="s">
        <v>25</v>
      </c>
      <c r="D477" s="2" t="s">
        <v>42</v>
      </c>
      <c r="E477" s="2" t="s">
        <v>82</v>
      </c>
      <c r="F477" s="2" t="s">
        <v>98</v>
      </c>
      <c r="G477" s="2">
        <f t="shared" si="7"/>
        <v>0.91205064435903216</v>
      </c>
      <c r="H477" s="5">
        <v>4.2914893617021272</v>
      </c>
      <c r="I477" s="2">
        <v>940</v>
      </c>
      <c r="J477" s="12">
        <f>I477/Pondération!$G$113</f>
        <v>0.21252543522496042</v>
      </c>
    </row>
    <row r="478" spans="1:10" x14ac:dyDescent="0.25">
      <c r="A478" s="2" t="s">
        <v>77</v>
      </c>
      <c r="B478" s="2">
        <v>2016</v>
      </c>
      <c r="C478" s="2" t="s">
        <v>26</v>
      </c>
      <c r="D478" s="2" t="s">
        <v>42</v>
      </c>
      <c r="E478" s="2" t="s">
        <v>82</v>
      </c>
      <c r="F478" s="2" t="s">
        <v>98</v>
      </c>
      <c r="G478" s="2">
        <f t="shared" si="7"/>
        <v>0.48496495591227679</v>
      </c>
      <c r="H478" s="5">
        <v>4.298597194388778</v>
      </c>
      <c r="I478" s="2">
        <v>499</v>
      </c>
      <c r="J478" s="12">
        <f>I478/Pondération!$G$113</f>
        <v>0.11281935338005879</v>
      </c>
    </row>
    <row r="479" spans="1:10" x14ac:dyDescent="0.25">
      <c r="A479" s="2" t="s">
        <v>77</v>
      </c>
      <c r="B479" s="2">
        <v>2016</v>
      </c>
      <c r="C479" s="2" t="s">
        <v>27</v>
      </c>
      <c r="D479" s="2" t="s">
        <v>42</v>
      </c>
      <c r="E479" s="2" t="s">
        <v>82</v>
      </c>
      <c r="F479" s="2" t="s">
        <v>98</v>
      </c>
      <c r="G479" s="2">
        <f t="shared" si="7"/>
        <v>0.32048383450146961</v>
      </c>
      <c r="H479" s="5">
        <v>4.2824773413897281</v>
      </c>
      <c r="I479" s="2">
        <v>331</v>
      </c>
      <c r="J479" s="12">
        <f>I479/Pondération!$G$113</f>
        <v>7.4836084105810538E-2</v>
      </c>
    </row>
    <row r="480" spans="1:10" x14ac:dyDescent="0.25">
      <c r="A480" s="2" t="s">
        <v>77</v>
      </c>
      <c r="B480" s="2">
        <v>2016</v>
      </c>
      <c r="C480" s="2" t="s">
        <v>28</v>
      </c>
      <c r="D480" s="2" t="s">
        <v>42</v>
      </c>
      <c r="E480" s="2" t="s">
        <v>82</v>
      </c>
      <c r="F480" s="2" t="s">
        <v>98</v>
      </c>
      <c r="G480" s="2">
        <f t="shared" si="7"/>
        <v>0.28476147411259328</v>
      </c>
      <c r="H480" s="5">
        <v>4.3431034482758619</v>
      </c>
      <c r="I480" s="2">
        <v>290</v>
      </c>
      <c r="J480" s="12">
        <f>I480/Pondération!$G$113</f>
        <v>6.5566357675785669E-2</v>
      </c>
    </row>
    <row r="481" spans="1:10" x14ac:dyDescent="0.25">
      <c r="A481" s="2" t="s">
        <v>77</v>
      </c>
      <c r="B481" s="2">
        <v>2016</v>
      </c>
      <c r="C481" s="2" t="s">
        <v>29</v>
      </c>
      <c r="D481" s="2" t="s">
        <v>42</v>
      </c>
      <c r="E481" s="2" t="s">
        <v>82</v>
      </c>
      <c r="F481" s="2" t="s">
        <v>98</v>
      </c>
      <c r="G481" s="2">
        <f t="shared" si="7"/>
        <v>0.12864571557766222</v>
      </c>
      <c r="H481" s="5">
        <v>4.3106060606060606</v>
      </c>
      <c r="I481" s="2">
        <v>132</v>
      </c>
      <c r="J481" s="12">
        <f>I481/Pondération!$G$113</f>
        <v>2.9843997286909337E-2</v>
      </c>
    </row>
    <row r="482" spans="1:10" x14ac:dyDescent="0.25">
      <c r="A482" s="2" t="s">
        <v>77</v>
      </c>
      <c r="B482" s="2">
        <v>2017</v>
      </c>
      <c r="C482" s="2" t="s">
        <v>30</v>
      </c>
      <c r="D482" s="2" t="s">
        <v>42</v>
      </c>
      <c r="E482" s="2" t="s">
        <v>82</v>
      </c>
      <c r="F482" s="2" t="s">
        <v>98</v>
      </c>
      <c r="G482" s="2">
        <f t="shared" si="7"/>
        <v>6.5104657740901378E-2</v>
      </c>
      <c r="H482" s="5">
        <v>4.3980891719745223</v>
      </c>
      <c r="I482" s="2">
        <v>157</v>
      </c>
      <c r="J482" s="12">
        <f>I482/Pondération!$F$113</f>
        <v>1.4802941731095606E-2</v>
      </c>
    </row>
    <row r="483" spans="1:10" x14ac:dyDescent="0.25">
      <c r="A483" s="2" t="s">
        <v>77</v>
      </c>
      <c r="B483" s="2">
        <v>2017</v>
      </c>
      <c r="C483" s="2" t="s">
        <v>31</v>
      </c>
      <c r="D483" s="2" t="s">
        <v>42</v>
      </c>
      <c r="E483" s="2" t="s">
        <v>82</v>
      </c>
      <c r="F483" s="2" t="s">
        <v>98</v>
      </c>
      <c r="G483" s="2">
        <f t="shared" si="7"/>
        <v>7.5759004337167646E-2</v>
      </c>
      <c r="H483" s="5">
        <v>4.31989247311828</v>
      </c>
      <c r="I483" s="2">
        <v>186</v>
      </c>
      <c r="J483" s="12">
        <f>I483/Pondération!$F$113</f>
        <v>1.75372430699604E-2</v>
      </c>
    </row>
    <row r="484" spans="1:10" x14ac:dyDescent="0.25">
      <c r="A484" s="2" t="s">
        <v>77</v>
      </c>
      <c r="B484" s="2">
        <v>2017</v>
      </c>
      <c r="C484" s="2" t="s">
        <v>32</v>
      </c>
      <c r="D484" s="2" t="s">
        <v>42</v>
      </c>
      <c r="E484" s="2" t="s">
        <v>82</v>
      </c>
      <c r="F484" s="2" t="s">
        <v>98</v>
      </c>
      <c r="G484" s="2">
        <f t="shared" si="7"/>
        <v>7.3873279275881568E-2</v>
      </c>
      <c r="H484" s="5">
        <v>4.3287292817679557</v>
      </c>
      <c r="I484" s="2">
        <v>181</v>
      </c>
      <c r="J484" s="12">
        <f>I484/Pondération!$F$113</f>
        <v>1.7065811804638883E-2</v>
      </c>
    </row>
    <row r="485" spans="1:10" x14ac:dyDescent="0.25">
      <c r="A485" s="2" t="s">
        <v>77</v>
      </c>
      <c r="B485" s="2">
        <v>2017</v>
      </c>
      <c r="C485" s="2" t="s">
        <v>33</v>
      </c>
      <c r="D485" s="2" t="s">
        <v>42</v>
      </c>
      <c r="E485" s="2" t="s">
        <v>82</v>
      </c>
      <c r="F485" s="2" t="s">
        <v>98</v>
      </c>
      <c r="G485" s="2">
        <f t="shared" si="7"/>
        <v>0.21959268338676219</v>
      </c>
      <c r="H485" s="5">
        <v>4.3049907578558226</v>
      </c>
      <c r="I485" s="2">
        <v>541</v>
      </c>
      <c r="J485" s="12">
        <f>I485/Pondération!$F$113</f>
        <v>5.1008862907788041E-2</v>
      </c>
    </row>
    <row r="486" spans="1:10" x14ac:dyDescent="0.25">
      <c r="A486" s="2" t="s">
        <v>77</v>
      </c>
      <c r="B486" s="2">
        <v>2017</v>
      </c>
      <c r="C486" s="2" t="s">
        <v>34</v>
      </c>
      <c r="D486" s="2" t="s">
        <v>42</v>
      </c>
      <c r="E486" s="2" t="s">
        <v>82</v>
      </c>
      <c r="F486" s="2" t="s">
        <v>98</v>
      </c>
      <c r="G486" s="2">
        <f t="shared" si="7"/>
        <v>3.7347256270035829</v>
      </c>
      <c r="H486" s="5">
        <v>4.2427699228791775</v>
      </c>
      <c r="I486" s="2">
        <v>9336</v>
      </c>
      <c r="J486" s="12">
        <f>I486/Pondération!$F$113</f>
        <v>0.8802564586083349</v>
      </c>
    </row>
    <row r="487" spans="1:10" x14ac:dyDescent="0.25">
      <c r="A487" s="2" t="s">
        <v>77</v>
      </c>
      <c r="B487" s="2">
        <v>2017</v>
      </c>
      <c r="C487" s="2" t="s">
        <v>80</v>
      </c>
      <c r="D487" s="2" t="s">
        <v>42</v>
      </c>
      <c r="E487" s="2" t="s">
        <v>82</v>
      </c>
      <c r="F487" s="2" t="s">
        <v>98</v>
      </c>
      <c r="G487" s="2">
        <f t="shared" si="7"/>
        <v>8.3113332076183294E-2</v>
      </c>
      <c r="H487" s="5">
        <v>4.3</v>
      </c>
      <c r="I487" s="2">
        <v>205</v>
      </c>
      <c r="J487" s="12">
        <f>I487/Pondération!$F$113</f>
        <v>1.9328681878182163E-2</v>
      </c>
    </row>
    <row r="488" spans="1:10" x14ac:dyDescent="0.25">
      <c r="A488" s="2" t="s">
        <v>77</v>
      </c>
      <c r="B488" s="2">
        <v>2013</v>
      </c>
      <c r="C488" s="2" t="s">
        <v>49</v>
      </c>
      <c r="D488" s="2" t="s">
        <v>43</v>
      </c>
      <c r="E488" s="2" t="s">
        <v>82</v>
      </c>
      <c r="F488" s="2" t="s">
        <v>98</v>
      </c>
      <c r="G488" s="2">
        <f t="shared" si="7"/>
        <v>0.12748125275694749</v>
      </c>
      <c r="H488" s="5">
        <v>4.4461538461538463</v>
      </c>
      <c r="I488" s="2">
        <v>65</v>
      </c>
      <c r="J488" s="12">
        <f>I488/Pondération!$J$126</f>
        <v>2.867225408028231E-2</v>
      </c>
    </row>
    <row r="489" spans="1:10" x14ac:dyDescent="0.25">
      <c r="A489" s="2" t="s">
        <v>77</v>
      </c>
      <c r="B489" s="2">
        <v>2013</v>
      </c>
      <c r="C489" s="2" t="s">
        <v>50</v>
      </c>
      <c r="D489" s="2" t="s">
        <v>43</v>
      </c>
      <c r="E489" s="2" t="s">
        <v>82</v>
      </c>
      <c r="F489" s="2" t="s">
        <v>98</v>
      </c>
      <c r="G489" s="2">
        <f t="shared" si="7"/>
        <v>0.11402734891927657</v>
      </c>
      <c r="H489" s="5">
        <v>4.4568965517241379</v>
      </c>
      <c r="I489" s="2">
        <v>58</v>
      </c>
      <c r="J489" s="12">
        <f>I489/Pondération!$J$126</f>
        <v>2.5584472871636524E-2</v>
      </c>
    </row>
    <row r="490" spans="1:10" x14ac:dyDescent="0.25">
      <c r="A490" s="2" t="s">
        <v>77</v>
      </c>
      <c r="B490" s="2">
        <v>2013</v>
      </c>
      <c r="C490" s="2" t="s">
        <v>51</v>
      </c>
      <c r="D490" s="2" t="s">
        <v>43</v>
      </c>
      <c r="E490" s="2" t="s">
        <v>82</v>
      </c>
      <c r="F490" s="2" t="s">
        <v>98</v>
      </c>
      <c r="G490" s="2">
        <f t="shared" si="7"/>
        <v>0.16254962505513895</v>
      </c>
      <c r="H490" s="5">
        <v>4.4397590361445785</v>
      </c>
      <c r="I490" s="2">
        <v>83</v>
      </c>
      <c r="J490" s="12">
        <f>I490/Pondération!$J$126</f>
        <v>3.6612262902514334E-2</v>
      </c>
    </row>
    <row r="491" spans="1:10" x14ac:dyDescent="0.25">
      <c r="A491" s="2" t="s">
        <v>77</v>
      </c>
      <c r="B491" s="2">
        <v>2013</v>
      </c>
      <c r="C491" s="2" t="s">
        <v>52</v>
      </c>
      <c r="D491" s="2" t="s">
        <v>43</v>
      </c>
      <c r="E491" s="2" t="s">
        <v>82</v>
      </c>
      <c r="F491" s="2" t="s">
        <v>98</v>
      </c>
      <c r="G491" s="2">
        <f t="shared" si="7"/>
        <v>0.27878253198059105</v>
      </c>
      <c r="H491" s="5">
        <v>4.4195804195804191</v>
      </c>
      <c r="I491" s="2">
        <v>143</v>
      </c>
      <c r="J491" s="12">
        <f>I491/Pondération!$J$126</f>
        <v>6.307895897662108E-2</v>
      </c>
    </row>
    <row r="492" spans="1:10" x14ac:dyDescent="0.25">
      <c r="A492" s="2" t="s">
        <v>77</v>
      </c>
      <c r="B492" s="2">
        <v>2013</v>
      </c>
      <c r="C492" s="2" t="s">
        <v>53</v>
      </c>
      <c r="D492" s="2" t="s">
        <v>43</v>
      </c>
      <c r="E492" s="2" t="s">
        <v>82</v>
      </c>
      <c r="F492" s="2" t="s">
        <v>98</v>
      </c>
      <c r="G492" s="2">
        <f t="shared" si="7"/>
        <v>0.46316718129686807</v>
      </c>
      <c r="H492" s="5">
        <v>4.4491525423728815</v>
      </c>
      <c r="I492" s="2">
        <v>236</v>
      </c>
      <c r="J492" s="12">
        <f>I492/Pondération!$J$126</f>
        <v>0.10410233789148654</v>
      </c>
    </row>
    <row r="493" spans="1:10" x14ac:dyDescent="0.25">
      <c r="A493" s="2" t="s">
        <v>77</v>
      </c>
      <c r="B493" s="2">
        <v>2013</v>
      </c>
      <c r="C493" s="2" t="s">
        <v>54</v>
      </c>
      <c r="D493" s="2" t="s">
        <v>43</v>
      </c>
      <c r="E493" s="2" t="s">
        <v>82</v>
      </c>
      <c r="F493" s="2" t="s">
        <v>98</v>
      </c>
      <c r="G493" s="2">
        <f t="shared" si="7"/>
        <v>0.28738420820467581</v>
      </c>
      <c r="H493" s="5">
        <v>4.4623287671232879</v>
      </c>
      <c r="I493" s="2">
        <v>146</v>
      </c>
      <c r="J493" s="12">
        <f>I493/Pondération!$J$126</f>
        <v>6.4402293780326428E-2</v>
      </c>
    </row>
    <row r="494" spans="1:10" x14ac:dyDescent="0.25">
      <c r="A494" s="2" t="s">
        <v>77</v>
      </c>
      <c r="B494" s="2">
        <v>2013</v>
      </c>
      <c r="C494" s="2" t="s">
        <v>55</v>
      </c>
      <c r="D494" s="2" t="s">
        <v>43</v>
      </c>
      <c r="E494" s="2" t="s">
        <v>82</v>
      </c>
      <c r="F494" s="2" t="s">
        <v>98</v>
      </c>
      <c r="G494" s="2">
        <f t="shared" si="7"/>
        <v>0.62395235994706655</v>
      </c>
      <c r="H494" s="5">
        <v>4.4203124999999996</v>
      </c>
      <c r="I494" s="2">
        <v>320</v>
      </c>
      <c r="J494" s="12">
        <f>I494/Pondération!$J$126</f>
        <v>0.141155712395236</v>
      </c>
    </row>
    <row r="495" spans="1:10" x14ac:dyDescent="0.25">
      <c r="A495" s="2" t="s">
        <v>77</v>
      </c>
      <c r="B495" s="2">
        <v>2013</v>
      </c>
      <c r="C495" s="2" t="s">
        <v>56</v>
      </c>
      <c r="D495" s="2" t="s">
        <v>43</v>
      </c>
      <c r="E495" s="2" t="s">
        <v>82</v>
      </c>
      <c r="F495" s="2" t="s">
        <v>98</v>
      </c>
      <c r="G495" s="2">
        <f t="shared" si="7"/>
        <v>1.1376268195853552</v>
      </c>
      <c r="H495" s="5">
        <v>4.4160958904109586</v>
      </c>
      <c r="I495" s="2">
        <v>584</v>
      </c>
      <c r="J495" s="12">
        <f>I495/Pondération!$J$126</f>
        <v>0.25760917512130571</v>
      </c>
    </row>
    <row r="496" spans="1:10" x14ac:dyDescent="0.25">
      <c r="A496" s="2" t="s">
        <v>77</v>
      </c>
      <c r="B496" s="2">
        <v>2013</v>
      </c>
      <c r="C496" s="2" t="s">
        <v>57</v>
      </c>
      <c r="D496" s="2" t="s">
        <v>43</v>
      </c>
      <c r="E496" s="2" t="s">
        <v>82</v>
      </c>
      <c r="F496" s="2" t="s">
        <v>98</v>
      </c>
      <c r="G496" s="2">
        <f t="shared" si="7"/>
        <v>0.56197617997353333</v>
      </c>
      <c r="H496" s="5">
        <v>4.4390243902439028</v>
      </c>
      <c r="I496" s="2">
        <v>287</v>
      </c>
      <c r="J496" s="12">
        <f>I496/Pondération!$J$126</f>
        <v>0.12659902955447727</v>
      </c>
    </row>
    <row r="497" spans="1:10" x14ac:dyDescent="0.25">
      <c r="A497" s="2" t="s">
        <v>77</v>
      </c>
      <c r="B497" s="2">
        <v>2013</v>
      </c>
      <c r="C497" s="2" t="s">
        <v>58</v>
      </c>
      <c r="D497" s="2" t="s">
        <v>43</v>
      </c>
      <c r="E497" s="2" t="s">
        <v>82</v>
      </c>
      <c r="F497" s="2" t="s">
        <v>98</v>
      </c>
      <c r="G497" s="2">
        <f t="shared" si="7"/>
        <v>0.35818262020291131</v>
      </c>
      <c r="H497" s="5">
        <v>4.4130434782608692</v>
      </c>
      <c r="I497" s="2">
        <v>184</v>
      </c>
      <c r="J497" s="12">
        <f>I497/Pondération!$J$126</f>
        <v>8.1164534627260698E-2</v>
      </c>
    </row>
    <row r="498" spans="1:10" x14ac:dyDescent="0.25">
      <c r="A498" s="2" t="s">
        <v>77</v>
      </c>
      <c r="B498" s="2">
        <v>2013</v>
      </c>
      <c r="C498" s="2" t="s">
        <v>59</v>
      </c>
      <c r="D498" s="2" t="s">
        <v>43</v>
      </c>
      <c r="E498" s="2" t="s">
        <v>82</v>
      </c>
      <c r="F498" s="2" t="s">
        <v>98</v>
      </c>
      <c r="G498" s="2">
        <f t="shared" si="7"/>
        <v>0.18681076312307013</v>
      </c>
      <c r="H498" s="5">
        <v>4.411458333333333</v>
      </c>
      <c r="I498" s="2">
        <v>96</v>
      </c>
      <c r="J498" s="12">
        <f>I498/Pondération!$J$126</f>
        <v>4.2346713718570801E-2</v>
      </c>
    </row>
    <row r="499" spans="1:10" x14ac:dyDescent="0.25">
      <c r="A499" s="2" t="s">
        <v>77</v>
      </c>
      <c r="B499" s="2">
        <v>2013</v>
      </c>
      <c r="C499" s="2" t="s">
        <v>60</v>
      </c>
      <c r="D499" s="2" t="s">
        <v>43</v>
      </c>
      <c r="E499" s="2" t="s">
        <v>82</v>
      </c>
      <c r="F499" s="2" t="s">
        <v>98</v>
      </c>
      <c r="G499" s="2">
        <f t="shared" si="7"/>
        <v>0.12792236435818261</v>
      </c>
      <c r="H499" s="5">
        <v>4.4615384615384617</v>
      </c>
      <c r="I499" s="2">
        <v>65</v>
      </c>
      <c r="J499" s="12">
        <f>I499/Pondération!$J$126</f>
        <v>2.867225408028231E-2</v>
      </c>
    </row>
    <row r="500" spans="1:10" x14ac:dyDescent="0.25">
      <c r="A500" s="2" t="s">
        <v>77</v>
      </c>
      <c r="B500" s="2">
        <v>2014</v>
      </c>
      <c r="C500" s="2" t="s">
        <v>61</v>
      </c>
      <c r="D500" s="2" t="s">
        <v>43</v>
      </c>
      <c r="E500" s="2" t="s">
        <v>82</v>
      </c>
      <c r="F500" s="2" t="s">
        <v>98</v>
      </c>
      <c r="G500" s="2">
        <f t="shared" si="7"/>
        <v>7.2518159806295404E-2</v>
      </c>
      <c r="H500" s="5">
        <v>4.4044117647058822</v>
      </c>
      <c r="I500" s="2">
        <v>68</v>
      </c>
      <c r="J500" s="12">
        <f>I500/Pondération!$I$126</f>
        <v>1.6464891041162229E-2</v>
      </c>
    </row>
    <row r="501" spans="1:10" x14ac:dyDescent="0.25">
      <c r="A501" s="2" t="s">
        <v>77</v>
      </c>
      <c r="B501" s="2">
        <v>2014</v>
      </c>
      <c r="C501" s="2" t="s">
        <v>62</v>
      </c>
      <c r="D501" s="2" t="s">
        <v>43</v>
      </c>
      <c r="E501" s="2" t="s">
        <v>82</v>
      </c>
      <c r="F501" s="2" t="s">
        <v>98</v>
      </c>
      <c r="G501" s="2">
        <f t="shared" si="7"/>
        <v>7.9539951573849882E-2</v>
      </c>
      <c r="H501" s="5">
        <v>4.4391891891891895</v>
      </c>
      <c r="I501" s="2">
        <v>74</v>
      </c>
      <c r="J501" s="12">
        <f>I501/Pondération!$I$126</f>
        <v>1.791767554479419E-2</v>
      </c>
    </row>
    <row r="502" spans="1:10" x14ac:dyDescent="0.25">
      <c r="A502" s="2" t="s">
        <v>77</v>
      </c>
      <c r="B502" s="2">
        <v>2014</v>
      </c>
      <c r="C502" s="2" t="s">
        <v>63</v>
      </c>
      <c r="D502" s="2" t="s">
        <v>43</v>
      </c>
      <c r="E502" s="2" t="s">
        <v>82</v>
      </c>
      <c r="F502" s="2" t="s">
        <v>98</v>
      </c>
      <c r="G502" s="2">
        <f t="shared" si="7"/>
        <v>0.10169491525423728</v>
      </c>
      <c r="H502" s="5">
        <v>4.375</v>
      </c>
      <c r="I502" s="2">
        <v>96</v>
      </c>
      <c r="J502" s="12">
        <f>I502/Pondération!$I$126</f>
        <v>2.3244552058111378E-2</v>
      </c>
    </row>
    <row r="503" spans="1:10" x14ac:dyDescent="0.25">
      <c r="A503" s="2" t="s">
        <v>77</v>
      </c>
      <c r="B503" s="2">
        <v>2014</v>
      </c>
      <c r="C503" s="2" t="s">
        <v>64</v>
      </c>
      <c r="D503" s="2" t="s">
        <v>43</v>
      </c>
      <c r="E503" s="2" t="s">
        <v>82</v>
      </c>
      <c r="F503" s="2" t="s">
        <v>98</v>
      </c>
      <c r="G503" s="2">
        <f t="shared" si="7"/>
        <v>0.22263922518159804</v>
      </c>
      <c r="H503" s="5">
        <v>4.4420289855072461</v>
      </c>
      <c r="I503" s="2">
        <v>207</v>
      </c>
      <c r="J503" s="12">
        <f>I503/Pondération!$I$126</f>
        <v>5.0121065375302663E-2</v>
      </c>
    </row>
    <row r="504" spans="1:10" x14ac:dyDescent="0.25">
      <c r="A504" s="2" t="s">
        <v>77</v>
      </c>
      <c r="B504" s="2">
        <v>2014</v>
      </c>
      <c r="C504" s="2" t="s">
        <v>65</v>
      </c>
      <c r="D504" s="2" t="s">
        <v>43</v>
      </c>
      <c r="E504" s="2" t="s">
        <v>82</v>
      </c>
      <c r="F504" s="2" t="s">
        <v>98</v>
      </c>
      <c r="G504" s="2">
        <f t="shared" si="7"/>
        <v>0.3424939467312349</v>
      </c>
      <c r="H504" s="5">
        <v>4.3928571428571432</v>
      </c>
      <c r="I504" s="2">
        <v>322</v>
      </c>
      <c r="J504" s="12">
        <f>I504/Pondération!$I$126</f>
        <v>7.796610169491526E-2</v>
      </c>
    </row>
    <row r="505" spans="1:10" x14ac:dyDescent="0.25">
      <c r="A505" s="2" t="s">
        <v>77</v>
      </c>
      <c r="B505" s="2">
        <v>2014</v>
      </c>
      <c r="C505" s="2" t="s">
        <v>66</v>
      </c>
      <c r="D505" s="2" t="s">
        <v>43</v>
      </c>
      <c r="E505" s="2" t="s">
        <v>82</v>
      </c>
      <c r="F505" s="2" t="s">
        <v>98</v>
      </c>
      <c r="G505" s="2">
        <f t="shared" si="7"/>
        <v>0.31355932203389836</v>
      </c>
      <c r="H505" s="5">
        <v>4.4047619047619051</v>
      </c>
      <c r="I505" s="2">
        <v>294</v>
      </c>
      <c r="J505" s="12">
        <f>I505/Pondération!$I$126</f>
        <v>7.1186440677966104E-2</v>
      </c>
    </row>
    <row r="506" spans="1:10" x14ac:dyDescent="0.25">
      <c r="A506" s="2" t="s">
        <v>77</v>
      </c>
      <c r="B506" s="2">
        <v>2014</v>
      </c>
      <c r="C506" s="2" t="s">
        <v>67</v>
      </c>
      <c r="D506" s="2" t="s">
        <v>43</v>
      </c>
      <c r="E506" s="2" t="s">
        <v>82</v>
      </c>
      <c r="F506" s="2" t="s">
        <v>98</v>
      </c>
      <c r="G506" s="2">
        <f t="shared" si="7"/>
        <v>0.63970944309927358</v>
      </c>
      <c r="H506" s="5">
        <v>4.4033333333333333</v>
      </c>
      <c r="I506" s="2">
        <v>600</v>
      </c>
      <c r="J506" s="12">
        <f>I506/Pondération!$I$126</f>
        <v>0.14527845036319612</v>
      </c>
    </row>
    <row r="507" spans="1:10" x14ac:dyDescent="0.25">
      <c r="A507" s="2" t="s">
        <v>77</v>
      </c>
      <c r="B507" s="2">
        <v>2014</v>
      </c>
      <c r="C507" s="2" t="s">
        <v>68</v>
      </c>
      <c r="D507" s="2" t="s">
        <v>43</v>
      </c>
      <c r="E507" s="2" t="s">
        <v>82</v>
      </c>
      <c r="F507" s="2" t="s">
        <v>98</v>
      </c>
      <c r="G507" s="2">
        <f t="shared" si="7"/>
        <v>1.3411622276029054</v>
      </c>
      <c r="H507" s="5">
        <v>4.4100318471337578</v>
      </c>
      <c r="I507" s="2">
        <v>1256</v>
      </c>
      <c r="J507" s="12">
        <f>I507/Pondération!$I$126</f>
        <v>0.30411622276029054</v>
      </c>
    </row>
    <row r="508" spans="1:10" x14ac:dyDescent="0.25">
      <c r="A508" s="2" t="s">
        <v>77</v>
      </c>
      <c r="B508" s="2">
        <v>2014</v>
      </c>
      <c r="C508" s="2" t="s">
        <v>69</v>
      </c>
      <c r="D508" s="2" t="s">
        <v>43</v>
      </c>
      <c r="E508" s="2" t="s">
        <v>82</v>
      </c>
      <c r="F508" s="2" t="s">
        <v>98</v>
      </c>
      <c r="G508" s="2">
        <f t="shared" si="7"/>
        <v>0.58886198547215496</v>
      </c>
      <c r="H508" s="5">
        <v>4.3978300180831829</v>
      </c>
      <c r="I508" s="2">
        <v>553</v>
      </c>
      <c r="J508" s="12">
        <f>I508/Pondération!$I$126</f>
        <v>0.13389830508474576</v>
      </c>
    </row>
    <row r="509" spans="1:10" x14ac:dyDescent="0.25">
      <c r="A509" s="2" t="s">
        <v>77</v>
      </c>
      <c r="B509" s="2">
        <v>2014</v>
      </c>
      <c r="C509" s="2" t="s">
        <v>70</v>
      </c>
      <c r="D509" s="2" t="s">
        <v>43</v>
      </c>
      <c r="E509" s="2" t="s">
        <v>82</v>
      </c>
      <c r="F509" s="2" t="s">
        <v>98</v>
      </c>
      <c r="G509" s="2">
        <f t="shared" si="7"/>
        <v>0.32167070217917676</v>
      </c>
      <c r="H509" s="5">
        <v>4.4283333333333337</v>
      </c>
      <c r="I509" s="2">
        <v>300</v>
      </c>
      <c r="J509" s="12">
        <f>I509/Pondération!$I$126</f>
        <v>7.2639225181598058E-2</v>
      </c>
    </row>
    <row r="510" spans="1:10" x14ac:dyDescent="0.25">
      <c r="A510" s="2" t="s">
        <v>77</v>
      </c>
      <c r="B510" s="2">
        <v>2014</v>
      </c>
      <c r="C510" s="2" t="s">
        <v>71</v>
      </c>
      <c r="D510" s="2" t="s">
        <v>43</v>
      </c>
      <c r="E510" s="2" t="s">
        <v>82</v>
      </c>
      <c r="F510" s="2" t="s">
        <v>98</v>
      </c>
      <c r="G510" s="2">
        <f t="shared" si="7"/>
        <v>0.23510895883777241</v>
      </c>
      <c r="H510" s="5">
        <v>4.3936651583710411</v>
      </c>
      <c r="I510" s="2">
        <v>221</v>
      </c>
      <c r="J510" s="12">
        <f>I510/Pondération!$I$126</f>
        <v>5.3510895883777242E-2</v>
      </c>
    </row>
    <row r="511" spans="1:10" x14ac:dyDescent="0.25">
      <c r="A511" s="2" t="s">
        <v>77</v>
      </c>
      <c r="B511" s="2">
        <v>2014</v>
      </c>
      <c r="C511" s="2" t="s">
        <v>72</v>
      </c>
      <c r="D511" s="2" t="s">
        <v>43</v>
      </c>
      <c r="E511" s="2" t="s">
        <v>82</v>
      </c>
      <c r="F511" s="2" t="s">
        <v>98</v>
      </c>
      <c r="G511" s="2">
        <f t="shared" si="7"/>
        <v>0.14915254237288134</v>
      </c>
      <c r="H511" s="5">
        <v>4.4316546762589928</v>
      </c>
      <c r="I511" s="2">
        <v>139</v>
      </c>
      <c r="J511" s="12">
        <f>I511/Pondération!$I$126</f>
        <v>3.3656174334140435E-2</v>
      </c>
    </row>
    <row r="512" spans="1:10" x14ac:dyDescent="0.25">
      <c r="A512" s="2" t="s">
        <v>77</v>
      </c>
      <c r="B512" s="2">
        <v>2015</v>
      </c>
      <c r="C512" s="2" t="s">
        <v>73</v>
      </c>
      <c r="D512" s="2" t="s">
        <v>43</v>
      </c>
      <c r="E512" s="2" t="s">
        <v>82</v>
      </c>
      <c r="F512" s="2" t="s">
        <v>98</v>
      </c>
      <c r="G512" s="2">
        <f t="shared" si="7"/>
        <v>5.0537056928034375E-2</v>
      </c>
      <c r="H512" s="5">
        <v>4.4386792452830193</v>
      </c>
      <c r="I512" s="2">
        <v>106</v>
      </c>
      <c r="J512" s="12">
        <f>I512/Pondération!$H$126</f>
        <v>1.1385606874328678E-2</v>
      </c>
    </row>
    <row r="513" spans="1:10" x14ac:dyDescent="0.25">
      <c r="A513" s="2" t="s">
        <v>77</v>
      </c>
      <c r="B513" s="2">
        <v>2015</v>
      </c>
      <c r="C513" s="2" t="s">
        <v>74</v>
      </c>
      <c r="D513" s="2" t="s">
        <v>43</v>
      </c>
      <c r="E513" s="2" t="s">
        <v>82</v>
      </c>
      <c r="F513" s="2" t="s">
        <v>98</v>
      </c>
      <c r="G513" s="2">
        <f t="shared" si="7"/>
        <v>9.8120300751879705E-2</v>
      </c>
      <c r="H513" s="5">
        <v>4.4560975609756097</v>
      </c>
      <c r="I513" s="2">
        <v>205</v>
      </c>
      <c r="J513" s="12">
        <f>I513/Pondération!$H$126</f>
        <v>2.2019334049409239E-2</v>
      </c>
    </row>
    <row r="514" spans="1:10" x14ac:dyDescent="0.25">
      <c r="A514" s="2" t="s">
        <v>77</v>
      </c>
      <c r="B514" s="2">
        <v>2015</v>
      </c>
      <c r="C514" s="2" t="s">
        <v>75</v>
      </c>
      <c r="D514" s="2" t="s">
        <v>43</v>
      </c>
      <c r="E514" s="2" t="s">
        <v>82</v>
      </c>
      <c r="F514" s="2" t="s">
        <v>98</v>
      </c>
      <c r="G514" s="2">
        <f t="shared" si="7"/>
        <v>0.12798066595059074</v>
      </c>
      <c r="H514" s="5">
        <v>4.3966789667896675</v>
      </c>
      <c r="I514" s="2">
        <v>271</v>
      </c>
      <c r="J514" s="12">
        <f>I514/Pondération!$H$126</f>
        <v>2.9108485499462943E-2</v>
      </c>
    </row>
    <row r="515" spans="1:10" x14ac:dyDescent="0.25">
      <c r="A515" s="2" t="s">
        <v>77</v>
      </c>
      <c r="B515" s="2">
        <v>2015</v>
      </c>
      <c r="C515" s="2" t="s">
        <v>76</v>
      </c>
      <c r="D515" s="2" t="s">
        <v>43</v>
      </c>
      <c r="E515" s="2" t="s">
        <v>82</v>
      </c>
      <c r="F515" s="2" t="s">
        <v>98</v>
      </c>
      <c r="G515" s="2">
        <f t="shared" ref="G515:G578" si="8">H515*J515</f>
        <v>0.23528464017185818</v>
      </c>
      <c r="H515" s="5">
        <v>4.4074446680080479</v>
      </c>
      <c r="I515" s="2">
        <v>497</v>
      </c>
      <c r="J515" s="12">
        <f>I515/Pondération!$H$126</f>
        <v>5.338345864661654E-2</v>
      </c>
    </row>
    <row r="516" spans="1:10" x14ac:dyDescent="0.25">
      <c r="A516" s="2" t="s">
        <v>77</v>
      </c>
      <c r="B516" s="2">
        <v>2015</v>
      </c>
      <c r="C516" s="2" t="s">
        <v>7</v>
      </c>
      <c r="D516" s="2" t="s">
        <v>43</v>
      </c>
      <c r="E516" s="2" t="s">
        <v>82</v>
      </c>
      <c r="F516" s="2" t="s">
        <v>98</v>
      </c>
      <c r="G516" s="2">
        <f t="shared" si="8"/>
        <v>0.39226638023630506</v>
      </c>
      <c r="H516" s="5">
        <v>4.4159613059250304</v>
      </c>
      <c r="I516" s="2">
        <v>827</v>
      </c>
      <c r="J516" s="12">
        <f>I516/Pondération!$H$126</f>
        <v>8.8829215896885069E-2</v>
      </c>
    </row>
    <row r="517" spans="1:10" x14ac:dyDescent="0.25">
      <c r="A517" s="2" t="s">
        <v>77</v>
      </c>
      <c r="B517" s="2">
        <v>2015</v>
      </c>
      <c r="C517" s="2" t="s">
        <v>11</v>
      </c>
      <c r="D517" s="2" t="s">
        <v>43</v>
      </c>
      <c r="E517" s="2" t="s">
        <v>82</v>
      </c>
      <c r="F517" s="2" t="s">
        <v>98</v>
      </c>
      <c r="G517" s="2">
        <f t="shared" si="8"/>
        <v>0.28759398496240607</v>
      </c>
      <c r="H517" s="5">
        <v>4.4037828947368425</v>
      </c>
      <c r="I517" s="2">
        <v>608</v>
      </c>
      <c r="J517" s="12">
        <f>I517/Pondération!$H$126</f>
        <v>6.5306122448979598E-2</v>
      </c>
    </row>
    <row r="518" spans="1:10" x14ac:dyDescent="0.25">
      <c r="A518" s="2" t="s">
        <v>77</v>
      </c>
      <c r="B518" s="2">
        <v>2015</v>
      </c>
      <c r="C518" s="2" t="s">
        <v>12</v>
      </c>
      <c r="D518" s="2" t="s">
        <v>43</v>
      </c>
      <c r="E518" s="2" t="s">
        <v>82</v>
      </c>
      <c r="F518" s="2" t="s">
        <v>98</v>
      </c>
      <c r="G518" s="2">
        <f t="shared" si="8"/>
        <v>0.76213748657357683</v>
      </c>
      <c r="H518" s="5">
        <v>4.4181195516811957</v>
      </c>
      <c r="I518" s="2">
        <v>1606</v>
      </c>
      <c r="J518" s="12">
        <f>I518/Pondération!$H$126</f>
        <v>0.17250268528464016</v>
      </c>
    </row>
    <row r="519" spans="1:10" x14ac:dyDescent="0.25">
      <c r="A519" s="2" t="s">
        <v>77</v>
      </c>
      <c r="B519" s="2">
        <v>2015</v>
      </c>
      <c r="C519" s="2" t="s">
        <v>13</v>
      </c>
      <c r="D519" s="2" t="s">
        <v>43</v>
      </c>
      <c r="E519" s="2" t="s">
        <v>82</v>
      </c>
      <c r="F519" s="2" t="s">
        <v>98</v>
      </c>
      <c r="G519" s="2">
        <f t="shared" si="8"/>
        <v>1.329484425349087</v>
      </c>
      <c r="H519" s="5">
        <v>4.4079415954415957</v>
      </c>
      <c r="I519" s="2">
        <v>2808</v>
      </c>
      <c r="J519" s="12">
        <f>I519/Pondération!$H$126</f>
        <v>0.3016111707841031</v>
      </c>
    </row>
    <row r="520" spans="1:10" x14ac:dyDescent="0.25">
      <c r="A520" s="2" t="s">
        <v>77</v>
      </c>
      <c r="B520" s="2">
        <v>2015</v>
      </c>
      <c r="C520" s="2" t="s">
        <v>14</v>
      </c>
      <c r="D520" s="2" t="s">
        <v>43</v>
      </c>
      <c r="E520" s="2" t="s">
        <v>82</v>
      </c>
      <c r="F520" s="2" t="s">
        <v>98</v>
      </c>
      <c r="G520" s="2">
        <f t="shared" si="8"/>
        <v>0.5440923737916219</v>
      </c>
      <c r="H520" s="5">
        <v>4.4124564459930316</v>
      </c>
      <c r="I520" s="2">
        <v>1148</v>
      </c>
      <c r="J520" s="12">
        <f>I520/Pondération!$H$126</f>
        <v>0.12330827067669173</v>
      </c>
    </row>
    <row r="521" spans="1:10" x14ac:dyDescent="0.25">
      <c r="A521" s="2" t="s">
        <v>77</v>
      </c>
      <c r="B521" s="2">
        <v>2015</v>
      </c>
      <c r="C521" s="2" t="s">
        <v>15</v>
      </c>
      <c r="D521" s="2" t="s">
        <v>43</v>
      </c>
      <c r="E521" s="2" t="s">
        <v>82</v>
      </c>
      <c r="F521" s="2" t="s">
        <v>98</v>
      </c>
      <c r="G521" s="2">
        <f t="shared" si="8"/>
        <v>0.28759398496240607</v>
      </c>
      <c r="H521" s="5">
        <v>4.4183168316831685</v>
      </c>
      <c r="I521" s="2">
        <v>606</v>
      </c>
      <c r="J521" s="12">
        <f>I521/Pondération!$H$126</f>
        <v>6.5091299677765849E-2</v>
      </c>
    </row>
    <row r="522" spans="1:10" x14ac:dyDescent="0.25">
      <c r="A522" s="2" t="s">
        <v>77</v>
      </c>
      <c r="B522" s="2">
        <v>2015</v>
      </c>
      <c r="C522" s="2" t="s">
        <v>16</v>
      </c>
      <c r="D522" s="2" t="s">
        <v>43</v>
      </c>
      <c r="E522" s="2" t="s">
        <v>82</v>
      </c>
      <c r="F522" s="2" t="s">
        <v>98</v>
      </c>
      <c r="G522" s="2">
        <f t="shared" si="8"/>
        <v>0.16713211600429645</v>
      </c>
      <c r="H522" s="5">
        <v>4.4079320113314449</v>
      </c>
      <c r="I522" s="2">
        <v>353</v>
      </c>
      <c r="J522" s="12">
        <f>I522/Pondération!$H$126</f>
        <v>3.7916219119226637E-2</v>
      </c>
    </row>
    <row r="523" spans="1:10" x14ac:dyDescent="0.25">
      <c r="A523" s="2" t="s">
        <v>77</v>
      </c>
      <c r="B523" s="2">
        <v>2015</v>
      </c>
      <c r="C523" s="2" t="s">
        <v>17</v>
      </c>
      <c r="D523" s="2" t="s">
        <v>43</v>
      </c>
      <c r="E523" s="2" t="s">
        <v>82</v>
      </c>
      <c r="F523" s="2" t="s">
        <v>98</v>
      </c>
      <c r="G523" s="2">
        <f t="shared" si="8"/>
        <v>0.13131041890440387</v>
      </c>
      <c r="H523" s="5">
        <v>4.4454545454545453</v>
      </c>
      <c r="I523" s="2">
        <v>275</v>
      </c>
      <c r="J523" s="12">
        <f>I523/Pondération!$H$126</f>
        <v>2.9538131041890441E-2</v>
      </c>
    </row>
    <row r="524" spans="1:10" x14ac:dyDescent="0.25">
      <c r="A524" s="2" t="s">
        <v>77</v>
      </c>
      <c r="B524" s="2">
        <v>2016</v>
      </c>
      <c r="C524" s="2" t="s">
        <v>18</v>
      </c>
      <c r="D524" s="2" t="s">
        <v>43</v>
      </c>
      <c r="E524" s="2" t="s">
        <v>82</v>
      </c>
      <c r="F524" s="2" t="s">
        <v>98</v>
      </c>
      <c r="G524" s="2">
        <f t="shared" si="8"/>
        <v>0.10196167883211678</v>
      </c>
      <c r="H524" s="5">
        <v>4.4403973509933774</v>
      </c>
      <c r="I524" s="2">
        <v>302</v>
      </c>
      <c r="J524" s="12">
        <f>I524/Pondération!$G$126</f>
        <v>2.2962287104622871E-2</v>
      </c>
    </row>
    <row r="525" spans="1:10" x14ac:dyDescent="0.25">
      <c r="A525" s="2" t="s">
        <v>77</v>
      </c>
      <c r="B525" s="2">
        <v>2016</v>
      </c>
      <c r="C525" s="2" t="s">
        <v>19</v>
      </c>
      <c r="D525" s="2" t="s">
        <v>43</v>
      </c>
      <c r="E525" s="2" t="s">
        <v>82</v>
      </c>
      <c r="F525" s="2" t="s">
        <v>98</v>
      </c>
      <c r="G525" s="2">
        <f t="shared" si="8"/>
        <v>0.16351125304136252</v>
      </c>
      <c r="H525" s="5">
        <v>4.4158110882956878</v>
      </c>
      <c r="I525" s="2">
        <v>487</v>
      </c>
      <c r="J525" s="12">
        <f>I525/Pondération!$G$126</f>
        <v>3.7028588807785888E-2</v>
      </c>
    </row>
    <row r="526" spans="1:10" x14ac:dyDescent="0.25">
      <c r="A526" s="2" t="s">
        <v>77</v>
      </c>
      <c r="B526" s="2">
        <v>2016</v>
      </c>
      <c r="C526" s="2" t="s">
        <v>20</v>
      </c>
      <c r="D526" s="2" t="s">
        <v>43</v>
      </c>
      <c r="E526" s="2" t="s">
        <v>82</v>
      </c>
      <c r="F526" s="2" t="s">
        <v>98</v>
      </c>
      <c r="G526" s="2">
        <f t="shared" si="8"/>
        <v>0.17784367396593675</v>
      </c>
      <c r="H526" s="5">
        <v>4.4132075471698116</v>
      </c>
      <c r="I526" s="2">
        <v>530</v>
      </c>
      <c r="J526" s="12">
        <f>I526/Pondération!$G$126</f>
        <v>4.0298053527980535E-2</v>
      </c>
    </row>
    <row r="527" spans="1:10" x14ac:dyDescent="0.25">
      <c r="A527" s="2" t="s">
        <v>77</v>
      </c>
      <c r="B527" s="2">
        <v>2016</v>
      </c>
      <c r="C527" s="2" t="s">
        <v>21</v>
      </c>
      <c r="D527" s="2" t="s">
        <v>43</v>
      </c>
      <c r="E527" s="2" t="s">
        <v>82</v>
      </c>
      <c r="F527" s="2" t="s">
        <v>98</v>
      </c>
      <c r="G527" s="2">
        <f t="shared" si="8"/>
        <v>0.35314020681265207</v>
      </c>
      <c r="H527" s="5">
        <v>4.4065464895635671</v>
      </c>
      <c r="I527" s="2">
        <v>1054</v>
      </c>
      <c r="J527" s="12">
        <f>I527/Pondération!$G$126</f>
        <v>8.0139902676399033E-2</v>
      </c>
    </row>
    <row r="528" spans="1:10" x14ac:dyDescent="0.25">
      <c r="A528" s="2" t="s">
        <v>77</v>
      </c>
      <c r="B528" s="2">
        <v>2016</v>
      </c>
      <c r="C528" s="2" t="s">
        <v>22</v>
      </c>
      <c r="D528" s="2" t="s">
        <v>43</v>
      </c>
      <c r="E528" s="2" t="s">
        <v>82</v>
      </c>
      <c r="F528" s="2" t="s">
        <v>98</v>
      </c>
      <c r="G528" s="2">
        <f t="shared" si="8"/>
        <v>0.35618156934306566</v>
      </c>
      <c r="H528" s="5">
        <v>4.4027255639097742</v>
      </c>
      <c r="I528" s="2">
        <v>1064</v>
      </c>
      <c r="J528" s="12">
        <f>I528/Pondération!$G$126</f>
        <v>8.0900243309002431E-2</v>
      </c>
    </row>
    <row r="529" spans="1:10" x14ac:dyDescent="0.25">
      <c r="A529" s="2" t="s">
        <v>77</v>
      </c>
      <c r="B529" s="2">
        <v>2016</v>
      </c>
      <c r="C529" s="2" t="s">
        <v>23</v>
      </c>
      <c r="D529" s="2" t="s">
        <v>43</v>
      </c>
      <c r="E529" s="2" t="s">
        <v>82</v>
      </c>
      <c r="F529" s="2" t="s">
        <v>98</v>
      </c>
      <c r="G529" s="2">
        <f t="shared" si="8"/>
        <v>0.28128801703163014</v>
      </c>
      <c r="H529" s="5">
        <v>4.3989298454221162</v>
      </c>
      <c r="I529" s="2">
        <v>841</v>
      </c>
      <c r="J529" s="12">
        <f>I529/Pondération!$G$126</f>
        <v>6.3944647201946467E-2</v>
      </c>
    </row>
    <row r="530" spans="1:10" x14ac:dyDescent="0.25">
      <c r="A530" s="2" t="s">
        <v>77</v>
      </c>
      <c r="B530" s="2">
        <v>2016</v>
      </c>
      <c r="C530" s="2" t="s">
        <v>24</v>
      </c>
      <c r="D530" s="2" t="s">
        <v>43</v>
      </c>
      <c r="E530" s="2" t="s">
        <v>82</v>
      </c>
      <c r="F530" s="2" t="s">
        <v>98</v>
      </c>
      <c r="G530" s="2">
        <f t="shared" si="8"/>
        <v>0.67932633819951338</v>
      </c>
      <c r="H530" s="5">
        <v>4.3925762045231069</v>
      </c>
      <c r="I530" s="2">
        <v>2034</v>
      </c>
      <c r="J530" s="12">
        <f>I530/Pondération!$G$126</f>
        <v>0.15465328467153286</v>
      </c>
    </row>
    <row r="531" spans="1:10" x14ac:dyDescent="0.25">
      <c r="A531" s="2" t="s">
        <v>77</v>
      </c>
      <c r="B531" s="2">
        <v>2016</v>
      </c>
      <c r="C531" s="2" t="s">
        <v>25</v>
      </c>
      <c r="D531" s="2" t="s">
        <v>43</v>
      </c>
      <c r="E531" s="2" t="s">
        <v>82</v>
      </c>
      <c r="F531" s="2" t="s">
        <v>98</v>
      </c>
      <c r="G531" s="2">
        <f t="shared" si="8"/>
        <v>1.2519008515815084</v>
      </c>
      <c r="H531" s="5">
        <v>4.3965287049399198</v>
      </c>
      <c r="I531" s="2">
        <v>3745</v>
      </c>
      <c r="J531" s="12">
        <f>I531/Pondération!$G$126</f>
        <v>0.28474756690997566</v>
      </c>
    </row>
    <row r="532" spans="1:10" x14ac:dyDescent="0.25">
      <c r="A532" s="2" t="s">
        <v>77</v>
      </c>
      <c r="B532" s="2">
        <v>2016</v>
      </c>
      <c r="C532" s="2" t="s">
        <v>26</v>
      </c>
      <c r="D532" s="2" t="s">
        <v>43</v>
      </c>
      <c r="E532" s="2" t="s">
        <v>82</v>
      </c>
      <c r="F532" s="2" t="s">
        <v>98</v>
      </c>
      <c r="G532" s="2">
        <f t="shared" si="8"/>
        <v>0.45574817518248173</v>
      </c>
      <c r="H532" s="5">
        <v>4.4105960264900661</v>
      </c>
      <c r="I532" s="2">
        <v>1359</v>
      </c>
      <c r="J532" s="12">
        <f>I532/Pondération!$G$126</f>
        <v>0.10333029197080291</v>
      </c>
    </row>
    <row r="533" spans="1:10" x14ac:dyDescent="0.25">
      <c r="A533" s="2" t="s">
        <v>77</v>
      </c>
      <c r="B533" s="2">
        <v>2016</v>
      </c>
      <c r="C533" s="2" t="s">
        <v>27</v>
      </c>
      <c r="D533" s="2" t="s">
        <v>43</v>
      </c>
      <c r="E533" s="2" t="s">
        <v>82</v>
      </c>
      <c r="F533" s="2" t="s">
        <v>98</v>
      </c>
      <c r="G533" s="2">
        <f t="shared" si="8"/>
        <v>0.27376064476885642</v>
      </c>
      <c r="H533" s="5">
        <v>4.4123774509803919</v>
      </c>
      <c r="I533" s="2">
        <v>816</v>
      </c>
      <c r="J533" s="12">
        <f>I533/Pondération!$G$126</f>
        <v>6.2043795620437957E-2</v>
      </c>
    </row>
    <row r="534" spans="1:10" x14ac:dyDescent="0.25">
      <c r="A534" s="2" t="s">
        <v>77</v>
      </c>
      <c r="B534" s="2">
        <v>2016</v>
      </c>
      <c r="C534" s="2" t="s">
        <v>28</v>
      </c>
      <c r="D534" s="2" t="s">
        <v>43</v>
      </c>
      <c r="E534" s="2" t="s">
        <v>82</v>
      </c>
      <c r="F534" s="2" t="s">
        <v>98</v>
      </c>
      <c r="G534" s="2">
        <f t="shared" si="8"/>
        <v>0.19993156934306569</v>
      </c>
      <c r="H534" s="5">
        <v>4.4119127516778525</v>
      </c>
      <c r="I534" s="2">
        <v>596</v>
      </c>
      <c r="J534" s="12">
        <f>I534/Pondération!$G$126</f>
        <v>4.5316301703163017E-2</v>
      </c>
    </row>
    <row r="535" spans="1:10" x14ac:dyDescent="0.25">
      <c r="A535" s="2" t="s">
        <v>77</v>
      </c>
      <c r="B535" s="2">
        <v>2016</v>
      </c>
      <c r="C535" s="2" t="s">
        <v>29</v>
      </c>
      <c r="D535" s="2" t="s">
        <v>43</v>
      </c>
      <c r="E535" s="2" t="s">
        <v>82</v>
      </c>
      <c r="F535" s="2" t="s">
        <v>98</v>
      </c>
      <c r="G535" s="2">
        <f t="shared" si="8"/>
        <v>0.10755018248175183</v>
      </c>
      <c r="H535" s="5">
        <v>4.3657407407407405</v>
      </c>
      <c r="I535" s="2">
        <v>324</v>
      </c>
      <c r="J535" s="12">
        <f>I535/Pondération!$G$126</f>
        <v>2.4635036496350366E-2</v>
      </c>
    </row>
    <row r="536" spans="1:10" x14ac:dyDescent="0.25">
      <c r="A536" s="2" t="s">
        <v>77</v>
      </c>
      <c r="B536" s="2">
        <v>2017</v>
      </c>
      <c r="C536" s="2" t="s">
        <v>30</v>
      </c>
      <c r="D536" s="2" t="s">
        <v>43</v>
      </c>
      <c r="E536" s="2" t="s">
        <v>82</v>
      </c>
      <c r="F536" s="2" t="s">
        <v>98</v>
      </c>
      <c r="G536" s="2">
        <f t="shared" si="8"/>
        <v>9.8576679440056297E-2</v>
      </c>
      <c r="H536" s="5">
        <v>4.3767361111111107</v>
      </c>
      <c r="I536" s="2">
        <v>288</v>
      </c>
      <c r="J536" s="12">
        <f>I536/Pondération!$F$126</f>
        <v>2.252287479471338E-2</v>
      </c>
    </row>
    <row r="537" spans="1:10" x14ac:dyDescent="0.25">
      <c r="A537" s="2" t="s">
        <v>77</v>
      </c>
      <c r="B537" s="2">
        <v>2017</v>
      </c>
      <c r="C537" s="2" t="s">
        <v>31</v>
      </c>
      <c r="D537" s="2" t="s">
        <v>43</v>
      </c>
      <c r="E537" s="2" t="s">
        <v>82</v>
      </c>
      <c r="F537" s="2" t="s">
        <v>98</v>
      </c>
      <c r="G537" s="2">
        <f t="shared" si="8"/>
        <v>0.1552748885586924</v>
      </c>
      <c r="H537" s="5">
        <v>4.3926991150442474</v>
      </c>
      <c r="I537" s="2">
        <v>452</v>
      </c>
      <c r="J537" s="12">
        <f>I537/Pondération!$F$126</f>
        <v>3.534840071948072E-2</v>
      </c>
    </row>
    <row r="538" spans="1:10" x14ac:dyDescent="0.25">
      <c r="A538" s="2" t="s">
        <v>77</v>
      </c>
      <c r="B538" s="2">
        <v>2017</v>
      </c>
      <c r="C538" s="2" t="s">
        <v>32</v>
      </c>
      <c r="D538" s="2" t="s">
        <v>43</v>
      </c>
      <c r="E538" s="2" t="s">
        <v>82</v>
      </c>
      <c r="F538" s="2" t="s">
        <v>98</v>
      </c>
      <c r="G538" s="2">
        <f t="shared" si="8"/>
        <v>0.15124736060061</v>
      </c>
      <c r="H538" s="5">
        <v>4.3954545454545455</v>
      </c>
      <c r="I538" s="2">
        <v>440</v>
      </c>
      <c r="J538" s="12">
        <f>I538/Pondération!$F$126</f>
        <v>3.4409947603034334E-2</v>
      </c>
    </row>
    <row r="539" spans="1:10" x14ac:dyDescent="0.25">
      <c r="A539" s="2" t="s">
        <v>77</v>
      </c>
      <c r="B539" s="2">
        <v>2017</v>
      </c>
      <c r="C539" s="2" t="s">
        <v>33</v>
      </c>
      <c r="D539" s="2" t="s">
        <v>43</v>
      </c>
      <c r="E539" s="2" t="s">
        <v>82</v>
      </c>
      <c r="F539" s="2" t="s">
        <v>98</v>
      </c>
      <c r="G539" s="2">
        <f t="shared" si="8"/>
        <v>0.35676859310236964</v>
      </c>
      <c r="H539" s="5">
        <v>4.4034749034749039</v>
      </c>
      <c r="I539" s="2">
        <v>1036</v>
      </c>
      <c r="J539" s="12">
        <f>I539/Pondération!$F$126</f>
        <v>8.1019785719871742E-2</v>
      </c>
    </row>
    <row r="540" spans="1:10" x14ac:dyDescent="0.25">
      <c r="A540" s="2" t="s">
        <v>77</v>
      </c>
      <c r="B540" s="2">
        <v>2017</v>
      </c>
      <c r="C540" s="2" t="s">
        <v>34</v>
      </c>
      <c r="D540" s="2" t="s">
        <v>43</v>
      </c>
      <c r="E540" s="2" t="s">
        <v>82</v>
      </c>
      <c r="F540" s="2" t="s">
        <v>98</v>
      </c>
      <c r="G540" s="2">
        <f t="shared" si="8"/>
        <v>3.5136075701884733</v>
      </c>
      <c r="H540" s="5">
        <v>4.4194865237064729</v>
      </c>
      <c r="I540" s="2">
        <v>10166</v>
      </c>
      <c r="J540" s="12">
        <f>I540/Pondération!$F$126</f>
        <v>0.79502619848283418</v>
      </c>
    </row>
    <row r="541" spans="1:10" x14ac:dyDescent="0.25">
      <c r="A541" s="2" t="s">
        <v>77</v>
      </c>
      <c r="B541" s="2">
        <v>2017</v>
      </c>
      <c r="C541" s="2" t="s">
        <v>80</v>
      </c>
      <c r="D541" s="2" t="s">
        <v>43</v>
      </c>
      <c r="E541" s="2" t="s">
        <v>82</v>
      </c>
      <c r="F541" s="2" t="s">
        <v>98</v>
      </c>
      <c r="G541" s="2">
        <f t="shared" si="8"/>
        <v>0.13865644795495424</v>
      </c>
      <c r="H541" s="5">
        <v>4.3777777777777782</v>
      </c>
      <c r="I541" s="2">
        <v>405</v>
      </c>
      <c r="J541" s="12">
        <f>I541/Pondération!$F$126</f>
        <v>3.1672792680065689E-2</v>
      </c>
    </row>
    <row r="542" spans="1:10" x14ac:dyDescent="0.25">
      <c r="A542" s="2" t="s">
        <v>77</v>
      </c>
      <c r="B542" s="2">
        <v>2013</v>
      </c>
      <c r="C542" s="2" t="s">
        <v>49</v>
      </c>
      <c r="D542" s="2" t="s">
        <v>44</v>
      </c>
      <c r="E542" s="2" t="s">
        <v>82</v>
      </c>
      <c r="F542" s="2" t="s">
        <v>98</v>
      </c>
      <c r="G542" s="2">
        <f t="shared" si="8"/>
        <v>0.16085972850678731</v>
      </c>
      <c r="H542" s="5">
        <v>4.3353658536585362</v>
      </c>
      <c r="I542" s="2">
        <v>82</v>
      </c>
      <c r="J542" s="12">
        <f>I542/Pondération!$J$139</f>
        <v>3.7104072398190045E-2</v>
      </c>
    </row>
    <row r="543" spans="1:10" x14ac:dyDescent="0.25">
      <c r="A543" s="2" t="s">
        <v>77</v>
      </c>
      <c r="B543" s="2">
        <v>2013</v>
      </c>
      <c r="C543" s="2" t="s">
        <v>50</v>
      </c>
      <c r="D543" s="2" t="s">
        <v>44</v>
      </c>
      <c r="E543" s="2" t="s">
        <v>82</v>
      </c>
      <c r="F543" s="2" t="s">
        <v>98</v>
      </c>
      <c r="G543" s="2">
        <f t="shared" si="8"/>
        <v>0.14728506787330314</v>
      </c>
      <c r="H543" s="5">
        <v>4.3986486486486482</v>
      </c>
      <c r="I543" s="2">
        <v>74</v>
      </c>
      <c r="J543" s="12">
        <f>I543/Pondération!$J$139</f>
        <v>3.3484162895927601E-2</v>
      </c>
    </row>
    <row r="544" spans="1:10" x14ac:dyDescent="0.25">
      <c r="A544" s="2" t="s">
        <v>77</v>
      </c>
      <c r="B544" s="2">
        <v>2013</v>
      </c>
      <c r="C544" s="2" t="s">
        <v>51</v>
      </c>
      <c r="D544" s="2" t="s">
        <v>44</v>
      </c>
      <c r="E544" s="2" t="s">
        <v>82</v>
      </c>
      <c r="F544" s="2" t="s">
        <v>98</v>
      </c>
      <c r="G544" s="2">
        <f t="shared" si="8"/>
        <v>0.16199095022624432</v>
      </c>
      <c r="H544" s="5">
        <v>4.2619047619047619</v>
      </c>
      <c r="I544" s="2">
        <v>84</v>
      </c>
      <c r="J544" s="12">
        <f>I544/Pondération!$J$139</f>
        <v>3.8009049773755653E-2</v>
      </c>
    </row>
    <row r="545" spans="1:10" x14ac:dyDescent="0.25">
      <c r="A545" s="2" t="s">
        <v>77</v>
      </c>
      <c r="B545" s="2">
        <v>2013</v>
      </c>
      <c r="C545" s="2" t="s">
        <v>52</v>
      </c>
      <c r="D545" s="2" t="s">
        <v>44</v>
      </c>
      <c r="E545" s="2" t="s">
        <v>82</v>
      </c>
      <c r="F545" s="2" t="s">
        <v>98</v>
      </c>
      <c r="G545" s="2">
        <f t="shared" si="8"/>
        <v>0.30588235294117649</v>
      </c>
      <c r="H545" s="5">
        <v>4.3612903225806452</v>
      </c>
      <c r="I545" s="2">
        <v>155</v>
      </c>
      <c r="J545" s="12">
        <f>I545/Pondération!$J$139</f>
        <v>7.0135746606334842E-2</v>
      </c>
    </row>
    <row r="546" spans="1:10" x14ac:dyDescent="0.25">
      <c r="A546" s="2" t="s">
        <v>77</v>
      </c>
      <c r="B546" s="2">
        <v>2013</v>
      </c>
      <c r="C546" s="2" t="s">
        <v>53</v>
      </c>
      <c r="D546" s="2" t="s">
        <v>44</v>
      </c>
      <c r="E546" s="2" t="s">
        <v>82</v>
      </c>
      <c r="F546" s="2" t="s">
        <v>98</v>
      </c>
      <c r="G546" s="2">
        <f t="shared" si="8"/>
        <v>0.47986425339366512</v>
      </c>
      <c r="H546" s="5">
        <v>4.346311475409836</v>
      </c>
      <c r="I546" s="2">
        <v>244</v>
      </c>
      <c r="J546" s="12">
        <f>I546/Pondération!$J$139</f>
        <v>0.11040723981900452</v>
      </c>
    </row>
    <row r="547" spans="1:10" x14ac:dyDescent="0.25">
      <c r="A547" s="2" t="s">
        <v>77</v>
      </c>
      <c r="B547" s="2">
        <v>2013</v>
      </c>
      <c r="C547" s="2" t="s">
        <v>54</v>
      </c>
      <c r="D547" s="2" t="s">
        <v>44</v>
      </c>
      <c r="E547" s="2" t="s">
        <v>82</v>
      </c>
      <c r="F547" s="2" t="s">
        <v>98</v>
      </c>
      <c r="G547" s="2">
        <f t="shared" si="8"/>
        <v>0.25316742081447963</v>
      </c>
      <c r="H547" s="5">
        <v>4.37109375</v>
      </c>
      <c r="I547" s="2">
        <v>128</v>
      </c>
      <c r="J547" s="12">
        <f>I547/Pondération!$J$139</f>
        <v>5.7918552036199097E-2</v>
      </c>
    </row>
    <row r="548" spans="1:10" x14ac:dyDescent="0.25">
      <c r="A548" s="2" t="s">
        <v>77</v>
      </c>
      <c r="B548" s="2">
        <v>2013</v>
      </c>
      <c r="C548" s="2" t="s">
        <v>55</v>
      </c>
      <c r="D548" s="2" t="s">
        <v>44</v>
      </c>
      <c r="E548" s="2" t="s">
        <v>82</v>
      </c>
      <c r="F548" s="2" t="s">
        <v>98</v>
      </c>
      <c r="G548" s="2">
        <f t="shared" si="8"/>
        <v>0.54117647058823526</v>
      </c>
      <c r="H548" s="5">
        <v>4.3176895306859207</v>
      </c>
      <c r="I548" s="2">
        <v>277</v>
      </c>
      <c r="J548" s="12">
        <f>I548/Pondération!$J$139</f>
        <v>0.1253393665158371</v>
      </c>
    </row>
    <row r="549" spans="1:10" x14ac:dyDescent="0.25">
      <c r="A549" s="2" t="s">
        <v>77</v>
      </c>
      <c r="B549" s="2">
        <v>2013</v>
      </c>
      <c r="C549" s="2" t="s">
        <v>56</v>
      </c>
      <c r="D549" s="2" t="s">
        <v>44</v>
      </c>
      <c r="E549" s="2" t="s">
        <v>82</v>
      </c>
      <c r="F549" s="2" t="s">
        <v>98</v>
      </c>
      <c r="G549" s="2">
        <f t="shared" si="8"/>
        <v>1.1253393665158369</v>
      </c>
      <c r="H549" s="5">
        <v>4.3862433862433861</v>
      </c>
      <c r="I549" s="2">
        <v>567</v>
      </c>
      <c r="J549" s="12">
        <f>I549/Pondération!$J$139</f>
        <v>0.25656108597285066</v>
      </c>
    </row>
    <row r="550" spans="1:10" x14ac:dyDescent="0.25">
      <c r="A550" s="2" t="s">
        <v>77</v>
      </c>
      <c r="B550" s="2">
        <v>2013</v>
      </c>
      <c r="C550" s="2" t="s">
        <v>57</v>
      </c>
      <c r="D550" s="2" t="s">
        <v>44</v>
      </c>
      <c r="E550" s="2" t="s">
        <v>82</v>
      </c>
      <c r="F550" s="2" t="s">
        <v>98</v>
      </c>
      <c r="G550" s="2">
        <f t="shared" si="8"/>
        <v>0.48891402714932125</v>
      </c>
      <c r="H550" s="5">
        <v>4.356854838709677</v>
      </c>
      <c r="I550" s="2">
        <v>248</v>
      </c>
      <c r="J550" s="12">
        <f>I550/Pondération!$J$139</f>
        <v>0.11221719457013575</v>
      </c>
    </row>
    <row r="551" spans="1:10" x14ac:dyDescent="0.25">
      <c r="A551" s="2" t="s">
        <v>77</v>
      </c>
      <c r="B551" s="2">
        <v>2013</v>
      </c>
      <c r="C551" s="2" t="s">
        <v>58</v>
      </c>
      <c r="D551" s="2" t="s">
        <v>44</v>
      </c>
      <c r="E551" s="2" t="s">
        <v>82</v>
      </c>
      <c r="F551" s="2" t="s">
        <v>98</v>
      </c>
      <c r="G551" s="2">
        <f t="shared" si="8"/>
        <v>0.32669683257918553</v>
      </c>
      <c r="H551" s="5">
        <v>4.3233532934131738</v>
      </c>
      <c r="I551" s="2">
        <v>167</v>
      </c>
      <c r="J551" s="12">
        <f>I551/Pondération!$J$139</f>
        <v>7.5565610859728502E-2</v>
      </c>
    </row>
    <row r="552" spans="1:10" x14ac:dyDescent="0.25">
      <c r="A552" s="2" t="s">
        <v>77</v>
      </c>
      <c r="B552" s="2">
        <v>2013</v>
      </c>
      <c r="C552" s="2" t="s">
        <v>59</v>
      </c>
      <c r="D552" s="2" t="s">
        <v>44</v>
      </c>
      <c r="E552" s="2" t="s">
        <v>82</v>
      </c>
      <c r="F552" s="2" t="s">
        <v>98</v>
      </c>
      <c r="G552" s="2">
        <f t="shared" si="8"/>
        <v>0.19276018099547512</v>
      </c>
      <c r="H552" s="5">
        <v>4.3469387755102042</v>
      </c>
      <c r="I552" s="2">
        <v>98</v>
      </c>
      <c r="J552" s="12">
        <f>I552/Pondération!$J$139</f>
        <v>4.4343891402714934E-2</v>
      </c>
    </row>
    <row r="553" spans="1:10" x14ac:dyDescent="0.25">
      <c r="A553" s="2" t="s">
        <v>77</v>
      </c>
      <c r="B553" s="2">
        <v>2013</v>
      </c>
      <c r="C553" s="2" t="s">
        <v>60</v>
      </c>
      <c r="D553" s="2" t="s">
        <v>44</v>
      </c>
      <c r="E553" s="2" t="s">
        <v>82</v>
      </c>
      <c r="F553" s="2" t="s">
        <v>98</v>
      </c>
      <c r="G553" s="2">
        <f t="shared" si="8"/>
        <v>0.16583710407239818</v>
      </c>
      <c r="H553" s="5">
        <v>4.2616279069767442</v>
      </c>
      <c r="I553" s="2">
        <v>86</v>
      </c>
      <c r="J553" s="12">
        <f>I553/Pondération!$J$139</f>
        <v>3.8914027149321267E-2</v>
      </c>
    </row>
    <row r="554" spans="1:10" x14ac:dyDescent="0.25">
      <c r="A554" s="2" t="s">
        <v>77</v>
      </c>
      <c r="B554" s="2">
        <v>2014</v>
      </c>
      <c r="C554" s="2" t="s">
        <v>61</v>
      </c>
      <c r="D554" s="2" t="s">
        <v>44</v>
      </c>
      <c r="E554" s="2" t="s">
        <v>82</v>
      </c>
      <c r="F554" s="2" t="s">
        <v>98</v>
      </c>
      <c r="G554" s="2">
        <f t="shared" si="8"/>
        <v>7.8037904124860641E-2</v>
      </c>
      <c r="H554" s="5">
        <v>4.3209876543209873</v>
      </c>
      <c r="I554" s="2">
        <v>81</v>
      </c>
      <c r="J554" s="12">
        <f>I554/Pondération!$I$139</f>
        <v>1.8060200668896322E-2</v>
      </c>
    </row>
    <row r="555" spans="1:10" x14ac:dyDescent="0.25">
      <c r="A555" s="2" t="s">
        <v>77</v>
      </c>
      <c r="B555" s="2">
        <v>2014</v>
      </c>
      <c r="C555" s="2" t="s">
        <v>62</v>
      </c>
      <c r="D555" s="2" t="s">
        <v>44</v>
      </c>
      <c r="E555" s="2" t="s">
        <v>82</v>
      </c>
      <c r="F555" s="2" t="s">
        <v>98</v>
      </c>
      <c r="G555" s="2">
        <f t="shared" si="8"/>
        <v>9.8327759197324421E-2</v>
      </c>
      <c r="H555" s="5">
        <v>4.2815533980582527</v>
      </c>
      <c r="I555" s="2">
        <v>103</v>
      </c>
      <c r="J555" s="12">
        <f>I555/Pondération!$I$139</f>
        <v>2.2965440356744703E-2</v>
      </c>
    </row>
    <row r="556" spans="1:10" x14ac:dyDescent="0.25">
      <c r="A556" s="2" t="s">
        <v>77</v>
      </c>
      <c r="B556" s="2">
        <v>2014</v>
      </c>
      <c r="C556" s="2" t="s">
        <v>63</v>
      </c>
      <c r="D556" s="2" t="s">
        <v>44</v>
      </c>
      <c r="E556" s="2" t="s">
        <v>82</v>
      </c>
      <c r="F556" s="2" t="s">
        <v>98</v>
      </c>
      <c r="G556" s="2">
        <f t="shared" si="8"/>
        <v>0.17157190635451505</v>
      </c>
      <c r="H556" s="5">
        <v>4.3230337078651688</v>
      </c>
      <c r="I556" s="2">
        <v>178</v>
      </c>
      <c r="J556" s="12">
        <f>I556/Pondération!$I$139</f>
        <v>3.9687848383500555E-2</v>
      </c>
    </row>
    <row r="557" spans="1:10" x14ac:dyDescent="0.25">
      <c r="A557" s="2" t="s">
        <v>77</v>
      </c>
      <c r="B557" s="2">
        <v>2014</v>
      </c>
      <c r="C557" s="2" t="s">
        <v>64</v>
      </c>
      <c r="D557" s="2" t="s">
        <v>44</v>
      </c>
      <c r="E557" s="2" t="s">
        <v>82</v>
      </c>
      <c r="F557" s="2" t="s">
        <v>98</v>
      </c>
      <c r="G557" s="2">
        <f t="shared" si="8"/>
        <v>0.19988851727982165</v>
      </c>
      <c r="H557" s="5">
        <v>4.3100961538461542</v>
      </c>
      <c r="I557" s="2">
        <v>208</v>
      </c>
      <c r="J557" s="12">
        <f>I557/Pondération!$I$139</f>
        <v>4.6376811594202899E-2</v>
      </c>
    </row>
    <row r="558" spans="1:10" x14ac:dyDescent="0.25">
      <c r="A558" s="2" t="s">
        <v>77</v>
      </c>
      <c r="B558" s="2">
        <v>2014</v>
      </c>
      <c r="C558" s="2" t="s">
        <v>65</v>
      </c>
      <c r="D558" s="2" t="s">
        <v>44</v>
      </c>
      <c r="E558" s="2" t="s">
        <v>82</v>
      </c>
      <c r="F558" s="2" t="s">
        <v>98</v>
      </c>
      <c r="G558" s="2">
        <f t="shared" si="8"/>
        <v>0.31594202898550722</v>
      </c>
      <c r="H558" s="5">
        <v>4.3734567901234565</v>
      </c>
      <c r="I558" s="2">
        <v>324</v>
      </c>
      <c r="J558" s="12">
        <f>I558/Pondération!$I$139</f>
        <v>7.2240802675585289E-2</v>
      </c>
    </row>
    <row r="559" spans="1:10" x14ac:dyDescent="0.25">
      <c r="A559" s="2" t="s">
        <v>77</v>
      </c>
      <c r="B559" s="2">
        <v>2014</v>
      </c>
      <c r="C559" s="2" t="s">
        <v>66</v>
      </c>
      <c r="D559" s="2" t="s">
        <v>44</v>
      </c>
      <c r="E559" s="2" t="s">
        <v>82</v>
      </c>
      <c r="F559" s="2" t="s">
        <v>98</v>
      </c>
      <c r="G559" s="2">
        <f t="shared" si="8"/>
        <v>0.29609810479375692</v>
      </c>
      <c r="H559" s="5">
        <v>4.3398692810457513</v>
      </c>
      <c r="I559" s="2">
        <v>306</v>
      </c>
      <c r="J559" s="12">
        <f>I559/Pondération!$I$139</f>
        <v>6.8227424749163879E-2</v>
      </c>
    </row>
    <row r="560" spans="1:10" x14ac:dyDescent="0.25">
      <c r="A560" s="2" t="s">
        <v>77</v>
      </c>
      <c r="B560" s="2">
        <v>2014</v>
      </c>
      <c r="C560" s="2" t="s">
        <v>67</v>
      </c>
      <c r="D560" s="2" t="s">
        <v>44</v>
      </c>
      <c r="E560" s="2" t="s">
        <v>82</v>
      </c>
      <c r="F560" s="2" t="s">
        <v>98</v>
      </c>
      <c r="G560" s="2">
        <f t="shared" si="8"/>
        <v>0.62318840579710144</v>
      </c>
      <c r="H560" s="5">
        <v>4.3400621118012426</v>
      </c>
      <c r="I560" s="2">
        <v>644</v>
      </c>
      <c r="J560" s="12">
        <f>I560/Pondération!$I$139</f>
        <v>0.14358974358974358</v>
      </c>
    </row>
    <row r="561" spans="1:10" x14ac:dyDescent="0.25">
      <c r="A561" s="2" t="s">
        <v>77</v>
      </c>
      <c r="B561" s="2">
        <v>2014</v>
      </c>
      <c r="C561" s="2" t="s">
        <v>68</v>
      </c>
      <c r="D561" s="2" t="s">
        <v>44</v>
      </c>
      <c r="E561" s="2" t="s">
        <v>82</v>
      </c>
      <c r="F561" s="2" t="s">
        <v>98</v>
      </c>
      <c r="G561" s="2">
        <f t="shared" si="8"/>
        <v>1.3181716833890746</v>
      </c>
      <c r="H561" s="5">
        <v>4.3502575423105228</v>
      </c>
      <c r="I561" s="2">
        <v>1359</v>
      </c>
      <c r="J561" s="12">
        <f>I561/Pondération!$I$139</f>
        <v>0.30301003344481603</v>
      </c>
    </row>
    <row r="562" spans="1:10" x14ac:dyDescent="0.25">
      <c r="A562" s="2" t="s">
        <v>77</v>
      </c>
      <c r="B562" s="2">
        <v>2014</v>
      </c>
      <c r="C562" s="2" t="s">
        <v>69</v>
      </c>
      <c r="D562" s="2" t="s">
        <v>44</v>
      </c>
      <c r="E562" s="2" t="s">
        <v>82</v>
      </c>
      <c r="F562" s="2" t="s">
        <v>98</v>
      </c>
      <c r="G562" s="2">
        <f t="shared" si="8"/>
        <v>0.58182831661092538</v>
      </c>
      <c r="H562" s="5">
        <v>4.3491666666666671</v>
      </c>
      <c r="I562" s="2">
        <v>600</v>
      </c>
      <c r="J562" s="12">
        <f>I562/Pondération!$I$139</f>
        <v>0.13377926421404682</v>
      </c>
    </row>
    <row r="563" spans="1:10" x14ac:dyDescent="0.25">
      <c r="A563" s="2" t="s">
        <v>77</v>
      </c>
      <c r="B563" s="2">
        <v>2014</v>
      </c>
      <c r="C563" s="2" t="s">
        <v>70</v>
      </c>
      <c r="D563" s="2" t="s">
        <v>44</v>
      </c>
      <c r="E563" s="2" t="s">
        <v>82</v>
      </c>
      <c r="F563" s="2" t="s">
        <v>98</v>
      </c>
      <c r="G563" s="2">
        <f t="shared" si="8"/>
        <v>0.2933110367892976</v>
      </c>
      <c r="H563" s="5">
        <v>4.3559602649006619</v>
      </c>
      <c r="I563" s="2">
        <v>302</v>
      </c>
      <c r="J563" s="12">
        <f>I563/Pondération!$I$139</f>
        <v>6.7335562987736894E-2</v>
      </c>
    </row>
    <row r="564" spans="1:10" x14ac:dyDescent="0.25">
      <c r="A564" s="2" t="s">
        <v>77</v>
      </c>
      <c r="B564" s="2">
        <v>2014</v>
      </c>
      <c r="C564" s="2" t="s">
        <v>71</v>
      </c>
      <c r="D564" s="2" t="s">
        <v>44</v>
      </c>
      <c r="E564" s="2" t="s">
        <v>82</v>
      </c>
      <c r="F564" s="2" t="s">
        <v>98</v>
      </c>
      <c r="G564" s="2">
        <f t="shared" si="8"/>
        <v>0.21939799331103679</v>
      </c>
      <c r="H564" s="5">
        <v>4.3733333333333331</v>
      </c>
      <c r="I564" s="2">
        <v>225</v>
      </c>
      <c r="J564" s="12">
        <f>I564/Pondération!$I$139</f>
        <v>5.016722408026756E-2</v>
      </c>
    </row>
    <row r="565" spans="1:10" x14ac:dyDescent="0.25">
      <c r="A565" s="2" t="s">
        <v>77</v>
      </c>
      <c r="B565" s="2">
        <v>2014</v>
      </c>
      <c r="C565" s="2" t="s">
        <v>72</v>
      </c>
      <c r="D565" s="2" t="s">
        <v>44</v>
      </c>
      <c r="E565" s="2" t="s">
        <v>82</v>
      </c>
      <c r="F565" s="2" t="s">
        <v>98</v>
      </c>
      <c r="G565" s="2">
        <f t="shared" si="8"/>
        <v>0.14782608695652175</v>
      </c>
      <c r="H565" s="5">
        <v>4.2774193548387096</v>
      </c>
      <c r="I565" s="2">
        <v>155</v>
      </c>
      <c r="J565" s="12">
        <f>I565/Pondération!$I$139</f>
        <v>3.4559643255295432E-2</v>
      </c>
    </row>
    <row r="566" spans="1:10" x14ac:dyDescent="0.25">
      <c r="A566" s="2" t="s">
        <v>77</v>
      </c>
      <c r="B566" s="2">
        <v>2015</v>
      </c>
      <c r="C566" s="2" t="s">
        <v>73</v>
      </c>
      <c r="D566" s="2" t="s">
        <v>44</v>
      </c>
      <c r="E566" s="2" t="s">
        <v>82</v>
      </c>
      <c r="F566" s="2" t="s">
        <v>98</v>
      </c>
      <c r="G566" s="2">
        <f t="shared" si="8"/>
        <v>7.2179322179322172E-2</v>
      </c>
      <c r="H566" s="5">
        <v>4.3141025641025639</v>
      </c>
      <c r="I566" s="2">
        <v>156</v>
      </c>
      <c r="J566" s="12">
        <f>I566/Pondération!$H$139</f>
        <v>1.6731016731016731E-2</v>
      </c>
    </row>
    <row r="567" spans="1:10" x14ac:dyDescent="0.25">
      <c r="A567" s="2" t="s">
        <v>77</v>
      </c>
      <c r="B567" s="2">
        <v>2015</v>
      </c>
      <c r="C567" s="2" t="s">
        <v>74</v>
      </c>
      <c r="D567" s="2" t="s">
        <v>44</v>
      </c>
      <c r="E567" s="2" t="s">
        <v>82</v>
      </c>
      <c r="F567" s="2" t="s">
        <v>98</v>
      </c>
      <c r="G567" s="2">
        <f t="shared" si="8"/>
        <v>0.16296653796653796</v>
      </c>
      <c r="H567" s="5">
        <v>4.3167613636363633</v>
      </c>
      <c r="I567" s="2">
        <v>352</v>
      </c>
      <c r="J567" s="12">
        <f>I567/Pondération!$H$139</f>
        <v>3.7752037752037754E-2</v>
      </c>
    </row>
    <row r="568" spans="1:10" x14ac:dyDescent="0.25">
      <c r="A568" s="2" t="s">
        <v>77</v>
      </c>
      <c r="B568" s="2">
        <v>2015</v>
      </c>
      <c r="C568" s="2" t="s">
        <v>75</v>
      </c>
      <c r="D568" s="2" t="s">
        <v>44</v>
      </c>
      <c r="E568" s="2" t="s">
        <v>82</v>
      </c>
      <c r="F568" s="2" t="s">
        <v>98</v>
      </c>
      <c r="G568" s="2">
        <f t="shared" si="8"/>
        <v>0.12896825396825398</v>
      </c>
      <c r="H568" s="5">
        <v>4.3568840579710146</v>
      </c>
      <c r="I568" s="2">
        <v>276</v>
      </c>
      <c r="J568" s="12">
        <f>I568/Pondération!$H$139</f>
        <v>2.9601029601029602E-2</v>
      </c>
    </row>
    <row r="569" spans="1:10" x14ac:dyDescent="0.25">
      <c r="A569" s="2" t="s">
        <v>77</v>
      </c>
      <c r="B569" s="2">
        <v>2015</v>
      </c>
      <c r="C569" s="2" t="s">
        <v>76</v>
      </c>
      <c r="D569" s="2" t="s">
        <v>44</v>
      </c>
      <c r="E569" s="2" t="s">
        <v>82</v>
      </c>
      <c r="F569" s="2" t="s">
        <v>98</v>
      </c>
      <c r="G569" s="2">
        <f t="shared" si="8"/>
        <v>0.19819819819819823</v>
      </c>
      <c r="H569" s="5">
        <v>4.3278688524590168</v>
      </c>
      <c r="I569" s="2">
        <v>427</v>
      </c>
      <c r="J569" s="12">
        <f>I569/Pondération!$H$139</f>
        <v>4.5795795795795798E-2</v>
      </c>
    </row>
    <row r="570" spans="1:10" x14ac:dyDescent="0.25">
      <c r="A570" s="2" t="s">
        <v>77</v>
      </c>
      <c r="B570" s="2">
        <v>2015</v>
      </c>
      <c r="C570" s="2" t="s">
        <v>7</v>
      </c>
      <c r="D570" s="2" t="s">
        <v>44</v>
      </c>
      <c r="E570" s="2" t="s">
        <v>82</v>
      </c>
      <c r="F570" s="2" t="s">
        <v>98</v>
      </c>
      <c r="G570" s="2">
        <f t="shared" si="8"/>
        <v>0.37489274989274995</v>
      </c>
      <c r="H570" s="5">
        <v>4.3476368159203984</v>
      </c>
      <c r="I570" s="2">
        <v>804</v>
      </c>
      <c r="J570" s="12">
        <f>I570/Pondération!$H$139</f>
        <v>8.6229086229086233E-2</v>
      </c>
    </row>
    <row r="571" spans="1:10" x14ac:dyDescent="0.25">
      <c r="A571" s="2" t="s">
        <v>77</v>
      </c>
      <c r="B571" s="2">
        <v>2015</v>
      </c>
      <c r="C571" s="2" t="s">
        <v>11</v>
      </c>
      <c r="D571" s="2" t="s">
        <v>44</v>
      </c>
      <c r="E571" s="2" t="s">
        <v>82</v>
      </c>
      <c r="F571" s="2" t="s">
        <v>98</v>
      </c>
      <c r="G571" s="2">
        <f t="shared" si="8"/>
        <v>0.27938652938652941</v>
      </c>
      <c r="H571" s="5">
        <v>4.3129139072847682</v>
      </c>
      <c r="I571" s="2">
        <v>604</v>
      </c>
      <c r="J571" s="12">
        <f>I571/Pondération!$H$139</f>
        <v>6.4779064779064782E-2</v>
      </c>
    </row>
    <row r="572" spans="1:10" x14ac:dyDescent="0.25">
      <c r="A572" s="2" t="s">
        <v>77</v>
      </c>
      <c r="B572" s="2">
        <v>2015</v>
      </c>
      <c r="C572" s="2" t="s">
        <v>12</v>
      </c>
      <c r="D572" s="2" t="s">
        <v>44</v>
      </c>
      <c r="E572" s="2" t="s">
        <v>82</v>
      </c>
      <c r="F572" s="2" t="s">
        <v>98</v>
      </c>
      <c r="G572" s="2">
        <f t="shared" si="8"/>
        <v>0.68967181467181471</v>
      </c>
      <c r="H572" s="5">
        <v>4.3332210242587603</v>
      </c>
      <c r="I572" s="2">
        <v>1484</v>
      </c>
      <c r="J572" s="12">
        <f>I572/Pondération!$H$139</f>
        <v>0.15915915915915915</v>
      </c>
    </row>
    <row r="573" spans="1:10" x14ac:dyDescent="0.25">
      <c r="A573" s="2" t="s">
        <v>77</v>
      </c>
      <c r="B573" s="2">
        <v>2015</v>
      </c>
      <c r="C573" s="2" t="s">
        <v>13</v>
      </c>
      <c r="D573" s="2" t="s">
        <v>44</v>
      </c>
      <c r="E573" s="2" t="s">
        <v>82</v>
      </c>
      <c r="F573" s="2" t="s">
        <v>98</v>
      </c>
      <c r="G573" s="2">
        <f t="shared" si="8"/>
        <v>1.3062526812526813</v>
      </c>
      <c r="H573" s="5">
        <v>4.3467166309778733</v>
      </c>
      <c r="I573" s="2">
        <v>2802</v>
      </c>
      <c r="J573" s="12">
        <f>I573/Pondération!$H$139</f>
        <v>0.30051480051480051</v>
      </c>
    </row>
    <row r="574" spans="1:10" x14ac:dyDescent="0.25">
      <c r="A574" s="2" t="s">
        <v>77</v>
      </c>
      <c r="B574" s="2">
        <v>2015</v>
      </c>
      <c r="C574" s="2" t="s">
        <v>14</v>
      </c>
      <c r="D574" s="2" t="s">
        <v>44</v>
      </c>
      <c r="E574" s="2" t="s">
        <v>82</v>
      </c>
      <c r="F574" s="2" t="s">
        <v>98</v>
      </c>
      <c r="G574" s="2">
        <f t="shared" si="8"/>
        <v>0.55973830973830974</v>
      </c>
      <c r="H574" s="5">
        <v>4.3419301164725459</v>
      </c>
      <c r="I574" s="2">
        <v>1202</v>
      </c>
      <c r="J574" s="12">
        <f>I574/Pondération!$H$139</f>
        <v>0.1289146289146289</v>
      </c>
    </row>
    <row r="575" spans="1:10" x14ac:dyDescent="0.25">
      <c r="A575" s="2" t="s">
        <v>77</v>
      </c>
      <c r="B575" s="2">
        <v>2015</v>
      </c>
      <c r="C575" s="2" t="s">
        <v>15</v>
      </c>
      <c r="D575" s="2" t="s">
        <v>44</v>
      </c>
      <c r="E575" s="2" t="s">
        <v>82</v>
      </c>
      <c r="F575" s="2" t="s">
        <v>98</v>
      </c>
      <c r="G575" s="2">
        <f t="shared" si="8"/>
        <v>0.27922565422565421</v>
      </c>
      <c r="H575" s="5">
        <v>4.3391666666666664</v>
      </c>
      <c r="I575" s="2">
        <v>600</v>
      </c>
      <c r="J575" s="12">
        <f>I575/Pondération!$H$139</f>
        <v>6.4350064350064351E-2</v>
      </c>
    </row>
    <row r="576" spans="1:10" x14ac:dyDescent="0.25">
      <c r="A576" s="2" t="s">
        <v>77</v>
      </c>
      <c r="B576" s="2">
        <v>2015</v>
      </c>
      <c r="C576" s="2" t="s">
        <v>16</v>
      </c>
      <c r="D576" s="2" t="s">
        <v>44</v>
      </c>
      <c r="E576" s="2" t="s">
        <v>82</v>
      </c>
      <c r="F576" s="2" t="s">
        <v>98</v>
      </c>
      <c r="G576" s="2">
        <f t="shared" si="8"/>
        <v>0.14232089232089229</v>
      </c>
      <c r="H576" s="5">
        <v>4.3084415584415581</v>
      </c>
      <c r="I576" s="2">
        <v>308</v>
      </c>
      <c r="J576" s="12">
        <f>I576/Pondération!$H$139</f>
        <v>3.3033033033033031E-2</v>
      </c>
    </row>
    <row r="577" spans="1:10" x14ac:dyDescent="0.25">
      <c r="A577" s="2" t="s">
        <v>77</v>
      </c>
      <c r="B577" s="2">
        <v>2015</v>
      </c>
      <c r="C577" s="2" t="s">
        <v>17</v>
      </c>
      <c r="D577" s="2" t="s">
        <v>44</v>
      </c>
      <c r="E577" s="2" t="s">
        <v>82</v>
      </c>
      <c r="F577" s="2" t="s">
        <v>98</v>
      </c>
      <c r="G577" s="2">
        <f t="shared" si="8"/>
        <v>0.14328614328614328</v>
      </c>
      <c r="H577" s="5">
        <v>4.3236245954692558</v>
      </c>
      <c r="I577" s="2">
        <v>309</v>
      </c>
      <c r="J577" s="12">
        <f>I577/Pondération!$H$139</f>
        <v>3.3140283140283139E-2</v>
      </c>
    </row>
    <row r="578" spans="1:10" x14ac:dyDescent="0.25">
      <c r="A578" s="2" t="s">
        <v>77</v>
      </c>
      <c r="B578" s="2">
        <v>2016</v>
      </c>
      <c r="C578" s="2" t="s">
        <v>18</v>
      </c>
      <c r="D578" s="2" t="s">
        <v>44</v>
      </c>
      <c r="E578" s="2" t="s">
        <v>82</v>
      </c>
      <c r="F578" s="2" t="s">
        <v>98</v>
      </c>
      <c r="G578" s="2">
        <f t="shared" si="8"/>
        <v>0.12697776157491797</v>
      </c>
      <c r="H578" s="5">
        <v>4.3213399503722085</v>
      </c>
      <c r="I578" s="2">
        <v>403</v>
      </c>
      <c r="J578" s="12">
        <f>I578/Pondération!$G$139</f>
        <v>2.9383886255924172E-2</v>
      </c>
    </row>
    <row r="579" spans="1:10" x14ac:dyDescent="0.25">
      <c r="A579" s="2" t="s">
        <v>77</v>
      </c>
      <c r="B579" s="2">
        <v>2016</v>
      </c>
      <c r="C579" s="2" t="s">
        <v>19</v>
      </c>
      <c r="D579" s="2" t="s">
        <v>44</v>
      </c>
      <c r="E579" s="2" t="s">
        <v>82</v>
      </c>
      <c r="F579" s="2" t="s">
        <v>98</v>
      </c>
      <c r="G579" s="2">
        <f t="shared" ref="G579:G642" si="9">H579*J579</f>
        <v>0.18632883703973752</v>
      </c>
      <c r="H579" s="5">
        <v>4.34608843537415</v>
      </c>
      <c r="I579" s="2">
        <v>588</v>
      </c>
      <c r="J579" s="12">
        <f>I579/Pondération!$G$139</f>
        <v>4.2872767043383157E-2</v>
      </c>
    </row>
    <row r="580" spans="1:10" x14ac:dyDescent="0.25">
      <c r="A580" s="2" t="s">
        <v>77</v>
      </c>
      <c r="B580" s="2">
        <v>2016</v>
      </c>
      <c r="C580" s="2" t="s">
        <v>20</v>
      </c>
      <c r="D580" s="2" t="s">
        <v>44</v>
      </c>
      <c r="E580" s="2" t="s">
        <v>82</v>
      </c>
      <c r="F580" s="2" t="s">
        <v>98</v>
      </c>
      <c r="G580" s="2">
        <f t="shared" si="9"/>
        <v>0.19671892088953699</v>
      </c>
      <c r="H580" s="5">
        <v>4.3586429725363489</v>
      </c>
      <c r="I580" s="2">
        <v>619</v>
      </c>
      <c r="J580" s="12">
        <f>I580/Pondération!$G$139</f>
        <v>4.5133065986146553E-2</v>
      </c>
    </row>
    <row r="581" spans="1:10" x14ac:dyDescent="0.25">
      <c r="A581" s="2" t="s">
        <v>77</v>
      </c>
      <c r="B581" s="2">
        <v>2016</v>
      </c>
      <c r="C581" s="2" t="s">
        <v>21</v>
      </c>
      <c r="D581" s="2" t="s">
        <v>44</v>
      </c>
      <c r="E581" s="2" t="s">
        <v>82</v>
      </c>
      <c r="F581" s="2" t="s">
        <v>98</v>
      </c>
      <c r="G581" s="2">
        <f t="shared" si="9"/>
        <v>0.3026248632883704</v>
      </c>
      <c r="H581" s="5">
        <v>4.35062893081761</v>
      </c>
      <c r="I581" s="2">
        <v>954</v>
      </c>
      <c r="J581" s="12">
        <f>I581/Pondération!$G$139</f>
        <v>6.9558877141815537E-2</v>
      </c>
    </row>
    <row r="582" spans="1:10" x14ac:dyDescent="0.25">
      <c r="A582" s="2" t="s">
        <v>77</v>
      </c>
      <c r="B582" s="2">
        <v>2016</v>
      </c>
      <c r="C582" s="2" t="s">
        <v>22</v>
      </c>
      <c r="D582" s="2" t="s">
        <v>44</v>
      </c>
      <c r="E582" s="2" t="s">
        <v>82</v>
      </c>
      <c r="F582" s="2" t="s">
        <v>98</v>
      </c>
      <c r="G582" s="2">
        <f t="shared" si="9"/>
        <v>0.31294203426904849</v>
      </c>
      <c r="H582" s="5">
        <v>4.3617886178861784</v>
      </c>
      <c r="I582" s="2">
        <v>984</v>
      </c>
      <c r="J582" s="12">
        <f>I582/Pondération!$G$139</f>
        <v>7.1746263215457531E-2</v>
      </c>
    </row>
    <row r="583" spans="1:10" x14ac:dyDescent="0.25">
      <c r="A583" s="2" t="s">
        <v>77</v>
      </c>
      <c r="B583" s="2">
        <v>2016</v>
      </c>
      <c r="C583" s="2" t="s">
        <v>23</v>
      </c>
      <c r="D583" s="2" t="s">
        <v>44</v>
      </c>
      <c r="E583" s="2" t="s">
        <v>82</v>
      </c>
      <c r="F583" s="2" t="s">
        <v>98</v>
      </c>
      <c r="G583" s="2">
        <f t="shared" si="9"/>
        <v>0.28261028071454608</v>
      </c>
      <c r="H583" s="5">
        <v>4.3355704697986575</v>
      </c>
      <c r="I583" s="2">
        <v>894</v>
      </c>
      <c r="J583" s="12">
        <f>I583/Pondération!$G$139</f>
        <v>6.5184104994531533E-2</v>
      </c>
    </row>
    <row r="584" spans="1:10" x14ac:dyDescent="0.25">
      <c r="A584" s="2" t="s">
        <v>77</v>
      </c>
      <c r="B584" s="2">
        <v>2016</v>
      </c>
      <c r="C584" s="2" t="s">
        <v>24</v>
      </c>
      <c r="D584" s="2" t="s">
        <v>44</v>
      </c>
      <c r="E584" s="2" t="s">
        <v>82</v>
      </c>
      <c r="F584" s="2" t="s">
        <v>98</v>
      </c>
      <c r="G584" s="2">
        <f t="shared" si="9"/>
        <v>0.65771053590958806</v>
      </c>
      <c r="H584" s="5">
        <v>4.3451348747591521</v>
      </c>
      <c r="I584" s="2">
        <v>2076</v>
      </c>
      <c r="J584" s="12">
        <f>I584/Pondération!$G$139</f>
        <v>0.15136711629602626</v>
      </c>
    </row>
    <row r="585" spans="1:10" x14ac:dyDescent="0.25">
      <c r="A585" s="2" t="s">
        <v>77</v>
      </c>
      <c r="B585" s="2">
        <v>2016</v>
      </c>
      <c r="C585" s="2" t="s">
        <v>25</v>
      </c>
      <c r="D585" s="2" t="s">
        <v>44</v>
      </c>
      <c r="E585" s="2" t="s">
        <v>82</v>
      </c>
      <c r="F585" s="2" t="s">
        <v>98</v>
      </c>
      <c r="G585" s="2">
        <f t="shared" si="9"/>
        <v>1.2624863288370396</v>
      </c>
      <c r="H585" s="5">
        <v>4.3428643090042636</v>
      </c>
      <c r="I585" s="2">
        <v>3987</v>
      </c>
      <c r="J585" s="12">
        <f>I585/Pondération!$G$139</f>
        <v>0.29070360918702148</v>
      </c>
    </row>
    <row r="586" spans="1:10" x14ac:dyDescent="0.25">
      <c r="A586" s="2" t="s">
        <v>77</v>
      </c>
      <c r="B586" s="2">
        <v>2016</v>
      </c>
      <c r="C586" s="2" t="s">
        <v>26</v>
      </c>
      <c r="D586" s="2" t="s">
        <v>44</v>
      </c>
      <c r="E586" s="2" t="s">
        <v>82</v>
      </c>
      <c r="F586" s="2" t="s">
        <v>98</v>
      </c>
      <c r="G586" s="2">
        <f t="shared" si="9"/>
        <v>0.4808968282901932</v>
      </c>
      <c r="H586" s="5">
        <v>4.3477257745550428</v>
      </c>
      <c r="I586" s="2">
        <v>1517</v>
      </c>
      <c r="J586" s="12">
        <f>I586/Pondération!$G$139</f>
        <v>0.11060882245716369</v>
      </c>
    </row>
    <row r="587" spans="1:10" x14ac:dyDescent="0.25">
      <c r="A587" s="2" t="s">
        <v>77</v>
      </c>
      <c r="B587" s="2">
        <v>2016</v>
      </c>
      <c r="C587" s="2" t="s">
        <v>27</v>
      </c>
      <c r="D587" s="2" t="s">
        <v>44</v>
      </c>
      <c r="E587" s="2" t="s">
        <v>82</v>
      </c>
      <c r="F587" s="2" t="s">
        <v>98</v>
      </c>
      <c r="G587" s="2">
        <f t="shared" si="9"/>
        <v>0.25953335763762309</v>
      </c>
      <c r="H587" s="5">
        <v>4.3355663824604145</v>
      </c>
      <c r="I587" s="2">
        <v>821</v>
      </c>
      <c r="J587" s="12">
        <f>I587/Pondération!$G$139</f>
        <v>5.9861465548669342E-2</v>
      </c>
    </row>
    <row r="588" spans="1:10" x14ac:dyDescent="0.25">
      <c r="A588" s="2" t="s">
        <v>77</v>
      </c>
      <c r="B588" s="2">
        <v>2016</v>
      </c>
      <c r="C588" s="2" t="s">
        <v>28</v>
      </c>
      <c r="D588" s="2" t="s">
        <v>44</v>
      </c>
      <c r="E588" s="2" t="s">
        <v>82</v>
      </c>
      <c r="F588" s="2" t="s">
        <v>98</v>
      </c>
      <c r="G588" s="2">
        <f t="shared" si="9"/>
        <v>0.17506379876048123</v>
      </c>
      <c r="H588" s="5">
        <v>4.3339350180505418</v>
      </c>
      <c r="I588" s="2">
        <v>554</v>
      </c>
      <c r="J588" s="12">
        <f>I588/Pondération!$G$139</f>
        <v>4.0393729493255558E-2</v>
      </c>
    </row>
    <row r="589" spans="1:10" x14ac:dyDescent="0.25">
      <c r="A589" s="2" t="s">
        <v>77</v>
      </c>
      <c r="B589" s="2">
        <v>2016</v>
      </c>
      <c r="C589" s="2" t="s">
        <v>29</v>
      </c>
      <c r="D589" s="2" t="s">
        <v>44</v>
      </c>
      <c r="E589" s="2" t="s">
        <v>82</v>
      </c>
      <c r="F589" s="2" t="s">
        <v>98</v>
      </c>
      <c r="G589" s="2">
        <f t="shared" si="9"/>
        <v>0.1008020415603354</v>
      </c>
      <c r="H589" s="5">
        <v>4.3474842767295598</v>
      </c>
      <c r="I589" s="2">
        <v>318</v>
      </c>
      <c r="J589" s="12">
        <f>I589/Pondération!$G$139</f>
        <v>2.3186292380605177E-2</v>
      </c>
    </row>
    <row r="590" spans="1:10" x14ac:dyDescent="0.25">
      <c r="A590" s="2" t="s">
        <v>77</v>
      </c>
      <c r="B590" s="2">
        <v>2017</v>
      </c>
      <c r="C590" s="2" t="s">
        <v>30</v>
      </c>
      <c r="D590" s="2" t="s">
        <v>44</v>
      </c>
      <c r="E590" s="2" t="s">
        <v>82</v>
      </c>
      <c r="F590" s="2" t="s">
        <v>98</v>
      </c>
      <c r="G590" s="2">
        <f t="shared" si="9"/>
        <v>0.1339645447219984</v>
      </c>
      <c r="H590" s="5">
        <v>4.3407310704960835</v>
      </c>
      <c r="I590" s="2">
        <v>383</v>
      </c>
      <c r="J590" s="12">
        <f>I590/Pondération!$F$139</f>
        <v>3.0862207896857372E-2</v>
      </c>
    </row>
    <row r="591" spans="1:10" x14ac:dyDescent="0.25">
      <c r="A591" s="2" t="s">
        <v>77</v>
      </c>
      <c r="B591" s="2">
        <v>2017</v>
      </c>
      <c r="C591" s="2" t="s">
        <v>31</v>
      </c>
      <c r="D591" s="2" t="s">
        <v>44</v>
      </c>
      <c r="E591" s="2" t="s">
        <v>82</v>
      </c>
      <c r="F591" s="2" t="s">
        <v>98</v>
      </c>
      <c r="G591" s="2">
        <f t="shared" si="9"/>
        <v>0.2104754230459307</v>
      </c>
      <c r="H591" s="5">
        <v>4.3533333333333335</v>
      </c>
      <c r="I591" s="2">
        <v>600</v>
      </c>
      <c r="J591" s="12">
        <f>I591/Pondération!$F$139</f>
        <v>4.8348106365834004E-2</v>
      </c>
    </row>
    <row r="592" spans="1:10" x14ac:dyDescent="0.25">
      <c r="A592" s="2" t="s">
        <v>77</v>
      </c>
      <c r="B592" s="2">
        <v>2017</v>
      </c>
      <c r="C592" s="2" t="s">
        <v>32</v>
      </c>
      <c r="D592" s="2" t="s">
        <v>44</v>
      </c>
      <c r="E592" s="2" t="s">
        <v>82</v>
      </c>
      <c r="F592" s="2" t="s">
        <v>98</v>
      </c>
      <c r="G592" s="2">
        <f t="shared" si="9"/>
        <v>0.1985092667203868</v>
      </c>
      <c r="H592" s="5">
        <v>4.3601769911504427</v>
      </c>
      <c r="I592" s="2">
        <v>565</v>
      </c>
      <c r="J592" s="12">
        <f>I592/Pondération!$F$139</f>
        <v>4.5527800161160356E-2</v>
      </c>
    </row>
    <row r="593" spans="1:10" x14ac:dyDescent="0.25">
      <c r="A593" s="2" t="s">
        <v>77</v>
      </c>
      <c r="B593" s="2">
        <v>2017</v>
      </c>
      <c r="C593" s="2" t="s">
        <v>33</v>
      </c>
      <c r="D593" s="2" t="s">
        <v>44</v>
      </c>
      <c r="E593" s="2" t="s">
        <v>82</v>
      </c>
      <c r="F593" s="2" t="s">
        <v>98</v>
      </c>
      <c r="G593" s="2">
        <f t="shared" si="9"/>
        <v>0.36901692183722806</v>
      </c>
      <c r="H593" s="5">
        <v>4.3407582938388627</v>
      </c>
      <c r="I593" s="2">
        <v>1055</v>
      </c>
      <c r="J593" s="12">
        <f>I593/Pondération!$F$139</f>
        <v>8.5012087026591465E-2</v>
      </c>
    </row>
    <row r="594" spans="1:10" x14ac:dyDescent="0.25">
      <c r="A594" s="2" t="s">
        <v>77</v>
      </c>
      <c r="B594" s="2">
        <v>2017</v>
      </c>
      <c r="C594" s="2" t="s">
        <v>34</v>
      </c>
      <c r="D594" s="2" t="s">
        <v>44</v>
      </c>
      <c r="E594" s="2" t="s">
        <v>82</v>
      </c>
      <c r="F594" s="2" t="s">
        <v>98</v>
      </c>
      <c r="G594" s="2">
        <f t="shared" si="9"/>
        <v>3.3404109589041098</v>
      </c>
      <c r="H594" s="5">
        <v>4.3988221561969443</v>
      </c>
      <c r="I594" s="2">
        <v>9424</v>
      </c>
      <c r="J594" s="12">
        <f>I594/Pondération!$F$139</f>
        <v>0.75938759065269945</v>
      </c>
    </row>
    <row r="595" spans="1:10" x14ac:dyDescent="0.25">
      <c r="A595" s="2" t="s">
        <v>77</v>
      </c>
      <c r="B595" s="2">
        <v>2017</v>
      </c>
      <c r="C595" s="2" t="s">
        <v>80</v>
      </c>
      <c r="D595" s="2" t="s">
        <v>44</v>
      </c>
      <c r="E595" s="2" t="s">
        <v>82</v>
      </c>
      <c r="F595" s="2" t="s">
        <v>98</v>
      </c>
      <c r="G595" s="2">
        <f t="shared" si="9"/>
        <v>0.13432715551974214</v>
      </c>
      <c r="H595" s="5">
        <v>4.3524804177545695</v>
      </c>
      <c r="I595" s="2">
        <v>383</v>
      </c>
      <c r="J595" s="12">
        <f>I595/Pondération!$F$139</f>
        <v>3.0862207896857372E-2</v>
      </c>
    </row>
    <row r="596" spans="1:10" x14ac:dyDescent="0.25">
      <c r="A596" s="2" t="s">
        <v>77</v>
      </c>
      <c r="B596" s="2">
        <v>2013</v>
      </c>
      <c r="C596" s="2" t="s">
        <v>49</v>
      </c>
      <c r="D596" s="2" t="s">
        <v>45</v>
      </c>
      <c r="E596" s="2" t="s">
        <v>82</v>
      </c>
      <c r="F596" s="2" t="s">
        <v>98</v>
      </c>
      <c r="G596" s="2">
        <f t="shared" si="9"/>
        <v>0.12338425381903644</v>
      </c>
      <c r="H596" s="5">
        <v>4.375</v>
      </c>
      <c r="I596" s="2">
        <v>24</v>
      </c>
      <c r="J596" s="12">
        <f>I596/Pondération!$J$152</f>
        <v>2.8202115158636899E-2</v>
      </c>
    </row>
    <row r="597" spans="1:10" x14ac:dyDescent="0.25">
      <c r="A597" s="2" t="s">
        <v>77</v>
      </c>
      <c r="B597" s="2">
        <v>2013</v>
      </c>
      <c r="C597" s="2" t="s">
        <v>50</v>
      </c>
      <c r="D597" s="2" t="s">
        <v>45</v>
      </c>
      <c r="E597" s="2" t="s">
        <v>82</v>
      </c>
      <c r="F597" s="2" t="s">
        <v>98</v>
      </c>
      <c r="G597" s="2">
        <f t="shared" si="9"/>
        <v>0.12514688601645124</v>
      </c>
      <c r="H597" s="5">
        <v>4.4375</v>
      </c>
      <c r="I597" s="2">
        <v>24</v>
      </c>
      <c r="J597" s="12">
        <f>I597/Pondération!$J$152</f>
        <v>2.8202115158636899E-2</v>
      </c>
    </row>
    <row r="598" spans="1:10" x14ac:dyDescent="0.25">
      <c r="A598" s="2" t="s">
        <v>77</v>
      </c>
      <c r="B598" s="2">
        <v>2013</v>
      </c>
      <c r="C598" s="2" t="s">
        <v>51</v>
      </c>
      <c r="D598" s="2" t="s">
        <v>45</v>
      </c>
      <c r="E598" s="2" t="s">
        <v>82</v>
      </c>
      <c r="F598" s="2" t="s">
        <v>98</v>
      </c>
      <c r="G598" s="2">
        <f t="shared" si="9"/>
        <v>0.15746180963572268</v>
      </c>
      <c r="H598" s="5">
        <v>4.4666666666666668</v>
      </c>
      <c r="I598" s="2">
        <v>30</v>
      </c>
      <c r="J598" s="12">
        <f>I598/Pondération!$J$152</f>
        <v>3.5252643948296122E-2</v>
      </c>
    </row>
    <row r="599" spans="1:10" x14ac:dyDescent="0.25">
      <c r="A599" s="2" t="s">
        <v>77</v>
      </c>
      <c r="B599" s="2">
        <v>2013</v>
      </c>
      <c r="C599" s="2" t="s">
        <v>52</v>
      </c>
      <c r="D599" s="2" t="s">
        <v>45</v>
      </c>
      <c r="E599" s="2" t="s">
        <v>82</v>
      </c>
      <c r="F599" s="2" t="s">
        <v>98</v>
      </c>
      <c r="G599" s="2">
        <f t="shared" si="9"/>
        <v>0.27262044653348999</v>
      </c>
      <c r="H599" s="5">
        <v>4.3773584905660377</v>
      </c>
      <c r="I599" s="2">
        <v>53</v>
      </c>
      <c r="J599" s="12">
        <f>I599/Pondération!$J$152</f>
        <v>6.2279670975323151E-2</v>
      </c>
    </row>
    <row r="600" spans="1:10" x14ac:dyDescent="0.25">
      <c r="A600" s="2" t="s">
        <v>77</v>
      </c>
      <c r="B600" s="2">
        <v>2013</v>
      </c>
      <c r="C600" s="2" t="s">
        <v>53</v>
      </c>
      <c r="D600" s="2" t="s">
        <v>45</v>
      </c>
      <c r="E600" s="2" t="s">
        <v>82</v>
      </c>
      <c r="F600" s="2" t="s">
        <v>98</v>
      </c>
      <c r="G600" s="2">
        <f t="shared" si="9"/>
        <v>0.42831962397179796</v>
      </c>
      <c r="H600" s="5">
        <v>4.3915662650602414</v>
      </c>
      <c r="I600" s="2">
        <v>83</v>
      </c>
      <c r="J600" s="12">
        <f>I600/Pondération!$J$152</f>
        <v>9.7532314923619273E-2</v>
      </c>
    </row>
    <row r="601" spans="1:10" x14ac:dyDescent="0.25">
      <c r="A601" s="2" t="s">
        <v>77</v>
      </c>
      <c r="B601" s="2">
        <v>2013</v>
      </c>
      <c r="C601" s="2" t="s">
        <v>54</v>
      </c>
      <c r="D601" s="2" t="s">
        <v>45</v>
      </c>
      <c r="E601" s="2" t="s">
        <v>82</v>
      </c>
      <c r="F601" s="2" t="s">
        <v>98</v>
      </c>
      <c r="G601" s="2">
        <f t="shared" si="9"/>
        <v>0.27438307873090484</v>
      </c>
      <c r="H601" s="5">
        <v>4.4056603773584904</v>
      </c>
      <c r="I601" s="2">
        <v>53</v>
      </c>
      <c r="J601" s="12">
        <f>I601/Pondération!$J$152</f>
        <v>6.2279670975323151E-2</v>
      </c>
    </row>
    <row r="602" spans="1:10" x14ac:dyDescent="0.25">
      <c r="A602" s="2" t="s">
        <v>77</v>
      </c>
      <c r="B602" s="2">
        <v>2013</v>
      </c>
      <c r="C602" s="2" t="s">
        <v>55</v>
      </c>
      <c r="D602" s="2" t="s">
        <v>45</v>
      </c>
      <c r="E602" s="2" t="s">
        <v>82</v>
      </c>
      <c r="F602" s="2" t="s">
        <v>98</v>
      </c>
      <c r="G602" s="2">
        <f t="shared" si="9"/>
        <v>0.64277320799059934</v>
      </c>
      <c r="H602" s="5">
        <v>4.3760000000000003</v>
      </c>
      <c r="I602" s="2">
        <v>125</v>
      </c>
      <c r="J602" s="12">
        <f>I602/Pondération!$J$152</f>
        <v>0.14688601645123384</v>
      </c>
    </row>
    <row r="603" spans="1:10" x14ac:dyDescent="0.25">
      <c r="A603" s="2" t="s">
        <v>77</v>
      </c>
      <c r="B603" s="2">
        <v>2013</v>
      </c>
      <c r="C603" s="2" t="s">
        <v>56</v>
      </c>
      <c r="D603" s="2" t="s">
        <v>45</v>
      </c>
      <c r="E603" s="2" t="s">
        <v>82</v>
      </c>
      <c r="F603" s="2" t="s">
        <v>98</v>
      </c>
      <c r="G603" s="2">
        <f t="shared" si="9"/>
        <v>1.1603995299647472</v>
      </c>
      <c r="H603" s="5">
        <v>4.3694690265486722</v>
      </c>
      <c r="I603" s="2">
        <v>226</v>
      </c>
      <c r="J603" s="12">
        <f>I603/Pondération!$J$152</f>
        <v>0.26556991774383076</v>
      </c>
    </row>
    <row r="604" spans="1:10" x14ac:dyDescent="0.25">
      <c r="A604" s="2" t="s">
        <v>77</v>
      </c>
      <c r="B604" s="2">
        <v>2013</v>
      </c>
      <c r="C604" s="2" t="s">
        <v>57</v>
      </c>
      <c r="D604" s="2" t="s">
        <v>45</v>
      </c>
      <c r="E604" s="2" t="s">
        <v>82</v>
      </c>
      <c r="F604" s="2" t="s">
        <v>98</v>
      </c>
      <c r="G604" s="2">
        <f t="shared" si="9"/>
        <v>0.46298472385428913</v>
      </c>
      <c r="H604" s="5">
        <v>4.3777777777777782</v>
      </c>
      <c r="I604" s="2">
        <v>90</v>
      </c>
      <c r="J604" s="12">
        <f>I604/Pondération!$J$152</f>
        <v>0.10575793184488837</v>
      </c>
    </row>
    <row r="605" spans="1:10" x14ac:dyDescent="0.25">
      <c r="A605" s="2" t="s">
        <v>77</v>
      </c>
      <c r="B605" s="2">
        <v>2013</v>
      </c>
      <c r="C605" s="2" t="s">
        <v>58</v>
      </c>
      <c r="D605" s="2" t="s">
        <v>45</v>
      </c>
      <c r="E605" s="2" t="s">
        <v>82</v>
      </c>
      <c r="F605" s="2" t="s">
        <v>98</v>
      </c>
      <c r="G605" s="2">
        <f t="shared" si="9"/>
        <v>0.33019976498237369</v>
      </c>
      <c r="H605" s="5">
        <v>4.390625</v>
      </c>
      <c r="I605" s="2">
        <v>64</v>
      </c>
      <c r="J605" s="12">
        <f>I605/Pondération!$J$152</f>
        <v>7.5205640423031725E-2</v>
      </c>
    </row>
    <row r="606" spans="1:10" x14ac:dyDescent="0.25">
      <c r="A606" s="2" t="s">
        <v>77</v>
      </c>
      <c r="B606" s="2">
        <v>2013</v>
      </c>
      <c r="C606" s="2" t="s">
        <v>59</v>
      </c>
      <c r="D606" s="2" t="s">
        <v>45</v>
      </c>
      <c r="E606" s="2" t="s">
        <v>82</v>
      </c>
      <c r="F606" s="2" t="s">
        <v>98</v>
      </c>
      <c r="G606" s="2">
        <f t="shared" si="9"/>
        <v>0.19271445358401881</v>
      </c>
      <c r="H606" s="5">
        <v>4.3157894736842106</v>
      </c>
      <c r="I606" s="2">
        <v>38</v>
      </c>
      <c r="J606" s="12">
        <f>I606/Pondération!$J$152</f>
        <v>4.465334900117509E-2</v>
      </c>
    </row>
    <row r="607" spans="1:10" x14ac:dyDescent="0.25">
      <c r="A607" s="2" t="s">
        <v>77</v>
      </c>
      <c r="B607" s="2">
        <v>2013</v>
      </c>
      <c r="C607" s="2" t="s">
        <v>60</v>
      </c>
      <c r="D607" s="2" t="s">
        <v>45</v>
      </c>
      <c r="E607" s="2" t="s">
        <v>82</v>
      </c>
      <c r="F607" s="2" t="s">
        <v>98</v>
      </c>
      <c r="G607" s="2">
        <f t="shared" si="9"/>
        <v>0.21034077555816688</v>
      </c>
      <c r="H607" s="5">
        <v>4.3658536585365857</v>
      </c>
      <c r="I607" s="2">
        <v>41</v>
      </c>
      <c r="J607" s="12">
        <f>I607/Pondération!$J$152</f>
        <v>4.8178613396004703E-2</v>
      </c>
    </row>
    <row r="608" spans="1:10" x14ac:dyDescent="0.25">
      <c r="A608" s="2" t="s">
        <v>77</v>
      </c>
      <c r="B608" s="2">
        <v>2014</v>
      </c>
      <c r="C608" s="2" t="s">
        <v>61</v>
      </c>
      <c r="D608" s="2" t="s">
        <v>45</v>
      </c>
      <c r="E608" s="2" t="s">
        <v>82</v>
      </c>
      <c r="F608" s="2" t="s">
        <v>98</v>
      </c>
      <c r="G608" s="2">
        <f t="shared" si="9"/>
        <v>4.9413735343383586E-2</v>
      </c>
      <c r="H608" s="5">
        <v>4.4249999999999998</v>
      </c>
      <c r="I608" s="2">
        <v>20</v>
      </c>
      <c r="J608" s="12">
        <f>I608/Pondération!$I$152</f>
        <v>1.1166945840312675E-2</v>
      </c>
    </row>
    <row r="609" spans="1:10" x14ac:dyDescent="0.25">
      <c r="A609" s="2" t="s">
        <v>77</v>
      </c>
      <c r="B609" s="2">
        <v>2014</v>
      </c>
      <c r="C609" s="2" t="s">
        <v>62</v>
      </c>
      <c r="D609" s="2" t="s">
        <v>45</v>
      </c>
      <c r="E609" s="2" t="s">
        <v>82</v>
      </c>
      <c r="F609" s="2" t="s">
        <v>98</v>
      </c>
      <c r="G609" s="2">
        <f t="shared" si="9"/>
        <v>8.0960357342266892E-2</v>
      </c>
      <c r="H609" s="5">
        <v>4.3939393939393936</v>
      </c>
      <c r="I609" s="2">
        <v>33</v>
      </c>
      <c r="J609" s="12">
        <f>I609/Pondération!$I$152</f>
        <v>1.8425460636515914E-2</v>
      </c>
    </row>
    <row r="610" spans="1:10" x14ac:dyDescent="0.25">
      <c r="A610" s="2" t="s">
        <v>77</v>
      </c>
      <c r="B610" s="2">
        <v>2014</v>
      </c>
      <c r="C610" s="2" t="s">
        <v>63</v>
      </c>
      <c r="D610" s="2" t="s">
        <v>45</v>
      </c>
      <c r="E610" s="2" t="s">
        <v>82</v>
      </c>
      <c r="F610" s="2" t="s">
        <v>98</v>
      </c>
      <c r="G610" s="2">
        <f t="shared" si="9"/>
        <v>9.9944165270798455E-2</v>
      </c>
      <c r="H610" s="5">
        <v>4.3658536585365857</v>
      </c>
      <c r="I610" s="2">
        <v>41</v>
      </c>
      <c r="J610" s="12">
        <f>I610/Pondération!$I$152</f>
        <v>2.2892238972640984E-2</v>
      </c>
    </row>
    <row r="611" spans="1:10" x14ac:dyDescent="0.25">
      <c r="A611" s="2" t="s">
        <v>77</v>
      </c>
      <c r="B611" s="2">
        <v>2014</v>
      </c>
      <c r="C611" s="2" t="s">
        <v>64</v>
      </c>
      <c r="D611" s="2" t="s">
        <v>45</v>
      </c>
      <c r="E611" s="2" t="s">
        <v>82</v>
      </c>
      <c r="F611" s="2" t="s">
        <v>98</v>
      </c>
      <c r="G611" s="2">
        <f t="shared" si="9"/>
        <v>0.2297599106644333</v>
      </c>
      <c r="H611" s="5">
        <v>4.3315789473684214</v>
      </c>
      <c r="I611" s="2">
        <v>95</v>
      </c>
      <c r="J611" s="12">
        <f>I611/Pondération!$I$152</f>
        <v>5.3042992741485204E-2</v>
      </c>
    </row>
    <row r="612" spans="1:10" x14ac:dyDescent="0.25">
      <c r="A612" s="2" t="s">
        <v>77</v>
      </c>
      <c r="B612" s="2">
        <v>2014</v>
      </c>
      <c r="C612" s="2" t="s">
        <v>65</v>
      </c>
      <c r="D612" s="2" t="s">
        <v>45</v>
      </c>
      <c r="E612" s="2" t="s">
        <v>82</v>
      </c>
      <c r="F612" s="2" t="s">
        <v>98</v>
      </c>
      <c r="G612" s="2">
        <f t="shared" si="9"/>
        <v>0.35064209938581797</v>
      </c>
      <c r="H612" s="5">
        <v>4.3611111111111107</v>
      </c>
      <c r="I612" s="2">
        <v>144</v>
      </c>
      <c r="J612" s="12">
        <f>I612/Pondération!$I$152</f>
        <v>8.0402010050251257E-2</v>
      </c>
    </row>
    <row r="613" spans="1:10" x14ac:dyDescent="0.25">
      <c r="A613" s="2" t="s">
        <v>77</v>
      </c>
      <c r="B613" s="2">
        <v>2014</v>
      </c>
      <c r="C613" s="2" t="s">
        <v>66</v>
      </c>
      <c r="D613" s="2" t="s">
        <v>45</v>
      </c>
      <c r="E613" s="2" t="s">
        <v>82</v>
      </c>
      <c r="F613" s="2" t="s">
        <v>98</v>
      </c>
      <c r="G613" s="2">
        <f t="shared" si="9"/>
        <v>0.27079843662758235</v>
      </c>
      <c r="H613" s="5">
        <v>4.3693693693693696</v>
      </c>
      <c r="I613" s="2">
        <v>111</v>
      </c>
      <c r="J613" s="12">
        <f>I613/Pondération!$I$152</f>
        <v>6.1976549413735343E-2</v>
      </c>
    </row>
    <row r="614" spans="1:10" x14ac:dyDescent="0.25">
      <c r="A614" s="2" t="s">
        <v>77</v>
      </c>
      <c r="B614" s="2">
        <v>2014</v>
      </c>
      <c r="C614" s="2" t="s">
        <v>67</v>
      </c>
      <c r="D614" s="2" t="s">
        <v>45</v>
      </c>
      <c r="E614" s="2" t="s">
        <v>82</v>
      </c>
      <c r="F614" s="2" t="s">
        <v>98</v>
      </c>
      <c r="G614" s="2">
        <f t="shared" si="9"/>
        <v>0.65075376884422109</v>
      </c>
      <c r="H614" s="5">
        <v>4.3327137546468402</v>
      </c>
      <c r="I614" s="2">
        <v>269</v>
      </c>
      <c r="J614" s="12">
        <f>I614/Pondération!$I$152</f>
        <v>0.15019542155220547</v>
      </c>
    </row>
    <row r="615" spans="1:10" x14ac:dyDescent="0.25">
      <c r="A615" s="2" t="s">
        <v>77</v>
      </c>
      <c r="B615" s="2">
        <v>2014</v>
      </c>
      <c r="C615" s="2" t="s">
        <v>68</v>
      </c>
      <c r="D615" s="2" t="s">
        <v>45</v>
      </c>
      <c r="E615" s="2" t="s">
        <v>82</v>
      </c>
      <c r="F615" s="2" t="s">
        <v>98</v>
      </c>
      <c r="G615" s="2">
        <f t="shared" si="9"/>
        <v>1.2540480178671136</v>
      </c>
      <c r="H615" s="5">
        <v>4.3442940038684723</v>
      </c>
      <c r="I615" s="2">
        <v>517</v>
      </c>
      <c r="J615" s="12">
        <f>I615/Pondération!$I$152</f>
        <v>0.28866554997208266</v>
      </c>
    </row>
    <row r="616" spans="1:10" x14ac:dyDescent="0.25">
      <c r="A616" s="2" t="s">
        <v>77</v>
      </c>
      <c r="B616" s="2">
        <v>2014</v>
      </c>
      <c r="C616" s="2" t="s">
        <v>69</v>
      </c>
      <c r="D616" s="2" t="s">
        <v>45</v>
      </c>
      <c r="E616" s="2" t="s">
        <v>82</v>
      </c>
      <c r="F616" s="2" t="s">
        <v>98</v>
      </c>
      <c r="G616" s="2">
        <f t="shared" si="9"/>
        <v>0.54131769960915688</v>
      </c>
      <c r="H616" s="5">
        <v>4.3475336322869955</v>
      </c>
      <c r="I616" s="2">
        <v>223</v>
      </c>
      <c r="J616" s="12">
        <f>I616/Pondération!$I$152</f>
        <v>0.12451144611948632</v>
      </c>
    </row>
    <row r="617" spans="1:10" x14ac:dyDescent="0.25">
      <c r="A617" s="2" t="s">
        <v>77</v>
      </c>
      <c r="B617" s="2">
        <v>2014</v>
      </c>
      <c r="C617" s="2" t="s">
        <v>70</v>
      </c>
      <c r="D617" s="2" t="s">
        <v>45</v>
      </c>
      <c r="E617" s="2" t="s">
        <v>82</v>
      </c>
      <c r="F617" s="2" t="s">
        <v>98</v>
      </c>
      <c r="G617" s="2">
        <f t="shared" si="9"/>
        <v>0.32021217197096596</v>
      </c>
      <c r="H617" s="5">
        <v>4.3778625954198471</v>
      </c>
      <c r="I617" s="2">
        <v>131</v>
      </c>
      <c r="J617" s="12">
        <f>I617/Pondération!$I$152</f>
        <v>7.3143495254048022E-2</v>
      </c>
    </row>
    <row r="618" spans="1:10" x14ac:dyDescent="0.25">
      <c r="A618" s="2" t="s">
        <v>77</v>
      </c>
      <c r="B618" s="2">
        <v>2014</v>
      </c>
      <c r="C618" s="2" t="s">
        <v>71</v>
      </c>
      <c r="D618" s="2" t="s">
        <v>45</v>
      </c>
      <c r="E618" s="2" t="s">
        <v>82</v>
      </c>
      <c r="F618" s="2" t="s">
        <v>98</v>
      </c>
      <c r="G618" s="2">
        <f t="shared" si="9"/>
        <v>0.31853713009491907</v>
      </c>
      <c r="H618" s="5">
        <v>4.3884615384615389</v>
      </c>
      <c r="I618" s="2">
        <v>130</v>
      </c>
      <c r="J618" s="12">
        <f>I618/Pondération!$I$152</f>
        <v>7.2585147962032387E-2</v>
      </c>
    </row>
    <row r="619" spans="1:10" x14ac:dyDescent="0.25">
      <c r="A619" s="2" t="s">
        <v>77</v>
      </c>
      <c r="B619" s="2">
        <v>2014</v>
      </c>
      <c r="C619" s="2" t="s">
        <v>72</v>
      </c>
      <c r="D619" s="2" t="s">
        <v>45</v>
      </c>
      <c r="E619" s="2" t="s">
        <v>82</v>
      </c>
      <c r="F619" s="2" t="s">
        <v>98</v>
      </c>
      <c r="G619" s="2">
        <f t="shared" si="9"/>
        <v>0.1873255164712451</v>
      </c>
      <c r="H619" s="5">
        <v>4.3571428571428568</v>
      </c>
      <c r="I619" s="2">
        <v>77</v>
      </c>
      <c r="J619" s="12">
        <f>I619/Pondération!$I$152</f>
        <v>4.2992741485203795E-2</v>
      </c>
    </row>
    <row r="620" spans="1:10" x14ac:dyDescent="0.25">
      <c r="A620" s="2" t="s">
        <v>77</v>
      </c>
      <c r="B620" s="2">
        <v>2015</v>
      </c>
      <c r="C620" s="2" t="s">
        <v>73</v>
      </c>
      <c r="D620" s="2" t="s">
        <v>45</v>
      </c>
      <c r="E620" s="2" t="s">
        <v>82</v>
      </c>
      <c r="F620" s="2" t="s">
        <v>98</v>
      </c>
      <c r="G620" s="2">
        <f t="shared" si="9"/>
        <v>5.4241833252072158E-2</v>
      </c>
      <c r="H620" s="5">
        <v>4.3627450980392153</v>
      </c>
      <c r="I620" s="2">
        <v>51</v>
      </c>
      <c r="J620" s="12">
        <f>I620/Pondération!$H$152</f>
        <v>1.2432959531935642E-2</v>
      </c>
    </row>
    <row r="621" spans="1:10" x14ac:dyDescent="0.25">
      <c r="A621" s="2" t="s">
        <v>77</v>
      </c>
      <c r="B621" s="2">
        <v>2015</v>
      </c>
      <c r="C621" s="2" t="s">
        <v>74</v>
      </c>
      <c r="D621" s="2" t="s">
        <v>45</v>
      </c>
      <c r="E621" s="2" t="s">
        <v>82</v>
      </c>
      <c r="F621" s="2" t="s">
        <v>98</v>
      </c>
      <c r="G621" s="2">
        <f t="shared" si="9"/>
        <v>9.9219892735251086E-2</v>
      </c>
      <c r="H621" s="5">
        <v>4.376344086021505</v>
      </c>
      <c r="I621" s="2">
        <v>93</v>
      </c>
      <c r="J621" s="12">
        <f>I621/Pondération!$H$152</f>
        <v>2.2671867381764993E-2</v>
      </c>
    </row>
    <row r="622" spans="1:10" x14ac:dyDescent="0.25">
      <c r="A622" s="2" t="s">
        <v>77</v>
      </c>
      <c r="B622" s="2">
        <v>2015</v>
      </c>
      <c r="C622" s="2" t="s">
        <v>75</v>
      </c>
      <c r="D622" s="2" t="s">
        <v>45</v>
      </c>
      <c r="E622" s="2" t="s">
        <v>82</v>
      </c>
      <c r="F622" s="2" t="s">
        <v>98</v>
      </c>
      <c r="G622" s="2">
        <f t="shared" si="9"/>
        <v>0.12408581179912238</v>
      </c>
      <c r="H622" s="5">
        <v>4.3879310344827589</v>
      </c>
      <c r="I622" s="2">
        <v>116</v>
      </c>
      <c r="J622" s="12">
        <f>I622/Pondération!$H$152</f>
        <v>2.8278888347147733E-2</v>
      </c>
    </row>
    <row r="623" spans="1:10" x14ac:dyDescent="0.25">
      <c r="A623" s="2" t="s">
        <v>77</v>
      </c>
      <c r="B623" s="2">
        <v>2015</v>
      </c>
      <c r="C623" s="2" t="s">
        <v>76</v>
      </c>
      <c r="D623" s="2" t="s">
        <v>45</v>
      </c>
      <c r="E623" s="2" t="s">
        <v>82</v>
      </c>
      <c r="F623" s="2" t="s">
        <v>98</v>
      </c>
      <c r="G623" s="2">
        <f t="shared" si="9"/>
        <v>0.22318381277425647</v>
      </c>
      <c r="H623" s="5">
        <v>4.3183962264150946</v>
      </c>
      <c r="I623" s="2">
        <v>212</v>
      </c>
      <c r="J623" s="12">
        <f>I623/Pondération!$H$152</f>
        <v>5.1682106289614824E-2</v>
      </c>
    </row>
    <row r="624" spans="1:10" x14ac:dyDescent="0.25">
      <c r="A624" s="2" t="s">
        <v>77</v>
      </c>
      <c r="B624" s="2">
        <v>2015</v>
      </c>
      <c r="C624" s="2" t="s">
        <v>7</v>
      </c>
      <c r="D624" s="2" t="s">
        <v>45</v>
      </c>
      <c r="E624" s="2" t="s">
        <v>82</v>
      </c>
      <c r="F624" s="2" t="s">
        <v>98</v>
      </c>
      <c r="G624" s="2">
        <f t="shared" si="9"/>
        <v>0.41491955143832276</v>
      </c>
      <c r="H624" s="5">
        <v>4.330788804071247</v>
      </c>
      <c r="I624" s="2">
        <v>393</v>
      </c>
      <c r="J624" s="12">
        <f>I624/Pondération!$H$152</f>
        <v>9.580692345197464E-2</v>
      </c>
    </row>
    <row r="625" spans="1:10" x14ac:dyDescent="0.25">
      <c r="A625" s="2" t="s">
        <v>77</v>
      </c>
      <c r="B625" s="2">
        <v>2015</v>
      </c>
      <c r="C625" s="2" t="s">
        <v>11</v>
      </c>
      <c r="D625" s="2" t="s">
        <v>45</v>
      </c>
      <c r="E625" s="2" t="s">
        <v>82</v>
      </c>
      <c r="F625" s="2" t="s">
        <v>98</v>
      </c>
      <c r="G625" s="2">
        <f t="shared" si="9"/>
        <v>0.30192588980984886</v>
      </c>
      <c r="H625" s="5">
        <v>4.3304195804195809</v>
      </c>
      <c r="I625" s="2">
        <v>286</v>
      </c>
      <c r="J625" s="12">
        <f>I625/Pondération!$H$152</f>
        <v>6.9722086786933202E-2</v>
      </c>
    </row>
    <row r="626" spans="1:10" x14ac:dyDescent="0.25">
      <c r="A626" s="2" t="s">
        <v>77</v>
      </c>
      <c r="B626" s="2">
        <v>2015</v>
      </c>
      <c r="C626" s="2" t="s">
        <v>12</v>
      </c>
      <c r="D626" s="2" t="s">
        <v>45</v>
      </c>
      <c r="E626" s="2" t="s">
        <v>82</v>
      </c>
      <c r="F626" s="2" t="s">
        <v>98</v>
      </c>
      <c r="G626" s="2">
        <f t="shared" si="9"/>
        <v>0.71440760604583131</v>
      </c>
      <c r="H626" s="5">
        <v>4.3222713864306783</v>
      </c>
      <c r="I626" s="2">
        <v>678</v>
      </c>
      <c r="J626" s="12">
        <f>I626/Pondération!$H$152</f>
        <v>0.16528522671867382</v>
      </c>
    </row>
    <row r="627" spans="1:10" x14ac:dyDescent="0.25">
      <c r="A627" s="2" t="s">
        <v>77</v>
      </c>
      <c r="B627" s="2">
        <v>2015</v>
      </c>
      <c r="C627" s="2" t="s">
        <v>13</v>
      </c>
      <c r="D627" s="2" t="s">
        <v>45</v>
      </c>
      <c r="E627" s="2" t="s">
        <v>82</v>
      </c>
      <c r="F627" s="2" t="s">
        <v>98</v>
      </c>
      <c r="G627" s="2">
        <f t="shared" si="9"/>
        <v>1.279132130667967</v>
      </c>
      <c r="H627" s="5">
        <v>4.3008196721311478</v>
      </c>
      <c r="I627" s="2">
        <v>1220</v>
      </c>
      <c r="J627" s="12">
        <f>I627/Pondération!$H$152</f>
        <v>0.29741589468551927</v>
      </c>
    </row>
    <row r="628" spans="1:10" x14ac:dyDescent="0.25">
      <c r="A628" s="2" t="s">
        <v>77</v>
      </c>
      <c r="B628" s="2">
        <v>2015</v>
      </c>
      <c r="C628" s="2" t="s">
        <v>14</v>
      </c>
      <c r="D628" s="2" t="s">
        <v>45</v>
      </c>
      <c r="E628" s="2" t="s">
        <v>82</v>
      </c>
      <c r="F628" s="2" t="s">
        <v>98</v>
      </c>
      <c r="G628" s="2">
        <f t="shared" si="9"/>
        <v>0.45855680156021461</v>
      </c>
      <c r="H628" s="5">
        <v>4.3341013824884795</v>
      </c>
      <c r="I628" s="2">
        <v>434</v>
      </c>
      <c r="J628" s="12">
        <f>I628/Pondération!$H$152</f>
        <v>0.10580204778156997</v>
      </c>
    </row>
    <row r="629" spans="1:10" x14ac:dyDescent="0.25">
      <c r="A629" s="2" t="s">
        <v>77</v>
      </c>
      <c r="B629" s="2">
        <v>2015</v>
      </c>
      <c r="C629" s="2" t="s">
        <v>15</v>
      </c>
      <c r="D629" s="2" t="s">
        <v>45</v>
      </c>
      <c r="E629" s="2" t="s">
        <v>82</v>
      </c>
      <c r="F629" s="2" t="s">
        <v>98</v>
      </c>
      <c r="G629" s="2">
        <f t="shared" si="9"/>
        <v>0.31070209653827402</v>
      </c>
      <c r="H629" s="5">
        <v>4.3647260273972606</v>
      </c>
      <c r="I629" s="2">
        <v>292</v>
      </c>
      <c r="J629" s="12">
        <f>I629/Pondération!$H$152</f>
        <v>7.1184787908337391E-2</v>
      </c>
    </row>
    <row r="630" spans="1:10" x14ac:dyDescent="0.25">
      <c r="A630" s="2" t="s">
        <v>77</v>
      </c>
      <c r="B630" s="2">
        <v>2015</v>
      </c>
      <c r="C630" s="2" t="s">
        <v>16</v>
      </c>
      <c r="D630" s="2" t="s">
        <v>45</v>
      </c>
      <c r="E630" s="2" t="s">
        <v>82</v>
      </c>
      <c r="F630" s="2" t="s">
        <v>98</v>
      </c>
      <c r="G630" s="2">
        <f t="shared" si="9"/>
        <v>0.18612871769868358</v>
      </c>
      <c r="H630" s="5">
        <v>4.362857142857143</v>
      </c>
      <c r="I630" s="2">
        <v>175</v>
      </c>
      <c r="J630" s="12">
        <f>I630/Pondération!$H$152</f>
        <v>4.2662116040955635E-2</v>
      </c>
    </row>
    <row r="631" spans="1:10" x14ac:dyDescent="0.25">
      <c r="A631" s="2" t="s">
        <v>77</v>
      </c>
      <c r="B631" s="2">
        <v>2015</v>
      </c>
      <c r="C631" s="2" t="s">
        <v>17</v>
      </c>
      <c r="D631" s="2" t="s">
        <v>45</v>
      </c>
      <c r="E631" s="2" t="s">
        <v>82</v>
      </c>
      <c r="F631" s="2" t="s">
        <v>98</v>
      </c>
      <c r="G631" s="2">
        <f t="shared" si="9"/>
        <v>0.16223793271574841</v>
      </c>
      <c r="H631" s="5">
        <v>4.3782894736842106</v>
      </c>
      <c r="I631" s="2">
        <v>152</v>
      </c>
      <c r="J631" s="12">
        <f>I631/Pondération!$H$152</f>
        <v>3.7055095075572891E-2</v>
      </c>
    </row>
    <row r="632" spans="1:10" x14ac:dyDescent="0.25">
      <c r="A632" s="2" t="s">
        <v>77</v>
      </c>
      <c r="B632" s="2">
        <v>2016</v>
      </c>
      <c r="C632" s="2" t="s">
        <v>18</v>
      </c>
      <c r="D632" s="2" t="s">
        <v>45</v>
      </c>
      <c r="E632" s="2" t="s">
        <v>82</v>
      </c>
      <c r="F632" s="2" t="s">
        <v>98</v>
      </c>
      <c r="G632" s="2">
        <f t="shared" si="9"/>
        <v>9.7070506454816283E-2</v>
      </c>
      <c r="H632" s="5">
        <v>4.3444444444444441</v>
      </c>
      <c r="I632" s="2">
        <v>135</v>
      </c>
      <c r="J632" s="12">
        <f>I632/Pondération!$G$152</f>
        <v>2.2343594836146972E-2</v>
      </c>
    </row>
    <row r="633" spans="1:10" x14ac:dyDescent="0.25">
      <c r="A633" s="2" t="s">
        <v>77</v>
      </c>
      <c r="B633" s="2">
        <v>2016</v>
      </c>
      <c r="C633" s="2" t="s">
        <v>19</v>
      </c>
      <c r="D633" s="2" t="s">
        <v>45</v>
      </c>
      <c r="E633" s="2" t="s">
        <v>82</v>
      </c>
      <c r="F633" s="2" t="s">
        <v>98</v>
      </c>
      <c r="G633" s="2">
        <f t="shared" si="9"/>
        <v>0.17204568023833169</v>
      </c>
      <c r="H633" s="5">
        <v>4.3860759493670889</v>
      </c>
      <c r="I633" s="2">
        <v>237</v>
      </c>
      <c r="J633" s="12">
        <f>I633/Pondération!$G$152</f>
        <v>3.922542204568024E-2</v>
      </c>
    </row>
    <row r="634" spans="1:10" x14ac:dyDescent="0.25">
      <c r="A634" s="2" t="s">
        <v>77</v>
      </c>
      <c r="B634" s="2">
        <v>2016</v>
      </c>
      <c r="C634" s="2" t="s">
        <v>20</v>
      </c>
      <c r="D634" s="2" t="s">
        <v>45</v>
      </c>
      <c r="E634" s="2" t="s">
        <v>82</v>
      </c>
      <c r="F634" s="2" t="s">
        <v>98</v>
      </c>
      <c r="G634" s="2">
        <f t="shared" si="9"/>
        <v>0.16153591525984773</v>
      </c>
      <c r="H634" s="5">
        <v>4.376681614349776</v>
      </c>
      <c r="I634" s="2">
        <v>223</v>
      </c>
      <c r="J634" s="12">
        <f>I634/Pondération!$G$152</f>
        <v>3.6908308507116849E-2</v>
      </c>
    </row>
    <row r="635" spans="1:10" x14ac:dyDescent="0.25">
      <c r="A635" s="2" t="s">
        <v>77</v>
      </c>
      <c r="B635" s="2">
        <v>2016</v>
      </c>
      <c r="C635" s="2" t="s">
        <v>21</v>
      </c>
      <c r="D635" s="2" t="s">
        <v>45</v>
      </c>
      <c r="E635" s="2" t="s">
        <v>82</v>
      </c>
      <c r="F635" s="2" t="s">
        <v>98</v>
      </c>
      <c r="G635" s="2">
        <f t="shared" si="9"/>
        <v>0.36229725256537576</v>
      </c>
      <c r="H635" s="5">
        <v>4.3260869565217392</v>
      </c>
      <c r="I635" s="2">
        <v>506</v>
      </c>
      <c r="J635" s="12">
        <f>I635/Pondération!$G$152</f>
        <v>8.3747103608076801E-2</v>
      </c>
    </row>
    <row r="636" spans="1:10" x14ac:dyDescent="0.25">
      <c r="A636" s="2" t="s">
        <v>77</v>
      </c>
      <c r="B636" s="2">
        <v>2016</v>
      </c>
      <c r="C636" s="2" t="s">
        <v>22</v>
      </c>
      <c r="D636" s="2" t="s">
        <v>45</v>
      </c>
      <c r="E636" s="2" t="s">
        <v>82</v>
      </c>
      <c r="F636" s="2" t="s">
        <v>98</v>
      </c>
      <c r="G636" s="2">
        <f t="shared" si="9"/>
        <v>0.36262826878517046</v>
      </c>
      <c r="H636" s="5">
        <v>4.2960784313725489</v>
      </c>
      <c r="I636" s="2">
        <v>510</v>
      </c>
      <c r="J636" s="12">
        <f>I636/Pondération!$G$152</f>
        <v>8.4409136047666339E-2</v>
      </c>
    </row>
    <row r="637" spans="1:10" x14ac:dyDescent="0.25">
      <c r="A637" s="2" t="s">
        <v>77</v>
      </c>
      <c r="B637" s="2">
        <v>2016</v>
      </c>
      <c r="C637" s="2" t="s">
        <v>23</v>
      </c>
      <c r="D637" s="2" t="s">
        <v>45</v>
      </c>
      <c r="E637" s="2" t="s">
        <v>82</v>
      </c>
      <c r="F637" s="2" t="s">
        <v>98</v>
      </c>
      <c r="G637" s="2">
        <f t="shared" si="9"/>
        <v>0.3114035087719299</v>
      </c>
      <c r="H637" s="5">
        <v>4.3553240740740744</v>
      </c>
      <c r="I637" s="2">
        <v>432</v>
      </c>
      <c r="J637" s="12">
        <f>I637/Pondération!$G$152</f>
        <v>7.1499503475670315E-2</v>
      </c>
    </row>
    <row r="638" spans="1:10" x14ac:dyDescent="0.25">
      <c r="A638" s="2" t="s">
        <v>77</v>
      </c>
      <c r="B638" s="2">
        <v>2016</v>
      </c>
      <c r="C638" s="2" t="s">
        <v>24</v>
      </c>
      <c r="D638" s="2" t="s">
        <v>45</v>
      </c>
      <c r="E638" s="2" t="s">
        <v>82</v>
      </c>
      <c r="F638" s="2" t="s">
        <v>98</v>
      </c>
      <c r="G638" s="2">
        <f t="shared" si="9"/>
        <v>0.58929162528963919</v>
      </c>
      <c r="H638" s="5">
        <v>4.336784409257004</v>
      </c>
      <c r="I638" s="2">
        <v>821</v>
      </c>
      <c r="J638" s="12">
        <f>I638/Pondération!$G$152</f>
        <v>0.13588215822575306</v>
      </c>
    </row>
    <row r="639" spans="1:10" x14ac:dyDescent="0.25">
      <c r="A639" s="2" t="s">
        <v>77</v>
      </c>
      <c r="B639" s="2">
        <v>2016</v>
      </c>
      <c r="C639" s="2" t="s">
        <v>25</v>
      </c>
      <c r="D639" s="2" t="s">
        <v>45</v>
      </c>
      <c r="E639" s="2" t="s">
        <v>82</v>
      </c>
      <c r="F639" s="2" t="s">
        <v>98</v>
      </c>
      <c r="G639" s="2">
        <f t="shared" si="9"/>
        <v>1.204237007613373</v>
      </c>
      <c r="H639" s="5">
        <v>4.3155397390272832</v>
      </c>
      <c r="I639" s="2">
        <v>1686</v>
      </c>
      <c r="J639" s="12">
        <f>I639/Pondération!$G$152</f>
        <v>0.27904667328699106</v>
      </c>
    </row>
    <row r="640" spans="1:10" x14ac:dyDescent="0.25">
      <c r="A640" s="2" t="s">
        <v>77</v>
      </c>
      <c r="B640" s="2">
        <v>2016</v>
      </c>
      <c r="C640" s="2" t="s">
        <v>26</v>
      </c>
      <c r="D640" s="2" t="s">
        <v>45</v>
      </c>
      <c r="E640" s="2" t="s">
        <v>82</v>
      </c>
      <c r="F640" s="2" t="s">
        <v>98</v>
      </c>
      <c r="G640" s="2">
        <f t="shared" si="9"/>
        <v>0.45150612380006616</v>
      </c>
      <c r="H640" s="5">
        <v>4.3301587301587299</v>
      </c>
      <c r="I640" s="2">
        <v>630</v>
      </c>
      <c r="J640" s="12">
        <f>I640/Pondération!$G$152</f>
        <v>0.10427010923535253</v>
      </c>
    </row>
    <row r="641" spans="1:10" x14ac:dyDescent="0.25">
      <c r="A641" s="2" t="s">
        <v>77</v>
      </c>
      <c r="B641" s="2">
        <v>2016</v>
      </c>
      <c r="C641" s="2" t="s">
        <v>27</v>
      </c>
      <c r="D641" s="2" t="s">
        <v>45</v>
      </c>
      <c r="E641" s="2" t="s">
        <v>82</v>
      </c>
      <c r="F641" s="2" t="s">
        <v>98</v>
      </c>
      <c r="G641" s="2">
        <f t="shared" si="9"/>
        <v>0.28930817610062892</v>
      </c>
      <c r="H641" s="5">
        <v>4.3374689826302726</v>
      </c>
      <c r="I641" s="2">
        <v>403</v>
      </c>
      <c r="J641" s="12">
        <f>I641/Pondération!$G$152</f>
        <v>6.6699768288646141E-2</v>
      </c>
    </row>
    <row r="642" spans="1:10" x14ac:dyDescent="0.25">
      <c r="A642" s="2" t="s">
        <v>77</v>
      </c>
      <c r="B642" s="2">
        <v>2016</v>
      </c>
      <c r="C642" s="2" t="s">
        <v>28</v>
      </c>
      <c r="D642" s="2" t="s">
        <v>45</v>
      </c>
      <c r="E642" s="2" t="s">
        <v>82</v>
      </c>
      <c r="F642" s="2" t="s">
        <v>98</v>
      </c>
      <c r="G642" s="2">
        <f t="shared" si="9"/>
        <v>0.20506454816285999</v>
      </c>
      <c r="H642" s="5">
        <v>4.3473684210526313</v>
      </c>
      <c r="I642" s="2">
        <v>285</v>
      </c>
      <c r="J642" s="12">
        <f>I642/Pondération!$G$152</f>
        <v>4.716981132075472E-2</v>
      </c>
    </row>
    <row r="643" spans="1:10" x14ac:dyDescent="0.25">
      <c r="A643" s="2" t="s">
        <v>77</v>
      </c>
      <c r="B643" s="2">
        <v>2016</v>
      </c>
      <c r="C643" s="2" t="s">
        <v>29</v>
      </c>
      <c r="D643" s="2" t="s">
        <v>45</v>
      </c>
      <c r="E643" s="2" t="s">
        <v>82</v>
      </c>
      <c r="F643" s="2" t="s">
        <v>98</v>
      </c>
      <c r="G643" s="2">
        <f t="shared" ref="G643:G703" si="10">H643*J643</f>
        <v>0.12512413108242304</v>
      </c>
      <c r="H643" s="5">
        <v>4.3448275862068968</v>
      </c>
      <c r="I643" s="2">
        <v>174</v>
      </c>
      <c r="J643" s="12">
        <f>I643/Pondération!$G$152</f>
        <v>2.8798411122144985E-2</v>
      </c>
    </row>
    <row r="644" spans="1:10" x14ac:dyDescent="0.25">
      <c r="A644" s="2" t="s">
        <v>77</v>
      </c>
      <c r="B644" s="2">
        <v>2017</v>
      </c>
      <c r="C644" s="2" t="s">
        <v>30</v>
      </c>
      <c r="D644" s="2" t="s">
        <v>45</v>
      </c>
      <c r="E644" s="2" t="s">
        <v>82</v>
      </c>
      <c r="F644" s="2" t="s">
        <v>98</v>
      </c>
      <c r="G644" s="2">
        <f t="shared" si="10"/>
        <v>0.17660173668153015</v>
      </c>
      <c r="H644" s="5">
        <v>4.3497109826589595</v>
      </c>
      <c r="I644" s="2">
        <v>173</v>
      </c>
      <c r="J644" s="12">
        <f>I644/Pondération!$F$152</f>
        <v>4.0600797934757099E-2</v>
      </c>
    </row>
    <row r="645" spans="1:10" x14ac:dyDescent="0.25">
      <c r="A645" s="2" t="s">
        <v>77</v>
      </c>
      <c r="B645" s="2">
        <v>2017</v>
      </c>
      <c r="C645" s="2" t="s">
        <v>31</v>
      </c>
      <c r="D645" s="2" t="s">
        <v>45</v>
      </c>
      <c r="E645" s="2" t="s">
        <v>82</v>
      </c>
      <c r="F645" s="2" t="s">
        <v>98</v>
      </c>
      <c r="G645" s="2">
        <f t="shared" si="10"/>
        <v>0.23984980051631072</v>
      </c>
      <c r="H645" s="5">
        <v>4.3305084745762707</v>
      </c>
      <c r="I645" s="2">
        <v>236</v>
      </c>
      <c r="J645" s="12">
        <f>I645/Pondération!$F$152</f>
        <v>5.5386059610420091E-2</v>
      </c>
    </row>
    <row r="646" spans="1:10" x14ac:dyDescent="0.25">
      <c r="A646" s="2" t="s">
        <v>77</v>
      </c>
      <c r="B646" s="2">
        <v>2017</v>
      </c>
      <c r="C646" s="2" t="s">
        <v>32</v>
      </c>
      <c r="D646" s="2" t="s">
        <v>45</v>
      </c>
      <c r="E646" s="2" t="s">
        <v>82</v>
      </c>
      <c r="F646" s="2" t="s">
        <v>98</v>
      </c>
      <c r="G646" s="2">
        <f t="shared" si="10"/>
        <v>0.21814128138934522</v>
      </c>
      <c r="H646" s="5">
        <v>4.3232558139534882</v>
      </c>
      <c r="I646" s="2">
        <v>215</v>
      </c>
      <c r="J646" s="12">
        <f>I646/Pondération!$F$152</f>
        <v>5.045763905186576E-2</v>
      </c>
    </row>
    <row r="647" spans="1:10" x14ac:dyDescent="0.25">
      <c r="A647" s="2" t="s">
        <v>77</v>
      </c>
      <c r="B647" s="2">
        <v>2017</v>
      </c>
      <c r="C647" s="2" t="s">
        <v>33</v>
      </c>
      <c r="D647" s="2" t="s">
        <v>45</v>
      </c>
      <c r="E647" s="2" t="s">
        <v>82</v>
      </c>
      <c r="F647" s="2" t="s">
        <v>98</v>
      </c>
      <c r="G647" s="2">
        <f t="shared" si="10"/>
        <v>0.57768129547054681</v>
      </c>
      <c r="H647" s="5">
        <v>4.3260105448154658</v>
      </c>
      <c r="I647" s="2">
        <v>569</v>
      </c>
      <c r="J647" s="12">
        <f>I647/Pondération!$F$152</f>
        <v>0.1335367284674959</v>
      </c>
    </row>
    <row r="648" spans="1:10" x14ac:dyDescent="0.25">
      <c r="A648" s="2" t="s">
        <v>77</v>
      </c>
      <c r="B648" s="2">
        <v>2017</v>
      </c>
      <c r="C648" s="2" t="s">
        <v>34</v>
      </c>
      <c r="D648" s="2" t="s">
        <v>45</v>
      </c>
      <c r="E648" s="2" t="s">
        <v>82</v>
      </c>
      <c r="F648" s="2" t="s">
        <v>98</v>
      </c>
      <c r="G648" s="2">
        <f t="shared" si="10"/>
        <v>2.980990377845576</v>
      </c>
      <c r="H648" s="5">
        <v>4.411948593261549</v>
      </c>
      <c r="I648" s="2">
        <v>2879</v>
      </c>
      <c r="J648" s="12">
        <f>I648/Pondération!$F$152</f>
        <v>0.67566298990847218</v>
      </c>
    </row>
    <row r="649" spans="1:10" x14ac:dyDescent="0.25">
      <c r="A649" s="2" t="s">
        <v>77</v>
      </c>
      <c r="B649" s="2">
        <v>2017</v>
      </c>
      <c r="C649" s="2" t="s">
        <v>80</v>
      </c>
      <c r="D649" s="2" t="s">
        <v>45</v>
      </c>
      <c r="E649" s="2" t="s">
        <v>82</v>
      </c>
      <c r="F649" s="2" t="s">
        <v>98</v>
      </c>
      <c r="G649" s="2">
        <f t="shared" si="10"/>
        <v>0.19091762497066417</v>
      </c>
      <c r="H649" s="5">
        <v>4.3042328042328046</v>
      </c>
      <c r="I649" s="2">
        <v>189</v>
      </c>
      <c r="J649" s="12">
        <f>I649/Pondération!$F$152</f>
        <v>4.4355785026988968E-2</v>
      </c>
    </row>
    <row r="650" spans="1:10" x14ac:dyDescent="0.25">
      <c r="A650" s="2" t="s">
        <v>77</v>
      </c>
      <c r="B650" s="2">
        <v>2013</v>
      </c>
      <c r="C650" s="2" t="s">
        <v>49</v>
      </c>
      <c r="D650" s="2" t="s">
        <v>46</v>
      </c>
      <c r="E650" s="2" t="s">
        <v>82</v>
      </c>
      <c r="F650" s="2" t="s">
        <v>98</v>
      </c>
      <c r="G650" s="2">
        <f t="shared" si="10"/>
        <v>0.23649135446685879</v>
      </c>
      <c r="H650" s="5">
        <v>4.3766666666666669</v>
      </c>
      <c r="I650" s="2">
        <v>150</v>
      </c>
      <c r="J650" s="12">
        <f>I650/Pondération!$J$165</f>
        <v>5.4034582132564839E-2</v>
      </c>
    </row>
    <row r="651" spans="1:10" x14ac:dyDescent="0.25">
      <c r="A651" s="2" t="s">
        <v>77</v>
      </c>
      <c r="B651" s="2">
        <v>2013</v>
      </c>
      <c r="C651" s="2" t="s">
        <v>50</v>
      </c>
      <c r="D651" s="2" t="s">
        <v>46</v>
      </c>
      <c r="E651" s="2" t="s">
        <v>82</v>
      </c>
      <c r="F651" s="2" t="s">
        <v>98</v>
      </c>
      <c r="G651" s="2">
        <f t="shared" si="10"/>
        <v>0.20461095100864551</v>
      </c>
      <c r="H651" s="5">
        <v>4.3692307692307688</v>
      </c>
      <c r="I651" s="2">
        <v>130</v>
      </c>
      <c r="J651" s="12">
        <f>I651/Pondération!$J$165</f>
        <v>4.6829971181556199E-2</v>
      </c>
    </row>
    <row r="652" spans="1:10" x14ac:dyDescent="0.25">
      <c r="A652" s="2" t="s">
        <v>77</v>
      </c>
      <c r="B652" s="2">
        <v>2013</v>
      </c>
      <c r="C652" s="2" t="s">
        <v>51</v>
      </c>
      <c r="D652" s="2" t="s">
        <v>46</v>
      </c>
      <c r="E652" s="2" t="s">
        <v>82</v>
      </c>
      <c r="F652" s="2" t="s">
        <v>98</v>
      </c>
      <c r="G652" s="2">
        <f t="shared" si="10"/>
        <v>0.29538904899135449</v>
      </c>
      <c r="H652" s="5">
        <v>4.3850267379679142</v>
      </c>
      <c r="I652" s="2">
        <v>187</v>
      </c>
      <c r="J652" s="12">
        <f>I652/Pondération!$J$165</f>
        <v>6.7363112391930838E-2</v>
      </c>
    </row>
    <row r="653" spans="1:10" x14ac:dyDescent="0.25">
      <c r="A653" s="2" t="s">
        <v>77</v>
      </c>
      <c r="B653" s="2">
        <v>2013</v>
      </c>
      <c r="C653" s="2" t="s">
        <v>52</v>
      </c>
      <c r="D653" s="2" t="s">
        <v>46</v>
      </c>
      <c r="E653" s="2" t="s">
        <v>82</v>
      </c>
      <c r="F653" s="2" t="s">
        <v>98</v>
      </c>
      <c r="G653" s="2">
        <f t="shared" si="10"/>
        <v>0.28494236311239196</v>
      </c>
      <c r="H653" s="5">
        <v>4.3944444444444448</v>
      </c>
      <c r="I653" s="2">
        <v>180</v>
      </c>
      <c r="J653" s="12">
        <f>I653/Pondération!$J$165</f>
        <v>6.4841498559077809E-2</v>
      </c>
    </row>
    <row r="654" spans="1:10" x14ac:dyDescent="0.25">
      <c r="A654" s="2" t="s">
        <v>77</v>
      </c>
      <c r="B654" s="2">
        <v>2013</v>
      </c>
      <c r="C654" s="2" t="s">
        <v>53</v>
      </c>
      <c r="D654" s="2" t="s">
        <v>46</v>
      </c>
      <c r="E654" s="2" t="s">
        <v>82</v>
      </c>
      <c r="F654" s="2" t="s">
        <v>98</v>
      </c>
      <c r="G654" s="2">
        <f t="shared" si="10"/>
        <v>0.41624639769452448</v>
      </c>
      <c r="H654" s="5">
        <v>4.444230769230769</v>
      </c>
      <c r="I654" s="2">
        <v>260</v>
      </c>
      <c r="J654" s="12">
        <f>I654/Pondération!$J$165</f>
        <v>9.3659942363112397E-2</v>
      </c>
    </row>
    <row r="655" spans="1:10" x14ac:dyDescent="0.25">
      <c r="A655" s="2" t="s">
        <v>77</v>
      </c>
      <c r="B655" s="2">
        <v>2013</v>
      </c>
      <c r="C655" s="2" t="s">
        <v>54</v>
      </c>
      <c r="D655" s="2" t="s">
        <v>46</v>
      </c>
      <c r="E655" s="2" t="s">
        <v>82</v>
      </c>
      <c r="F655" s="2" t="s">
        <v>98</v>
      </c>
      <c r="G655" s="2">
        <f t="shared" si="10"/>
        <v>0.29538904899135443</v>
      </c>
      <c r="H655" s="5">
        <v>4.408602150537634</v>
      </c>
      <c r="I655" s="2">
        <v>186</v>
      </c>
      <c r="J655" s="12">
        <f>I655/Pondération!$J$165</f>
        <v>6.7002881844380399E-2</v>
      </c>
    </row>
    <row r="656" spans="1:10" x14ac:dyDescent="0.25">
      <c r="A656" s="2" t="s">
        <v>77</v>
      </c>
      <c r="B656" s="2">
        <v>2013</v>
      </c>
      <c r="C656" s="2" t="s">
        <v>55</v>
      </c>
      <c r="D656" s="2" t="s">
        <v>46</v>
      </c>
      <c r="E656" s="2" t="s">
        <v>82</v>
      </c>
      <c r="F656" s="2" t="s">
        <v>98</v>
      </c>
      <c r="G656" s="2">
        <f t="shared" si="10"/>
        <v>0.53440201729106629</v>
      </c>
      <c r="H656" s="5">
        <v>4.3890532544378695</v>
      </c>
      <c r="I656" s="2">
        <v>338</v>
      </c>
      <c r="J656" s="12">
        <f>I656/Pondération!$J$165</f>
        <v>0.12175792507204611</v>
      </c>
    </row>
    <row r="657" spans="1:10" x14ac:dyDescent="0.25">
      <c r="A657" s="2" t="s">
        <v>77</v>
      </c>
      <c r="B657" s="2">
        <v>2013</v>
      </c>
      <c r="C657" s="2" t="s">
        <v>56</v>
      </c>
      <c r="D657" s="2" t="s">
        <v>46</v>
      </c>
      <c r="E657" s="2" t="s">
        <v>82</v>
      </c>
      <c r="F657" s="2" t="s">
        <v>98</v>
      </c>
      <c r="G657" s="2">
        <f t="shared" si="10"/>
        <v>0.88634726224783855</v>
      </c>
      <c r="H657" s="5">
        <v>4.3091068301225919</v>
      </c>
      <c r="I657" s="2">
        <v>571</v>
      </c>
      <c r="J657" s="12">
        <f>I657/Pondération!$J$165</f>
        <v>0.20569164265129683</v>
      </c>
    </row>
    <row r="658" spans="1:10" x14ac:dyDescent="0.25">
      <c r="A658" s="2" t="s">
        <v>77</v>
      </c>
      <c r="B658" s="2">
        <v>2013</v>
      </c>
      <c r="C658" s="2" t="s">
        <v>57</v>
      </c>
      <c r="D658" s="2" t="s">
        <v>46</v>
      </c>
      <c r="E658" s="2" t="s">
        <v>82</v>
      </c>
      <c r="F658" s="2" t="s">
        <v>98</v>
      </c>
      <c r="G658" s="2">
        <f t="shared" si="10"/>
        <v>0.46433717579250716</v>
      </c>
      <c r="H658" s="5">
        <v>4.325503355704698</v>
      </c>
      <c r="I658" s="2">
        <v>298</v>
      </c>
      <c r="J658" s="12">
        <f>I658/Pondération!$J$165</f>
        <v>0.10734870317002881</v>
      </c>
    </row>
    <row r="659" spans="1:10" x14ac:dyDescent="0.25">
      <c r="A659" s="2" t="s">
        <v>77</v>
      </c>
      <c r="B659" s="2">
        <v>2013</v>
      </c>
      <c r="C659" s="2" t="s">
        <v>58</v>
      </c>
      <c r="D659" s="2" t="s">
        <v>46</v>
      </c>
      <c r="E659" s="2" t="s">
        <v>82</v>
      </c>
      <c r="F659" s="2" t="s">
        <v>98</v>
      </c>
      <c r="G659" s="2">
        <f t="shared" si="10"/>
        <v>0.34221902017291067</v>
      </c>
      <c r="H659" s="5">
        <v>4.3778801843317972</v>
      </c>
      <c r="I659" s="2">
        <v>217</v>
      </c>
      <c r="J659" s="12">
        <f>I659/Pondération!$J$165</f>
        <v>7.8170028818443801E-2</v>
      </c>
    </row>
    <row r="660" spans="1:10" x14ac:dyDescent="0.25">
      <c r="A660" s="2" t="s">
        <v>77</v>
      </c>
      <c r="B660" s="2">
        <v>2013</v>
      </c>
      <c r="C660" s="2" t="s">
        <v>59</v>
      </c>
      <c r="D660" s="2" t="s">
        <v>46</v>
      </c>
      <c r="E660" s="2" t="s">
        <v>82</v>
      </c>
      <c r="F660" s="2" t="s">
        <v>98</v>
      </c>
      <c r="G660" s="2">
        <f t="shared" si="10"/>
        <v>0.20857348703170031</v>
      </c>
      <c r="H660" s="5">
        <v>4.3533834586466167</v>
      </c>
      <c r="I660" s="2">
        <v>133</v>
      </c>
      <c r="J660" s="12">
        <f>I660/Pondération!$J$165</f>
        <v>4.7910662824207494E-2</v>
      </c>
    </row>
    <row r="661" spans="1:10" x14ac:dyDescent="0.25">
      <c r="A661" s="2" t="s">
        <v>77</v>
      </c>
      <c r="B661" s="2">
        <v>2013</v>
      </c>
      <c r="C661" s="2" t="s">
        <v>60</v>
      </c>
      <c r="D661" s="2" t="s">
        <v>46</v>
      </c>
      <c r="E661" s="2" t="s">
        <v>82</v>
      </c>
      <c r="F661" s="2" t="s">
        <v>98</v>
      </c>
      <c r="G661" s="2">
        <f t="shared" si="10"/>
        <v>0.19974783861671472</v>
      </c>
      <c r="H661" s="5">
        <v>4.4007936507936511</v>
      </c>
      <c r="I661" s="2">
        <v>126</v>
      </c>
      <c r="J661" s="12">
        <f>I661/Pondération!$J$165</f>
        <v>4.5389048991354465E-2</v>
      </c>
    </row>
    <row r="662" spans="1:10" x14ac:dyDescent="0.25">
      <c r="A662" s="2" t="s">
        <v>77</v>
      </c>
      <c r="B662" s="2">
        <v>2014</v>
      </c>
      <c r="C662" s="2" t="s">
        <v>61</v>
      </c>
      <c r="D662" s="2" t="s">
        <v>46</v>
      </c>
      <c r="E662" s="2" t="s">
        <v>82</v>
      </c>
      <c r="F662" s="2" t="s">
        <v>98</v>
      </c>
      <c r="G662" s="2">
        <f t="shared" si="10"/>
        <v>0.13834780567941798</v>
      </c>
      <c r="H662" s="5">
        <v>4.3029197080291972</v>
      </c>
      <c r="I662" s="2">
        <v>137</v>
      </c>
      <c r="J662" s="12">
        <f>I662/Pondération!$I$165</f>
        <v>3.2152076977235391E-2</v>
      </c>
    </row>
    <row r="663" spans="1:10" x14ac:dyDescent="0.25">
      <c r="A663" s="2" t="s">
        <v>77</v>
      </c>
      <c r="B663" s="2">
        <v>2014</v>
      </c>
      <c r="C663" s="2" t="s">
        <v>62</v>
      </c>
      <c r="D663" s="2" t="s">
        <v>46</v>
      </c>
      <c r="E663" s="2" t="s">
        <v>82</v>
      </c>
      <c r="F663" s="2" t="s">
        <v>98</v>
      </c>
      <c r="G663" s="2">
        <f t="shared" si="10"/>
        <v>0.10760384886176953</v>
      </c>
      <c r="H663" s="5">
        <v>4.2850467289719623</v>
      </c>
      <c r="I663" s="2">
        <v>107</v>
      </c>
      <c r="J663" s="12">
        <f>I663/Pondération!$I$165</f>
        <v>2.5111476179300634E-2</v>
      </c>
    </row>
    <row r="664" spans="1:10" x14ac:dyDescent="0.25">
      <c r="A664" s="2" t="s">
        <v>77</v>
      </c>
      <c r="B664" s="2">
        <v>2014</v>
      </c>
      <c r="C664" s="2" t="s">
        <v>63</v>
      </c>
      <c r="D664" s="2" t="s">
        <v>46</v>
      </c>
      <c r="E664" s="2" t="s">
        <v>82</v>
      </c>
      <c r="F664" s="2" t="s">
        <v>98</v>
      </c>
      <c r="G664" s="2">
        <f t="shared" si="10"/>
        <v>0.1787139169209106</v>
      </c>
      <c r="H664" s="5">
        <v>4.2780898876404496</v>
      </c>
      <c r="I664" s="2">
        <v>178</v>
      </c>
      <c r="J664" s="12">
        <f>I664/Pondération!$I$165</f>
        <v>4.177423140107956E-2</v>
      </c>
    </row>
    <row r="665" spans="1:10" x14ac:dyDescent="0.25">
      <c r="A665" s="2" t="s">
        <v>77</v>
      </c>
      <c r="B665" s="2">
        <v>2014</v>
      </c>
      <c r="C665" s="2" t="s">
        <v>64</v>
      </c>
      <c r="D665" s="2" t="s">
        <v>46</v>
      </c>
      <c r="E665" s="2" t="s">
        <v>82</v>
      </c>
      <c r="F665" s="2" t="s">
        <v>98</v>
      </c>
      <c r="G665" s="2">
        <f t="shared" si="10"/>
        <v>0.26144097629664398</v>
      </c>
      <c r="H665" s="5">
        <v>4.3858267716535435</v>
      </c>
      <c r="I665" s="2">
        <v>254</v>
      </c>
      <c r="J665" s="12">
        <f>I665/Pondération!$I$165</f>
        <v>5.9610420089180945E-2</v>
      </c>
    </row>
    <row r="666" spans="1:10" x14ac:dyDescent="0.25">
      <c r="A666" s="2" t="s">
        <v>77</v>
      </c>
      <c r="B666" s="2">
        <v>2014</v>
      </c>
      <c r="C666" s="2" t="s">
        <v>65</v>
      </c>
      <c r="D666" s="2" t="s">
        <v>46</v>
      </c>
      <c r="E666" s="2" t="s">
        <v>82</v>
      </c>
      <c r="F666" s="2" t="s">
        <v>98</v>
      </c>
      <c r="G666" s="2">
        <f t="shared" si="10"/>
        <v>0.39251349448486272</v>
      </c>
      <c r="H666" s="5">
        <v>4.35546875</v>
      </c>
      <c r="I666" s="2">
        <v>384</v>
      </c>
      <c r="J666" s="12">
        <f>I666/Pondération!$I$165</f>
        <v>9.011969021356489E-2</v>
      </c>
    </row>
    <row r="667" spans="1:10" x14ac:dyDescent="0.25">
      <c r="A667" s="2" t="s">
        <v>77</v>
      </c>
      <c r="B667" s="2">
        <v>2014</v>
      </c>
      <c r="C667" s="2" t="s">
        <v>66</v>
      </c>
      <c r="D667" s="2" t="s">
        <v>46</v>
      </c>
      <c r="E667" s="2" t="s">
        <v>82</v>
      </c>
      <c r="F667" s="2" t="s">
        <v>98</v>
      </c>
      <c r="G667" s="2">
        <f t="shared" si="10"/>
        <v>0.31682703590706407</v>
      </c>
      <c r="H667" s="5">
        <v>4.354838709677419</v>
      </c>
      <c r="I667" s="2">
        <v>310</v>
      </c>
      <c r="J667" s="12">
        <f>I667/Pondération!$I$165</f>
        <v>7.2752874911992491E-2</v>
      </c>
    </row>
    <row r="668" spans="1:10" x14ac:dyDescent="0.25">
      <c r="A668" s="2" t="s">
        <v>77</v>
      </c>
      <c r="B668" s="2">
        <v>2014</v>
      </c>
      <c r="C668" s="2" t="s">
        <v>67</v>
      </c>
      <c r="D668" s="2" t="s">
        <v>46</v>
      </c>
      <c r="E668" s="2" t="s">
        <v>82</v>
      </c>
      <c r="F668" s="2" t="s">
        <v>98</v>
      </c>
      <c r="G668" s="2">
        <f t="shared" si="10"/>
        <v>0.52417272940624271</v>
      </c>
      <c r="H668" s="5">
        <v>4.3708414872798436</v>
      </c>
      <c r="I668" s="2">
        <v>511</v>
      </c>
      <c r="J668" s="12">
        <f>I668/Pondération!$I$165</f>
        <v>0.11992490025815536</v>
      </c>
    </row>
    <row r="669" spans="1:10" x14ac:dyDescent="0.25">
      <c r="A669" s="2" t="s">
        <v>77</v>
      </c>
      <c r="B669" s="2">
        <v>2014</v>
      </c>
      <c r="C669" s="2" t="s">
        <v>68</v>
      </c>
      <c r="D669" s="2" t="s">
        <v>46</v>
      </c>
      <c r="E669" s="2" t="s">
        <v>82</v>
      </c>
      <c r="F669" s="2" t="s">
        <v>98</v>
      </c>
      <c r="G669" s="2">
        <f t="shared" si="10"/>
        <v>1.0594930767425488</v>
      </c>
      <c r="H669" s="5">
        <v>4.3408653846153848</v>
      </c>
      <c r="I669" s="2">
        <v>1040</v>
      </c>
      <c r="J669" s="12">
        <f>I669/Pondération!$I$165</f>
        <v>0.24407416099507159</v>
      </c>
    </row>
    <row r="670" spans="1:10" x14ac:dyDescent="0.25">
      <c r="A670" s="2" t="s">
        <v>77</v>
      </c>
      <c r="B670" s="2">
        <v>2014</v>
      </c>
      <c r="C670" s="2" t="s">
        <v>69</v>
      </c>
      <c r="D670" s="2" t="s">
        <v>46</v>
      </c>
      <c r="E670" s="2" t="s">
        <v>82</v>
      </c>
      <c r="F670" s="2" t="s">
        <v>98</v>
      </c>
      <c r="G670" s="2">
        <f t="shared" si="10"/>
        <v>0.59680826097160289</v>
      </c>
      <c r="H670" s="5">
        <v>4.38448275862069</v>
      </c>
      <c r="I670" s="2">
        <v>580</v>
      </c>
      <c r="J670" s="12">
        <f>I670/Pondération!$I$165</f>
        <v>0.13611828209340529</v>
      </c>
    </row>
    <row r="671" spans="1:10" x14ac:dyDescent="0.25">
      <c r="A671" s="2" t="s">
        <v>77</v>
      </c>
      <c r="B671" s="2">
        <v>2014</v>
      </c>
      <c r="C671" s="2" t="s">
        <v>70</v>
      </c>
      <c r="D671" s="2" t="s">
        <v>46</v>
      </c>
      <c r="E671" s="2" t="s">
        <v>82</v>
      </c>
      <c r="F671" s="2" t="s">
        <v>98</v>
      </c>
      <c r="G671" s="2">
        <f t="shared" si="10"/>
        <v>0.29406242666040838</v>
      </c>
      <c r="H671" s="5">
        <v>4.3811188811188808</v>
      </c>
      <c r="I671" s="2">
        <v>286</v>
      </c>
      <c r="J671" s="12">
        <f>I671/Pondération!$I$165</f>
        <v>6.712039427364469E-2</v>
      </c>
    </row>
    <row r="672" spans="1:10" x14ac:dyDescent="0.25">
      <c r="A672" s="2" t="s">
        <v>77</v>
      </c>
      <c r="B672" s="2">
        <v>2014</v>
      </c>
      <c r="C672" s="2" t="s">
        <v>71</v>
      </c>
      <c r="D672" s="2" t="s">
        <v>46</v>
      </c>
      <c r="E672" s="2" t="s">
        <v>82</v>
      </c>
      <c r="F672" s="2" t="s">
        <v>98</v>
      </c>
      <c r="G672" s="2">
        <f t="shared" si="10"/>
        <v>0.2840882421966674</v>
      </c>
      <c r="H672" s="5">
        <v>4.4018181818181814</v>
      </c>
      <c r="I672" s="2">
        <v>275</v>
      </c>
      <c r="J672" s="12">
        <f>I672/Pondération!$I$165</f>
        <v>6.4538840647735268E-2</v>
      </c>
    </row>
    <row r="673" spans="1:10" x14ac:dyDescent="0.25">
      <c r="A673" s="2" t="s">
        <v>77</v>
      </c>
      <c r="B673" s="2">
        <v>2014</v>
      </c>
      <c r="C673" s="2" t="s">
        <v>72</v>
      </c>
      <c r="D673" s="2" t="s">
        <v>46</v>
      </c>
      <c r="E673" s="2" t="s">
        <v>82</v>
      </c>
      <c r="F673" s="2" t="s">
        <v>98</v>
      </c>
      <c r="G673" s="2">
        <f t="shared" si="10"/>
        <v>0.20593757333959165</v>
      </c>
      <c r="H673" s="5">
        <v>4.4095477386934672</v>
      </c>
      <c r="I673" s="2">
        <v>199</v>
      </c>
      <c r="J673" s="12">
        <f>I673/Pondération!$I$165</f>
        <v>4.6702651959633891E-2</v>
      </c>
    </row>
    <row r="674" spans="1:10" x14ac:dyDescent="0.25">
      <c r="A674" s="2" t="s">
        <v>77</v>
      </c>
      <c r="B674" s="2">
        <v>2015</v>
      </c>
      <c r="C674" s="2" t="s">
        <v>73</v>
      </c>
      <c r="D674" s="2" t="s">
        <v>46</v>
      </c>
      <c r="E674" s="2" t="s">
        <v>82</v>
      </c>
      <c r="F674" s="2" t="s">
        <v>98</v>
      </c>
      <c r="G674" s="2">
        <f t="shared" si="10"/>
        <v>9.4057832856688894E-2</v>
      </c>
      <c r="H674" s="5">
        <v>4.3529411764705879</v>
      </c>
      <c r="I674" s="2">
        <v>204</v>
      </c>
      <c r="J674" s="12">
        <f>I674/Pondération!$H$165</f>
        <v>2.1607880521131235E-2</v>
      </c>
    </row>
    <row r="675" spans="1:10" x14ac:dyDescent="0.25">
      <c r="A675" s="2" t="s">
        <v>77</v>
      </c>
      <c r="B675" s="2">
        <v>2015</v>
      </c>
      <c r="C675" s="2" t="s">
        <v>74</v>
      </c>
      <c r="D675" s="2" t="s">
        <v>46</v>
      </c>
      <c r="E675" s="2" t="s">
        <v>82</v>
      </c>
      <c r="F675" s="2" t="s">
        <v>98</v>
      </c>
      <c r="G675" s="2">
        <f t="shared" si="10"/>
        <v>0.15602160788052113</v>
      </c>
      <c r="H675" s="5">
        <v>4.3579881656804735</v>
      </c>
      <c r="I675" s="2">
        <v>338</v>
      </c>
      <c r="J675" s="12">
        <f>I675/Pondération!$H$165</f>
        <v>3.5801292235991947E-2</v>
      </c>
    </row>
    <row r="676" spans="1:10" x14ac:dyDescent="0.25">
      <c r="A676" s="2" t="s">
        <v>77</v>
      </c>
      <c r="B676" s="2">
        <v>2015</v>
      </c>
      <c r="C676" s="2" t="s">
        <v>75</v>
      </c>
      <c r="D676" s="2" t="s">
        <v>46</v>
      </c>
      <c r="E676" s="2" t="s">
        <v>82</v>
      </c>
      <c r="F676" s="2" t="s">
        <v>98</v>
      </c>
      <c r="G676" s="2">
        <f t="shared" si="10"/>
        <v>0.18795678423895776</v>
      </c>
      <c r="H676" s="5">
        <v>4.3599508599508603</v>
      </c>
      <c r="I676" s="2">
        <v>407</v>
      </c>
      <c r="J676" s="12">
        <f>I676/Pondération!$H$165</f>
        <v>4.310984005931575E-2</v>
      </c>
    </row>
    <row r="677" spans="1:10" x14ac:dyDescent="0.25">
      <c r="A677" s="2" t="s">
        <v>77</v>
      </c>
      <c r="B677" s="2">
        <v>2015</v>
      </c>
      <c r="C677" s="2" t="s">
        <v>76</v>
      </c>
      <c r="D677" s="2" t="s">
        <v>46</v>
      </c>
      <c r="E677" s="2" t="s">
        <v>82</v>
      </c>
      <c r="F677" s="2" t="s">
        <v>98</v>
      </c>
      <c r="G677" s="2">
        <f t="shared" si="10"/>
        <v>0.2514034530240441</v>
      </c>
      <c r="H677" s="5">
        <v>4.3791512915129154</v>
      </c>
      <c r="I677" s="2">
        <v>542</v>
      </c>
      <c r="J677" s="12">
        <f>I677/Pondération!$H$165</f>
        <v>5.7409172757123185E-2</v>
      </c>
    </row>
    <row r="678" spans="1:10" x14ac:dyDescent="0.25">
      <c r="A678" s="2" t="s">
        <v>77</v>
      </c>
      <c r="B678" s="2">
        <v>2015</v>
      </c>
      <c r="C678" s="2" t="s">
        <v>7</v>
      </c>
      <c r="D678" s="2" t="s">
        <v>46</v>
      </c>
      <c r="E678" s="2" t="s">
        <v>82</v>
      </c>
      <c r="F678" s="2" t="s">
        <v>98</v>
      </c>
      <c r="G678" s="2">
        <f t="shared" si="10"/>
        <v>0.40392966846732337</v>
      </c>
      <c r="H678" s="5">
        <v>4.3883774453394704</v>
      </c>
      <c r="I678" s="2">
        <v>869</v>
      </c>
      <c r="J678" s="12">
        <f>I678/Pondération!$H$165</f>
        <v>9.2045334180701197E-2</v>
      </c>
    </row>
    <row r="679" spans="1:10" x14ac:dyDescent="0.25">
      <c r="A679" s="2" t="s">
        <v>77</v>
      </c>
      <c r="B679" s="2">
        <v>2015</v>
      </c>
      <c r="C679" s="2" t="s">
        <v>11</v>
      </c>
      <c r="D679" s="2" t="s">
        <v>46</v>
      </c>
      <c r="E679" s="2" t="s">
        <v>82</v>
      </c>
      <c r="F679" s="2" t="s">
        <v>98</v>
      </c>
      <c r="G679" s="2">
        <f t="shared" si="10"/>
        <v>0.33333333333333331</v>
      </c>
      <c r="H679" s="5">
        <v>4.4261603375527425</v>
      </c>
      <c r="I679" s="2">
        <v>711</v>
      </c>
      <c r="J679" s="12">
        <f>I679/Pondération!$H$165</f>
        <v>7.5309818875119158E-2</v>
      </c>
    </row>
    <row r="680" spans="1:10" x14ac:dyDescent="0.25">
      <c r="A680" s="2" t="s">
        <v>77</v>
      </c>
      <c r="B680" s="2">
        <v>2015</v>
      </c>
      <c r="C680" s="2" t="s">
        <v>12</v>
      </c>
      <c r="D680" s="2" t="s">
        <v>46</v>
      </c>
      <c r="E680" s="2" t="s">
        <v>82</v>
      </c>
      <c r="F680" s="2" t="s">
        <v>98</v>
      </c>
      <c r="G680" s="2">
        <f t="shared" si="10"/>
        <v>0.6442643787734349</v>
      </c>
      <c r="H680" s="5">
        <v>4.3948699421965314</v>
      </c>
      <c r="I680" s="2">
        <v>1384</v>
      </c>
      <c r="J680" s="12">
        <f>I680/Pondération!$H$165</f>
        <v>0.14659464039826289</v>
      </c>
    </row>
    <row r="681" spans="1:10" x14ac:dyDescent="0.25">
      <c r="A681" s="2" t="s">
        <v>77</v>
      </c>
      <c r="B681" s="2">
        <v>2015</v>
      </c>
      <c r="C681" s="2" t="s">
        <v>13</v>
      </c>
      <c r="D681" s="2" t="s">
        <v>46</v>
      </c>
      <c r="E681" s="2" t="s">
        <v>82</v>
      </c>
      <c r="F681" s="2" t="s">
        <v>98</v>
      </c>
      <c r="G681" s="2">
        <f t="shared" si="10"/>
        <v>1.1239275500476644</v>
      </c>
      <c r="H681" s="5">
        <v>4.3901530823334713</v>
      </c>
      <c r="I681" s="2">
        <v>2417</v>
      </c>
      <c r="J681" s="12">
        <f>I681/Pondération!$H$165</f>
        <v>0.25601101578222646</v>
      </c>
    </row>
    <row r="682" spans="1:10" x14ac:dyDescent="0.25">
      <c r="A682" s="2" t="s">
        <v>77</v>
      </c>
      <c r="B682" s="2">
        <v>2015</v>
      </c>
      <c r="C682" s="2" t="s">
        <v>14</v>
      </c>
      <c r="D682" s="2" t="s">
        <v>46</v>
      </c>
      <c r="E682" s="2" t="s">
        <v>82</v>
      </c>
      <c r="F682" s="2" t="s">
        <v>98</v>
      </c>
      <c r="G682" s="2">
        <f t="shared" si="10"/>
        <v>0.53781379091197967</v>
      </c>
      <c r="H682" s="5">
        <v>4.3961038961038961</v>
      </c>
      <c r="I682" s="2">
        <v>1155</v>
      </c>
      <c r="J682" s="12">
        <f>I682/Pondération!$H$165</f>
        <v>0.12233873530346362</v>
      </c>
    </row>
    <row r="683" spans="1:10" x14ac:dyDescent="0.25">
      <c r="A683" s="2" t="s">
        <v>77</v>
      </c>
      <c r="B683" s="2">
        <v>2015</v>
      </c>
      <c r="C683" s="2" t="s">
        <v>15</v>
      </c>
      <c r="D683" s="2" t="s">
        <v>46</v>
      </c>
      <c r="E683" s="2" t="s">
        <v>82</v>
      </c>
      <c r="F683" s="2" t="s">
        <v>98</v>
      </c>
      <c r="G683" s="2">
        <f t="shared" si="10"/>
        <v>0.30176888041521022</v>
      </c>
      <c r="H683" s="5">
        <v>4.3898305084745761</v>
      </c>
      <c r="I683" s="2">
        <v>649</v>
      </c>
      <c r="J683" s="12">
        <f>I683/Pondération!$H$165</f>
        <v>6.8742717932422412E-2</v>
      </c>
    </row>
    <row r="684" spans="1:10" x14ac:dyDescent="0.25">
      <c r="A684" s="2" t="s">
        <v>77</v>
      </c>
      <c r="B684" s="2">
        <v>2015</v>
      </c>
      <c r="C684" s="2" t="s">
        <v>16</v>
      </c>
      <c r="D684" s="2" t="s">
        <v>46</v>
      </c>
      <c r="E684" s="2" t="s">
        <v>82</v>
      </c>
      <c r="F684" s="2" t="s">
        <v>98</v>
      </c>
      <c r="G684" s="2">
        <f t="shared" si="10"/>
        <v>0.1845143522931893</v>
      </c>
      <c r="H684" s="5">
        <v>4.4438775510204085</v>
      </c>
      <c r="I684" s="2">
        <v>392</v>
      </c>
      <c r="J684" s="12">
        <f>I684/Pondération!$H$165</f>
        <v>4.1521025315114923E-2</v>
      </c>
    </row>
    <row r="685" spans="1:10" x14ac:dyDescent="0.25">
      <c r="A685" s="2" t="s">
        <v>77</v>
      </c>
      <c r="B685" s="2">
        <v>2015</v>
      </c>
      <c r="C685" s="2" t="s">
        <v>17</v>
      </c>
      <c r="D685" s="2" t="s">
        <v>46</v>
      </c>
      <c r="E685" s="2" t="s">
        <v>82</v>
      </c>
      <c r="F685" s="2" t="s">
        <v>98</v>
      </c>
      <c r="G685" s="2">
        <f t="shared" si="10"/>
        <v>0.17476962186209088</v>
      </c>
      <c r="H685" s="5">
        <v>4.423592493297587</v>
      </c>
      <c r="I685" s="2">
        <v>373</v>
      </c>
      <c r="J685" s="12">
        <f>I685/Pondération!$H$165</f>
        <v>3.9508526639127212E-2</v>
      </c>
    </row>
    <row r="686" spans="1:10" x14ac:dyDescent="0.25">
      <c r="A686" s="2" t="s">
        <v>77</v>
      </c>
      <c r="B686" s="2">
        <v>2016</v>
      </c>
      <c r="C686" s="2" t="s">
        <v>18</v>
      </c>
      <c r="D686" s="2" t="s">
        <v>46</v>
      </c>
      <c r="E686" s="2" t="s">
        <v>82</v>
      </c>
      <c r="F686" s="2" t="s">
        <v>98</v>
      </c>
      <c r="G686" s="2">
        <f t="shared" si="10"/>
        <v>0.1364465651533226</v>
      </c>
      <c r="H686" s="5">
        <v>4.3993212669683261</v>
      </c>
      <c r="I686" s="2">
        <v>442</v>
      </c>
      <c r="J686" s="12">
        <f>I686/Pondération!$G$165</f>
        <v>3.1015367342642621E-2</v>
      </c>
    </row>
    <row r="687" spans="1:10" x14ac:dyDescent="0.25">
      <c r="A687" s="2" t="s">
        <v>77</v>
      </c>
      <c r="B687" s="2">
        <v>2016</v>
      </c>
      <c r="C687" s="2" t="s">
        <v>19</v>
      </c>
      <c r="D687" s="2" t="s">
        <v>46</v>
      </c>
      <c r="E687" s="2" t="s">
        <v>82</v>
      </c>
      <c r="F687" s="2" t="s">
        <v>98</v>
      </c>
      <c r="G687" s="2">
        <f t="shared" si="10"/>
        <v>0.23331696021331835</v>
      </c>
      <c r="H687" s="5">
        <v>4.3807641633728593</v>
      </c>
      <c r="I687" s="2">
        <v>759</v>
      </c>
      <c r="J687" s="12">
        <f>I687/Pondération!$G$165</f>
        <v>5.3259420391551467E-2</v>
      </c>
    </row>
    <row r="688" spans="1:10" x14ac:dyDescent="0.25">
      <c r="A688" s="2" t="s">
        <v>77</v>
      </c>
      <c r="B688" s="2">
        <v>2016</v>
      </c>
      <c r="C688" s="2" t="s">
        <v>20</v>
      </c>
      <c r="D688" s="2" t="s">
        <v>46</v>
      </c>
      <c r="E688" s="2" t="s">
        <v>82</v>
      </c>
      <c r="F688" s="2" t="s">
        <v>98</v>
      </c>
      <c r="G688" s="2">
        <f t="shared" si="10"/>
        <v>0.22223001894603889</v>
      </c>
      <c r="H688" s="5">
        <v>4.4047287899860921</v>
      </c>
      <c r="I688" s="2">
        <v>719</v>
      </c>
      <c r="J688" s="12">
        <f>I688/Pondération!$G$165</f>
        <v>5.0452599817556662E-2</v>
      </c>
    </row>
    <row r="689" spans="1:10" x14ac:dyDescent="0.25">
      <c r="A689" s="2" t="s">
        <v>77</v>
      </c>
      <c r="B689" s="2">
        <v>2016</v>
      </c>
      <c r="C689" s="2" t="s">
        <v>21</v>
      </c>
      <c r="D689" s="2" t="s">
        <v>46</v>
      </c>
      <c r="E689" s="2" t="s">
        <v>82</v>
      </c>
      <c r="F689" s="2" t="s">
        <v>98</v>
      </c>
      <c r="G689" s="2">
        <f t="shared" si="10"/>
        <v>0.34523893060136129</v>
      </c>
      <c r="H689" s="5">
        <v>4.3850267379679142</v>
      </c>
      <c r="I689" s="2">
        <v>1122</v>
      </c>
      <c r="J689" s="12">
        <f>I689/Pondération!$G$165</f>
        <v>7.8731317100554352E-2</v>
      </c>
    </row>
    <row r="690" spans="1:10" x14ac:dyDescent="0.25">
      <c r="A690" s="2" t="s">
        <v>77</v>
      </c>
      <c r="B690" s="2">
        <v>2016</v>
      </c>
      <c r="C690" s="2" t="s">
        <v>22</v>
      </c>
      <c r="D690" s="2" t="s">
        <v>46</v>
      </c>
      <c r="E690" s="2" t="s">
        <v>82</v>
      </c>
      <c r="F690" s="2" t="s">
        <v>98</v>
      </c>
      <c r="G690" s="2">
        <f t="shared" si="10"/>
        <v>0.3417304048838678</v>
      </c>
      <c r="H690" s="5">
        <v>4.415231187669991</v>
      </c>
      <c r="I690" s="2">
        <v>1103</v>
      </c>
      <c r="J690" s="12">
        <f>I690/Pondération!$G$165</f>
        <v>7.7398077327906808E-2</v>
      </c>
    </row>
    <row r="691" spans="1:10" x14ac:dyDescent="0.25">
      <c r="A691" s="2" t="s">
        <v>77</v>
      </c>
      <c r="B691" s="2">
        <v>2016</v>
      </c>
      <c r="C691" s="2" t="s">
        <v>23</v>
      </c>
      <c r="D691" s="2" t="s">
        <v>46</v>
      </c>
      <c r="E691" s="2" t="s">
        <v>82</v>
      </c>
      <c r="F691" s="2" t="s">
        <v>98</v>
      </c>
      <c r="G691" s="2">
        <f t="shared" si="10"/>
        <v>0.31408322223001894</v>
      </c>
      <c r="H691" s="5">
        <v>4.4055118110236222</v>
      </c>
      <c r="I691" s="2">
        <v>1016</v>
      </c>
      <c r="J691" s="12">
        <f>I691/Pondération!$G$165</f>
        <v>7.1293242579468105E-2</v>
      </c>
    </row>
    <row r="692" spans="1:10" x14ac:dyDescent="0.25">
      <c r="A692" s="2" t="s">
        <v>77</v>
      </c>
      <c r="B692" s="2">
        <v>2016</v>
      </c>
      <c r="C692" s="2" t="s">
        <v>24</v>
      </c>
      <c r="D692" s="2" t="s">
        <v>46</v>
      </c>
      <c r="E692" s="2" t="s">
        <v>82</v>
      </c>
      <c r="F692" s="2" t="s">
        <v>98</v>
      </c>
      <c r="G692" s="2">
        <f t="shared" si="10"/>
        <v>0.55178583959020422</v>
      </c>
      <c r="H692" s="5">
        <v>4.3856664807585055</v>
      </c>
      <c r="I692" s="2">
        <v>1793</v>
      </c>
      <c r="J692" s="12">
        <f>I692/Pondération!$G$165</f>
        <v>0.12581573222931725</v>
      </c>
    </row>
    <row r="693" spans="1:10" x14ac:dyDescent="0.25">
      <c r="A693" s="2" t="s">
        <v>77</v>
      </c>
      <c r="B693" s="2">
        <v>2016</v>
      </c>
      <c r="C693" s="2" t="s">
        <v>25</v>
      </c>
      <c r="D693" s="2" t="s">
        <v>46</v>
      </c>
      <c r="E693" s="2" t="s">
        <v>82</v>
      </c>
      <c r="F693" s="2" t="s">
        <v>98</v>
      </c>
      <c r="G693" s="2">
        <f t="shared" si="10"/>
        <v>1.068065398919374</v>
      </c>
      <c r="H693" s="5">
        <v>4.3713383113153359</v>
      </c>
      <c r="I693" s="2">
        <v>3482</v>
      </c>
      <c r="J693" s="12">
        <f>I693/Pondération!$G$165</f>
        <v>0.24433373096624797</v>
      </c>
    </row>
    <row r="694" spans="1:10" x14ac:dyDescent="0.25">
      <c r="A694" s="2" t="s">
        <v>77</v>
      </c>
      <c r="B694" s="2">
        <v>2016</v>
      </c>
      <c r="C694" s="2" t="s">
        <v>26</v>
      </c>
      <c r="D694" s="2" t="s">
        <v>46</v>
      </c>
      <c r="E694" s="2" t="s">
        <v>82</v>
      </c>
      <c r="F694" s="2" t="s">
        <v>98</v>
      </c>
      <c r="G694" s="2">
        <f t="shared" si="10"/>
        <v>0.48372044067083014</v>
      </c>
      <c r="H694" s="5">
        <v>4.3851781170483459</v>
      </c>
      <c r="I694" s="2">
        <v>1572</v>
      </c>
      <c r="J694" s="12">
        <f>I694/Pondération!$G$165</f>
        <v>0.11030804855799593</v>
      </c>
    </row>
    <row r="695" spans="1:10" x14ac:dyDescent="0.25">
      <c r="A695" s="2" t="s">
        <v>77</v>
      </c>
      <c r="B695" s="2">
        <v>2016</v>
      </c>
      <c r="C695" s="2" t="s">
        <v>27</v>
      </c>
      <c r="D695" s="2" t="s">
        <v>46</v>
      </c>
      <c r="E695" s="2" t="s">
        <v>82</v>
      </c>
      <c r="F695" s="2" t="s">
        <v>98</v>
      </c>
      <c r="G695" s="2">
        <f t="shared" si="10"/>
        <v>0.31390779594414425</v>
      </c>
      <c r="H695" s="5">
        <v>4.407389162561576</v>
      </c>
      <c r="I695" s="2">
        <v>1015</v>
      </c>
      <c r="J695" s="12">
        <f>I695/Pondération!$G$165</f>
        <v>7.1223072065118243E-2</v>
      </c>
    </row>
    <row r="696" spans="1:10" x14ac:dyDescent="0.25">
      <c r="A696" s="2" t="s">
        <v>77</v>
      </c>
      <c r="B696" s="2">
        <v>2016</v>
      </c>
      <c r="C696" s="2" t="s">
        <v>28</v>
      </c>
      <c r="D696" s="2" t="s">
        <v>46</v>
      </c>
      <c r="E696" s="2" t="s">
        <v>82</v>
      </c>
      <c r="F696" s="2" t="s">
        <v>98</v>
      </c>
      <c r="G696" s="2">
        <f t="shared" si="10"/>
        <v>0.21973896568661849</v>
      </c>
      <c r="H696" s="5">
        <v>4.3614206128133706</v>
      </c>
      <c r="I696" s="2">
        <v>718</v>
      </c>
      <c r="J696" s="12">
        <f>I696/Pondération!$G$165</f>
        <v>5.0382429303206792E-2</v>
      </c>
    </row>
    <row r="697" spans="1:10" x14ac:dyDescent="0.25">
      <c r="A697" s="2" t="s">
        <v>77</v>
      </c>
      <c r="B697" s="2">
        <v>2016</v>
      </c>
      <c r="C697" s="2" t="s">
        <v>29</v>
      </c>
      <c r="D697" s="2" t="s">
        <v>46</v>
      </c>
      <c r="E697" s="2" t="s">
        <v>82</v>
      </c>
      <c r="F697" s="2" t="s">
        <v>98</v>
      </c>
      <c r="G697" s="2">
        <f t="shared" si="10"/>
        <v>0.15630482071433582</v>
      </c>
      <c r="H697" s="5">
        <v>4.367647058823529</v>
      </c>
      <c r="I697" s="2">
        <v>510</v>
      </c>
      <c r="J697" s="12">
        <f>I697/Pondération!$G$165</f>
        <v>3.5786962318433792E-2</v>
      </c>
    </row>
    <row r="698" spans="1:10" x14ac:dyDescent="0.25">
      <c r="A698" s="2" t="s">
        <v>77</v>
      </c>
      <c r="B698" s="2">
        <v>2017</v>
      </c>
      <c r="C698" s="2" t="s">
        <v>30</v>
      </c>
      <c r="D698" s="2" t="s">
        <v>46</v>
      </c>
      <c r="E698" s="2" t="s">
        <v>82</v>
      </c>
      <c r="F698" s="2" t="s">
        <v>98</v>
      </c>
      <c r="G698" s="2">
        <f t="shared" si="10"/>
        <v>0.45081805637689737</v>
      </c>
      <c r="H698" s="5">
        <v>4.3728489483747612</v>
      </c>
      <c r="I698" s="2">
        <v>523</v>
      </c>
      <c r="J698" s="12">
        <f>I698/Pondération!$F$165</f>
        <v>0.10309481569091268</v>
      </c>
    </row>
    <row r="699" spans="1:10" x14ac:dyDescent="0.25">
      <c r="A699" s="2" t="s">
        <v>77</v>
      </c>
      <c r="B699" s="2">
        <v>2017</v>
      </c>
      <c r="C699" s="2" t="s">
        <v>31</v>
      </c>
      <c r="D699" s="2" t="s">
        <v>46</v>
      </c>
      <c r="E699" s="2" t="s">
        <v>82</v>
      </c>
      <c r="F699" s="2" t="s">
        <v>98</v>
      </c>
      <c r="G699" s="2">
        <f t="shared" si="10"/>
        <v>0.69327813916814507</v>
      </c>
      <c r="H699" s="5">
        <v>4.3366214549938347</v>
      </c>
      <c r="I699" s="2">
        <v>811</v>
      </c>
      <c r="J699" s="12">
        <f>I699/Pondération!$F$165</f>
        <v>0.15986595702739997</v>
      </c>
    </row>
    <row r="700" spans="1:10" x14ac:dyDescent="0.25">
      <c r="A700" s="2" t="s">
        <v>77</v>
      </c>
      <c r="B700" s="2">
        <v>2017</v>
      </c>
      <c r="C700" s="2" t="s">
        <v>32</v>
      </c>
      <c r="D700" s="2" t="s">
        <v>46</v>
      </c>
      <c r="E700" s="2" t="s">
        <v>82</v>
      </c>
      <c r="F700" s="2" t="s">
        <v>98</v>
      </c>
      <c r="G700" s="2">
        <f t="shared" si="10"/>
        <v>0.66055588409225319</v>
      </c>
      <c r="H700" s="5">
        <v>4.36897001303781</v>
      </c>
      <c r="I700" s="2">
        <v>767</v>
      </c>
      <c r="J700" s="12">
        <f>I700/Pondération!$F$165</f>
        <v>0.1511925882121033</v>
      </c>
    </row>
    <row r="701" spans="1:10" x14ac:dyDescent="0.25">
      <c r="A701" s="2" t="s">
        <v>77</v>
      </c>
      <c r="B701" s="2">
        <v>2017</v>
      </c>
      <c r="C701" s="2" t="s">
        <v>33</v>
      </c>
      <c r="D701" s="2" t="s">
        <v>46</v>
      </c>
      <c r="E701" s="2" t="s">
        <v>82</v>
      </c>
      <c r="F701" s="2" t="s">
        <v>98</v>
      </c>
      <c r="G701" s="2">
        <f t="shared" si="10"/>
        <v>1.0608121427163415</v>
      </c>
      <c r="H701" s="5">
        <v>4.3966503267973858</v>
      </c>
      <c r="I701" s="2">
        <v>1224</v>
      </c>
      <c r="J701" s="12">
        <f>I701/Pondération!$F$165</f>
        <v>0.24127735068007097</v>
      </c>
    </row>
    <row r="702" spans="1:10" x14ac:dyDescent="0.25">
      <c r="A702" s="2" t="s">
        <v>77</v>
      </c>
      <c r="B702" s="2">
        <v>2017</v>
      </c>
      <c r="C702" s="2" t="s">
        <v>34</v>
      </c>
      <c r="D702" s="2" t="s">
        <v>46</v>
      </c>
      <c r="E702" s="2" t="s">
        <v>82</v>
      </c>
      <c r="F702" s="2" t="s">
        <v>98</v>
      </c>
      <c r="G702" s="2">
        <f t="shared" si="10"/>
        <v>1.0833826138379656</v>
      </c>
      <c r="H702" s="5">
        <v>4.4003202562049637</v>
      </c>
      <c r="I702" s="2">
        <v>1249</v>
      </c>
      <c r="J702" s="12">
        <f>I702/Pondération!$F$165</f>
        <v>0.24620540114330772</v>
      </c>
    </row>
    <row r="703" spans="1:10" x14ac:dyDescent="0.25">
      <c r="A703" s="2" t="s">
        <v>77</v>
      </c>
      <c r="B703" s="2">
        <v>2017</v>
      </c>
      <c r="C703" s="2" t="s">
        <v>80</v>
      </c>
      <c r="D703" s="2" t="s">
        <v>46</v>
      </c>
      <c r="E703" s="2" t="s">
        <v>82</v>
      </c>
      <c r="F703" s="2" t="s">
        <v>98</v>
      </c>
      <c r="G703" s="2">
        <f t="shared" si="10"/>
        <v>0.433077074709245</v>
      </c>
      <c r="H703" s="5">
        <v>4.402805611222445</v>
      </c>
      <c r="I703" s="2">
        <v>499</v>
      </c>
      <c r="J703" s="12">
        <f>I703/Pondération!$F$165</f>
        <v>9.83638872462054E-2</v>
      </c>
    </row>
  </sheetData>
  <autoFilter ref="A1:J703"/>
  <sortState ref="A2:J703">
    <sortCondition ref="D2:D703"/>
    <sortCondition ref="C2:C70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P1004"/>
  <sheetViews>
    <sheetView showGridLines="0" workbookViewId="0">
      <selection activeCell="P4" sqref="A4:P4"/>
    </sheetView>
  </sheetViews>
  <sheetFormatPr baseColWidth="10" defaultRowHeight="15" x14ac:dyDescent="0.25"/>
  <cols>
    <col min="3" max="3" width="0" hidden="1" customWidth="1"/>
    <col min="4" max="4" width="25.28515625" bestFit="1" customWidth="1"/>
    <col min="5" max="5" width="17.140625" bestFit="1" customWidth="1"/>
    <col min="6" max="6" width="22.28515625" bestFit="1" customWidth="1"/>
    <col min="7" max="7" width="24.85546875" customWidth="1"/>
    <col min="8" max="9" width="14.42578125" customWidth="1"/>
    <col min="10" max="10" width="14.42578125" style="13" customWidth="1"/>
    <col min="11" max="11" width="17.42578125" bestFit="1" customWidth="1"/>
    <col min="12" max="12" width="17.42578125" customWidth="1"/>
    <col min="13" max="13" width="17.28515625" bestFit="1" customWidth="1"/>
    <col min="14" max="14" width="17.28515625" customWidth="1"/>
    <col min="15" max="15" width="15.85546875" bestFit="1" customWidth="1"/>
    <col min="16" max="16" width="18" style="15" customWidth="1"/>
  </cols>
  <sheetData>
    <row r="1" spans="1:16" ht="45" x14ac:dyDescent="0.25">
      <c r="A1" s="1" t="s">
        <v>0</v>
      </c>
      <c r="B1" s="1" t="s">
        <v>97</v>
      </c>
      <c r="C1" s="1" t="s">
        <v>1</v>
      </c>
      <c r="D1" s="1" t="s">
        <v>2</v>
      </c>
      <c r="E1" s="1" t="s">
        <v>3</v>
      </c>
      <c r="F1" s="1" t="s">
        <v>4</v>
      </c>
      <c r="G1" s="14" t="s">
        <v>96</v>
      </c>
      <c r="H1" s="7" t="s">
        <v>89</v>
      </c>
      <c r="I1" s="9" t="s">
        <v>5</v>
      </c>
      <c r="J1" s="44" t="s">
        <v>121</v>
      </c>
      <c r="K1" s="6" t="s">
        <v>90</v>
      </c>
      <c r="L1" s="66" t="s">
        <v>129</v>
      </c>
      <c r="M1" s="6" t="s">
        <v>91</v>
      </c>
      <c r="N1" s="66" t="s">
        <v>130</v>
      </c>
      <c r="O1" s="6" t="s">
        <v>92</v>
      </c>
      <c r="P1" s="66" t="s">
        <v>131</v>
      </c>
    </row>
    <row r="2" spans="1:16" x14ac:dyDescent="0.25">
      <c r="A2" s="2" t="s">
        <v>6</v>
      </c>
      <c r="B2" s="2">
        <v>2015</v>
      </c>
      <c r="C2" s="2" t="s">
        <v>7</v>
      </c>
      <c r="D2" s="2" t="s">
        <v>8</v>
      </c>
      <c r="E2" s="2" t="s">
        <v>9</v>
      </c>
      <c r="F2" s="2" t="s">
        <v>10</v>
      </c>
      <c r="G2" s="2">
        <f t="shared" ref="G2:G65" si="0">H2*J2</f>
        <v>0.13924429140993094</v>
      </c>
      <c r="H2" s="5">
        <v>4.0018229166666615</v>
      </c>
      <c r="I2" s="2">
        <v>192</v>
      </c>
      <c r="J2" s="57">
        <f>I2/Pondération!$H$13</f>
        <v>3.4795215657847045E-2</v>
      </c>
      <c r="K2" s="2"/>
      <c r="L2" s="2"/>
      <c r="M2" s="2"/>
      <c r="N2" s="2"/>
      <c r="O2" s="2"/>
      <c r="P2"/>
    </row>
    <row r="3" spans="1:16" x14ac:dyDescent="0.25">
      <c r="A3" s="2" t="s">
        <v>6</v>
      </c>
      <c r="B3" s="2">
        <v>2015</v>
      </c>
      <c r="C3" s="2" t="s">
        <v>11</v>
      </c>
      <c r="D3" s="2" t="s">
        <v>8</v>
      </c>
      <c r="E3" s="2" t="s">
        <v>9</v>
      </c>
      <c r="F3" s="2" t="s">
        <v>10</v>
      </c>
      <c r="G3" s="2">
        <f t="shared" si="0"/>
        <v>0.41102754621239584</v>
      </c>
      <c r="H3" s="5">
        <v>4.0071554770318025</v>
      </c>
      <c r="I3" s="2">
        <v>566</v>
      </c>
      <c r="J3" s="57">
        <f>I3/Pondération!$H$13</f>
        <v>0.10257339615802827</v>
      </c>
      <c r="K3" s="2"/>
      <c r="L3" s="2"/>
      <c r="M3" s="2"/>
      <c r="N3" s="2"/>
      <c r="O3" s="2"/>
      <c r="P3"/>
    </row>
    <row r="4" spans="1:16" x14ac:dyDescent="0.25">
      <c r="A4" s="2" t="s">
        <v>6</v>
      </c>
      <c r="B4" s="2">
        <v>2015</v>
      </c>
      <c r="C4" s="2" t="s">
        <v>12</v>
      </c>
      <c r="D4" s="2" t="s">
        <v>8</v>
      </c>
      <c r="E4" s="2" t="s">
        <v>9</v>
      </c>
      <c r="F4" s="2" t="s">
        <v>10</v>
      </c>
      <c r="G4" s="2">
        <f t="shared" si="0"/>
        <v>0.47984777093149694</v>
      </c>
      <c r="H4" s="5">
        <v>3.9053097345132746</v>
      </c>
      <c r="I4" s="2">
        <v>678</v>
      </c>
      <c r="J4" s="57">
        <f>I4/Pondération!$H$13</f>
        <v>0.12287060529177238</v>
      </c>
      <c r="K4" s="2"/>
      <c r="L4" s="2"/>
      <c r="M4" s="2"/>
      <c r="N4" s="2"/>
      <c r="O4" s="2"/>
      <c r="P4"/>
    </row>
    <row r="5" spans="1:16" x14ac:dyDescent="0.25">
      <c r="A5" s="2" t="s">
        <v>6</v>
      </c>
      <c r="B5" s="2">
        <v>2015</v>
      </c>
      <c r="C5" s="2" t="s">
        <v>13</v>
      </c>
      <c r="D5" s="2" t="s">
        <v>8</v>
      </c>
      <c r="E5" s="2" t="s">
        <v>9</v>
      </c>
      <c r="F5" s="2" t="s">
        <v>10</v>
      </c>
      <c r="G5" s="2">
        <f t="shared" si="0"/>
        <v>0.83278361725262962</v>
      </c>
      <c r="H5" s="5">
        <v>3.9042480883602466</v>
      </c>
      <c r="I5" s="2">
        <v>1177</v>
      </c>
      <c r="J5" s="57">
        <f>I5/Pondération!$H$13</f>
        <v>0.21330192098586445</v>
      </c>
      <c r="K5" s="2"/>
      <c r="L5" s="2"/>
      <c r="M5" s="2"/>
      <c r="N5" s="2"/>
      <c r="O5" s="2"/>
      <c r="P5"/>
    </row>
    <row r="6" spans="1:16" x14ac:dyDescent="0.25">
      <c r="A6" s="2" t="s">
        <v>6</v>
      </c>
      <c r="B6" s="2">
        <v>2015</v>
      </c>
      <c r="C6" s="2" t="s">
        <v>14</v>
      </c>
      <c r="D6" s="2" t="s">
        <v>8</v>
      </c>
      <c r="E6" s="2" t="s">
        <v>9</v>
      </c>
      <c r="F6" s="2" t="s">
        <v>10</v>
      </c>
      <c r="G6" s="2">
        <f t="shared" si="0"/>
        <v>0.58985139543312792</v>
      </c>
      <c r="H6" s="5">
        <v>3.9789731051344743</v>
      </c>
      <c r="I6" s="2">
        <v>818</v>
      </c>
      <c r="J6" s="57">
        <f>I6/Pondération!$H$13</f>
        <v>0.14824211670895251</v>
      </c>
      <c r="K6" s="2"/>
      <c r="L6" s="2"/>
      <c r="M6" s="2"/>
      <c r="N6" s="2"/>
      <c r="O6" s="2"/>
      <c r="P6"/>
    </row>
    <row r="7" spans="1:16" x14ac:dyDescent="0.25">
      <c r="A7" s="2" t="s">
        <v>6</v>
      </c>
      <c r="B7" s="2">
        <v>2015</v>
      </c>
      <c r="C7" s="2" t="s">
        <v>15</v>
      </c>
      <c r="D7" s="2" t="s">
        <v>8</v>
      </c>
      <c r="E7" s="2" t="s">
        <v>9</v>
      </c>
      <c r="F7" s="2" t="s">
        <v>10</v>
      </c>
      <c r="G7" s="2">
        <f t="shared" si="0"/>
        <v>0.52673069952881479</v>
      </c>
      <c r="H7" s="5">
        <v>3.9979367262723522</v>
      </c>
      <c r="I7" s="2">
        <v>727</v>
      </c>
      <c r="J7" s="57">
        <f>I7/Pondération!$H$13</f>
        <v>0.13175063428778544</v>
      </c>
      <c r="K7" s="2"/>
      <c r="L7" s="2"/>
      <c r="M7" s="2"/>
      <c r="N7" s="2"/>
      <c r="O7" s="2"/>
      <c r="P7"/>
    </row>
    <row r="8" spans="1:16" x14ac:dyDescent="0.25">
      <c r="A8" s="2" t="s">
        <v>6</v>
      </c>
      <c r="B8" s="2">
        <v>2015</v>
      </c>
      <c r="C8" s="2" t="s">
        <v>16</v>
      </c>
      <c r="D8" s="2" t="s">
        <v>8</v>
      </c>
      <c r="E8" s="2" t="s">
        <v>9</v>
      </c>
      <c r="F8" s="2" t="s">
        <v>10</v>
      </c>
      <c r="G8" s="2">
        <f t="shared" si="0"/>
        <v>0.51398151504168177</v>
      </c>
      <c r="H8" s="5">
        <v>3.9833567415730338</v>
      </c>
      <c r="I8" s="2">
        <v>712</v>
      </c>
      <c r="J8" s="57">
        <f>I8/Pondération!$H$13</f>
        <v>0.12903225806451613</v>
      </c>
      <c r="K8" s="2"/>
      <c r="L8" s="2"/>
      <c r="M8" s="2"/>
      <c r="N8" s="2"/>
      <c r="O8" s="2"/>
      <c r="P8"/>
    </row>
    <row r="9" spans="1:16" x14ac:dyDescent="0.25">
      <c r="A9" s="2" t="s">
        <v>6</v>
      </c>
      <c r="B9" s="2">
        <v>2015</v>
      </c>
      <c r="C9" s="2" t="s">
        <v>17</v>
      </c>
      <c r="D9" s="2" t="s">
        <v>8</v>
      </c>
      <c r="E9" s="2" t="s">
        <v>9</v>
      </c>
      <c r="F9" s="2" t="s">
        <v>10</v>
      </c>
      <c r="G9" s="2">
        <f t="shared" si="0"/>
        <v>0.46659115621602026</v>
      </c>
      <c r="H9" s="5">
        <v>3.9732253086419753</v>
      </c>
      <c r="I9" s="2">
        <v>648</v>
      </c>
      <c r="J9" s="57">
        <f>I9/Pondération!$H$13</f>
        <v>0.11743385284523378</v>
      </c>
      <c r="K9" s="2"/>
      <c r="L9" s="2"/>
      <c r="M9" s="2"/>
      <c r="N9" s="2"/>
      <c r="O9" s="2"/>
      <c r="P9"/>
    </row>
    <row r="10" spans="1:16" x14ac:dyDescent="0.25">
      <c r="A10" s="2" t="s">
        <v>6</v>
      </c>
      <c r="B10" s="2">
        <v>2016</v>
      </c>
      <c r="C10" s="2" t="s">
        <v>18</v>
      </c>
      <c r="D10" s="2" t="s">
        <v>8</v>
      </c>
      <c r="E10" s="2" t="s">
        <v>9</v>
      </c>
      <c r="F10" s="2" t="s">
        <v>10</v>
      </c>
      <c r="G10" s="2">
        <f t="shared" si="0"/>
        <v>0.15455546010952431</v>
      </c>
      <c r="H10" s="5">
        <v>3.9871883656509697</v>
      </c>
      <c r="I10" s="2">
        <v>722</v>
      </c>
      <c r="J10" s="57">
        <f>I10/Pondération!$G$13</f>
        <v>3.8763019435198109E-2</v>
      </c>
      <c r="K10" s="2"/>
      <c r="L10" s="2"/>
      <c r="M10" s="2"/>
      <c r="N10" s="2"/>
      <c r="O10" s="2"/>
      <c r="P10"/>
    </row>
    <row r="11" spans="1:16" x14ac:dyDescent="0.25">
      <c r="A11" s="2" t="s">
        <v>6</v>
      </c>
      <c r="B11" s="2">
        <v>2016</v>
      </c>
      <c r="C11" s="2" t="s">
        <v>19</v>
      </c>
      <c r="D11" s="2" t="s">
        <v>8</v>
      </c>
      <c r="E11" s="2" t="s">
        <v>9</v>
      </c>
      <c r="F11" s="2" t="s">
        <v>10</v>
      </c>
      <c r="G11" s="2">
        <f t="shared" si="0"/>
        <v>0.18600880489638141</v>
      </c>
      <c r="H11" s="5">
        <v>3.986881472957422</v>
      </c>
      <c r="I11" s="2">
        <v>869</v>
      </c>
      <c r="J11" s="57">
        <f>I11/Pondération!$G$13</f>
        <v>4.6655213142918504E-2</v>
      </c>
      <c r="K11" s="2"/>
      <c r="L11" s="2"/>
      <c r="M11" s="2"/>
      <c r="N11" s="2"/>
      <c r="O11" s="2"/>
      <c r="P11"/>
    </row>
    <row r="12" spans="1:16" x14ac:dyDescent="0.25">
      <c r="A12" s="2" t="s">
        <v>6</v>
      </c>
      <c r="B12" s="2">
        <v>2016</v>
      </c>
      <c r="C12" s="2" t="s">
        <v>20</v>
      </c>
      <c r="D12" s="2" t="s">
        <v>8</v>
      </c>
      <c r="E12" s="2" t="s">
        <v>9</v>
      </c>
      <c r="F12" s="2" t="s">
        <v>10</v>
      </c>
      <c r="G12" s="2">
        <f t="shared" si="0"/>
        <v>0.24305809084076077</v>
      </c>
      <c r="H12" s="5">
        <v>4.0028293545535014</v>
      </c>
      <c r="I12" s="2">
        <v>1131</v>
      </c>
      <c r="J12" s="57">
        <f>I12/Pondération!$G$13</f>
        <v>6.0721571996134434E-2</v>
      </c>
      <c r="K12" s="2"/>
      <c r="L12" s="2"/>
      <c r="M12" s="2"/>
      <c r="N12" s="2"/>
      <c r="O12" s="2"/>
      <c r="P12"/>
    </row>
    <row r="13" spans="1:16" x14ac:dyDescent="0.25">
      <c r="A13" s="2" t="s">
        <v>6</v>
      </c>
      <c r="B13" s="2">
        <v>2016</v>
      </c>
      <c r="C13" s="2" t="s">
        <v>21</v>
      </c>
      <c r="D13" s="2" t="s">
        <v>8</v>
      </c>
      <c r="E13" s="2" t="s">
        <v>9</v>
      </c>
      <c r="F13" s="2" t="s">
        <v>10</v>
      </c>
      <c r="G13" s="2">
        <f t="shared" si="0"/>
        <v>0.24770750563728125</v>
      </c>
      <c r="H13" s="5">
        <v>4.0189895470383279</v>
      </c>
      <c r="I13" s="2">
        <v>1148</v>
      </c>
      <c r="J13" s="57">
        <f>I13/Pondération!$G$13</f>
        <v>6.1634274669816386E-2</v>
      </c>
      <c r="K13" s="2"/>
      <c r="L13" s="2"/>
      <c r="M13" s="2"/>
      <c r="N13" s="2"/>
      <c r="O13" s="2"/>
      <c r="P13"/>
    </row>
    <row r="14" spans="1:16" x14ac:dyDescent="0.25">
      <c r="A14" s="2" t="s">
        <v>6</v>
      </c>
      <c r="B14" s="2">
        <v>2016</v>
      </c>
      <c r="C14" s="2" t="s">
        <v>22</v>
      </c>
      <c r="D14" s="2" t="s">
        <v>8</v>
      </c>
      <c r="E14" s="2" t="s">
        <v>9</v>
      </c>
      <c r="F14" s="2" t="s">
        <v>10</v>
      </c>
      <c r="G14" s="2">
        <f t="shared" si="0"/>
        <v>0.29581498979920434</v>
      </c>
      <c r="H14" s="5">
        <v>3.9299928673323681</v>
      </c>
      <c r="I14" s="2">
        <v>1402</v>
      </c>
      <c r="J14" s="57">
        <f>I14/Pondération!$G$13</f>
        <v>7.5271126382476114E-2</v>
      </c>
      <c r="K14" s="2"/>
      <c r="L14" s="2"/>
      <c r="M14" s="2"/>
      <c r="N14" s="2"/>
      <c r="O14" s="2"/>
      <c r="P14"/>
    </row>
    <row r="15" spans="1:16" x14ac:dyDescent="0.25">
      <c r="A15" s="2" t="s">
        <v>6</v>
      </c>
      <c r="B15" s="2">
        <v>2016</v>
      </c>
      <c r="C15" s="2" t="s">
        <v>23</v>
      </c>
      <c r="D15" s="2" t="s">
        <v>8</v>
      </c>
      <c r="E15" s="2" t="s">
        <v>9</v>
      </c>
      <c r="F15" s="2" t="s">
        <v>10</v>
      </c>
      <c r="G15" s="2">
        <f t="shared" si="0"/>
        <v>0.25340384408890793</v>
      </c>
      <c r="H15" s="5">
        <v>3.8975227085053672</v>
      </c>
      <c r="I15" s="2">
        <v>1211</v>
      </c>
      <c r="J15" s="57">
        <f>I15/Pondération!$G$13</f>
        <v>6.501664340169655E-2</v>
      </c>
      <c r="K15" s="2"/>
      <c r="L15" s="2"/>
      <c r="M15" s="2"/>
      <c r="N15" s="2"/>
      <c r="O15" s="2"/>
      <c r="P15"/>
    </row>
    <row r="16" spans="1:16" x14ac:dyDescent="0.25">
      <c r="A16" s="2" t="s">
        <v>6</v>
      </c>
      <c r="B16" s="2">
        <v>2016</v>
      </c>
      <c r="C16" s="2" t="s">
        <v>24</v>
      </c>
      <c r="D16" s="2" t="s">
        <v>8</v>
      </c>
      <c r="E16" s="2" t="s">
        <v>9</v>
      </c>
      <c r="F16" s="2" t="s">
        <v>10</v>
      </c>
      <c r="G16" s="2">
        <f t="shared" si="0"/>
        <v>0.33909588746912861</v>
      </c>
      <c r="H16" s="5">
        <v>3.8606356968215096</v>
      </c>
      <c r="I16" s="2">
        <v>1636</v>
      </c>
      <c r="J16" s="57">
        <f>I16/Pondération!$G$13</f>
        <v>8.7834210243745298E-2</v>
      </c>
      <c r="K16" s="2"/>
      <c r="L16" s="2"/>
      <c r="M16" s="2"/>
      <c r="N16" s="2"/>
      <c r="O16" s="2"/>
      <c r="P16"/>
    </row>
    <row r="17" spans="1:16" x14ac:dyDescent="0.25">
      <c r="A17" s="2" t="s">
        <v>6</v>
      </c>
      <c r="B17" s="2">
        <v>2016</v>
      </c>
      <c r="C17" s="2" t="s">
        <v>25</v>
      </c>
      <c r="D17" s="2" t="s">
        <v>8</v>
      </c>
      <c r="E17" s="2" t="s">
        <v>9</v>
      </c>
      <c r="F17" s="2" t="s">
        <v>10</v>
      </c>
      <c r="G17" s="2">
        <f t="shared" si="0"/>
        <v>0.55510576613335649</v>
      </c>
      <c r="H17" s="5">
        <v>3.8436431226765424</v>
      </c>
      <c r="I17" s="2">
        <v>2690</v>
      </c>
      <c r="J17" s="57">
        <f>I17/Pondération!$G$13</f>
        <v>0.14442177601202619</v>
      </c>
      <c r="K17" s="2"/>
      <c r="L17" s="2"/>
      <c r="M17" s="2"/>
      <c r="N17" s="2"/>
      <c r="O17" s="2"/>
      <c r="P17"/>
    </row>
    <row r="18" spans="1:16" x14ac:dyDescent="0.25">
      <c r="A18" s="2" t="s">
        <v>6</v>
      </c>
      <c r="B18" s="2">
        <v>2016</v>
      </c>
      <c r="C18" s="2" t="s">
        <v>26</v>
      </c>
      <c r="D18" s="2" t="s">
        <v>8</v>
      </c>
      <c r="E18" s="2" t="s">
        <v>9</v>
      </c>
      <c r="F18" s="2" t="s">
        <v>10</v>
      </c>
      <c r="G18" s="2">
        <f t="shared" si="0"/>
        <v>0.35623322237732147</v>
      </c>
      <c r="H18" s="5">
        <v>3.8309468822170842</v>
      </c>
      <c r="I18" s="2">
        <v>1732</v>
      </c>
      <c r="J18" s="57">
        <f>I18/Pondération!$G$13</f>
        <v>9.2988295930419837E-2</v>
      </c>
      <c r="K18" s="2"/>
      <c r="L18" s="2"/>
      <c r="M18" s="2"/>
      <c r="N18" s="2"/>
      <c r="O18" s="2"/>
      <c r="P18"/>
    </row>
    <row r="19" spans="1:16" x14ac:dyDescent="0.25">
      <c r="A19" s="2" t="s">
        <v>6</v>
      </c>
      <c r="B19" s="2">
        <v>2016</v>
      </c>
      <c r="C19" s="2" t="s">
        <v>27</v>
      </c>
      <c r="D19" s="2" t="s">
        <v>8</v>
      </c>
      <c r="E19" s="2" t="s">
        <v>9</v>
      </c>
      <c r="F19" s="2" t="s">
        <v>10</v>
      </c>
      <c r="G19" s="2">
        <f t="shared" si="0"/>
        <v>0.4596504885643703</v>
      </c>
      <c r="H19" s="5">
        <v>3.8582469580892118</v>
      </c>
      <c r="I19" s="2">
        <v>2219</v>
      </c>
      <c r="J19" s="57">
        <f>I19/Pondération!$G$13</f>
        <v>0.11913454311177923</v>
      </c>
      <c r="K19" s="2"/>
      <c r="L19" s="2"/>
      <c r="M19" s="2"/>
      <c r="N19" s="2"/>
      <c r="O19" s="2"/>
      <c r="P19"/>
    </row>
    <row r="20" spans="1:16" x14ac:dyDescent="0.25">
      <c r="A20" s="2" t="s">
        <v>6</v>
      </c>
      <c r="B20" s="2">
        <v>2016</v>
      </c>
      <c r="C20" s="2" t="s">
        <v>28</v>
      </c>
      <c r="D20" s="2" t="s">
        <v>8</v>
      </c>
      <c r="E20" s="2" t="s">
        <v>9</v>
      </c>
      <c r="F20" s="2" t="s">
        <v>10</v>
      </c>
      <c r="G20" s="2">
        <f t="shared" si="0"/>
        <v>0.37795823043057936</v>
      </c>
      <c r="H20" s="5">
        <v>3.9088561910049808</v>
      </c>
      <c r="I20" s="2">
        <v>1801</v>
      </c>
      <c r="J20" s="57">
        <f>I20/Pondération!$G$13</f>
        <v>9.6692795017717173E-2</v>
      </c>
      <c r="K20" s="2"/>
      <c r="L20" s="2"/>
      <c r="M20" s="2"/>
      <c r="N20" s="2"/>
      <c r="O20" s="2"/>
      <c r="P20"/>
    </row>
    <row r="21" spans="1:16" x14ac:dyDescent="0.25">
      <c r="A21" s="2" t="s">
        <v>6</v>
      </c>
      <c r="B21" s="2">
        <v>2016</v>
      </c>
      <c r="C21" s="2" t="s">
        <v>29</v>
      </c>
      <c r="D21" s="2" t="s">
        <v>8</v>
      </c>
      <c r="E21" s="2" t="s">
        <v>9</v>
      </c>
      <c r="F21" s="2" t="s">
        <v>10</v>
      </c>
      <c r="G21" s="2">
        <f t="shared" si="0"/>
        <v>0.43399012133576614</v>
      </c>
      <c r="H21" s="5">
        <v>3.9145278450363099</v>
      </c>
      <c r="I21" s="2">
        <v>2065</v>
      </c>
      <c r="J21" s="57">
        <f>I21/Pondération!$G$13</f>
        <v>0.11086653065607216</v>
      </c>
      <c r="K21" s="2"/>
      <c r="L21" s="2"/>
      <c r="M21" s="2"/>
      <c r="N21" s="2"/>
      <c r="O21" s="2"/>
      <c r="P21"/>
    </row>
    <row r="22" spans="1:16" x14ac:dyDescent="0.25">
      <c r="A22" s="2" t="s">
        <v>6</v>
      </c>
      <c r="B22" s="2">
        <v>2017</v>
      </c>
      <c r="C22" s="2" t="s">
        <v>30</v>
      </c>
      <c r="D22" s="2" t="s">
        <v>8</v>
      </c>
      <c r="E22" s="2" t="s">
        <v>9</v>
      </c>
      <c r="F22" s="2" t="s">
        <v>10</v>
      </c>
      <c r="G22" s="2">
        <f t="shared" si="0"/>
        <v>0.69744047619047234</v>
      </c>
      <c r="H22" s="5">
        <v>3.8763784737538383</v>
      </c>
      <c r="I22" s="2">
        <v>2267</v>
      </c>
      <c r="J22" s="57">
        <f>I22/Pondération!$F$13</f>
        <v>0.17992063492063493</v>
      </c>
      <c r="K22" s="2"/>
      <c r="L22" s="2"/>
      <c r="M22" s="2"/>
      <c r="N22" s="2"/>
      <c r="O22" s="2"/>
      <c r="P22"/>
    </row>
    <row r="23" spans="1:16" x14ac:dyDescent="0.25">
      <c r="A23" s="2" t="s">
        <v>6</v>
      </c>
      <c r="B23" s="2">
        <v>2017</v>
      </c>
      <c r="C23" s="2" t="s">
        <v>31</v>
      </c>
      <c r="D23" s="2" t="s">
        <v>8</v>
      </c>
      <c r="E23" s="2" t="s">
        <v>9</v>
      </c>
      <c r="F23" s="2" t="s">
        <v>10</v>
      </c>
      <c r="G23" s="2">
        <f t="shared" si="0"/>
        <v>0.78295634920634449</v>
      </c>
      <c r="H23" s="5">
        <v>3.9492594075259966</v>
      </c>
      <c r="I23" s="2">
        <v>2498</v>
      </c>
      <c r="J23" s="57">
        <f>I23/Pondération!$F$13</f>
        <v>0.19825396825396827</v>
      </c>
      <c r="K23" s="2"/>
      <c r="L23" s="2"/>
      <c r="M23" s="2"/>
      <c r="N23" s="2"/>
      <c r="O23" s="2"/>
      <c r="P23"/>
    </row>
    <row r="24" spans="1:16" x14ac:dyDescent="0.25">
      <c r="A24" s="2" t="s">
        <v>6</v>
      </c>
      <c r="B24" s="2">
        <v>2017</v>
      </c>
      <c r="C24" s="2" t="s">
        <v>32</v>
      </c>
      <c r="D24" s="2" t="s">
        <v>8</v>
      </c>
      <c r="E24" s="2" t="s">
        <v>9</v>
      </c>
      <c r="F24" s="2" t="s">
        <v>10</v>
      </c>
      <c r="G24" s="2">
        <f t="shared" si="0"/>
        <v>0.78593253968253651</v>
      </c>
      <c r="H24" s="5">
        <v>3.9172270569620093</v>
      </c>
      <c r="I24" s="2">
        <v>2528</v>
      </c>
      <c r="J24" s="57">
        <f>I24/Pondération!$F$13</f>
        <v>0.20063492063492064</v>
      </c>
      <c r="K24" s="2"/>
      <c r="L24" s="2"/>
      <c r="M24" s="2"/>
      <c r="N24" s="2"/>
      <c r="O24" s="2"/>
      <c r="P24"/>
    </row>
    <row r="25" spans="1:16" x14ac:dyDescent="0.25">
      <c r="A25" s="2" t="s">
        <v>6</v>
      </c>
      <c r="B25" s="2">
        <v>2017</v>
      </c>
      <c r="C25" s="2" t="s">
        <v>33</v>
      </c>
      <c r="D25" s="2" t="s">
        <v>8</v>
      </c>
      <c r="E25" s="2" t="s">
        <v>9</v>
      </c>
      <c r="F25" s="2" t="s">
        <v>10</v>
      </c>
      <c r="G25" s="2">
        <f t="shared" si="0"/>
        <v>1.0003968253968096</v>
      </c>
      <c r="H25" s="5">
        <v>3.9341448189762174</v>
      </c>
      <c r="I25" s="2">
        <v>3204</v>
      </c>
      <c r="J25" s="57">
        <f>I25/Pondération!$F$13</f>
        <v>0.25428571428571428</v>
      </c>
      <c r="K25" s="2"/>
      <c r="L25" s="2"/>
      <c r="M25" s="2"/>
      <c r="N25" s="2"/>
      <c r="O25" s="2"/>
      <c r="P25"/>
    </row>
    <row r="26" spans="1:16" x14ac:dyDescent="0.25">
      <c r="A26" s="2" t="s">
        <v>6</v>
      </c>
      <c r="B26" s="2">
        <v>2017</v>
      </c>
      <c r="C26" s="2" t="s">
        <v>34</v>
      </c>
      <c r="D26" s="2" t="s">
        <v>8</v>
      </c>
      <c r="E26" s="2" t="s">
        <v>9</v>
      </c>
      <c r="F26" s="2" t="s">
        <v>10</v>
      </c>
      <c r="G26" s="2">
        <f t="shared" si="0"/>
        <v>0.66121031746031522</v>
      </c>
      <c r="H26" s="5">
        <v>3.9616024726580936</v>
      </c>
      <c r="I26" s="2">
        <v>2103</v>
      </c>
      <c r="J26" s="57">
        <f>I26/Pondération!$F$13</f>
        <v>0.16690476190476192</v>
      </c>
      <c r="K26" s="2"/>
      <c r="L26" s="2"/>
      <c r="M26" s="2"/>
      <c r="N26" s="2"/>
      <c r="O26" s="2"/>
      <c r="P26"/>
    </row>
    <row r="27" spans="1:16" x14ac:dyDescent="0.25">
      <c r="A27" s="2" t="s">
        <v>47</v>
      </c>
      <c r="B27" s="2">
        <v>2013</v>
      </c>
      <c r="C27" s="2" t="s">
        <v>49</v>
      </c>
      <c r="D27" s="2" t="s">
        <v>8</v>
      </c>
      <c r="E27" s="2" t="s">
        <v>9</v>
      </c>
      <c r="F27" s="2" t="s">
        <v>48</v>
      </c>
      <c r="G27" s="2">
        <f t="shared" si="0"/>
        <v>0.26700838769804286</v>
      </c>
      <c r="H27" s="5">
        <v>4.3740458015267176</v>
      </c>
      <c r="I27" s="2">
        <v>131</v>
      </c>
      <c r="J27" s="57">
        <f>I27/Pondération!$J$14</f>
        <v>6.1043802423112768E-2</v>
      </c>
      <c r="K27" s="5">
        <v>4.4045801526717554</v>
      </c>
      <c r="L27" s="5">
        <f>K27*$J27</f>
        <v>0.26887232059645849</v>
      </c>
      <c r="M27" s="5">
        <v>4.5190839694656493</v>
      </c>
      <c r="N27" s="5">
        <f>M27*$J27</f>
        <v>0.27586206896551729</v>
      </c>
      <c r="O27" s="5">
        <v>4.1679389312977095</v>
      </c>
      <c r="P27" s="15">
        <f>O27*$J27</f>
        <v>0.25442684063373716</v>
      </c>
    </row>
    <row r="28" spans="1:16" x14ac:dyDescent="0.25">
      <c r="A28" s="2" t="s">
        <v>47</v>
      </c>
      <c r="B28" s="2">
        <v>2013</v>
      </c>
      <c r="C28" s="2" t="s">
        <v>50</v>
      </c>
      <c r="D28" s="2" t="s">
        <v>8</v>
      </c>
      <c r="E28" s="2" t="s">
        <v>9</v>
      </c>
      <c r="F28" s="2" t="s">
        <v>48</v>
      </c>
      <c r="G28" s="2">
        <f t="shared" si="0"/>
        <v>0.342730661696179</v>
      </c>
      <c r="H28" s="5">
        <v>4.457575757575758</v>
      </c>
      <c r="I28" s="2">
        <v>165</v>
      </c>
      <c r="J28" s="57">
        <f>I28/Pondération!$J$14</f>
        <v>7.6887232059645857E-2</v>
      </c>
      <c r="K28" s="5">
        <v>4.4848484848484844</v>
      </c>
      <c r="L28" s="5">
        <f t="shared" ref="L28:L79" si="1">K28*$J28</f>
        <v>0.34482758620689652</v>
      </c>
      <c r="M28" s="5">
        <v>4.6181818181818182</v>
      </c>
      <c r="N28" s="5">
        <f t="shared" ref="N28:N79" si="2">M28*$J28</f>
        <v>0.35507921714818269</v>
      </c>
      <c r="O28" s="5">
        <v>4.2424242424242422</v>
      </c>
      <c r="P28" s="15">
        <f t="shared" ref="P28:P79" si="3">O28*$J28</f>
        <v>0.32618825722273997</v>
      </c>
    </row>
    <row r="29" spans="1:16" x14ac:dyDescent="0.25">
      <c r="A29" s="2" t="s">
        <v>47</v>
      </c>
      <c r="B29" s="2">
        <v>2013</v>
      </c>
      <c r="C29" s="2" t="s">
        <v>51</v>
      </c>
      <c r="D29" s="2" t="s">
        <v>8</v>
      </c>
      <c r="E29" s="2" t="s">
        <v>9</v>
      </c>
      <c r="F29" s="2" t="s">
        <v>48</v>
      </c>
      <c r="G29" s="2">
        <f t="shared" si="0"/>
        <v>0.18056849953401677</v>
      </c>
      <c r="H29" s="5">
        <v>4.5058139534883717</v>
      </c>
      <c r="I29" s="2">
        <v>86</v>
      </c>
      <c r="J29" s="57">
        <f>I29/Pondération!$J$14</f>
        <v>4.0074557315936628E-2</v>
      </c>
      <c r="K29" s="5">
        <v>4.5697674418604652</v>
      </c>
      <c r="L29" s="5">
        <f t="shared" si="1"/>
        <v>0.18313140726933833</v>
      </c>
      <c r="M29" s="5">
        <v>4.6279069767441863</v>
      </c>
      <c r="N29" s="5">
        <f t="shared" si="2"/>
        <v>0.18546132339235788</v>
      </c>
      <c r="O29" s="5">
        <v>4.2558139534883717</v>
      </c>
      <c r="P29" s="15">
        <f t="shared" si="3"/>
        <v>0.1705498602050326</v>
      </c>
    </row>
    <row r="30" spans="1:16" x14ac:dyDescent="0.25">
      <c r="A30" s="2" t="s">
        <v>47</v>
      </c>
      <c r="B30" s="2">
        <v>2013</v>
      </c>
      <c r="C30" s="2" t="s">
        <v>52</v>
      </c>
      <c r="D30" s="2" t="s">
        <v>8</v>
      </c>
      <c r="E30" s="2" t="s">
        <v>9</v>
      </c>
      <c r="F30" s="2" t="s">
        <v>48</v>
      </c>
      <c r="G30" s="2">
        <f t="shared" si="0"/>
        <v>0.19338303821062444</v>
      </c>
      <c r="H30" s="5">
        <v>4.4148936170212769</v>
      </c>
      <c r="I30" s="2">
        <v>94</v>
      </c>
      <c r="J30" s="57">
        <f>I30/Pondération!$J$14</f>
        <v>4.3802423112767941E-2</v>
      </c>
      <c r="K30" s="5">
        <v>4.457446808510638</v>
      </c>
      <c r="L30" s="5">
        <f t="shared" si="1"/>
        <v>0.19524697110904007</v>
      </c>
      <c r="M30" s="5">
        <v>4.5851063829787231</v>
      </c>
      <c r="N30" s="5">
        <f t="shared" si="2"/>
        <v>0.20083876980428703</v>
      </c>
      <c r="O30" s="5">
        <v>4.1595744680851068</v>
      </c>
      <c r="P30" s="15">
        <f t="shared" si="3"/>
        <v>0.18219944082013048</v>
      </c>
    </row>
    <row r="31" spans="1:16" x14ac:dyDescent="0.25">
      <c r="A31" s="2" t="s">
        <v>47</v>
      </c>
      <c r="B31" s="2">
        <v>2013</v>
      </c>
      <c r="C31" s="2" t="s">
        <v>53</v>
      </c>
      <c r="D31" s="2" t="s">
        <v>8</v>
      </c>
      <c r="E31" s="2" t="s">
        <v>9</v>
      </c>
      <c r="F31" s="2" t="s">
        <v>48</v>
      </c>
      <c r="G31" s="2">
        <f t="shared" si="0"/>
        <v>0.28739515377446412</v>
      </c>
      <c r="H31" s="5">
        <v>4.4370503597122299</v>
      </c>
      <c r="I31" s="2">
        <v>139</v>
      </c>
      <c r="J31" s="57">
        <f>I31/Pondération!$J$14</f>
        <v>6.4771668219944081E-2</v>
      </c>
      <c r="K31" s="5">
        <v>4.4604316546762588</v>
      </c>
      <c r="L31" s="5">
        <f t="shared" si="1"/>
        <v>0.28890959925442683</v>
      </c>
      <c r="M31" s="5">
        <v>4.5827338129496402</v>
      </c>
      <c r="N31" s="5">
        <f t="shared" si="2"/>
        <v>0.29683131407269336</v>
      </c>
      <c r="O31" s="5">
        <v>4.2446043165467628</v>
      </c>
      <c r="P31" s="15">
        <f t="shared" si="3"/>
        <v>0.27493010251630945</v>
      </c>
    </row>
    <row r="32" spans="1:16" x14ac:dyDescent="0.25">
      <c r="A32" s="2" t="s">
        <v>47</v>
      </c>
      <c r="B32" s="2">
        <v>2013</v>
      </c>
      <c r="C32" s="2" t="s">
        <v>54</v>
      </c>
      <c r="D32" s="2" t="s">
        <v>8</v>
      </c>
      <c r="E32" s="2" t="s">
        <v>9</v>
      </c>
      <c r="F32" s="2" t="s">
        <v>48</v>
      </c>
      <c r="G32" s="2">
        <f t="shared" si="0"/>
        <v>0.34296365330848089</v>
      </c>
      <c r="H32" s="5">
        <v>4.5153374233128831</v>
      </c>
      <c r="I32" s="2">
        <v>163</v>
      </c>
      <c r="J32" s="57">
        <f>I32/Pondération!$J$14</f>
        <v>7.5955265610438027E-2</v>
      </c>
      <c r="K32" s="5">
        <v>4.5644171779141107</v>
      </c>
      <c r="L32" s="5">
        <f t="shared" si="1"/>
        <v>0.34669151910531226</v>
      </c>
      <c r="M32" s="5">
        <v>4.6257668711656441</v>
      </c>
      <c r="N32" s="5">
        <f t="shared" si="2"/>
        <v>0.35135135135135137</v>
      </c>
      <c r="O32" s="5">
        <v>4.3067484662576687</v>
      </c>
      <c r="P32" s="15">
        <f t="shared" si="3"/>
        <v>0.32712022367194782</v>
      </c>
    </row>
    <row r="33" spans="1:16" x14ac:dyDescent="0.25">
      <c r="A33" s="2" t="s">
        <v>47</v>
      </c>
      <c r="B33" s="2">
        <v>2013</v>
      </c>
      <c r="C33" s="2" t="s">
        <v>55</v>
      </c>
      <c r="D33" s="2" t="s">
        <v>8</v>
      </c>
      <c r="E33" s="2" t="s">
        <v>9</v>
      </c>
      <c r="F33" s="2" t="s">
        <v>48</v>
      </c>
      <c r="G33" s="2">
        <f t="shared" si="0"/>
        <v>0.45375116495806156</v>
      </c>
      <c r="H33" s="5">
        <v>4.3862612612612617</v>
      </c>
      <c r="I33" s="2">
        <v>222</v>
      </c>
      <c r="J33" s="57">
        <f>I33/Pondération!$J$14</f>
        <v>0.10344827586206896</v>
      </c>
      <c r="K33" s="5">
        <v>4.3918918918918921</v>
      </c>
      <c r="L33" s="5">
        <f t="shared" si="1"/>
        <v>0.45433364398881643</v>
      </c>
      <c r="M33" s="5">
        <v>4.5720720720720722</v>
      </c>
      <c r="N33" s="5">
        <f t="shared" si="2"/>
        <v>0.47297297297297297</v>
      </c>
      <c r="O33" s="5">
        <v>4.1891891891891895</v>
      </c>
      <c r="P33" s="15">
        <f t="shared" si="3"/>
        <v>0.4333643988816403</v>
      </c>
    </row>
    <row r="34" spans="1:16" x14ac:dyDescent="0.25">
      <c r="A34" s="2" t="s">
        <v>47</v>
      </c>
      <c r="B34" s="2">
        <v>2013</v>
      </c>
      <c r="C34" s="2" t="s">
        <v>56</v>
      </c>
      <c r="D34" s="2" t="s">
        <v>8</v>
      </c>
      <c r="E34" s="2" t="s">
        <v>9</v>
      </c>
      <c r="F34" s="2" t="s">
        <v>48</v>
      </c>
      <c r="G34" s="2">
        <f t="shared" si="0"/>
        <v>0.45934296365330851</v>
      </c>
      <c r="H34" s="5">
        <v>4.4006696428571432</v>
      </c>
      <c r="I34" s="2">
        <v>224</v>
      </c>
      <c r="J34" s="57">
        <f>I34/Pondération!$J$14</f>
        <v>0.10438024231127679</v>
      </c>
      <c r="K34" s="5">
        <v>4.4553571428571432</v>
      </c>
      <c r="L34" s="5">
        <f t="shared" si="1"/>
        <v>0.46505125815470649</v>
      </c>
      <c r="M34" s="5">
        <v>4.4017857142857144</v>
      </c>
      <c r="N34" s="5">
        <f t="shared" si="2"/>
        <v>0.45945945945945948</v>
      </c>
      <c r="O34" s="5">
        <v>4.2901785714285712</v>
      </c>
      <c r="P34" s="15">
        <f t="shared" si="3"/>
        <v>0.44780987884436158</v>
      </c>
    </row>
    <row r="35" spans="1:16" x14ac:dyDescent="0.25">
      <c r="A35" s="2" t="s">
        <v>47</v>
      </c>
      <c r="B35" s="2">
        <v>2013</v>
      </c>
      <c r="C35" s="2" t="s">
        <v>57</v>
      </c>
      <c r="D35" s="2" t="s">
        <v>8</v>
      </c>
      <c r="E35" s="2" t="s">
        <v>9</v>
      </c>
      <c r="F35" s="2" t="s">
        <v>48</v>
      </c>
      <c r="G35" s="2">
        <f t="shared" si="0"/>
        <v>0.47670083876980424</v>
      </c>
      <c r="H35" s="5">
        <v>4.3905579399141628</v>
      </c>
      <c r="I35" s="2">
        <v>233</v>
      </c>
      <c r="J35" s="57">
        <f>I35/Pondération!$J$14</f>
        <v>0.10857409133271202</v>
      </c>
      <c r="K35" s="5">
        <v>4.3905579399141628</v>
      </c>
      <c r="L35" s="5">
        <f t="shared" si="1"/>
        <v>0.47670083876980424</v>
      </c>
      <c r="M35" s="5">
        <v>4.6051502145922747</v>
      </c>
      <c r="N35" s="5">
        <f t="shared" si="2"/>
        <v>0.5</v>
      </c>
      <c r="O35" s="5">
        <v>4.1759656652360517</v>
      </c>
      <c r="P35" s="15">
        <f t="shared" si="3"/>
        <v>0.45340167753960858</v>
      </c>
    </row>
    <row r="36" spans="1:16" x14ac:dyDescent="0.25">
      <c r="A36" s="2" t="s">
        <v>47</v>
      </c>
      <c r="B36" s="2">
        <v>2013</v>
      </c>
      <c r="C36" s="2" t="s">
        <v>58</v>
      </c>
      <c r="D36" s="2" t="s">
        <v>8</v>
      </c>
      <c r="E36" s="2" t="s">
        <v>9</v>
      </c>
      <c r="F36" s="2" t="s">
        <v>48</v>
      </c>
      <c r="G36" s="2">
        <f t="shared" si="0"/>
        <v>0.50256290773532153</v>
      </c>
      <c r="H36" s="5">
        <v>4.3140000000000001</v>
      </c>
      <c r="I36" s="2">
        <v>250</v>
      </c>
      <c r="J36" s="57">
        <f>I36/Pondération!$J$14</f>
        <v>0.11649580615097857</v>
      </c>
      <c r="K36" s="5">
        <v>4.3520000000000003</v>
      </c>
      <c r="L36" s="5">
        <f t="shared" si="1"/>
        <v>0.50698974836905875</v>
      </c>
      <c r="M36" s="5">
        <v>4.452</v>
      </c>
      <c r="N36" s="5">
        <f t="shared" si="2"/>
        <v>0.51863932898415654</v>
      </c>
      <c r="O36" s="5">
        <v>4.0999999999999996</v>
      </c>
      <c r="P36" s="15">
        <f t="shared" si="3"/>
        <v>0.47763280521901208</v>
      </c>
    </row>
    <row r="37" spans="1:16" x14ac:dyDescent="0.25">
      <c r="A37" s="2" t="s">
        <v>47</v>
      </c>
      <c r="B37" s="2">
        <v>2013</v>
      </c>
      <c r="C37" s="2" t="s">
        <v>59</v>
      </c>
      <c r="D37" s="2" t="s">
        <v>8</v>
      </c>
      <c r="E37" s="2" t="s">
        <v>9</v>
      </c>
      <c r="F37" s="2" t="s">
        <v>48</v>
      </c>
      <c r="G37" s="2">
        <f t="shared" si="0"/>
        <v>0.52085274930102521</v>
      </c>
      <c r="H37" s="5">
        <v>4.4179841897233203</v>
      </c>
      <c r="I37" s="2">
        <v>253</v>
      </c>
      <c r="J37" s="57">
        <f>I37/Pondération!$J$14</f>
        <v>0.11789375582479031</v>
      </c>
      <c r="K37" s="5">
        <v>4.4308300395256914</v>
      </c>
      <c r="L37" s="5">
        <f t="shared" si="1"/>
        <v>0.52236719478098781</v>
      </c>
      <c r="M37" s="5">
        <v>4.5494071146245059</v>
      </c>
      <c r="N37" s="5">
        <f t="shared" si="2"/>
        <v>0.5363466915191053</v>
      </c>
      <c r="O37" s="5">
        <v>4.2608695652173916</v>
      </c>
      <c r="P37" s="15">
        <f t="shared" si="3"/>
        <v>0.50232991612301958</v>
      </c>
    </row>
    <row r="38" spans="1:16" x14ac:dyDescent="0.25">
      <c r="A38" s="2" t="s">
        <v>47</v>
      </c>
      <c r="B38" s="2">
        <v>2013</v>
      </c>
      <c r="C38" s="2" t="s">
        <v>60</v>
      </c>
      <c r="D38" s="2" t="s">
        <v>8</v>
      </c>
      <c r="E38" s="2" t="s">
        <v>9</v>
      </c>
      <c r="F38" s="2" t="s">
        <v>48</v>
      </c>
      <c r="G38" s="2">
        <f t="shared" si="0"/>
        <v>0.38280521901211556</v>
      </c>
      <c r="H38" s="5">
        <v>4.416666666666667</v>
      </c>
      <c r="I38" s="2">
        <v>186</v>
      </c>
      <c r="J38" s="57">
        <f>I38/Pondération!$J$14</f>
        <v>8.6672879776328052E-2</v>
      </c>
      <c r="K38" s="5">
        <v>4.446236559139785</v>
      </c>
      <c r="L38" s="5">
        <f t="shared" si="1"/>
        <v>0.38536812674743709</v>
      </c>
      <c r="M38" s="5">
        <v>4.580645161290323</v>
      </c>
      <c r="N38" s="5">
        <f t="shared" si="2"/>
        <v>0.397017707362535</v>
      </c>
      <c r="O38" s="5">
        <v>4.193548387096774</v>
      </c>
      <c r="P38" s="15">
        <f t="shared" si="3"/>
        <v>0.36346691519105312</v>
      </c>
    </row>
    <row r="39" spans="1:16" x14ac:dyDescent="0.25">
      <c r="A39" s="2" t="s">
        <v>47</v>
      </c>
      <c r="B39" s="2">
        <v>2014</v>
      </c>
      <c r="C39" s="2" t="s">
        <v>61</v>
      </c>
      <c r="D39" s="2" t="s">
        <v>8</v>
      </c>
      <c r="E39" s="2" t="s">
        <v>9</v>
      </c>
      <c r="F39" s="2" t="s">
        <v>48</v>
      </c>
      <c r="G39" s="2">
        <f t="shared" si="0"/>
        <v>0.30283049211965263</v>
      </c>
      <c r="H39" s="5">
        <v>4.4620853080568716</v>
      </c>
      <c r="I39" s="2">
        <v>211</v>
      </c>
      <c r="J39" s="57">
        <f>I39/Pondération!$I$14</f>
        <v>6.7867481505307178E-2</v>
      </c>
      <c r="K39" s="5">
        <v>4.5118483412322279</v>
      </c>
      <c r="L39" s="5">
        <f t="shared" si="1"/>
        <v>0.30620778385332909</v>
      </c>
      <c r="M39" s="5">
        <v>4.5734597156398102</v>
      </c>
      <c r="N39" s="5">
        <f t="shared" si="2"/>
        <v>0.31038919266645226</v>
      </c>
      <c r="O39" s="5">
        <v>4.2511848341232223</v>
      </c>
      <c r="P39" s="15">
        <f t="shared" si="3"/>
        <v>0.28851720810550013</v>
      </c>
    </row>
    <row r="40" spans="1:16" x14ac:dyDescent="0.25">
      <c r="A40" s="2" t="s">
        <v>47</v>
      </c>
      <c r="B40" s="2">
        <v>2014</v>
      </c>
      <c r="C40" s="2" t="s">
        <v>62</v>
      </c>
      <c r="D40" s="2" t="s">
        <v>8</v>
      </c>
      <c r="E40" s="2" t="s">
        <v>9</v>
      </c>
      <c r="F40" s="2" t="s">
        <v>48</v>
      </c>
      <c r="G40" s="2">
        <f t="shared" si="0"/>
        <v>0.34617240270183341</v>
      </c>
      <c r="H40" s="5">
        <v>4.339717741935484</v>
      </c>
      <c r="I40" s="2">
        <v>248</v>
      </c>
      <c r="J40" s="57">
        <f>I40/Pondération!$I$14</f>
        <v>7.9768414281119332E-2</v>
      </c>
      <c r="K40" s="5">
        <v>4.399193548387097</v>
      </c>
      <c r="L40" s="5">
        <f t="shared" si="1"/>
        <v>0.35091669347056931</v>
      </c>
      <c r="M40" s="5">
        <v>4.379032258064516</v>
      </c>
      <c r="N40" s="5">
        <f t="shared" si="2"/>
        <v>0.34930845931167576</v>
      </c>
      <c r="O40" s="5">
        <v>4.181451612903226</v>
      </c>
      <c r="P40" s="15">
        <f t="shared" si="3"/>
        <v>0.33354776455451918</v>
      </c>
    </row>
    <row r="41" spans="1:16" x14ac:dyDescent="0.25">
      <c r="A41" s="2" t="s">
        <v>47</v>
      </c>
      <c r="B41" s="2">
        <v>2014</v>
      </c>
      <c r="C41" s="2" t="s">
        <v>63</v>
      </c>
      <c r="D41" s="2" t="s">
        <v>8</v>
      </c>
      <c r="E41" s="2" t="s">
        <v>9</v>
      </c>
      <c r="F41" s="2" t="s">
        <v>48</v>
      </c>
      <c r="G41" s="2">
        <f t="shared" si="0"/>
        <v>0.3227725956899325</v>
      </c>
      <c r="H41" s="5">
        <v>4.3441558441558445</v>
      </c>
      <c r="I41" s="2">
        <v>231</v>
      </c>
      <c r="J41" s="57">
        <f>I41/Pondération!$I$14</f>
        <v>7.4300418140881314E-2</v>
      </c>
      <c r="K41" s="5">
        <v>4.3852813852813854</v>
      </c>
      <c r="L41" s="5">
        <f t="shared" si="1"/>
        <v>0.32582824059183019</v>
      </c>
      <c r="M41" s="5">
        <v>4.5021645021645025</v>
      </c>
      <c r="N41" s="5">
        <f t="shared" si="2"/>
        <v>0.33451270504985531</v>
      </c>
      <c r="O41" s="5">
        <v>4.1038961038961039</v>
      </c>
      <c r="P41" s="15">
        <f t="shared" si="3"/>
        <v>0.30492119652621424</v>
      </c>
    </row>
    <row r="42" spans="1:16" x14ac:dyDescent="0.25">
      <c r="A42" s="2" t="s">
        <v>47</v>
      </c>
      <c r="B42" s="2">
        <v>2014</v>
      </c>
      <c r="C42" s="2" t="s">
        <v>64</v>
      </c>
      <c r="D42" s="2" t="s">
        <v>8</v>
      </c>
      <c r="E42" s="2" t="s">
        <v>9</v>
      </c>
      <c r="F42" s="2" t="s">
        <v>48</v>
      </c>
      <c r="G42" s="2">
        <f t="shared" si="0"/>
        <v>0.3620135091669347</v>
      </c>
      <c r="H42" s="5">
        <v>4.4662698412698409</v>
      </c>
      <c r="I42" s="2">
        <v>252</v>
      </c>
      <c r="J42" s="57">
        <f>I42/Pondération!$I$14</f>
        <v>8.1055001608234159E-2</v>
      </c>
      <c r="K42" s="5">
        <v>4.5119047619047619</v>
      </c>
      <c r="L42" s="5">
        <f t="shared" si="1"/>
        <v>0.36571244773238981</v>
      </c>
      <c r="M42" s="5">
        <v>4.5277777777777777</v>
      </c>
      <c r="N42" s="5">
        <f t="shared" si="2"/>
        <v>0.36699903505950465</v>
      </c>
      <c r="O42" s="5">
        <v>4.3134920634920633</v>
      </c>
      <c r="P42" s="15">
        <f t="shared" si="3"/>
        <v>0.34963010614345447</v>
      </c>
    </row>
    <row r="43" spans="1:16" x14ac:dyDescent="0.25">
      <c r="A43" s="2" t="s">
        <v>47</v>
      </c>
      <c r="B43" s="2">
        <v>2014</v>
      </c>
      <c r="C43" s="2" t="s">
        <v>65</v>
      </c>
      <c r="D43" s="2" t="s">
        <v>8</v>
      </c>
      <c r="E43" s="2" t="s">
        <v>9</v>
      </c>
      <c r="F43" s="2" t="s">
        <v>48</v>
      </c>
      <c r="G43" s="2">
        <f t="shared" si="0"/>
        <v>0.38235767127693793</v>
      </c>
      <c r="H43" s="5">
        <v>4.4027777777777777</v>
      </c>
      <c r="I43" s="2">
        <v>270</v>
      </c>
      <c r="J43" s="57">
        <f>I43/Pondération!$I$14</f>
        <v>8.6844644580250888E-2</v>
      </c>
      <c r="K43" s="5">
        <v>4.4000000000000004</v>
      </c>
      <c r="L43" s="5">
        <f t="shared" si="1"/>
        <v>0.38211643615310392</v>
      </c>
      <c r="M43" s="5">
        <v>4.5370370370370372</v>
      </c>
      <c r="N43" s="5">
        <f t="shared" si="2"/>
        <v>0.39401736892891609</v>
      </c>
      <c r="O43" s="5">
        <v>4.2740740740740737</v>
      </c>
      <c r="P43" s="15">
        <f t="shared" si="3"/>
        <v>0.37118044387262783</v>
      </c>
    </row>
    <row r="44" spans="1:16" x14ac:dyDescent="0.25">
      <c r="A44" s="2" t="s">
        <v>47</v>
      </c>
      <c r="B44" s="2">
        <v>2014</v>
      </c>
      <c r="C44" s="2" t="s">
        <v>66</v>
      </c>
      <c r="D44" s="2" t="s">
        <v>8</v>
      </c>
      <c r="E44" s="2" t="s">
        <v>9</v>
      </c>
      <c r="F44" s="2" t="s">
        <v>48</v>
      </c>
      <c r="G44" s="2">
        <f t="shared" si="0"/>
        <v>0.29084914763589576</v>
      </c>
      <c r="H44" s="5">
        <v>4.4325980392156863</v>
      </c>
      <c r="I44" s="2">
        <v>204</v>
      </c>
      <c r="J44" s="57">
        <f>I44/Pondération!$I$14</f>
        <v>6.5615953682856221E-2</v>
      </c>
      <c r="K44" s="5">
        <v>4.4362745098039218</v>
      </c>
      <c r="L44" s="5">
        <f t="shared" si="1"/>
        <v>0.29109038275972982</v>
      </c>
      <c r="M44" s="5">
        <v>4.5392156862745097</v>
      </c>
      <c r="N44" s="5">
        <f t="shared" si="2"/>
        <v>0.29784496622708262</v>
      </c>
      <c r="O44" s="5">
        <v>4.3186274509803919</v>
      </c>
      <c r="P44" s="15">
        <f t="shared" si="3"/>
        <v>0.28337085879704083</v>
      </c>
    </row>
    <row r="45" spans="1:16" x14ac:dyDescent="0.25">
      <c r="A45" s="2" t="s">
        <v>47</v>
      </c>
      <c r="B45" s="2">
        <v>2014</v>
      </c>
      <c r="C45" s="2" t="s">
        <v>67</v>
      </c>
      <c r="D45" s="2" t="s">
        <v>8</v>
      </c>
      <c r="E45" s="2" t="s">
        <v>9</v>
      </c>
      <c r="F45" s="2" t="s">
        <v>48</v>
      </c>
      <c r="G45" s="2">
        <f t="shared" si="0"/>
        <v>0.39039884207140557</v>
      </c>
      <c r="H45" s="5">
        <v>4.429744525547445</v>
      </c>
      <c r="I45" s="2">
        <v>274</v>
      </c>
      <c r="J45" s="57">
        <f>I45/Pondération!$I$14</f>
        <v>8.8131231907365715E-2</v>
      </c>
      <c r="K45" s="5">
        <v>4.4708029197080288</v>
      </c>
      <c r="L45" s="5">
        <f t="shared" si="1"/>
        <v>0.39401736892891603</v>
      </c>
      <c r="M45" s="5">
        <v>4.507299270072993</v>
      </c>
      <c r="N45" s="5">
        <f t="shared" si="2"/>
        <v>0.39723383724670314</v>
      </c>
      <c r="O45" s="5">
        <v>4.2700729927007295</v>
      </c>
      <c r="P45" s="15">
        <f t="shared" si="3"/>
        <v>0.37632679318108714</v>
      </c>
    </row>
    <row r="46" spans="1:16" x14ac:dyDescent="0.25">
      <c r="A46" s="2" t="s">
        <v>47</v>
      </c>
      <c r="B46" s="2">
        <v>2014</v>
      </c>
      <c r="C46" s="2" t="s">
        <v>68</v>
      </c>
      <c r="D46" s="2" t="s">
        <v>8</v>
      </c>
      <c r="E46" s="2" t="s">
        <v>9</v>
      </c>
      <c r="F46" s="2" t="s">
        <v>48</v>
      </c>
      <c r="G46" s="2">
        <f t="shared" si="0"/>
        <v>0.32044065615953687</v>
      </c>
      <c r="H46" s="5">
        <v>4.3887665198237888</v>
      </c>
      <c r="I46" s="2">
        <v>227</v>
      </c>
      <c r="J46" s="57">
        <f>I46/Pondération!$I$14</f>
        <v>7.3013830813766487E-2</v>
      </c>
      <c r="K46" s="5">
        <v>4.392070484581498</v>
      </c>
      <c r="L46" s="5">
        <f t="shared" si="1"/>
        <v>0.32068189128337088</v>
      </c>
      <c r="M46" s="5">
        <v>4.5330396475770929</v>
      </c>
      <c r="N46" s="5">
        <f t="shared" si="2"/>
        <v>0.3309745899002895</v>
      </c>
      <c r="O46" s="5">
        <v>4.2378854625550657</v>
      </c>
      <c r="P46" s="15">
        <f t="shared" si="3"/>
        <v>0.30942425217111608</v>
      </c>
    </row>
    <row r="47" spans="1:16" x14ac:dyDescent="0.25">
      <c r="A47" s="2" t="s">
        <v>47</v>
      </c>
      <c r="B47" s="2">
        <v>2014</v>
      </c>
      <c r="C47" s="2" t="s">
        <v>69</v>
      </c>
      <c r="D47" s="2" t="s">
        <v>8</v>
      </c>
      <c r="E47" s="2" t="s">
        <v>9</v>
      </c>
      <c r="F47" s="2" t="s">
        <v>48</v>
      </c>
      <c r="G47" s="2">
        <f t="shared" si="0"/>
        <v>0.38581537471855898</v>
      </c>
      <c r="H47" s="5">
        <v>4.4425925925925922</v>
      </c>
      <c r="I47" s="2">
        <v>270</v>
      </c>
      <c r="J47" s="57">
        <f>I47/Pondération!$I$14</f>
        <v>8.6844644580250888E-2</v>
      </c>
      <c r="K47" s="5">
        <v>4.4777777777777779</v>
      </c>
      <c r="L47" s="5">
        <f t="shared" si="1"/>
        <v>0.38887101962045678</v>
      </c>
      <c r="M47" s="5">
        <v>4.5962962962962965</v>
      </c>
      <c r="N47" s="5">
        <f t="shared" si="2"/>
        <v>0.3991637182373754</v>
      </c>
      <c r="O47" s="5">
        <v>4.2185185185185183</v>
      </c>
      <c r="P47" s="15">
        <f t="shared" si="3"/>
        <v>0.36635574139594723</v>
      </c>
    </row>
    <row r="48" spans="1:16" x14ac:dyDescent="0.25">
      <c r="A48" s="2" t="s">
        <v>47</v>
      </c>
      <c r="B48" s="2">
        <v>2014</v>
      </c>
      <c r="C48" s="2" t="s">
        <v>70</v>
      </c>
      <c r="D48" s="2" t="s">
        <v>8</v>
      </c>
      <c r="E48" s="2" t="s">
        <v>9</v>
      </c>
      <c r="F48" s="2" t="s">
        <v>48</v>
      </c>
      <c r="G48" s="2">
        <f t="shared" si="0"/>
        <v>0.4932454165326472</v>
      </c>
      <c r="H48" s="5">
        <v>4.3565340909090908</v>
      </c>
      <c r="I48" s="2">
        <v>352</v>
      </c>
      <c r="J48" s="57">
        <f>I48/Pondération!$I$14</f>
        <v>0.11321968478610486</v>
      </c>
      <c r="K48" s="5">
        <v>4.4147727272727275</v>
      </c>
      <c r="L48" s="5">
        <f t="shared" si="1"/>
        <v>0.4998391765841107</v>
      </c>
      <c r="M48" s="5">
        <v>4.4517045454545459</v>
      </c>
      <c r="N48" s="5">
        <f t="shared" si="2"/>
        <v>0.50402058539723393</v>
      </c>
      <c r="O48" s="5">
        <v>4.1448863636363633</v>
      </c>
      <c r="P48" s="15">
        <f t="shared" si="3"/>
        <v>0.46928272756513345</v>
      </c>
    </row>
    <row r="49" spans="1:16" x14ac:dyDescent="0.25">
      <c r="A49" s="2" t="s">
        <v>47</v>
      </c>
      <c r="B49" s="2">
        <v>2014</v>
      </c>
      <c r="C49" s="2" t="s">
        <v>71</v>
      </c>
      <c r="D49" s="2" t="s">
        <v>8</v>
      </c>
      <c r="E49" s="2" t="s">
        <v>9</v>
      </c>
      <c r="F49" s="2" t="s">
        <v>48</v>
      </c>
      <c r="G49" s="2">
        <f t="shared" si="0"/>
        <v>0.44001286587327121</v>
      </c>
      <c r="H49" s="5">
        <v>4.384615384615385</v>
      </c>
      <c r="I49" s="2">
        <v>312</v>
      </c>
      <c r="J49" s="57">
        <f>I49/Pondération!$I$14</f>
        <v>0.10035381151495658</v>
      </c>
      <c r="K49" s="5">
        <v>4.4551282051282053</v>
      </c>
      <c r="L49" s="5">
        <f t="shared" si="1"/>
        <v>0.44708909617240272</v>
      </c>
      <c r="M49" s="5">
        <v>4.4487179487179489</v>
      </c>
      <c r="N49" s="5">
        <f t="shared" si="2"/>
        <v>0.4464458025088453</v>
      </c>
      <c r="O49" s="5">
        <v>4.1794871794871797</v>
      </c>
      <c r="P49" s="15">
        <f t="shared" si="3"/>
        <v>0.41942746863943392</v>
      </c>
    </row>
    <row r="50" spans="1:16" x14ac:dyDescent="0.25">
      <c r="A50" s="2" t="s">
        <v>47</v>
      </c>
      <c r="B50" s="2">
        <v>2014</v>
      </c>
      <c r="C50" s="2" t="s">
        <v>72</v>
      </c>
      <c r="D50" s="2" t="s">
        <v>8</v>
      </c>
      <c r="E50" s="2" t="s">
        <v>9</v>
      </c>
      <c r="F50" s="2" t="s">
        <v>48</v>
      </c>
      <c r="G50" s="2">
        <f t="shared" si="0"/>
        <v>0.36764232872306207</v>
      </c>
      <c r="H50" s="5">
        <v>4.4302325581395348</v>
      </c>
      <c r="I50" s="2">
        <v>258</v>
      </c>
      <c r="J50" s="57">
        <f>I50/Pondération!$I$14</f>
        <v>8.2984882598906407E-2</v>
      </c>
      <c r="K50" s="5">
        <v>4.4883720930232558</v>
      </c>
      <c r="L50" s="5">
        <f t="shared" si="1"/>
        <v>0.37246703119974273</v>
      </c>
      <c r="M50" s="5">
        <v>4.5</v>
      </c>
      <c r="N50" s="5">
        <f t="shared" si="2"/>
        <v>0.3734319716950788</v>
      </c>
      <c r="O50" s="5">
        <v>4.2441860465116283</v>
      </c>
      <c r="P50" s="15">
        <f t="shared" si="3"/>
        <v>0.3522032807976842</v>
      </c>
    </row>
    <row r="51" spans="1:16" x14ac:dyDescent="0.25">
      <c r="A51" s="2" t="s">
        <v>47</v>
      </c>
      <c r="B51" s="2">
        <v>2015</v>
      </c>
      <c r="C51" s="2" t="s">
        <v>73</v>
      </c>
      <c r="D51" s="2" t="s">
        <v>8</v>
      </c>
      <c r="E51" s="2" t="s">
        <v>9</v>
      </c>
      <c r="F51" s="2" t="s">
        <v>48</v>
      </c>
      <c r="G51" s="2">
        <f t="shared" si="0"/>
        <v>0.21954674220963175</v>
      </c>
      <c r="H51" s="5">
        <v>4.2625000000000002</v>
      </c>
      <c r="I51" s="2">
        <v>200</v>
      </c>
      <c r="J51" s="57">
        <f>I51/Pondération!$H$14</f>
        <v>5.1506567087303633E-2</v>
      </c>
      <c r="K51" s="5">
        <v>4.29</v>
      </c>
      <c r="L51" s="5">
        <f t="shared" si="1"/>
        <v>0.22096317280453259</v>
      </c>
      <c r="M51" s="5">
        <v>4.3499999999999996</v>
      </c>
      <c r="N51" s="5">
        <f t="shared" si="2"/>
        <v>0.22405356682977079</v>
      </c>
      <c r="O51" s="5">
        <v>4.12</v>
      </c>
      <c r="P51" s="15">
        <f t="shared" si="3"/>
        <v>0.21220705639969098</v>
      </c>
    </row>
    <row r="52" spans="1:16" x14ac:dyDescent="0.25">
      <c r="A52" s="2" t="s">
        <v>47</v>
      </c>
      <c r="B52" s="2">
        <v>2015</v>
      </c>
      <c r="C52" s="2" t="s">
        <v>74</v>
      </c>
      <c r="D52" s="2" t="s">
        <v>8</v>
      </c>
      <c r="E52" s="2" t="s">
        <v>9</v>
      </c>
      <c r="F52" s="2" t="s">
        <v>48</v>
      </c>
      <c r="G52" s="2">
        <f t="shared" si="0"/>
        <v>0.34915014164305946</v>
      </c>
      <c r="H52" s="5">
        <v>4.3039682539682538</v>
      </c>
      <c r="I52" s="2">
        <v>315</v>
      </c>
      <c r="J52" s="57">
        <f>I52/Pondération!$H$14</f>
        <v>8.1122843162503219E-2</v>
      </c>
      <c r="K52" s="5">
        <v>4.4095238095238098</v>
      </c>
      <c r="L52" s="5">
        <f t="shared" si="1"/>
        <v>0.35771310842132376</v>
      </c>
      <c r="M52" s="5">
        <v>4.3238095238095235</v>
      </c>
      <c r="N52" s="5">
        <f t="shared" si="2"/>
        <v>0.35075972186453769</v>
      </c>
      <c r="O52" s="5">
        <v>4.0730158730158728</v>
      </c>
      <c r="P52" s="15">
        <f t="shared" si="3"/>
        <v>0.33041462786505277</v>
      </c>
    </row>
    <row r="53" spans="1:16" x14ac:dyDescent="0.25">
      <c r="A53" s="2" t="s">
        <v>47</v>
      </c>
      <c r="B53" s="2">
        <v>2015</v>
      </c>
      <c r="C53" s="2" t="s">
        <v>75</v>
      </c>
      <c r="D53" s="2" t="s">
        <v>8</v>
      </c>
      <c r="E53" s="2" t="s">
        <v>9</v>
      </c>
      <c r="F53" s="2" t="s">
        <v>48</v>
      </c>
      <c r="G53" s="2">
        <f t="shared" si="0"/>
        <v>0.31193664692248257</v>
      </c>
      <c r="H53" s="5">
        <v>4.3570143884892083</v>
      </c>
      <c r="I53" s="2">
        <v>278</v>
      </c>
      <c r="J53" s="57">
        <f>I53/Pondération!$H$14</f>
        <v>7.1594128251352043E-2</v>
      </c>
      <c r="K53" s="5">
        <v>4.3956834532374103</v>
      </c>
      <c r="L53" s="5">
        <f t="shared" si="1"/>
        <v>0.31470512490342517</v>
      </c>
      <c r="M53" s="5">
        <v>4.4100719424460433</v>
      </c>
      <c r="N53" s="5">
        <f t="shared" si="2"/>
        <v>0.31573525624517124</v>
      </c>
      <c r="O53" s="5">
        <v>4.2266187050359711</v>
      </c>
      <c r="P53" s="15">
        <f t="shared" si="3"/>
        <v>0.30260108163790883</v>
      </c>
    </row>
    <row r="54" spans="1:16" x14ac:dyDescent="0.25">
      <c r="A54" s="2" t="s">
        <v>47</v>
      </c>
      <c r="B54" s="2">
        <v>2015</v>
      </c>
      <c r="C54" s="2" t="s">
        <v>76</v>
      </c>
      <c r="D54" s="2" t="s">
        <v>8</v>
      </c>
      <c r="E54" s="2" t="s">
        <v>9</v>
      </c>
      <c r="F54" s="2" t="s">
        <v>48</v>
      </c>
      <c r="G54" s="2">
        <f t="shared" si="0"/>
        <v>0.29745042492917845</v>
      </c>
      <c r="H54" s="5">
        <v>4.3916349809885933</v>
      </c>
      <c r="I54" s="2">
        <v>263</v>
      </c>
      <c r="J54" s="57">
        <f>I54/Pondération!$H$14</f>
        <v>6.773113571980427E-2</v>
      </c>
      <c r="K54" s="5">
        <v>4.3954372623574143</v>
      </c>
      <c r="L54" s="5">
        <f t="shared" si="1"/>
        <v>0.29770795776461495</v>
      </c>
      <c r="M54" s="5">
        <v>4.5171102661596958</v>
      </c>
      <c r="N54" s="5">
        <f t="shared" si="2"/>
        <v>0.30594900849858353</v>
      </c>
      <c r="O54" s="5">
        <v>4.2585551330798479</v>
      </c>
      <c r="P54" s="15">
        <f t="shared" si="3"/>
        <v>0.2884367756889003</v>
      </c>
    </row>
    <row r="55" spans="1:16" x14ac:dyDescent="0.25">
      <c r="A55" s="2" t="s">
        <v>47</v>
      </c>
      <c r="B55" s="2">
        <v>2015</v>
      </c>
      <c r="C55" s="2" t="s">
        <v>7</v>
      </c>
      <c r="D55" s="2" t="s">
        <v>8</v>
      </c>
      <c r="E55" s="2" t="s">
        <v>9</v>
      </c>
      <c r="F55" s="2" t="s">
        <v>48</v>
      </c>
      <c r="G55" s="2">
        <f t="shared" si="0"/>
        <v>0.47733711048158639</v>
      </c>
      <c r="H55" s="5">
        <v>4.4555288461538458</v>
      </c>
      <c r="I55" s="2">
        <v>416</v>
      </c>
      <c r="J55" s="57">
        <f>I55/Pondération!$H$14</f>
        <v>0.10713365954159156</v>
      </c>
      <c r="K55" s="5">
        <v>4.4927884615384617</v>
      </c>
      <c r="L55" s="5">
        <f t="shared" si="1"/>
        <v>0.48132886943085246</v>
      </c>
      <c r="M55" s="5">
        <v>4.5552884615384617</v>
      </c>
      <c r="N55" s="5">
        <f t="shared" si="2"/>
        <v>0.48802472315220191</v>
      </c>
      <c r="O55" s="5">
        <v>4.28125</v>
      </c>
      <c r="P55" s="15">
        <f t="shared" si="3"/>
        <v>0.45866597991243885</v>
      </c>
    </row>
    <row r="56" spans="1:16" x14ac:dyDescent="0.25">
      <c r="A56" s="2" t="s">
        <v>47</v>
      </c>
      <c r="B56" s="2">
        <v>2015</v>
      </c>
      <c r="C56" s="2" t="s">
        <v>11</v>
      </c>
      <c r="D56" s="2" t="s">
        <v>8</v>
      </c>
      <c r="E56" s="2" t="s">
        <v>9</v>
      </c>
      <c r="F56" s="2" t="s">
        <v>48</v>
      </c>
      <c r="G56" s="2">
        <f t="shared" si="0"/>
        <v>0.31515580736543908</v>
      </c>
      <c r="H56" s="5">
        <v>4.4178700361010828</v>
      </c>
      <c r="I56" s="2">
        <v>277</v>
      </c>
      <c r="J56" s="57">
        <f>I56/Pondération!$H$14</f>
        <v>7.1336595415915527E-2</v>
      </c>
      <c r="K56" s="5">
        <v>4.4512635379061374</v>
      </c>
      <c r="L56" s="5">
        <f t="shared" si="1"/>
        <v>0.31753798609322686</v>
      </c>
      <c r="M56" s="5">
        <v>4.4765342960288805</v>
      </c>
      <c r="N56" s="5">
        <f t="shared" si="2"/>
        <v>0.31934071594128249</v>
      </c>
      <c r="O56" s="5">
        <v>4.2924187725631766</v>
      </c>
      <c r="P56" s="15">
        <f t="shared" si="3"/>
        <v>0.30620654133402003</v>
      </c>
    </row>
    <row r="57" spans="1:16" x14ac:dyDescent="0.25">
      <c r="A57" s="2" t="s">
        <v>47</v>
      </c>
      <c r="B57" s="2">
        <v>2015</v>
      </c>
      <c r="C57" s="2" t="s">
        <v>12</v>
      </c>
      <c r="D57" s="2" t="s">
        <v>8</v>
      </c>
      <c r="E57" s="2" t="s">
        <v>9</v>
      </c>
      <c r="F57" s="2" t="s">
        <v>48</v>
      </c>
      <c r="G57" s="2">
        <f t="shared" si="0"/>
        <v>0.33035024465619373</v>
      </c>
      <c r="H57" s="5">
        <v>4.4232758620689658</v>
      </c>
      <c r="I57" s="2">
        <v>290</v>
      </c>
      <c r="J57" s="57">
        <f>I57/Pondération!$H$14</f>
        <v>7.4684522276590268E-2</v>
      </c>
      <c r="K57" s="5">
        <v>4.4206896551724135</v>
      </c>
      <c r="L57" s="5">
        <f t="shared" si="1"/>
        <v>0.33015709502961627</v>
      </c>
      <c r="M57" s="5">
        <v>4.5655172413793101</v>
      </c>
      <c r="N57" s="5">
        <f t="shared" si="2"/>
        <v>0.34097347411795004</v>
      </c>
      <c r="O57" s="5">
        <v>4.2862068965517244</v>
      </c>
      <c r="P57" s="15">
        <f t="shared" si="3"/>
        <v>0.32011331444759211</v>
      </c>
    </row>
    <row r="58" spans="1:16" x14ac:dyDescent="0.25">
      <c r="A58" s="2" t="s">
        <v>47</v>
      </c>
      <c r="B58" s="2">
        <v>2015</v>
      </c>
      <c r="C58" s="2" t="s">
        <v>13</v>
      </c>
      <c r="D58" s="2" t="s">
        <v>8</v>
      </c>
      <c r="E58" s="2" t="s">
        <v>9</v>
      </c>
      <c r="F58" s="2" t="s">
        <v>48</v>
      </c>
      <c r="G58" s="2">
        <f t="shared" si="0"/>
        <v>0.33105845995364408</v>
      </c>
      <c r="H58" s="5">
        <v>4.3137583892617446</v>
      </c>
      <c r="I58" s="2">
        <v>298</v>
      </c>
      <c r="J58" s="57">
        <f>I58/Pondération!$H$14</f>
        <v>7.6744784960082413E-2</v>
      </c>
      <c r="K58" s="5">
        <v>4.3154362416107386</v>
      </c>
      <c r="L58" s="5">
        <f t="shared" si="1"/>
        <v>0.33118722637136239</v>
      </c>
      <c r="M58" s="5">
        <v>4.4463087248322148</v>
      </c>
      <c r="N58" s="5">
        <f t="shared" si="2"/>
        <v>0.3412310069533866</v>
      </c>
      <c r="O58" s="5">
        <v>4.1778523489932882</v>
      </c>
      <c r="P58" s="15">
        <f t="shared" si="3"/>
        <v>0.32062838011846506</v>
      </c>
    </row>
    <row r="59" spans="1:16" x14ac:dyDescent="0.25">
      <c r="A59" s="2" t="s">
        <v>47</v>
      </c>
      <c r="B59" s="2">
        <v>2015</v>
      </c>
      <c r="C59" s="2" t="s">
        <v>14</v>
      </c>
      <c r="D59" s="2" t="s">
        <v>8</v>
      </c>
      <c r="E59" s="2" t="s">
        <v>9</v>
      </c>
      <c r="F59" s="2" t="s">
        <v>48</v>
      </c>
      <c r="G59" s="2">
        <f t="shared" si="0"/>
        <v>0.35462271439608545</v>
      </c>
      <c r="H59" s="5">
        <v>4.371428571428571</v>
      </c>
      <c r="I59" s="2">
        <v>315</v>
      </c>
      <c r="J59" s="57">
        <f>I59/Pondération!$H$14</f>
        <v>8.1122843162503219E-2</v>
      </c>
      <c r="K59" s="5">
        <v>4.3682539682539678</v>
      </c>
      <c r="L59" s="5">
        <f t="shared" si="1"/>
        <v>0.35436518156064895</v>
      </c>
      <c r="M59" s="5">
        <v>4.5142857142857142</v>
      </c>
      <c r="N59" s="5">
        <f t="shared" si="2"/>
        <v>0.36621169199072884</v>
      </c>
      <c r="O59" s="5">
        <v>4.234920634920635</v>
      </c>
      <c r="P59" s="15">
        <f t="shared" si="3"/>
        <v>0.34354880247231523</v>
      </c>
    </row>
    <row r="60" spans="1:16" x14ac:dyDescent="0.25">
      <c r="A60" s="2" t="s">
        <v>47</v>
      </c>
      <c r="B60" s="2">
        <v>2015</v>
      </c>
      <c r="C60" s="2" t="s">
        <v>15</v>
      </c>
      <c r="D60" s="2" t="s">
        <v>8</v>
      </c>
      <c r="E60" s="2" t="s">
        <v>9</v>
      </c>
      <c r="F60" s="2" t="s">
        <v>48</v>
      </c>
      <c r="G60" s="2">
        <f t="shared" si="0"/>
        <v>0.50231779551892863</v>
      </c>
      <c r="H60" s="5">
        <v>4.4531963470319633</v>
      </c>
      <c r="I60" s="2">
        <v>438</v>
      </c>
      <c r="J60" s="57">
        <f>I60/Pondération!$H$14</f>
        <v>0.11279938192119496</v>
      </c>
      <c r="K60" s="5">
        <v>4.4954337899543377</v>
      </c>
      <c r="L60" s="5">
        <f t="shared" si="1"/>
        <v>0.50708215297450421</v>
      </c>
      <c r="M60" s="5">
        <v>4.5365296803652972</v>
      </c>
      <c r="N60" s="5">
        <f t="shared" si="2"/>
        <v>0.5117177440123617</v>
      </c>
      <c r="O60" s="5">
        <v>4.2853881278538815</v>
      </c>
      <c r="P60" s="15">
        <f t="shared" si="3"/>
        <v>0.48338913211434464</v>
      </c>
    </row>
    <row r="61" spans="1:16" x14ac:dyDescent="0.25">
      <c r="A61" s="2" t="s">
        <v>47</v>
      </c>
      <c r="B61" s="2">
        <v>2015</v>
      </c>
      <c r="C61" s="2" t="s">
        <v>16</v>
      </c>
      <c r="D61" s="2" t="s">
        <v>8</v>
      </c>
      <c r="E61" s="2" t="s">
        <v>9</v>
      </c>
      <c r="F61" s="2" t="s">
        <v>48</v>
      </c>
      <c r="G61" s="2">
        <f t="shared" si="0"/>
        <v>0.45435230491887718</v>
      </c>
      <c r="H61" s="5">
        <v>4.3996259351620948</v>
      </c>
      <c r="I61" s="2">
        <v>401</v>
      </c>
      <c r="J61" s="57">
        <f>I61/Pondération!$H$14</f>
        <v>0.10327066701004378</v>
      </c>
      <c r="K61" s="5">
        <v>4.4089775561097255</v>
      </c>
      <c r="L61" s="5">
        <f t="shared" si="1"/>
        <v>0.45531805305176409</v>
      </c>
      <c r="M61" s="5">
        <v>4.526184538653367</v>
      </c>
      <c r="N61" s="5">
        <f t="shared" si="2"/>
        <v>0.46742209631728049</v>
      </c>
      <c r="O61" s="5">
        <v>4.254364089775561</v>
      </c>
      <c r="P61" s="15">
        <f t="shared" si="3"/>
        <v>0.43935101725469999</v>
      </c>
    </row>
    <row r="62" spans="1:16" x14ac:dyDescent="0.25">
      <c r="A62" s="2" t="s">
        <v>47</v>
      </c>
      <c r="B62" s="2">
        <v>2015</v>
      </c>
      <c r="C62" s="2" t="s">
        <v>17</v>
      </c>
      <c r="D62" s="2" t="s">
        <v>8</v>
      </c>
      <c r="E62" s="2" t="s">
        <v>9</v>
      </c>
      <c r="F62" s="2" t="s">
        <v>48</v>
      </c>
      <c r="G62" s="2">
        <f t="shared" si="0"/>
        <v>0.44392222508369822</v>
      </c>
      <c r="H62" s="5">
        <v>4.3973214285714288</v>
      </c>
      <c r="I62" s="2">
        <v>392</v>
      </c>
      <c r="J62" s="57">
        <f>I62/Pondération!$H$14</f>
        <v>0.10095287149111512</v>
      </c>
      <c r="K62" s="5">
        <v>4.466836734693878</v>
      </c>
      <c r="L62" s="5">
        <f t="shared" si="1"/>
        <v>0.45093999484934333</v>
      </c>
      <c r="M62" s="5">
        <v>4.4642857142857144</v>
      </c>
      <c r="N62" s="5">
        <f t="shared" si="2"/>
        <v>0.45068246201390683</v>
      </c>
      <c r="O62" s="5">
        <v>4.1913265306122449</v>
      </c>
      <c r="P62" s="15">
        <f t="shared" si="3"/>
        <v>0.42312644862219934</v>
      </c>
    </row>
    <row r="63" spans="1:16" x14ac:dyDescent="0.25">
      <c r="A63" s="2" t="s">
        <v>47</v>
      </c>
      <c r="B63" s="2">
        <v>2016</v>
      </c>
      <c r="C63" s="2" t="s">
        <v>18</v>
      </c>
      <c r="D63" s="2" t="s">
        <v>8</v>
      </c>
      <c r="E63" s="2" t="s">
        <v>9</v>
      </c>
      <c r="F63" s="2" t="s">
        <v>48</v>
      </c>
      <c r="G63" s="2">
        <f t="shared" si="0"/>
        <v>0.27722693107308494</v>
      </c>
      <c r="H63" s="5">
        <v>4.4221938775510203</v>
      </c>
      <c r="I63" s="2">
        <v>392</v>
      </c>
      <c r="J63" s="57">
        <f>I63/Pondération!$G$14</f>
        <v>6.2689908843754999E-2</v>
      </c>
      <c r="K63" s="5">
        <v>4.4566326530612246</v>
      </c>
      <c r="L63" s="5">
        <f t="shared" si="1"/>
        <v>0.27938589477051018</v>
      </c>
      <c r="M63" s="5">
        <v>4.5357142857142856</v>
      </c>
      <c r="N63" s="5">
        <f t="shared" si="2"/>
        <v>0.28434351511274586</v>
      </c>
      <c r="O63" s="5">
        <v>4.2397959183673466</v>
      </c>
      <c r="P63" s="15">
        <f t="shared" si="3"/>
        <v>0.26579241963857347</v>
      </c>
    </row>
    <row r="64" spans="1:16" x14ac:dyDescent="0.25">
      <c r="A64" s="2" t="s">
        <v>47</v>
      </c>
      <c r="B64" s="2">
        <v>2016</v>
      </c>
      <c r="C64" s="2" t="s">
        <v>19</v>
      </c>
      <c r="D64" s="2" t="s">
        <v>8</v>
      </c>
      <c r="E64" s="2" t="s">
        <v>9</v>
      </c>
      <c r="F64" s="2" t="s">
        <v>48</v>
      </c>
      <c r="G64" s="2">
        <f t="shared" si="0"/>
        <v>0.35658883735806818</v>
      </c>
      <c r="H64" s="5">
        <v>4.3979289940828403</v>
      </c>
      <c r="I64" s="2">
        <v>507</v>
      </c>
      <c r="J64" s="57">
        <f>I64/Pondération!$G$14</f>
        <v>8.1081081081081086E-2</v>
      </c>
      <c r="K64" s="5">
        <v>4.3964497041420119</v>
      </c>
      <c r="L64" s="5">
        <f t="shared" si="1"/>
        <v>0.35646889493043343</v>
      </c>
      <c r="M64" s="5">
        <v>4.5187376725838266</v>
      </c>
      <c r="N64" s="5">
        <f t="shared" si="2"/>
        <v>0.3663841356149049</v>
      </c>
      <c r="O64" s="5">
        <v>4.2800788954635109</v>
      </c>
      <c r="P64" s="15">
        <f t="shared" si="3"/>
        <v>0.34703342395650089</v>
      </c>
    </row>
    <row r="65" spans="1:16" x14ac:dyDescent="0.25">
      <c r="A65" s="2" t="s">
        <v>47</v>
      </c>
      <c r="B65" s="2">
        <v>2016</v>
      </c>
      <c r="C65" s="2" t="s">
        <v>20</v>
      </c>
      <c r="D65" s="2" t="s">
        <v>8</v>
      </c>
      <c r="E65" s="2" t="s">
        <v>9</v>
      </c>
      <c r="F65" s="2" t="s">
        <v>48</v>
      </c>
      <c r="G65" s="2">
        <f t="shared" si="0"/>
        <v>0.32572365264672959</v>
      </c>
      <c r="H65" s="5">
        <v>4.447052401746725</v>
      </c>
      <c r="I65" s="2">
        <v>458</v>
      </c>
      <c r="J65" s="57">
        <f>I65/Pondération!$G$14</f>
        <v>7.3244842475611707E-2</v>
      </c>
      <c r="K65" s="5">
        <v>4.4454148471615724</v>
      </c>
      <c r="L65" s="5">
        <f t="shared" si="1"/>
        <v>0.32560371021909484</v>
      </c>
      <c r="M65" s="5">
        <v>4.6200873362445414</v>
      </c>
      <c r="N65" s="5">
        <f t="shared" si="2"/>
        <v>0.33839756916679992</v>
      </c>
      <c r="O65" s="5">
        <v>4.2772925764192138</v>
      </c>
      <c r="P65" s="15">
        <f t="shared" si="3"/>
        <v>0.31328962098192864</v>
      </c>
    </row>
    <row r="66" spans="1:16" x14ac:dyDescent="0.25">
      <c r="A66" s="2" t="s">
        <v>47</v>
      </c>
      <c r="B66" s="2">
        <v>2016</v>
      </c>
      <c r="C66" s="2" t="s">
        <v>21</v>
      </c>
      <c r="D66" s="2" t="s">
        <v>8</v>
      </c>
      <c r="E66" s="2" t="s">
        <v>9</v>
      </c>
      <c r="F66" s="2" t="s">
        <v>48</v>
      </c>
      <c r="G66" s="2">
        <f t="shared" ref="G66:G129" si="4">H66*J66</f>
        <v>0.30269470654086039</v>
      </c>
      <c r="H66" s="5">
        <v>4.4640330188679247</v>
      </c>
      <c r="I66" s="2">
        <v>424</v>
      </c>
      <c r="J66" s="57">
        <f>I66/Pondération!$G$14</f>
        <v>6.7807452422837033E-2</v>
      </c>
      <c r="K66" s="5">
        <v>4.4858490566037732</v>
      </c>
      <c r="L66" s="5">
        <f t="shared" si="1"/>
        <v>0.30417399648168875</v>
      </c>
      <c r="M66" s="5">
        <v>4.5849056603773581</v>
      </c>
      <c r="N66" s="5">
        <f t="shared" si="2"/>
        <v>0.31089077242923391</v>
      </c>
      <c r="O66" s="5">
        <v>4.2995283018867925</v>
      </c>
      <c r="P66" s="15">
        <f t="shared" si="3"/>
        <v>0.29154006077083</v>
      </c>
    </row>
    <row r="67" spans="1:16" x14ac:dyDescent="0.25">
      <c r="A67" s="2" t="s">
        <v>47</v>
      </c>
      <c r="B67" s="2">
        <v>2016</v>
      </c>
      <c r="C67" s="2" t="s">
        <v>22</v>
      </c>
      <c r="D67" s="2" t="s">
        <v>8</v>
      </c>
      <c r="E67" s="2" t="s">
        <v>9</v>
      </c>
      <c r="F67" s="2" t="s">
        <v>48</v>
      </c>
      <c r="G67" s="2">
        <f t="shared" si="4"/>
        <v>0.29469854469854467</v>
      </c>
      <c r="H67" s="5">
        <v>4.4726941747572813</v>
      </c>
      <c r="I67" s="2">
        <v>412</v>
      </c>
      <c r="J67" s="57">
        <f>I67/Pondération!$G$14</f>
        <v>6.5888373580681267E-2</v>
      </c>
      <c r="K67" s="5">
        <v>4.5121359223300974</v>
      </c>
      <c r="L67" s="5">
        <f t="shared" si="1"/>
        <v>0.29729729729729731</v>
      </c>
      <c r="M67" s="5">
        <v>4.5266990291262132</v>
      </c>
      <c r="N67" s="5">
        <f t="shared" si="2"/>
        <v>0.29825683671837511</v>
      </c>
      <c r="O67" s="5">
        <v>4.3398058252427187</v>
      </c>
      <c r="P67" s="15">
        <f t="shared" si="3"/>
        <v>0.28594274748120901</v>
      </c>
    </row>
    <row r="68" spans="1:16" x14ac:dyDescent="0.25">
      <c r="A68" s="2" t="s">
        <v>47</v>
      </c>
      <c r="B68" s="2">
        <v>2016</v>
      </c>
      <c r="C68" s="2" t="s">
        <v>23</v>
      </c>
      <c r="D68" s="2" t="s">
        <v>8</v>
      </c>
      <c r="E68" s="2" t="s">
        <v>9</v>
      </c>
      <c r="F68" s="2" t="s">
        <v>48</v>
      </c>
      <c r="G68" s="2">
        <f t="shared" si="4"/>
        <v>0.31520869982408445</v>
      </c>
      <c r="H68" s="5">
        <v>4.5310344827586206</v>
      </c>
      <c r="I68" s="2">
        <v>435</v>
      </c>
      <c r="J68" s="57">
        <f>I68/Pondération!$G$14</f>
        <v>6.9566608028146487E-2</v>
      </c>
      <c r="K68" s="5">
        <v>4.5379310344827584</v>
      </c>
      <c r="L68" s="5">
        <f t="shared" si="1"/>
        <v>0.31568846953462337</v>
      </c>
      <c r="M68" s="5">
        <v>4.6689655172413795</v>
      </c>
      <c r="N68" s="5">
        <f t="shared" si="2"/>
        <v>0.32480409403486327</v>
      </c>
      <c r="O68" s="5">
        <v>4.3793103448275863</v>
      </c>
      <c r="P68" s="15">
        <f t="shared" si="3"/>
        <v>0.30465376619222773</v>
      </c>
    </row>
    <row r="69" spans="1:16" x14ac:dyDescent="0.25">
      <c r="A69" s="2" t="s">
        <v>47</v>
      </c>
      <c r="B69" s="2">
        <v>2016</v>
      </c>
      <c r="C69" s="2" t="s">
        <v>24</v>
      </c>
      <c r="D69" s="2" t="s">
        <v>8</v>
      </c>
      <c r="E69" s="2" t="s">
        <v>9</v>
      </c>
      <c r="F69" s="2" t="s">
        <v>48</v>
      </c>
      <c r="G69" s="2">
        <f t="shared" si="4"/>
        <v>0.34887254118023348</v>
      </c>
      <c r="H69" s="5">
        <v>4.479466119096509</v>
      </c>
      <c r="I69" s="2">
        <v>487</v>
      </c>
      <c r="J69" s="57">
        <f>I69/Pondération!$G$14</f>
        <v>7.7882616344154804E-2</v>
      </c>
      <c r="K69" s="5">
        <v>4.4907597535934292</v>
      </c>
      <c r="L69" s="5">
        <f t="shared" si="1"/>
        <v>0.34975211898288822</v>
      </c>
      <c r="M69" s="5">
        <v>4.6324435318275157</v>
      </c>
      <c r="N69" s="5">
        <f t="shared" si="2"/>
        <v>0.36078682232528386</v>
      </c>
      <c r="O69" s="5">
        <v>4.3039014373716631</v>
      </c>
      <c r="P69" s="15">
        <f t="shared" si="3"/>
        <v>0.33519910442987366</v>
      </c>
    </row>
    <row r="70" spans="1:16" x14ac:dyDescent="0.25">
      <c r="A70" s="2" t="s">
        <v>47</v>
      </c>
      <c r="B70" s="2">
        <v>2016</v>
      </c>
      <c r="C70" s="2" t="s">
        <v>25</v>
      </c>
      <c r="D70" s="2" t="s">
        <v>8</v>
      </c>
      <c r="E70" s="2" t="s">
        <v>9</v>
      </c>
      <c r="F70" s="2" t="s">
        <v>48</v>
      </c>
      <c r="G70" s="2">
        <f t="shared" si="4"/>
        <v>0.35271069886454504</v>
      </c>
      <c r="H70" s="5">
        <v>4.4555555555555557</v>
      </c>
      <c r="I70" s="2">
        <v>495</v>
      </c>
      <c r="J70" s="57">
        <f>I70/Pondération!$G$14</f>
        <v>7.9162002238925319E-2</v>
      </c>
      <c r="K70" s="5">
        <v>4.4747474747474749</v>
      </c>
      <c r="L70" s="5">
        <f t="shared" si="1"/>
        <v>0.35422996961458503</v>
      </c>
      <c r="M70" s="5">
        <v>4.5212121212121215</v>
      </c>
      <c r="N70" s="5">
        <f t="shared" si="2"/>
        <v>0.35790820406205026</v>
      </c>
      <c r="O70" s="5">
        <v>4.3515151515151516</v>
      </c>
      <c r="P70" s="15">
        <f t="shared" si="3"/>
        <v>0.34447465216695988</v>
      </c>
    </row>
    <row r="71" spans="1:16" x14ac:dyDescent="0.25">
      <c r="A71" s="2" t="s">
        <v>47</v>
      </c>
      <c r="B71" s="2">
        <v>2016</v>
      </c>
      <c r="C71" s="2" t="s">
        <v>26</v>
      </c>
      <c r="D71" s="2" t="s">
        <v>8</v>
      </c>
      <c r="E71" s="2" t="s">
        <v>9</v>
      </c>
      <c r="F71" s="2" t="s">
        <v>48</v>
      </c>
      <c r="G71" s="2">
        <f t="shared" si="4"/>
        <v>0.40372621141851911</v>
      </c>
      <c r="H71" s="5">
        <v>4.5486486486486486</v>
      </c>
      <c r="I71" s="2">
        <v>555</v>
      </c>
      <c r="J71" s="57">
        <f>I71/Pondération!$G$14</f>
        <v>8.8757396449704137E-2</v>
      </c>
      <c r="K71" s="5">
        <v>4.5585585585585582</v>
      </c>
      <c r="L71" s="5">
        <f t="shared" si="1"/>
        <v>0.40460578922117379</v>
      </c>
      <c r="M71" s="5">
        <v>4.6846846846846848</v>
      </c>
      <c r="N71" s="5">
        <f t="shared" si="2"/>
        <v>0.41580041580041577</v>
      </c>
      <c r="O71" s="5">
        <v>4.3927927927927932</v>
      </c>
      <c r="P71" s="15">
        <f t="shared" si="3"/>
        <v>0.38989285143131297</v>
      </c>
    </row>
    <row r="72" spans="1:16" x14ac:dyDescent="0.25">
      <c r="A72" s="2" t="s">
        <v>47</v>
      </c>
      <c r="B72" s="2">
        <v>2016</v>
      </c>
      <c r="C72" s="2" t="s">
        <v>27</v>
      </c>
      <c r="D72" s="2" t="s">
        <v>8</v>
      </c>
      <c r="E72" s="2" t="s">
        <v>9</v>
      </c>
      <c r="F72" s="2" t="s">
        <v>48</v>
      </c>
      <c r="G72" s="2">
        <f t="shared" si="4"/>
        <v>0.48868543099312328</v>
      </c>
      <c r="H72" s="5">
        <v>4.4674707602339181</v>
      </c>
      <c r="I72" s="2">
        <v>684</v>
      </c>
      <c r="J72" s="57">
        <f>I72/Pondération!$G$14</f>
        <v>0.10938749400287862</v>
      </c>
      <c r="K72" s="5">
        <v>4.4839181286549712</v>
      </c>
      <c r="L72" s="5">
        <f t="shared" si="1"/>
        <v>0.49048456740764435</v>
      </c>
      <c r="M72" s="5">
        <v>4.6154970760233915</v>
      </c>
      <c r="N72" s="5">
        <f t="shared" si="2"/>
        <v>0.50487765872381252</v>
      </c>
      <c r="O72" s="5">
        <v>4.2865497076023393</v>
      </c>
      <c r="P72" s="15">
        <f t="shared" si="3"/>
        <v>0.46889493043339198</v>
      </c>
    </row>
    <row r="73" spans="1:16" x14ac:dyDescent="0.25">
      <c r="A73" s="2" t="s">
        <v>47</v>
      </c>
      <c r="B73" s="2">
        <v>2016</v>
      </c>
      <c r="C73" s="2" t="s">
        <v>28</v>
      </c>
      <c r="D73" s="2" t="s">
        <v>8</v>
      </c>
      <c r="E73" s="2" t="s">
        <v>9</v>
      </c>
      <c r="F73" s="2" t="s">
        <v>48</v>
      </c>
      <c r="G73" s="2">
        <f t="shared" si="4"/>
        <v>0.47956980649288339</v>
      </c>
      <c r="H73" s="5">
        <v>4.4491839762611276</v>
      </c>
      <c r="I73" s="2">
        <v>674</v>
      </c>
      <c r="J73" s="57">
        <f>I73/Pondération!$G$14</f>
        <v>0.10778826163441547</v>
      </c>
      <c r="K73" s="5">
        <v>4.4614243323442135</v>
      </c>
      <c r="L73" s="5">
        <f t="shared" si="1"/>
        <v>0.48088917319686547</v>
      </c>
      <c r="M73" s="5">
        <v>4.5994065281899106</v>
      </c>
      <c r="N73" s="5">
        <f t="shared" si="2"/>
        <v>0.49576203422357262</v>
      </c>
      <c r="O73" s="5">
        <v>4.2744807121661719</v>
      </c>
      <c r="P73" s="15">
        <f t="shared" si="3"/>
        <v>0.46073884535422993</v>
      </c>
    </row>
    <row r="74" spans="1:16" x14ac:dyDescent="0.25">
      <c r="A74" s="2" t="s">
        <v>47</v>
      </c>
      <c r="B74" s="2">
        <v>2016</v>
      </c>
      <c r="C74" s="2" t="s">
        <v>29</v>
      </c>
      <c r="D74" s="2" t="s">
        <v>8</v>
      </c>
      <c r="E74" s="2" t="s">
        <v>9</v>
      </c>
      <c r="F74" s="2" t="s">
        <v>48</v>
      </c>
      <c r="G74" s="2">
        <f t="shared" si="4"/>
        <v>0.52294898448744598</v>
      </c>
      <c r="H74" s="5">
        <v>4.4794520547945202</v>
      </c>
      <c r="I74" s="2">
        <v>730</v>
      </c>
      <c r="J74" s="57">
        <f>I74/Pondération!$G$14</f>
        <v>0.11674396289780906</v>
      </c>
      <c r="K74" s="5">
        <v>4.5273972602739727</v>
      </c>
      <c r="L74" s="5">
        <f t="shared" si="1"/>
        <v>0.52854629777706708</v>
      </c>
      <c r="M74" s="5">
        <v>4.5246575342465754</v>
      </c>
      <c r="N74" s="5">
        <f t="shared" si="2"/>
        <v>0.52822645130337442</v>
      </c>
      <c r="O74" s="5">
        <v>4.338356164383562</v>
      </c>
      <c r="P74" s="15">
        <f t="shared" si="3"/>
        <v>0.50647689109227578</v>
      </c>
    </row>
    <row r="75" spans="1:16" x14ac:dyDescent="0.25">
      <c r="A75" s="2" t="s">
        <v>47</v>
      </c>
      <c r="B75" s="2">
        <v>2017</v>
      </c>
      <c r="C75" s="2" t="s">
        <v>30</v>
      </c>
      <c r="D75" s="2" t="s">
        <v>8</v>
      </c>
      <c r="E75" s="2" t="s">
        <v>9</v>
      </c>
      <c r="F75" s="2" t="s">
        <v>48</v>
      </c>
      <c r="G75" s="2">
        <f t="shared" si="4"/>
        <v>0.81508397932816545</v>
      </c>
      <c r="H75" s="5">
        <v>4.482238010657194</v>
      </c>
      <c r="I75" s="2">
        <v>563</v>
      </c>
      <c r="J75" s="57">
        <f>I75/Pondération!$F$14</f>
        <v>0.18184754521963825</v>
      </c>
      <c r="K75" s="5">
        <v>4.5222024866785082</v>
      </c>
      <c r="L75" s="5">
        <f t="shared" si="1"/>
        <v>0.82235142118863058</v>
      </c>
      <c r="M75" s="5">
        <v>4.6305506216696273</v>
      </c>
      <c r="N75" s="5">
        <f t="shared" si="2"/>
        <v>0.84205426356589153</v>
      </c>
      <c r="O75" s="5">
        <v>4.2539964476021312</v>
      </c>
      <c r="P75" s="15">
        <f t="shared" si="3"/>
        <v>0.77357881136950901</v>
      </c>
    </row>
    <row r="76" spans="1:16" x14ac:dyDescent="0.25">
      <c r="A76" s="2" t="s">
        <v>47</v>
      </c>
      <c r="B76" s="2">
        <v>2017</v>
      </c>
      <c r="C76" s="2" t="s">
        <v>31</v>
      </c>
      <c r="D76" s="2" t="s">
        <v>8</v>
      </c>
      <c r="E76" s="2" t="s">
        <v>9</v>
      </c>
      <c r="F76" s="2" t="s">
        <v>48</v>
      </c>
      <c r="G76" s="2">
        <f t="shared" si="4"/>
        <v>1.2295704134366925</v>
      </c>
      <c r="H76" s="5">
        <v>4.4575526932084308</v>
      </c>
      <c r="I76" s="2">
        <v>854</v>
      </c>
      <c r="J76" s="57">
        <f>I76/Pondération!$F$14</f>
        <v>0.27583979328165376</v>
      </c>
      <c r="K76" s="5">
        <v>4.4859484777517569</v>
      </c>
      <c r="L76" s="5">
        <f t="shared" si="1"/>
        <v>1.237403100775194</v>
      </c>
      <c r="M76" s="5">
        <v>4.5632318501170959</v>
      </c>
      <c r="N76" s="5">
        <f t="shared" si="2"/>
        <v>1.2587209302325582</v>
      </c>
      <c r="O76" s="5">
        <v>4.2950819672131146</v>
      </c>
      <c r="P76" s="15">
        <f t="shared" si="3"/>
        <v>1.1847545219638242</v>
      </c>
    </row>
    <row r="77" spans="1:16" x14ac:dyDescent="0.25">
      <c r="A77" s="2" t="s">
        <v>47</v>
      </c>
      <c r="B77" s="2">
        <v>2017</v>
      </c>
      <c r="C77" s="2" t="s">
        <v>32</v>
      </c>
      <c r="D77" s="2" t="s">
        <v>8</v>
      </c>
      <c r="E77" s="2" t="s">
        <v>9</v>
      </c>
      <c r="F77" s="2" t="s">
        <v>48</v>
      </c>
      <c r="G77" s="2">
        <f t="shared" si="4"/>
        <v>1.047157622739018</v>
      </c>
      <c r="H77" s="5">
        <v>4.4594222833562585</v>
      </c>
      <c r="I77" s="2">
        <v>727</v>
      </c>
      <c r="J77" s="57">
        <f>I77/Pondération!$F$14</f>
        <v>0.23481912144702843</v>
      </c>
      <c r="K77" s="5">
        <v>4.4869325997248968</v>
      </c>
      <c r="L77" s="5">
        <f t="shared" si="1"/>
        <v>1.0536175710594315</v>
      </c>
      <c r="M77" s="5">
        <v>4.5529573590096284</v>
      </c>
      <c r="N77" s="5">
        <f t="shared" si="2"/>
        <v>1.0691214470284238</v>
      </c>
      <c r="O77" s="5">
        <v>4.3108665749656119</v>
      </c>
      <c r="P77" s="15">
        <f t="shared" si="3"/>
        <v>1.0122739018087856</v>
      </c>
    </row>
    <row r="78" spans="1:16" x14ac:dyDescent="0.25">
      <c r="A78" s="2" t="s">
        <v>47</v>
      </c>
      <c r="B78" s="2">
        <v>2017</v>
      </c>
      <c r="C78" s="2" t="s">
        <v>33</v>
      </c>
      <c r="D78" s="2" t="s">
        <v>8</v>
      </c>
      <c r="E78" s="2" t="s">
        <v>9</v>
      </c>
      <c r="F78" s="2" t="s">
        <v>48</v>
      </c>
      <c r="G78" s="2">
        <f t="shared" si="4"/>
        <v>1.1101421188630491</v>
      </c>
      <c r="H78" s="5">
        <v>4.4578469520103763</v>
      </c>
      <c r="I78" s="2">
        <v>771</v>
      </c>
      <c r="J78" s="57">
        <f>I78/Pondération!$F$14</f>
        <v>0.24903100775193798</v>
      </c>
      <c r="K78" s="5">
        <v>4.4837872892347601</v>
      </c>
      <c r="L78" s="5">
        <f t="shared" si="1"/>
        <v>1.1166020671834624</v>
      </c>
      <c r="M78" s="5">
        <v>4.5525291828793772</v>
      </c>
      <c r="N78" s="5">
        <f t="shared" si="2"/>
        <v>1.1337209302325582</v>
      </c>
      <c r="O78" s="5">
        <v>4.3112840466926068</v>
      </c>
      <c r="P78" s="15">
        <f t="shared" si="3"/>
        <v>1.0736434108527131</v>
      </c>
    </row>
    <row r="79" spans="1:16" x14ac:dyDescent="0.25">
      <c r="A79" s="2" t="s">
        <v>47</v>
      </c>
      <c r="B79" s="2">
        <v>2017</v>
      </c>
      <c r="C79" s="2" t="s">
        <v>34</v>
      </c>
      <c r="D79" s="2" t="s">
        <v>8</v>
      </c>
      <c r="E79" s="2" t="s">
        <v>9</v>
      </c>
      <c r="F79" s="2" t="s">
        <v>48</v>
      </c>
      <c r="G79" s="2">
        <f t="shared" si="4"/>
        <v>0.26485788113695091</v>
      </c>
      <c r="H79" s="5">
        <v>4.5303867403314921</v>
      </c>
      <c r="I79" s="2">
        <v>181</v>
      </c>
      <c r="J79" s="57">
        <f>I79/Pondération!$F$14</f>
        <v>5.8462532299741604E-2</v>
      </c>
      <c r="K79" s="5">
        <v>4.5193370165745854</v>
      </c>
      <c r="L79" s="5">
        <f t="shared" si="1"/>
        <v>0.26421188630490955</v>
      </c>
      <c r="M79" s="5">
        <v>4.6408839779005522</v>
      </c>
      <c r="N79" s="5">
        <f t="shared" si="2"/>
        <v>0.27131782945736432</v>
      </c>
      <c r="O79" s="5">
        <v>4.4419889502762429</v>
      </c>
      <c r="P79" s="15">
        <f t="shared" si="3"/>
        <v>0.25968992248062017</v>
      </c>
    </row>
    <row r="80" spans="1:16" x14ac:dyDescent="0.25">
      <c r="A80" s="2" t="s">
        <v>6</v>
      </c>
      <c r="B80" s="2">
        <v>2015</v>
      </c>
      <c r="C80" s="2" t="s">
        <v>7</v>
      </c>
      <c r="D80" s="2" t="s">
        <v>35</v>
      </c>
      <c r="E80" s="2" t="s">
        <v>9</v>
      </c>
      <c r="F80" s="2" t="s">
        <v>10</v>
      </c>
      <c r="G80" s="2">
        <f t="shared" si="4"/>
        <v>0.15539634146341463</v>
      </c>
      <c r="H80" s="5">
        <v>3.9820312499999999</v>
      </c>
      <c r="I80" s="2">
        <v>64</v>
      </c>
      <c r="J80" s="57">
        <f>I80/Pondération!$H$26</f>
        <v>3.9024390243902439E-2</v>
      </c>
      <c r="K80" s="2"/>
      <c r="L80" s="2"/>
      <c r="M80" s="2"/>
      <c r="N80" s="2"/>
      <c r="O80" s="2"/>
      <c r="P80"/>
    </row>
    <row r="81" spans="1:15" customFormat="1" x14ac:dyDescent="0.25">
      <c r="A81" s="2" t="s">
        <v>6</v>
      </c>
      <c r="B81" s="2">
        <v>2015</v>
      </c>
      <c r="C81" s="2" t="s">
        <v>11</v>
      </c>
      <c r="D81" s="2" t="s">
        <v>35</v>
      </c>
      <c r="E81" s="2" t="s">
        <v>9</v>
      </c>
      <c r="F81" s="2" t="s">
        <v>10</v>
      </c>
      <c r="G81" s="2">
        <f t="shared" si="4"/>
        <v>0.45789634146341401</v>
      </c>
      <c r="H81" s="5">
        <v>3.8119289340101474</v>
      </c>
      <c r="I81" s="2">
        <v>197</v>
      </c>
      <c r="J81" s="57">
        <f>I81/Pondération!$H$26</f>
        <v>0.12012195121951219</v>
      </c>
      <c r="K81" s="2"/>
      <c r="L81" s="2"/>
      <c r="M81" s="2"/>
      <c r="N81" s="2"/>
      <c r="O81" s="2"/>
    </row>
    <row r="82" spans="1:15" customFormat="1" x14ac:dyDescent="0.25">
      <c r="A82" s="2" t="s">
        <v>6</v>
      </c>
      <c r="B82" s="2">
        <v>2015</v>
      </c>
      <c r="C82" s="2" t="s">
        <v>12</v>
      </c>
      <c r="D82" s="2" t="s">
        <v>35</v>
      </c>
      <c r="E82" s="2" t="s">
        <v>9</v>
      </c>
      <c r="F82" s="2" t="s">
        <v>10</v>
      </c>
      <c r="G82" s="2">
        <f t="shared" si="4"/>
        <v>0.45603658536585362</v>
      </c>
      <c r="H82" s="5">
        <v>3.8353846153846152</v>
      </c>
      <c r="I82" s="2">
        <v>195</v>
      </c>
      <c r="J82" s="57">
        <f>I82/Pondération!$H$26</f>
        <v>0.11890243902439024</v>
      </c>
      <c r="K82" s="2"/>
      <c r="L82" s="2"/>
      <c r="M82" s="2"/>
      <c r="N82" s="2"/>
      <c r="O82" s="2"/>
    </row>
    <row r="83" spans="1:15" customFormat="1" x14ac:dyDescent="0.25">
      <c r="A83" s="2" t="s">
        <v>6</v>
      </c>
      <c r="B83" s="2">
        <v>2015</v>
      </c>
      <c r="C83" s="2" t="s">
        <v>13</v>
      </c>
      <c r="D83" s="2" t="s">
        <v>35</v>
      </c>
      <c r="E83" s="2" t="s">
        <v>9</v>
      </c>
      <c r="F83" s="2" t="s">
        <v>10</v>
      </c>
      <c r="G83" s="2">
        <f t="shared" si="4"/>
        <v>0.72036585365853056</v>
      </c>
      <c r="H83" s="5">
        <v>3.8734426229507872</v>
      </c>
      <c r="I83" s="2">
        <v>305</v>
      </c>
      <c r="J83" s="57">
        <f>I83/Pondération!$H$26</f>
        <v>0.18597560975609756</v>
      </c>
      <c r="K83" s="2"/>
      <c r="L83" s="2"/>
      <c r="M83" s="2"/>
      <c r="N83" s="2"/>
      <c r="O83" s="2"/>
    </row>
    <row r="84" spans="1:15" customFormat="1" x14ac:dyDescent="0.25">
      <c r="A84" s="2" t="s">
        <v>6</v>
      </c>
      <c r="B84" s="2">
        <v>2015</v>
      </c>
      <c r="C84" s="2" t="s">
        <v>14</v>
      </c>
      <c r="D84" s="2" t="s">
        <v>35</v>
      </c>
      <c r="E84" s="2" t="s">
        <v>9</v>
      </c>
      <c r="F84" s="2" t="s">
        <v>10</v>
      </c>
      <c r="G84" s="2">
        <f t="shared" si="4"/>
        <v>0.4964939024390238</v>
      </c>
      <c r="H84" s="5">
        <v>3.7696759259259212</v>
      </c>
      <c r="I84" s="2">
        <v>216</v>
      </c>
      <c r="J84" s="57">
        <f>I84/Pondération!$H$26</f>
        <v>0.13170731707317074</v>
      </c>
      <c r="K84" s="2"/>
      <c r="L84" s="2"/>
      <c r="M84" s="2"/>
      <c r="N84" s="2"/>
      <c r="O84" s="2"/>
    </row>
    <row r="85" spans="1:15" customFormat="1" x14ac:dyDescent="0.25">
      <c r="A85" s="2" t="s">
        <v>6</v>
      </c>
      <c r="B85" s="2">
        <v>2015</v>
      </c>
      <c r="C85" s="2" t="s">
        <v>15</v>
      </c>
      <c r="D85" s="2" t="s">
        <v>35</v>
      </c>
      <c r="E85" s="2" t="s">
        <v>9</v>
      </c>
      <c r="F85" s="2" t="s">
        <v>10</v>
      </c>
      <c r="G85" s="2">
        <f t="shared" si="4"/>
        <v>0.53307926829268237</v>
      </c>
      <c r="H85" s="5">
        <v>3.9738636363636317</v>
      </c>
      <c r="I85" s="2">
        <v>220</v>
      </c>
      <c r="J85" s="57">
        <f>I85/Pondération!$H$26</f>
        <v>0.13414634146341464</v>
      </c>
      <c r="K85" s="2"/>
      <c r="L85" s="2"/>
      <c r="M85" s="2"/>
      <c r="N85" s="2"/>
      <c r="O85" s="2"/>
    </row>
    <row r="86" spans="1:15" customFormat="1" x14ac:dyDescent="0.25">
      <c r="A86" s="2" t="s">
        <v>6</v>
      </c>
      <c r="B86" s="2">
        <v>2015</v>
      </c>
      <c r="C86" s="2" t="s">
        <v>16</v>
      </c>
      <c r="D86" s="2" t="s">
        <v>35</v>
      </c>
      <c r="E86" s="2" t="s">
        <v>9</v>
      </c>
      <c r="F86" s="2" t="s">
        <v>10</v>
      </c>
      <c r="G86" s="2">
        <f t="shared" si="4"/>
        <v>0.53874999999999951</v>
      </c>
      <c r="H86" s="5">
        <v>3.9268888888888847</v>
      </c>
      <c r="I86" s="2">
        <v>225</v>
      </c>
      <c r="J86" s="57">
        <f>I86/Pondération!$H$26</f>
        <v>0.13719512195121952</v>
      </c>
      <c r="K86" s="2"/>
      <c r="L86" s="2"/>
      <c r="M86" s="2"/>
      <c r="N86" s="2"/>
      <c r="O86" s="2"/>
    </row>
    <row r="87" spans="1:15" customFormat="1" x14ac:dyDescent="0.25">
      <c r="A87" s="2" t="s">
        <v>6</v>
      </c>
      <c r="B87" s="2">
        <v>2015</v>
      </c>
      <c r="C87" s="2" t="s">
        <v>17</v>
      </c>
      <c r="D87" s="2" t="s">
        <v>35</v>
      </c>
      <c r="E87" s="2" t="s">
        <v>9</v>
      </c>
      <c r="F87" s="2" t="s">
        <v>10</v>
      </c>
      <c r="G87" s="2">
        <f t="shared" si="4"/>
        <v>0.5427134146341458</v>
      </c>
      <c r="H87" s="5">
        <v>4.0827981651376106</v>
      </c>
      <c r="I87" s="2">
        <v>218</v>
      </c>
      <c r="J87" s="57">
        <f>I87/Pondération!$H$26</f>
        <v>0.13292682926829269</v>
      </c>
      <c r="K87" s="2"/>
      <c r="L87" s="2"/>
      <c r="M87" s="2"/>
      <c r="N87" s="2"/>
      <c r="O87" s="2"/>
    </row>
    <row r="88" spans="1:15" customFormat="1" x14ac:dyDescent="0.25">
      <c r="A88" s="2" t="s">
        <v>6</v>
      </c>
      <c r="B88" s="2">
        <v>2016</v>
      </c>
      <c r="C88" s="2" t="s">
        <v>18</v>
      </c>
      <c r="D88" s="2" t="s">
        <v>35</v>
      </c>
      <c r="E88" s="2" t="s">
        <v>9</v>
      </c>
      <c r="F88" s="2" t="s">
        <v>10</v>
      </c>
      <c r="G88" s="2">
        <f t="shared" si="4"/>
        <v>0.12375250932033252</v>
      </c>
      <c r="H88" s="5">
        <v>4.0518779342722961</v>
      </c>
      <c r="I88" s="2">
        <v>213</v>
      </c>
      <c r="J88" s="57">
        <f>I88/Pondération!$G$26</f>
        <v>3.0542013191855462E-2</v>
      </c>
      <c r="K88" s="2"/>
      <c r="L88" s="2"/>
      <c r="M88" s="2"/>
      <c r="N88" s="2"/>
      <c r="O88" s="2"/>
    </row>
    <row r="89" spans="1:15" customFormat="1" x14ac:dyDescent="0.25">
      <c r="A89" s="2" t="s">
        <v>6</v>
      </c>
      <c r="B89" s="2">
        <v>2016</v>
      </c>
      <c r="C89" s="2" t="s">
        <v>19</v>
      </c>
      <c r="D89" s="2" t="s">
        <v>35</v>
      </c>
      <c r="E89" s="2" t="s">
        <v>9</v>
      </c>
      <c r="F89" s="2" t="s">
        <v>10</v>
      </c>
      <c r="G89" s="2">
        <f t="shared" si="4"/>
        <v>0.15710496128477061</v>
      </c>
      <c r="H89" s="5">
        <v>4.0281249999999638</v>
      </c>
      <c r="I89" s="2">
        <v>272</v>
      </c>
      <c r="J89" s="57">
        <f>I89/Pondération!$G$26</f>
        <v>3.9002007456266134E-2</v>
      </c>
      <c r="K89" s="2"/>
      <c r="L89" s="2"/>
      <c r="M89" s="2"/>
      <c r="N89" s="2"/>
      <c r="O89" s="2"/>
    </row>
    <row r="90" spans="1:15" customFormat="1" x14ac:dyDescent="0.25">
      <c r="A90" s="2" t="s">
        <v>6</v>
      </c>
      <c r="B90" s="2">
        <v>2016</v>
      </c>
      <c r="C90" s="2" t="s">
        <v>20</v>
      </c>
      <c r="D90" s="2" t="s">
        <v>35</v>
      </c>
      <c r="E90" s="2" t="s">
        <v>9</v>
      </c>
      <c r="F90" s="2" t="s">
        <v>10</v>
      </c>
      <c r="G90" s="2">
        <f t="shared" si="4"/>
        <v>0.21678376828219098</v>
      </c>
      <c r="H90" s="5">
        <v>4.0532171581769436</v>
      </c>
      <c r="I90" s="2">
        <v>373</v>
      </c>
      <c r="J90" s="57">
        <f>I90/Pondération!$G$26</f>
        <v>5.3484370519070831E-2</v>
      </c>
      <c r="K90" s="2"/>
      <c r="L90" s="2"/>
      <c r="M90" s="2"/>
      <c r="N90" s="2"/>
      <c r="O90" s="2"/>
    </row>
    <row r="91" spans="1:15" customFormat="1" x14ac:dyDescent="0.25">
      <c r="A91" s="2" t="s">
        <v>6</v>
      </c>
      <c r="B91" s="2">
        <v>2016</v>
      </c>
      <c r="C91" s="2" t="s">
        <v>21</v>
      </c>
      <c r="D91" s="2" t="s">
        <v>35</v>
      </c>
      <c r="E91" s="2" t="s">
        <v>9</v>
      </c>
      <c r="F91" s="2" t="s">
        <v>10</v>
      </c>
      <c r="G91" s="2">
        <f t="shared" si="4"/>
        <v>0.26093346716374965</v>
      </c>
      <c r="H91" s="5">
        <v>3.9906798245613815</v>
      </c>
      <c r="I91" s="2">
        <v>456</v>
      </c>
      <c r="J91" s="57">
        <f>I91/Pondération!$G$26</f>
        <v>6.5385718382563809E-2</v>
      </c>
      <c r="K91" s="2"/>
      <c r="L91" s="2"/>
      <c r="M91" s="2"/>
      <c r="N91" s="2"/>
      <c r="O91" s="2"/>
    </row>
    <row r="92" spans="1:15" customFormat="1" x14ac:dyDescent="0.25">
      <c r="A92" s="2" t="s">
        <v>6</v>
      </c>
      <c r="B92" s="2">
        <v>2016</v>
      </c>
      <c r="C92" s="2" t="s">
        <v>22</v>
      </c>
      <c r="D92" s="2" t="s">
        <v>35</v>
      </c>
      <c r="E92" s="2" t="s">
        <v>9</v>
      </c>
      <c r="F92" s="2" t="s">
        <v>10</v>
      </c>
      <c r="G92" s="2">
        <f t="shared" si="4"/>
        <v>0.33310151993117293</v>
      </c>
      <c r="H92" s="5">
        <v>3.9108585858585863</v>
      </c>
      <c r="I92" s="2">
        <v>594</v>
      </c>
      <c r="J92" s="57">
        <f>I92/Pondération!$G$26</f>
        <v>8.5173501577287064E-2</v>
      </c>
      <c r="K92" s="2"/>
      <c r="L92" s="2"/>
      <c r="M92" s="2"/>
      <c r="N92" s="2"/>
      <c r="O92" s="2"/>
    </row>
    <row r="93" spans="1:15" customFormat="1" x14ac:dyDescent="0.25">
      <c r="A93" s="2" t="s">
        <v>6</v>
      </c>
      <c r="B93" s="2">
        <v>2016</v>
      </c>
      <c r="C93" s="2" t="s">
        <v>23</v>
      </c>
      <c r="D93" s="2" t="s">
        <v>35</v>
      </c>
      <c r="E93" s="2" t="s">
        <v>9</v>
      </c>
      <c r="F93" s="2" t="s">
        <v>10</v>
      </c>
      <c r="G93" s="2">
        <f t="shared" si="4"/>
        <v>0.27966016633209062</v>
      </c>
      <c r="H93" s="5">
        <v>3.8392716535433071</v>
      </c>
      <c r="I93" s="2">
        <v>508</v>
      </c>
      <c r="J93" s="57">
        <f>I93/Pondération!$G$26</f>
        <v>7.2841984513908803E-2</v>
      </c>
      <c r="K93" s="2"/>
      <c r="L93" s="2"/>
      <c r="M93" s="2"/>
      <c r="N93" s="2"/>
      <c r="O93" s="2"/>
    </row>
    <row r="94" spans="1:15" customFormat="1" x14ac:dyDescent="0.25">
      <c r="A94" s="2" t="s">
        <v>6</v>
      </c>
      <c r="B94" s="2">
        <v>2016</v>
      </c>
      <c r="C94" s="2" t="s">
        <v>24</v>
      </c>
      <c r="D94" s="2" t="s">
        <v>35</v>
      </c>
      <c r="E94" s="2" t="s">
        <v>9</v>
      </c>
      <c r="F94" s="2" t="s">
        <v>10</v>
      </c>
      <c r="G94" s="2">
        <f t="shared" si="4"/>
        <v>0.39819328936048176</v>
      </c>
      <c r="H94" s="5">
        <v>3.8409405255878286</v>
      </c>
      <c r="I94" s="2">
        <v>723</v>
      </c>
      <c r="J94" s="57">
        <f>I94/Pondération!$G$26</f>
        <v>0.10367077717235446</v>
      </c>
      <c r="K94" s="2"/>
      <c r="L94" s="2"/>
      <c r="M94" s="2"/>
      <c r="N94" s="2"/>
      <c r="O94" s="2"/>
    </row>
    <row r="95" spans="1:15" customFormat="1" x14ac:dyDescent="0.25">
      <c r="A95" s="2" t="s">
        <v>6</v>
      </c>
      <c r="B95" s="2">
        <v>2016</v>
      </c>
      <c r="C95" s="2" t="s">
        <v>25</v>
      </c>
      <c r="D95" s="2" t="s">
        <v>35</v>
      </c>
      <c r="E95" s="2" t="s">
        <v>9</v>
      </c>
      <c r="F95" s="2" t="s">
        <v>10</v>
      </c>
      <c r="G95" s="2">
        <f t="shared" si="4"/>
        <v>0.5575638084313177</v>
      </c>
      <c r="H95" s="5">
        <v>3.8537661050545191</v>
      </c>
      <c r="I95" s="2">
        <v>1009</v>
      </c>
      <c r="J95" s="57">
        <f>I95/Pondération!$G$26</f>
        <v>0.14468024089475193</v>
      </c>
      <c r="K95" s="2"/>
      <c r="L95" s="2"/>
      <c r="M95" s="2"/>
      <c r="N95" s="2"/>
      <c r="O95" s="2"/>
    </row>
    <row r="96" spans="1:15" customFormat="1" x14ac:dyDescent="0.25">
      <c r="A96" s="2" t="s">
        <v>6</v>
      </c>
      <c r="B96" s="2">
        <v>2016</v>
      </c>
      <c r="C96" s="2" t="s">
        <v>26</v>
      </c>
      <c r="D96" s="2" t="s">
        <v>35</v>
      </c>
      <c r="E96" s="2" t="s">
        <v>9</v>
      </c>
      <c r="F96" s="2" t="s">
        <v>10</v>
      </c>
      <c r="G96" s="2">
        <f t="shared" si="4"/>
        <v>0.41864783481502726</v>
      </c>
      <c r="H96" s="5">
        <v>3.8517810026385226</v>
      </c>
      <c r="I96" s="2">
        <v>758</v>
      </c>
      <c r="J96" s="57">
        <f>I96/Pondération!$G$26</f>
        <v>0.10868941783768282</v>
      </c>
      <c r="K96" s="2"/>
      <c r="L96" s="2"/>
      <c r="M96" s="2"/>
      <c r="N96" s="2"/>
      <c r="O96" s="2"/>
    </row>
    <row r="97" spans="1:16" x14ac:dyDescent="0.25">
      <c r="A97" s="2" t="s">
        <v>6</v>
      </c>
      <c r="B97" s="2">
        <v>2016</v>
      </c>
      <c r="C97" s="2" t="s">
        <v>27</v>
      </c>
      <c r="D97" s="2" t="s">
        <v>35</v>
      </c>
      <c r="E97" s="2" t="s">
        <v>9</v>
      </c>
      <c r="F97" s="2" t="s">
        <v>10</v>
      </c>
      <c r="G97" s="2">
        <f t="shared" si="4"/>
        <v>0.40750645253799822</v>
      </c>
      <c r="H97" s="5">
        <v>3.8301212938005387</v>
      </c>
      <c r="I97" s="2">
        <v>742</v>
      </c>
      <c r="J97" s="57">
        <f>I97/Pondération!$G$26</f>
        <v>0.10639518210496128</v>
      </c>
      <c r="K97" s="2"/>
      <c r="L97" s="2"/>
      <c r="M97" s="2"/>
      <c r="N97" s="2"/>
      <c r="O97" s="2"/>
      <c r="P97"/>
    </row>
    <row r="98" spans="1:16" x14ac:dyDescent="0.25">
      <c r="A98" s="2" t="s">
        <v>6</v>
      </c>
      <c r="B98" s="2">
        <v>2016</v>
      </c>
      <c r="C98" s="2" t="s">
        <v>28</v>
      </c>
      <c r="D98" s="2" t="s">
        <v>35</v>
      </c>
      <c r="E98" s="2" t="s">
        <v>9</v>
      </c>
      <c r="F98" s="2" t="s">
        <v>10</v>
      </c>
      <c r="G98" s="2">
        <f t="shared" si="4"/>
        <v>0.36030255233725261</v>
      </c>
      <c r="H98" s="5">
        <v>3.9821711568938194</v>
      </c>
      <c r="I98" s="2">
        <v>631</v>
      </c>
      <c r="J98" s="57">
        <f>I98/Pondération!$G$26</f>
        <v>9.0478921709205615E-2</v>
      </c>
      <c r="K98" s="2"/>
      <c r="L98" s="2"/>
      <c r="M98" s="2"/>
      <c r="N98" s="2"/>
      <c r="O98" s="2"/>
      <c r="P98"/>
    </row>
    <row r="99" spans="1:16" x14ac:dyDescent="0.25">
      <c r="A99" s="2" t="s">
        <v>6</v>
      </c>
      <c r="B99" s="2">
        <v>2016</v>
      </c>
      <c r="C99" s="2" t="s">
        <v>29</v>
      </c>
      <c r="D99" s="2" t="s">
        <v>35</v>
      </c>
      <c r="E99" s="2" t="s">
        <v>9</v>
      </c>
      <c r="F99" s="2" t="s">
        <v>10</v>
      </c>
      <c r="G99" s="2">
        <f t="shared" si="4"/>
        <v>0.38652853455692571</v>
      </c>
      <c r="H99" s="5">
        <v>3.8786330935251798</v>
      </c>
      <c r="I99" s="2">
        <v>695</v>
      </c>
      <c r="J99" s="57">
        <f>I99/Pondération!$G$26</f>
        <v>9.9655864640091768E-2</v>
      </c>
      <c r="K99" s="2"/>
      <c r="L99" s="2"/>
      <c r="M99" s="2"/>
      <c r="N99" s="2"/>
      <c r="O99" s="2"/>
      <c r="P99"/>
    </row>
    <row r="100" spans="1:16" x14ac:dyDescent="0.25">
      <c r="A100" s="2" t="s">
        <v>6</v>
      </c>
      <c r="B100" s="2">
        <v>2017</v>
      </c>
      <c r="C100" s="2" t="s">
        <v>30</v>
      </c>
      <c r="D100" s="2" t="s">
        <v>35</v>
      </c>
      <c r="E100" s="2" t="s">
        <v>9</v>
      </c>
      <c r="F100" s="2" t="s">
        <v>10</v>
      </c>
      <c r="G100" s="2">
        <f t="shared" si="4"/>
        <v>0.74986327590921509</v>
      </c>
      <c r="H100" s="5">
        <v>4.050590841949778</v>
      </c>
      <c r="I100" s="2">
        <v>677</v>
      </c>
      <c r="J100" s="57">
        <f>I100/Pondération!$F$26</f>
        <v>0.18512441892261416</v>
      </c>
      <c r="K100" s="2"/>
      <c r="L100" s="2"/>
      <c r="M100" s="2"/>
      <c r="N100" s="2"/>
      <c r="O100" s="2"/>
      <c r="P100"/>
    </row>
    <row r="101" spans="1:16" x14ac:dyDescent="0.25">
      <c r="A101" s="2" t="s">
        <v>6</v>
      </c>
      <c r="B101" s="2">
        <v>2017</v>
      </c>
      <c r="C101" s="2" t="s">
        <v>31</v>
      </c>
      <c r="D101" s="2" t="s">
        <v>35</v>
      </c>
      <c r="E101" s="2" t="s">
        <v>9</v>
      </c>
      <c r="F101" s="2" t="s">
        <v>10</v>
      </c>
      <c r="G101" s="2">
        <f t="shared" si="4"/>
        <v>0.67329778506972926</v>
      </c>
      <c r="H101" s="5">
        <v>4.0036585365853661</v>
      </c>
      <c r="I101" s="2">
        <v>615</v>
      </c>
      <c r="J101" s="57">
        <f>I101/Pondération!$F$26</f>
        <v>0.16817063166529941</v>
      </c>
      <c r="K101" s="2"/>
      <c r="L101" s="2"/>
      <c r="M101" s="2"/>
      <c r="N101" s="2"/>
      <c r="O101" s="2"/>
      <c r="P101"/>
    </row>
    <row r="102" spans="1:16" x14ac:dyDescent="0.25">
      <c r="A102" s="2" t="s">
        <v>6</v>
      </c>
      <c r="B102" s="2">
        <v>2017</v>
      </c>
      <c r="C102" s="2" t="s">
        <v>32</v>
      </c>
      <c r="D102" s="2" t="s">
        <v>35</v>
      </c>
      <c r="E102" s="2" t="s">
        <v>9</v>
      </c>
      <c r="F102" s="2" t="s">
        <v>10</v>
      </c>
      <c r="G102" s="2">
        <f t="shared" si="4"/>
        <v>0.83729833196609516</v>
      </c>
      <c r="H102" s="5">
        <v>3.9611901681759507</v>
      </c>
      <c r="I102" s="2">
        <v>773</v>
      </c>
      <c r="J102" s="57">
        <f>I102/Pondération!$F$26</f>
        <v>0.21137544435329506</v>
      </c>
      <c r="K102" s="2"/>
      <c r="L102" s="2"/>
      <c r="M102" s="2"/>
      <c r="N102" s="2"/>
      <c r="O102" s="2"/>
      <c r="P102"/>
    </row>
    <row r="103" spans="1:16" x14ac:dyDescent="0.25">
      <c r="A103" s="2" t="s">
        <v>6</v>
      </c>
      <c r="B103" s="2">
        <v>2017</v>
      </c>
      <c r="C103" s="2" t="s">
        <v>33</v>
      </c>
      <c r="D103" s="2" t="s">
        <v>35</v>
      </c>
      <c r="E103" s="2" t="s">
        <v>9</v>
      </c>
      <c r="F103" s="2" t="s">
        <v>10</v>
      </c>
      <c r="G103" s="2">
        <f t="shared" si="4"/>
        <v>1.0549767569045692</v>
      </c>
      <c r="H103" s="5">
        <v>3.9287678207739409</v>
      </c>
      <c r="I103" s="2">
        <v>982</v>
      </c>
      <c r="J103" s="57">
        <f>I103/Pondération!$F$26</f>
        <v>0.26852611430133988</v>
      </c>
      <c r="K103" s="2"/>
      <c r="L103" s="2"/>
      <c r="M103" s="2"/>
      <c r="N103" s="2"/>
      <c r="O103" s="2"/>
      <c r="P103"/>
    </row>
    <row r="104" spans="1:16" x14ac:dyDescent="0.25">
      <c r="A104" s="2" t="s">
        <v>6</v>
      </c>
      <c r="B104" s="2">
        <v>2017</v>
      </c>
      <c r="C104" s="2" t="s">
        <v>34</v>
      </c>
      <c r="D104" s="2" t="s">
        <v>35</v>
      </c>
      <c r="E104" s="2" t="s">
        <v>9</v>
      </c>
      <c r="F104" s="2" t="s">
        <v>10</v>
      </c>
      <c r="G104" s="2">
        <f t="shared" si="4"/>
        <v>0.66510801203171999</v>
      </c>
      <c r="H104" s="5">
        <v>3.9873770491803282</v>
      </c>
      <c r="I104" s="2">
        <v>610</v>
      </c>
      <c r="J104" s="57">
        <f>I104/Pondération!$F$26</f>
        <v>0.16680339075745146</v>
      </c>
      <c r="K104" s="2"/>
      <c r="L104" s="2"/>
      <c r="M104" s="2"/>
      <c r="N104" s="2"/>
      <c r="O104" s="2"/>
      <c r="P104"/>
    </row>
    <row r="105" spans="1:16" x14ac:dyDescent="0.25">
      <c r="A105" s="2" t="s">
        <v>47</v>
      </c>
      <c r="B105" s="2">
        <v>2013</v>
      </c>
      <c r="C105" s="2" t="s">
        <v>49</v>
      </c>
      <c r="D105" s="2" t="s">
        <v>35</v>
      </c>
      <c r="E105" s="2" t="s">
        <v>9</v>
      </c>
      <c r="F105" s="2" t="s">
        <v>48</v>
      </c>
      <c r="G105" s="2">
        <f t="shared" si="4"/>
        <v>0.33761329305135956</v>
      </c>
      <c r="H105" s="5">
        <v>4.1388888888888893</v>
      </c>
      <c r="I105" s="2">
        <v>27</v>
      </c>
      <c r="J105" s="57">
        <f>I105/Pondération!$J$27</f>
        <v>8.1570996978851965E-2</v>
      </c>
      <c r="K105" s="5">
        <v>4.0370370370370372</v>
      </c>
      <c r="L105" s="5">
        <f t="shared" ref="L105:L157" si="5">K105*$J105</f>
        <v>0.32930513595166166</v>
      </c>
      <c r="M105" s="5">
        <v>4.333333333333333</v>
      </c>
      <c r="N105" s="5">
        <f t="shared" ref="N105:N157" si="6">M105*$J105</f>
        <v>0.35347432024169184</v>
      </c>
      <c r="O105" s="5">
        <v>4.1481481481481479</v>
      </c>
      <c r="P105" s="15">
        <f t="shared" ref="P105:P157" si="7">O105*$J105</f>
        <v>0.33836858006042292</v>
      </c>
    </row>
    <row r="106" spans="1:16" x14ac:dyDescent="0.25">
      <c r="A106" s="2" t="s">
        <v>47</v>
      </c>
      <c r="B106" s="2">
        <v>2013</v>
      </c>
      <c r="C106" s="2" t="s">
        <v>50</v>
      </c>
      <c r="D106" s="2" t="s">
        <v>35</v>
      </c>
      <c r="E106" s="2" t="s">
        <v>9</v>
      </c>
      <c r="F106" s="2" t="s">
        <v>48</v>
      </c>
      <c r="G106" s="2">
        <f t="shared" si="4"/>
        <v>0.40634441087613293</v>
      </c>
      <c r="H106" s="5">
        <v>4.203125</v>
      </c>
      <c r="I106" s="2">
        <v>32</v>
      </c>
      <c r="J106" s="57">
        <f>I106/Pondération!$J$27</f>
        <v>9.6676737160120846E-2</v>
      </c>
      <c r="K106" s="5">
        <v>4.21875</v>
      </c>
      <c r="L106" s="5">
        <f t="shared" si="5"/>
        <v>0.40785498489425981</v>
      </c>
      <c r="M106" s="5">
        <v>4.34375</v>
      </c>
      <c r="N106" s="5">
        <f t="shared" si="6"/>
        <v>0.41993957703927492</v>
      </c>
      <c r="O106" s="5">
        <v>4.03125</v>
      </c>
      <c r="P106" s="15">
        <f t="shared" si="7"/>
        <v>0.38972809667673713</v>
      </c>
    </row>
    <row r="107" spans="1:16" x14ac:dyDescent="0.25">
      <c r="A107" s="2" t="s">
        <v>47</v>
      </c>
      <c r="B107" s="2">
        <v>2013</v>
      </c>
      <c r="C107" s="2" t="s">
        <v>51</v>
      </c>
      <c r="D107" s="2" t="s">
        <v>35</v>
      </c>
      <c r="E107" s="2" t="s">
        <v>9</v>
      </c>
      <c r="F107" s="2" t="s">
        <v>48</v>
      </c>
      <c r="G107" s="2">
        <f t="shared" si="4"/>
        <v>0.35271903323262838</v>
      </c>
      <c r="H107" s="5">
        <v>4.1696428571428568</v>
      </c>
      <c r="I107" s="2">
        <v>28</v>
      </c>
      <c r="J107" s="57">
        <f>I107/Pondération!$J$27</f>
        <v>8.4592145015105744E-2</v>
      </c>
      <c r="K107" s="5">
        <v>4.1071428571428568</v>
      </c>
      <c r="L107" s="5">
        <f t="shared" si="5"/>
        <v>0.34743202416918428</v>
      </c>
      <c r="M107" s="5">
        <v>4.2142857142857144</v>
      </c>
      <c r="N107" s="5">
        <f t="shared" si="6"/>
        <v>0.35649546827794565</v>
      </c>
      <c r="O107" s="5">
        <v>4.25</v>
      </c>
      <c r="P107" s="15">
        <f t="shared" si="7"/>
        <v>0.3595166163141994</v>
      </c>
    </row>
    <row r="108" spans="1:16" x14ac:dyDescent="0.25">
      <c r="A108" s="2" t="s">
        <v>47</v>
      </c>
      <c r="B108" s="2">
        <v>2013</v>
      </c>
      <c r="C108" s="2" t="s">
        <v>52</v>
      </c>
      <c r="D108" s="2" t="s">
        <v>35</v>
      </c>
      <c r="E108" s="2" t="s">
        <v>9</v>
      </c>
      <c r="F108" s="2" t="s">
        <v>48</v>
      </c>
      <c r="G108" s="2">
        <f t="shared" si="4"/>
        <v>0.24395770392749244</v>
      </c>
      <c r="H108" s="5">
        <v>4.25</v>
      </c>
      <c r="I108" s="2">
        <v>19</v>
      </c>
      <c r="J108" s="57">
        <f>I108/Pondération!$J$27</f>
        <v>5.7401812688821753E-2</v>
      </c>
      <c r="K108" s="5">
        <v>4.1052631578947372</v>
      </c>
      <c r="L108" s="5">
        <f t="shared" si="5"/>
        <v>0.23564954682779457</v>
      </c>
      <c r="M108" s="5">
        <v>4.5789473684210522</v>
      </c>
      <c r="N108" s="5">
        <f t="shared" si="6"/>
        <v>0.26283987915407853</v>
      </c>
      <c r="O108" s="5">
        <v>4.2105263157894735</v>
      </c>
      <c r="P108" s="15">
        <f t="shared" si="7"/>
        <v>0.2416918429003021</v>
      </c>
    </row>
    <row r="109" spans="1:16" x14ac:dyDescent="0.25">
      <c r="A109" s="2" t="s">
        <v>47</v>
      </c>
      <c r="B109" s="2">
        <v>2013</v>
      </c>
      <c r="C109" s="2" t="s">
        <v>53</v>
      </c>
      <c r="D109" s="2" t="s">
        <v>35</v>
      </c>
      <c r="E109" s="2" t="s">
        <v>9</v>
      </c>
      <c r="F109" s="2" t="s">
        <v>48</v>
      </c>
      <c r="G109" s="2">
        <f t="shared" si="4"/>
        <v>0.41087613293051356</v>
      </c>
      <c r="H109" s="5">
        <v>4.387096774193548</v>
      </c>
      <c r="I109" s="2">
        <v>31</v>
      </c>
      <c r="J109" s="57">
        <f>I109/Pondération!$J$27</f>
        <v>9.3655589123867067E-2</v>
      </c>
      <c r="K109" s="5">
        <v>4.387096774193548</v>
      </c>
      <c r="L109" s="5">
        <f t="shared" si="5"/>
        <v>0.41087613293051356</v>
      </c>
      <c r="M109" s="5">
        <v>4.387096774193548</v>
      </c>
      <c r="N109" s="5">
        <f t="shared" si="6"/>
        <v>0.41087613293051356</v>
      </c>
      <c r="O109" s="5">
        <v>4.387096774193548</v>
      </c>
      <c r="P109" s="15">
        <f t="shared" si="7"/>
        <v>0.41087613293051356</v>
      </c>
    </row>
    <row r="110" spans="1:16" x14ac:dyDescent="0.25">
      <c r="A110" s="2" t="s">
        <v>47</v>
      </c>
      <c r="B110" s="2">
        <v>2013</v>
      </c>
      <c r="C110" s="2" t="s">
        <v>54</v>
      </c>
      <c r="D110" s="2" t="s">
        <v>35</v>
      </c>
      <c r="E110" s="2" t="s">
        <v>9</v>
      </c>
      <c r="F110" s="2" t="s">
        <v>48</v>
      </c>
      <c r="G110" s="2">
        <f t="shared" si="4"/>
        <v>0.35574018126888218</v>
      </c>
      <c r="H110" s="5">
        <v>4.5288461538461542</v>
      </c>
      <c r="I110" s="2">
        <v>26</v>
      </c>
      <c r="J110" s="57">
        <f>I110/Pondération!$J$27</f>
        <v>7.8549848942598186E-2</v>
      </c>
      <c r="K110" s="5">
        <v>4.615384615384615</v>
      </c>
      <c r="L110" s="5">
        <f t="shared" si="5"/>
        <v>0.36253776435045315</v>
      </c>
      <c r="M110" s="5">
        <v>4.4230769230769234</v>
      </c>
      <c r="N110" s="5">
        <f t="shared" si="6"/>
        <v>0.34743202416918428</v>
      </c>
      <c r="O110" s="5">
        <v>4.4615384615384617</v>
      </c>
      <c r="P110" s="15">
        <f t="shared" si="7"/>
        <v>0.35045317220543809</v>
      </c>
    </row>
    <row r="111" spans="1:16" x14ac:dyDescent="0.25">
      <c r="A111" s="2" t="s">
        <v>47</v>
      </c>
      <c r="B111" s="2">
        <v>2013</v>
      </c>
      <c r="C111" s="2" t="s">
        <v>55</v>
      </c>
      <c r="D111" s="2" t="s">
        <v>35</v>
      </c>
      <c r="E111" s="2" t="s">
        <v>9</v>
      </c>
      <c r="F111" s="2" t="s">
        <v>48</v>
      </c>
      <c r="G111" s="2">
        <f t="shared" si="4"/>
        <v>0.24546827794561932</v>
      </c>
      <c r="H111" s="5">
        <v>4.2763157894736841</v>
      </c>
      <c r="I111" s="2">
        <v>19</v>
      </c>
      <c r="J111" s="57">
        <f>I111/Pondération!$J$27</f>
        <v>5.7401812688821753E-2</v>
      </c>
      <c r="K111" s="5">
        <v>4.3157894736842106</v>
      </c>
      <c r="L111" s="5">
        <f t="shared" si="5"/>
        <v>0.24773413897280969</v>
      </c>
      <c r="M111" s="5">
        <v>4.2105263157894735</v>
      </c>
      <c r="N111" s="5">
        <f t="shared" si="6"/>
        <v>0.2416918429003021</v>
      </c>
      <c r="O111" s="5">
        <v>4.2631578947368425</v>
      </c>
      <c r="P111" s="15">
        <f t="shared" si="7"/>
        <v>0.24471299093655591</v>
      </c>
    </row>
    <row r="112" spans="1:16" x14ac:dyDescent="0.25">
      <c r="A112" s="2" t="s">
        <v>47</v>
      </c>
      <c r="B112" s="2">
        <v>2013</v>
      </c>
      <c r="C112" s="2" t="s">
        <v>56</v>
      </c>
      <c r="D112" s="2" t="s">
        <v>35</v>
      </c>
      <c r="E112" s="2" t="s">
        <v>9</v>
      </c>
      <c r="F112" s="2" t="s">
        <v>48</v>
      </c>
      <c r="G112" s="2">
        <f t="shared" si="4"/>
        <v>0.51283987915407858</v>
      </c>
      <c r="H112" s="5">
        <v>4.4671052631578947</v>
      </c>
      <c r="I112" s="2">
        <v>38</v>
      </c>
      <c r="J112" s="57">
        <f>I112/Pondération!$J$27</f>
        <v>0.11480362537764351</v>
      </c>
      <c r="K112" s="5">
        <v>4.5</v>
      </c>
      <c r="L112" s="5">
        <f t="shared" si="5"/>
        <v>0.5166163141993958</v>
      </c>
      <c r="M112" s="5">
        <v>4.3421052631578947</v>
      </c>
      <c r="N112" s="5">
        <f t="shared" si="6"/>
        <v>0.49848942598187312</v>
      </c>
      <c r="O112" s="5">
        <v>4.5263157894736841</v>
      </c>
      <c r="P112" s="15">
        <f t="shared" si="7"/>
        <v>0.51963746223564955</v>
      </c>
    </row>
    <row r="113" spans="1:16" x14ac:dyDescent="0.25">
      <c r="A113" s="2" t="s">
        <v>47</v>
      </c>
      <c r="B113" s="2">
        <v>2013</v>
      </c>
      <c r="C113" s="2" t="s">
        <v>57</v>
      </c>
      <c r="D113" s="2" t="s">
        <v>35</v>
      </c>
      <c r="E113" s="2" t="s">
        <v>9</v>
      </c>
      <c r="F113" s="2" t="s">
        <v>48</v>
      </c>
      <c r="G113" s="2">
        <f t="shared" si="4"/>
        <v>0.22507552870090639</v>
      </c>
      <c r="H113" s="5">
        <v>4.382352941176471</v>
      </c>
      <c r="I113" s="2">
        <v>17</v>
      </c>
      <c r="J113" s="57">
        <f>I113/Pondération!$J$27</f>
        <v>5.1359516616314202E-2</v>
      </c>
      <c r="K113" s="5">
        <v>4.4117647058823533</v>
      </c>
      <c r="L113" s="5">
        <f t="shared" si="5"/>
        <v>0.22658610271903326</v>
      </c>
      <c r="M113" s="5">
        <v>4.5294117647058822</v>
      </c>
      <c r="N113" s="5">
        <f t="shared" si="6"/>
        <v>0.23262839879154079</v>
      </c>
      <c r="O113" s="5">
        <v>4.1764705882352944</v>
      </c>
      <c r="P113" s="15">
        <f t="shared" si="7"/>
        <v>0.21450151057401814</v>
      </c>
    </row>
    <row r="114" spans="1:16" x14ac:dyDescent="0.25">
      <c r="A114" s="2" t="s">
        <v>47</v>
      </c>
      <c r="B114" s="2">
        <v>2013</v>
      </c>
      <c r="C114" s="2" t="s">
        <v>58</v>
      </c>
      <c r="D114" s="2" t="s">
        <v>35</v>
      </c>
      <c r="E114" s="2" t="s">
        <v>9</v>
      </c>
      <c r="F114" s="2" t="s">
        <v>48</v>
      </c>
      <c r="G114" s="2">
        <f t="shared" si="4"/>
        <v>0.44864048338368578</v>
      </c>
      <c r="H114" s="5">
        <v>4.640625</v>
      </c>
      <c r="I114" s="2">
        <v>32</v>
      </c>
      <c r="J114" s="57">
        <f>I114/Pondération!$J$27</f>
        <v>9.6676737160120846E-2</v>
      </c>
      <c r="K114" s="5">
        <v>4.59375</v>
      </c>
      <c r="L114" s="5">
        <f t="shared" si="5"/>
        <v>0.44410876132930516</v>
      </c>
      <c r="M114" s="5">
        <v>4.71875</v>
      </c>
      <c r="N114" s="5">
        <f t="shared" si="6"/>
        <v>0.45619335347432022</v>
      </c>
      <c r="O114" s="5">
        <v>4.65625</v>
      </c>
      <c r="P114" s="15">
        <f t="shared" si="7"/>
        <v>0.45015105740181272</v>
      </c>
    </row>
    <row r="115" spans="1:16" x14ac:dyDescent="0.25">
      <c r="A115" s="2" t="s">
        <v>47</v>
      </c>
      <c r="B115" s="2">
        <v>2013</v>
      </c>
      <c r="C115" s="2" t="s">
        <v>59</v>
      </c>
      <c r="D115" s="2" t="s">
        <v>35</v>
      </c>
      <c r="E115" s="2" t="s">
        <v>9</v>
      </c>
      <c r="F115" s="2" t="s">
        <v>48</v>
      </c>
      <c r="G115" s="2">
        <f t="shared" si="4"/>
        <v>0.29682779456193353</v>
      </c>
      <c r="H115" s="5">
        <v>4.2717391304347823</v>
      </c>
      <c r="I115" s="2">
        <v>23</v>
      </c>
      <c r="J115" s="57">
        <f>I115/Pondération!$J$27</f>
        <v>6.9486404833836862E-2</v>
      </c>
      <c r="K115" s="5">
        <v>4.4782608695652177</v>
      </c>
      <c r="L115" s="5">
        <f t="shared" si="5"/>
        <v>0.31117824773413899</v>
      </c>
      <c r="M115" s="5">
        <v>4.0434782608695654</v>
      </c>
      <c r="N115" s="5">
        <f t="shared" si="6"/>
        <v>0.28096676737160126</v>
      </c>
      <c r="O115" s="5">
        <v>4.0869565217391308</v>
      </c>
      <c r="P115" s="15">
        <f t="shared" si="7"/>
        <v>0.28398791540785501</v>
      </c>
    </row>
    <row r="116" spans="1:16" x14ac:dyDescent="0.25">
      <c r="A116" s="2" t="s">
        <v>47</v>
      </c>
      <c r="B116" s="2">
        <v>2013</v>
      </c>
      <c r="C116" s="2" t="s">
        <v>60</v>
      </c>
      <c r="D116" s="2" t="s">
        <v>35</v>
      </c>
      <c r="E116" s="2" t="s">
        <v>9</v>
      </c>
      <c r="F116" s="2" t="s">
        <v>48</v>
      </c>
      <c r="G116" s="2">
        <f t="shared" si="4"/>
        <v>0.52114803625377648</v>
      </c>
      <c r="H116" s="5">
        <v>4.4230769230769234</v>
      </c>
      <c r="I116" s="2">
        <v>39</v>
      </c>
      <c r="J116" s="57">
        <f>I116/Pondération!$J$27</f>
        <v>0.11782477341389729</v>
      </c>
      <c r="K116" s="5">
        <v>4.4871794871794872</v>
      </c>
      <c r="L116" s="5">
        <f t="shared" si="5"/>
        <v>0.52870090634441091</v>
      </c>
      <c r="M116" s="5">
        <v>4.5128205128205128</v>
      </c>
      <c r="N116" s="5">
        <f t="shared" si="6"/>
        <v>0.53172205438066467</v>
      </c>
      <c r="O116" s="5">
        <v>4.2051282051282053</v>
      </c>
      <c r="P116" s="15">
        <f t="shared" si="7"/>
        <v>0.49546827794561937</v>
      </c>
    </row>
    <row r="117" spans="1:16" x14ac:dyDescent="0.25">
      <c r="A117" s="2" t="s">
        <v>47</v>
      </c>
      <c r="B117" s="2">
        <v>2014</v>
      </c>
      <c r="C117" s="2" t="s">
        <v>61</v>
      </c>
      <c r="D117" s="2" t="s">
        <v>35</v>
      </c>
      <c r="E117" s="2" t="s">
        <v>9</v>
      </c>
      <c r="F117" s="2" t="s">
        <v>48</v>
      </c>
      <c r="G117" s="2">
        <f t="shared" si="4"/>
        <v>0.17578849721706863</v>
      </c>
      <c r="H117" s="5">
        <v>4.3068181818181817</v>
      </c>
      <c r="I117" s="2">
        <v>22</v>
      </c>
      <c r="J117" s="57">
        <f>I117/Pondération!$I$27</f>
        <v>4.0816326530612242E-2</v>
      </c>
      <c r="K117" s="5">
        <v>4.3181818181818183</v>
      </c>
      <c r="L117" s="5">
        <f t="shared" si="5"/>
        <v>0.17625231910946196</v>
      </c>
      <c r="M117" s="5">
        <v>4.3636363636363633</v>
      </c>
      <c r="N117" s="5">
        <f t="shared" si="6"/>
        <v>0.17810760667903522</v>
      </c>
      <c r="O117" s="5">
        <v>4.2272727272727275</v>
      </c>
      <c r="P117" s="15">
        <f t="shared" si="7"/>
        <v>0.17254174397031541</v>
      </c>
    </row>
    <row r="118" spans="1:16" x14ac:dyDescent="0.25">
      <c r="A118" s="2" t="s">
        <v>47</v>
      </c>
      <c r="B118" s="2">
        <v>2014</v>
      </c>
      <c r="C118" s="2" t="s">
        <v>62</v>
      </c>
      <c r="D118" s="2" t="s">
        <v>35</v>
      </c>
      <c r="E118" s="2" t="s">
        <v>9</v>
      </c>
      <c r="F118" s="2" t="s">
        <v>48</v>
      </c>
      <c r="G118" s="2">
        <f t="shared" si="4"/>
        <v>0.32931354359925785</v>
      </c>
      <c r="H118" s="5">
        <v>4.3292682926829267</v>
      </c>
      <c r="I118" s="2">
        <v>41</v>
      </c>
      <c r="J118" s="57">
        <f>I118/Pondération!$I$27</f>
        <v>7.6066790352504632E-2</v>
      </c>
      <c r="K118" s="5">
        <v>4.3658536585365857</v>
      </c>
      <c r="L118" s="5">
        <f t="shared" si="5"/>
        <v>0.33209647495361783</v>
      </c>
      <c r="M118" s="5">
        <v>4.2682926829268295</v>
      </c>
      <c r="N118" s="5">
        <f t="shared" si="6"/>
        <v>0.32467532467532467</v>
      </c>
      <c r="O118" s="5">
        <v>4.3170731707317076</v>
      </c>
      <c r="P118" s="15">
        <f t="shared" si="7"/>
        <v>0.32838589981447125</v>
      </c>
    </row>
    <row r="119" spans="1:16" x14ac:dyDescent="0.25">
      <c r="A119" s="2" t="s">
        <v>47</v>
      </c>
      <c r="B119" s="2">
        <v>2014</v>
      </c>
      <c r="C119" s="2" t="s">
        <v>63</v>
      </c>
      <c r="D119" s="2" t="s">
        <v>35</v>
      </c>
      <c r="E119" s="2" t="s">
        <v>9</v>
      </c>
      <c r="F119" s="2" t="s">
        <v>48</v>
      </c>
      <c r="G119" s="2">
        <f t="shared" si="4"/>
        <v>0.27040816326530615</v>
      </c>
      <c r="H119" s="5">
        <v>4.416666666666667</v>
      </c>
      <c r="I119" s="2">
        <v>33</v>
      </c>
      <c r="J119" s="57">
        <f>I119/Pondération!$I$27</f>
        <v>6.1224489795918366E-2</v>
      </c>
      <c r="K119" s="5">
        <v>4.2121212121212119</v>
      </c>
      <c r="L119" s="5">
        <f t="shared" si="5"/>
        <v>0.25788497217068646</v>
      </c>
      <c r="M119" s="5">
        <v>4.6969696969696972</v>
      </c>
      <c r="N119" s="5">
        <f t="shared" si="6"/>
        <v>0.28756957328385901</v>
      </c>
      <c r="O119" s="5">
        <v>4.5454545454545459</v>
      </c>
      <c r="P119" s="15">
        <f t="shared" si="7"/>
        <v>0.2782931354359926</v>
      </c>
    </row>
    <row r="120" spans="1:16" x14ac:dyDescent="0.25">
      <c r="A120" s="2" t="s">
        <v>47</v>
      </c>
      <c r="B120" s="2">
        <v>2014</v>
      </c>
      <c r="C120" s="2" t="s">
        <v>64</v>
      </c>
      <c r="D120" s="2" t="s">
        <v>35</v>
      </c>
      <c r="E120" s="2" t="s">
        <v>9</v>
      </c>
      <c r="F120" s="2" t="s">
        <v>48</v>
      </c>
      <c r="G120" s="2">
        <f t="shared" si="4"/>
        <v>0.30380333951762523</v>
      </c>
      <c r="H120" s="5">
        <v>4.3092105263157894</v>
      </c>
      <c r="I120" s="2">
        <v>38</v>
      </c>
      <c r="J120" s="57">
        <f>I120/Pondération!$I$27</f>
        <v>7.050092764378478E-2</v>
      </c>
      <c r="K120" s="5">
        <v>4.2631578947368425</v>
      </c>
      <c r="L120" s="5">
        <f t="shared" si="5"/>
        <v>0.30055658627087201</v>
      </c>
      <c r="M120" s="5">
        <v>4.4210526315789478</v>
      </c>
      <c r="N120" s="5">
        <f t="shared" si="6"/>
        <v>0.31168831168831168</v>
      </c>
      <c r="O120" s="5">
        <v>4.2894736842105265</v>
      </c>
      <c r="P120" s="15">
        <f t="shared" si="7"/>
        <v>0.30241187384044527</v>
      </c>
    </row>
    <row r="121" spans="1:16" x14ac:dyDescent="0.25">
      <c r="A121" s="2" t="s">
        <v>47</v>
      </c>
      <c r="B121" s="2">
        <v>2014</v>
      </c>
      <c r="C121" s="2" t="s">
        <v>65</v>
      </c>
      <c r="D121" s="2" t="s">
        <v>35</v>
      </c>
      <c r="E121" s="2" t="s">
        <v>9</v>
      </c>
      <c r="F121" s="2" t="s">
        <v>48</v>
      </c>
      <c r="G121" s="2">
        <f t="shared" si="4"/>
        <v>0.42671614100185529</v>
      </c>
      <c r="H121" s="5">
        <v>4.5098039215686274</v>
      </c>
      <c r="I121" s="2">
        <v>51</v>
      </c>
      <c r="J121" s="57">
        <f>I121/Pondération!$I$27</f>
        <v>9.4619666048237475E-2</v>
      </c>
      <c r="K121" s="5">
        <v>4.5490196078431371</v>
      </c>
      <c r="L121" s="5">
        <f t="shared" si="5"/>
        <v>0.43042671614100181</v>
      </c>
      <c r="M121" s="5">
        <v>4.5490196078431371</v>
      </c>
      <c r="N121" s="5">
        <f t="shared" si="6"/>
        <v>0.43042671614100181</v>
      </c>
      <c r="O121" s="5">
        <v>4.3921568627450984</v>
      </c>
      <c r="P121" s="15">
        <f t="shared" si="7"/>
        <v>0.41558441558441561</v>
      </c>
    </row>
    <row r="122" spans="1:16" x14ac:dyDescent="0.25">
      <c r="A122" s="2" t="s">
        <v>47</v>
      </c>
      <c r="B122" s="2">
        <v>2014</v>
      </c>
      <c r="C122" s="2" t="s">
        <v>66</v>
      </c>
      <c r="D122" s="2" t="s">
        <v>35</v>
      </c>
      <c r="E122" s="2" t="s">
        <v>9</v>
      </c>
      <c r="F122" s="2" t="s">
        <v>48</v>
      </c>
      <c r="G122" s="2">
        <f t="shared" si="4"/>
        <v>0.23098330241187384</v>
      </c>
      <c r="H122" s="5">
        <v>4.4464285714285712</v>
      </c>
      <c r="I122" s="2">
        <v>28</v>
      </c>
      <c r="J122" s="57">
        <f>I122/Pondération!$I$27</f>
        <v>5.1948051948051951E-2</v>
      </c>
      <c r="K122" s="5">
        <v>4.4285714285714288</v>
      </c>
      <c r="L122" s="5">
        <f t="shared" si="5"/>
        <v>0.23005565862708724</v>
      </c>
      <c r="M122" s="5">
        <v>4.5</v>
      </c>
      <c r="N122" s="5">
        <f t="shared" si="6"/>
        <v>0.23376623376623379</v>
      </c>
      <c r="O122" s="5">
        <v>4.4285714285714288</v>
      </c>
      <c r="P122" s="15">
        <f t="shared" si="7"/>
        <v>0.23005565862708724</v>
      </c>
    </row>
    <row r="123" spans="1:16" x14ac:dyDescent="0.25">
      <c r="A123" s="2" t="s">
        <v>47</v>
      </c>
      <c r="B123" s="2">
        <v>2014</v>
      </c>
      <c r="C123" s="2" t="s">
        <v>67</v>
      </c>
      <c r="D123" s="2" t="s">
        <v>35</v>
      </c>
      <c r="E123" s="2" t="s">
        <v>9</v>
      </c>
      <c r="F123" s="2" t="s">
        <v>48</v>
      </c>
      <c r="G123" s="2">
        <f t="shared" si="4"/>
        <v>0.39888682745825599</v>
      </c>
      <c r="H123" s="5">
        <v>4.3</v>
      </c>
      <c r="I123" s="2">
        <v>50</v>
      </c>
      <c r="J123" s="57">
        <f>I123/Pondération!$I$27</f>
        <v>9.2764378478664186E-2</v>
      </c>
      <c r="K123" s="5">
        <v>4.26</v>
      </c>
      <c r="L123" s="5">
        <f t="shared" si="5"/>
        <v>0.39517625231910941</v>
      </c>
      <c r="M123" s="5">
        <v>4.32</v>
      </c>
      <c r="N123" s="5">
        <f t="shared" si="6"/>
        <v>0.4007421150278293</v>
      </c>
      <c r="O123" s="5">
        <v>4.3600000000000003</v>
      </c>
      <c r="P123" s="15">
        <f t="shared" si="7"/>
        <v>0.40445269016697588</v>
      </c>
    </row>
    <row r="124" spans="1:16" x14ac:dyDescent="0.25">
      <c r="A124" s="2" t="s">
        <v>47</v>
      </c>
      <c r="B124" s="2">
        <v>2014</v>
      </c>
      <c r="C124" s="2" t="s">
        <v>68</v>
      </c>
      <c r="D124" s="2" t="s">
        <v>35</v>
      </c>
      <c r="E124" s="2" t="s">
        <v>9</v>
      </c>
      <c r="F124" s="2" t="s">
        <v>48</v>
      </c>
      <c r="G124" s="2">
        <f t="shared" si="4"/>
        <v>0.53339517625231914</v>
      </c>
      <c r="H124" s="5">
        <v>4.4921875</v>
      </c>
      <c r="I124" s="2">
        <v>64</v>
      </c>
      <c r="J124" s="57">
        <f>I124/Pondération!$I$27</f>
        <v>0.11873840445269017</v>
      </c>
      <c r="K124" s="5">
        <v>4.546875</v>
      </c>
      <c r="L124" s="5">
        <f t="shared" si="5"/>
        <v>0.53988868274582558</v>
      </c>
      <c r="M124" s="5">
        <v>4.640625</v>
      </c>
      <c r="N124" s="5">
        <f t="shared" si="6"/>
        <v>0.55102040816326536</v>
      </c>
      <c r="O124" s="5">
        <v>4.234375</v>
      </c>
      <c r="P124" s="15">
        <f t="shared" si="7"/>
        <v>0.50278293135435992</v>
      </c>
    </row>
    <row r="125" spans="1:16" x14ac:dyDescent="0.25">
      <c r="A125" s="2" t="s">
        <v>47</v>
      </c>
      <c r="B125" s="2">
        <v>2014</v>
      </c>
      <c r="C125" s="2" t="s">
        <v>69</v>
      </c>
      <c r="D125" s="2" t="s">
        <v>35</v>
      </c>
      <c r="E125" s="2" t="s">
        <v>9</v>
      </c>
      <c r="F125" s="2" t="s">
        <v>48</v>
      </c>
      <c r="G125" s="2">
        <f t="shared" si="4"/>
        <v>0.32189239332096481</v>
      </c>
      <c r="H125" s="5">
        <v>4.3375000000000004</v>
      </c>
      <c r="I125" s="2">
        <v>40</v>
      </c>
      <c r="J125" s="57">
        <f>I125/Pondération!$I$27</f>
        <v>7.4211502782931357E-2</v>
      </c>
      <c r="K125" s="5">
        <v>4.3</v>
      </c>
      <c r="L125" s="5">
        <f t="shared" si="5"/>
        <v>0.31910946196660483</v>
      </c>
      <c r="M125" s="5">
        <v>4.45</v>
      </c>
      <c r="N125" s="5">
        <f t="shared" si="6"/>
        <v>0.33024118738404457</v>
      </c>
      <c r="O125" s="5">
        <v>4.3</v>
      </c>
      <c r="P125" s="15">
        <f t="shared" si="7"/>
        <v>0.31910946196660483</v>
      </c>
    </row>
    <row r="126" spans="1:16" x14ac:dyDescent="0.25">
      <c r="A126" s="2" t="s">
        <v>47</v>
      </c>
      <c r="B126" s="2">
        <v>2014</v>
      </c>
      <c r="C126" s="2" t="s">
        <v>70</v>
      </c>
      <c r="D126" s="2" t="s">
        <v>35</v>
      </c>
      <c r="E126" s="2" t="s">
        <v>9</v>
      </c>
      <c r="F126" s="2" t="s">
        <v>48</v>
      </c>
      <c r="G126" s="2">
        <f t="shared" si="4"/>
        <v>0.59647495361781078</v>
      </c>
      <c r="H126" s="5">
        <v>4.404109589041096</v>
      </c>
      <c r="I126" s="2">
        <v>73</v>
      </c>
      <c r="J126" s="57">
        <f>I126/Pondération!$I$27</f>
        <v>0.13543599257884972</v>
      </c>
      <c r="K126" s="5">
        <v>4.4520547945205475</v>
      </c>
      <c r="L126" s="5">
        <f t="shared" si="5"/>
        <v>0.60296846011131722</v>
      </c>
      <c r="M126" s="5">
        <v>4.4520547945205475</v>
      </c>
      <c r="N126" s="5">
        <f t="shared" si="6"/>
        <v>0.60296846011131722</v>
      </c>
      <c r="O126" s="5">
        <v>4.2602739726027394</v>
      </c>
      <c r="P126" s="15">
        <f t="shared" si="7"/>
        <v>0.57699443413729123</v>
      </c>
    </row>
    <row r="127" spans="1:16" x14ac:dyDescent="0.25">
      <c r="A127" s="2" t="s">
        <v>47</v>
      </c>
      <c r="B127" s="2">
        <v>2014</v>
      </c>
      <c r="C127" s="2" t="s">
        <v>71</v>
      </c>
      <c r="D127" s="2" t="s">
        <v>35</v>
      </c>
      <c r="E127" s="2" t="s">
        <v>9</v>
      </c>
      <c r="F127" s="2" t="s">
        <v>48</v>
      </c>
      <c r="G127" s="2">
        <f t="shared" si="4"/>
        <v>0.35760667903525051</v>
      </c>
      <c r="H127" s="5">
        <v>4.4825581395348841</v>
      </c>
      <c r="I127" s="2">
        <v>43</v>
      </c>
      <c r="J127" s="57">
        <f>I127/Pondération!$I$27</f>
        <v>7.9777365491651209E-2</v>
      </c>
      <c r="K127" s="5">
        <v>4.4651162790697674</v>
      </c>
      <c r="L127" s="5">
        <f t="shared" si="5"/>
        <v>0.35621521335807049</v>
      </c>
      <c r="M127" s="5">
        <v>4.4883720930232558</v>
      </c>
      <c r="N127" s="5">
        <f t="shared" si="6"/>
        <v>0.35807050092764381</v>
      </c>
      <c r="O127" s="5">
        <v>4.5116279069767442</v>
      </c>
      <c r="P127" s="15">
        <f t="shared" si="7"/>
        <v>0.35992578849721707</v>
      </c>
    </row>
    <row r="128" spans="1:16" x14ac:dyDescent="0.25">
      <c r="A128" s="2" t="s">
        <v>47</v>
      </c>
      <c r="B128" s="2">
        <v>2014</v>
      </c>
      <c r="C128" s="2" t="s">
        <v>72</v>
      </c>
      <c r="D128" s="2" t="s">
        <v>35</v>
      </c>
      <c r="E128" s="2" t="s">
        <v>9</v>
      </c>
      <c r="F128" s="2" t="s">
        <v>48</v>
      </c>
      <c r="G128" s="2">
        <f t="shared" si="4"/>
        <v>0.45454545454545459</v>
      </c>
      <c r="H128" s="5">
        <v>4.375</v>
      </c>
      <c r="I128" s="2">
        <v>56</v>
      </c>
      <c r="J128" s="57">
        <f>I128/Pondération!$I$27</f>
        <v>0.1038961038961039</v>
      </c>
      <c r="K128" s="5">
        <v>4.3214285714285712</v>
      </c>
      <c r="L128" s="5">
        <f t="shared" si="5"/>
        <v>0.44897959183673469</v>
      </c>
      <c r="M128" s="5">
        <v>4.5357142857142856</v>
      </c>
      <c r="N128" s="5">
        <f t="shared" si="6"/>
        <v>0.4712430426716141</v>
      </c>
      <c r="O128" s="5">
        <v>4.3214285714285712</v>
      </c>
      <c r="P128" s="15">
        <f t="shared" si="7"/>
        <v>0.44897959183673469</v>
      </c>
    </row>
    <row r="129" spans="1:16" x14ac:dyDescent="0.25">
      <c r="A129" s="2" t="s">
        <v>47</v>
      </c>
      <c r="B129" s="2">
        <v>2015</v>
      </c>
      <c r="C129" s="2" t="s">
        <v>73</v>
      </c>
      <c r="D129" s="2" t="s">
        <v>35</v>
      </c>
      <c r="E129" s="2" t="s">
        <v>9</v>
      </c>
      <c r="F129" s="2" t="s">
        <v>48</v>
      </c>
      <c r="G129" s="2">
        <f t="shared" si="4"/>
        <v>0.19485294117647059</v>
      </c>
      <c r="H129" s="5">
        <v>4.2972972972972974</v>
      </c>
      <c r="I129" s="2">
        <v>37</v>
      </c>
      <c r="J129" s="57">
        <f>I129/Pondération!$H$27</f>
        <v>4.5343137254901959E-2</v>
      </c>
      <c r="K129" s="5">
        <v>4.3243243243243246</v>
      </c>
      <c r="L129" s="5">
        <f t="shared" si="5"/>
        <v>0.19607843137254902</v>
      </c>
      <c r="M129" s="5">
        <v>4.3513513513513518</v>
      </c>
      <c r="N129" s="5">
        <f t="shared" si="6"/>
        <v>0.19730392156862747</v>
      </c>
      <c r="O129" s="5">
        <v>4.1891891891891895</v>
      </c>
      <c r="P129" s="15">
        <f t="shared" si="7"/>
        <v>0.18995098039215688</v>
      </c>
    </row>
    <row r="130" spans="1:16" x14ac:dyDescent="0.25">
      <c r="A130" s="2" t="s">
        <v>47</v>
      </c>
      <c r="B130" s="2">
        <v>2015</v>
      </c>
      <c r="C130" s="2" t="s">
        <v>74</v>
      </c>
      <c r="D130" s="2" t="s">
        <v>35</v>
      </c>
      <c r="E130" s="2" t="s">
        <v>9</v>
      </c>
      <c r="F130" s="2" t="s">
        <v>48</v>
      </c>
      <c r="G130" s="2">
        <f t="shared" ref="G130:G193" si="8">H130*J130</f>
        <v>0.30453431372549017</v>
      </c>
      <c r="H130" s="5">
        <v>4.3596491228070171</v>
      </c>
      <c r="I130" s="2">
        <v>57</v>
      </c>
      <c r="J130" s="57">
        <f>I130/Pondération!$H$27</f>
        <v>6.985294117647059E-2</v>
      </c>
      <c r="K130" s="5">
        <v>4.3859649122807021</v>
      </c>
      <c r="L130" s="5">
        <f t="shared" si="5"/>
        <v>0.30637254901960786</v>
      </c>
      <c r="M130" s="5">
        <v>4.4035087719298245</v>
      </c>
      <c r="N130" s="5">
        <f t="shared" si="6"/>
        <v>0.30759803921568629</v>
      </c>
      <c r="O130" s="5">
        <v>4.2631578947368425</v>
      </c>
      <c r="P130" s="15">
        <f t="shared" si="7"/>
        <v>0.29779411764705888</v>
      </c>
    </row>
    <row r="131" spans="1:16" x14ac:dyDescent="0.25">
      <c r="A131" s="2" t="s">
        <v>47</v>
      </c>
      <c r="B131" s="2">
        <v>2015</v>
      </c>
      <c r="C131" s="2" t="s">
        <v>75</v>
      </c>
      <c r="D131" s="2" t="s">
        <v>35</v>
      </c>
      <c r="E131" s="2" t="s">
        <v>9</v>
      </c>
      <c r="F131" s="2" t="s">
        <v>48</v>
      </c>
      <c r="G131" s="2">
        <f t="shared" si="8"/>
        <v>0.27083333333333331</v>
      </c>
      <c r="H131" s="5">
        <v>4.333333333333333</v>
      </c>
      <c r="I131" s="2">
        <v>51</v>
      </c>
      <c r="J131" s="57">
        <f>I131/Pondération!$H$27</f>
        <v>6.25E-2</v>
      </c>
      <c r="K131" s="5">
        <v>4.3529411764705879</v>
      </c>
      <c r="L131" s="5">
        <f t="shared" si="5"/>
        <v>0.27205882352941174</v>
      </c>
      <c r="M131" s="5">
        <v>4.4901960784313726</v>
      </c>
      <c r="N131" s="5">
        <f t="shared" si="6"/>
        <v>0.28063725490196079</v>
      </c>
      <c r="O131" s="5">
        <v>4.1372549019607847</v>
      </c>
      <c r="P131" s="15">
        <f t="shared" si="7"/>
        <v>0.25857843137254904</v>
      </c>
    </row>
    <row r="132" spans="1:16" x14ac:dyDescent="0.25">
      <c r="A132" s="2" t="s">
        <v>47</v>
      </c>
      <c r="B132" s="2">
        <v>2015</v>
      </c>
      <c r="C132" s="2" t="s">
        <v>76</v>
      </c>
      <c r="D132" s="2" t="s">
        <v>35</v>
      </c>
      <c r="E132" s="2" t="s">
        <v>9</v>
      </c>
      <c r="F132" s="2" t="s">
        <v>48</v>
      </c>
      <c r="G132" s="2">
        <f t="shared" si="8"/>
        <v>0.22947303921568629</v>
      </c>
      <c r="H132" s="5">
        <v>4.3546511627906979</v>
      </c>
      <c r="I132" s="2">
        <v>43</v>
      </c>
      <c r="J132" s="57">
        <f>I132/Pondération!$H$27</f>
        <v>5.2696078431372549E-2</v>
      </c>
      <c r="K132" s="5">
        <v>4.3953488372093021</v>
      </c>
      <c r="L132" s="5">
        <f t="shared" si="5"/>
        <v>0.23161764705882351</v>
      </c>
      <c r="M132" s="5">
        <v>4.3953488372093021</v>
      </c>
      <c r="N132" s="5">
        <f t="shared" si="6"/>
        <v>0.23161764705882351</v>
      </c>
      <c r="O132" s="5">
        <v>4.2325581395348841</v>
      </c>
      <c r="P132" s="15">
        <f t="shared" si="7"/>
        <v>0.22303921568627452</v>
      </c>
    </row>
    <row r="133" spans="1:16" x14ac:dyDescent="0.25">
      <c r="A133" s="2" t="s">
        <v>47</v>
      </c>
      <c r="B133" s="2">
        <v>2015</v>
      </c>
      <c r="C133" s="2" t="s">
        <v>7</v>
      </c>
      <c r="D133" s="2" t="s">
        <v>35</v>
      </c>
      <c r="E133" s="2" t="s">
        <v>9</v>
      </c>
      <c r="F133" s="2" t="s">
        <v>48</v>
      </c>
      <c r="G133" s="2">
        <f t="shared" si="8"/>
        <v>0.35447303921568629</v>
      </c>
      <c r="H133" s="5">
        <v>4.3171641791044779</v>
      </c>
      <c r="I133" s="2">
        <v>67</v>
      </c>
      <c r="J133" s="57">
        <f>I133/Pondération!$H$27</f>
        <v>8.2107843137254902E-2</v>
      </c>
      <c r="K133" s="5">
        <v>4.3432835820895521</v>
      </c>
      <c r="L133" s="5">
        <f t="shared" si="5"/>
        <v>0.35661764705882354</v>
      </c>
      <c r="M133" s="5">
        <v>4.4328358208955221</v>
      </c>
      <c r="N133" s="5">
        <f t="shared" si="6"/>
        <v>0.3639705882352941</v>
      </c>
      <c r="O133" s="5">
        <v>4.1492537313432836</v>
      </c>
      <c r="P133" s="15">
        <f t="shared" si="7"/>
        <v>0.34068627450980393</v>
      </c>
    </row>
    <row r="134" spans="1:16" x14ac:dyDescent="0.25">
      <c r="A134" s="2" t="s">
        <v>47</v>
      </c>
      <c r="B134" s="2">
        <v>2015</v>
      </c>
      <c r="C134" s="2" t="s">
        <v>11</v>
      </c>
      <c r="D134" s="2" t="s">
        <v>35</v>
      </c>
      <c r="E134" s="2" t="s">
        <v>9</v>
      </c>
      <c r="F134" s="2" t="s">
        <v>48</v>
      </c>
      <c r="G134" s="2">
        <f t="shared" si="8"/>
        <v>0.30177696078431371</v>
      </c>
      <c r="H134" s="5">
        <v>4.4772727272727275</v>
      </c>
      <c r="I134" s="2">
        <v>55</v>
      </c>
      <c r="J134" s="57">
        <f>I134/Pondération!$H$27</f>
        <v>6.7401960784313722E-2</v>
      </c>
      <c r="K134" s="5">
        <v>4.5999999999999996</v>
      </c>
      <c r="L134" s="5">
        <f t="shared" si="5"/>
        <v>0.31004901960784309</v>
      </c>
      <c r="M134" s="5">
        <v>4.418181818181818</v>
      </c>
      <c r="N134" s="5">
        <f t="shared" si="6"/>
        <v>0.29779411764705882</v>
      </c>
      <c r="O134" s="5">
        <v>4.290909090909091</v>
      </c>
      <c r="P134" s="15">
        <f t="shared" si="7"/>
        <v>0.28921568627450978</v>
      </c>
    </row>
    <row r="135" spans="1:16" x14ac:dyDescent="0.25">
      <c r="A135" s="2" t="s">
        <v>47</v>
      </c>
      <c r="B135" s="2">
        <v>2015</v>
      </c>
      <c r="C135" s="2" t="s">
        <v>12</v>
      </c>
      <c r="D135" s="2" t="s">
        <v>35</v>
      </c>
      <c r="E135" s="2" t="s">
        <v>9</v>
      </c>
      <c r="F135" s="2" t="s">
        <v>48</v>
      </c>
      <c r="G135" s="2">
        <f t="shared" si="8"/>
        <v>0.39797794117647062</v>
      </c>
      <c r="H135" s="5">
        <v>4.510416666666667</v>
      </c>
      <c r="I135" s="2">
        <v>72</v>
      </c>
      <c r="J135" s="57">
        <f>I135/Pondération!$H$27</f>
        <v>8.8235294117647065E-2</v>
      </c>
      <c r="K135" s="5">
        <v>4.5277777777777777</v>
      </c>
      <c r="L135" s="5">
        <f t="shared" si="5"/>
        <v>0.39950980392156865</v>
      </c>
      <c r="M135" s="5">
        <v>4.666666666666667</v>
      </c>
      <c r="N135" s="5">
        <f t="shared" si="6"/>
        <v>0.41176470588235298</v>
      </c>
      <c r="O135" s="5">
        <v>4.3194444444444446</v>
      </c>
      <c r="P135" s="15">
        <f t="shared" si="7"/>
        <v>0.38112745098039219</v>
      </c>
    </row>
    <row r="136" spans="1:16" x14ac:dyDescent="0.25">
      <c r="A136" s="2" t="s">
        <v>47</v>
      </c>
      <c r="B136" s="2">
        <v>2015</v>
      </c>
      <c r="C136" s="2" t="s">
        <v>13</v>
      </c>
      <c r="D136" s="2" t="s">
        <v>35</v>
      </c>
      <c r="E136" s="2" t="s">
        <v>9</v>
      </c>
      <c r="F136" s="2" t="s">
        <v>48</v>
      </c>
      <c r="G136" s="2">
        <f t="shared" si="8"/>
        <v>0.50582107843137258</v>
      </c>
      <c r="H136" s="5">
        <v>4.344736842105263</v>
      </c>
      <c r="I136" s="2">
        <v>95</v>
      </c>
      <c r="J136" s="57">
        <f>I136/Pondération!$H$27</f>
        <v>0.11642156862745098</v>
      </c>
      <c r="K136" s="5">
        <v>4.3894736842105262</v>
      </c>
      <c r="L136" s="5">
        <f t="shared" si="5"/>
        <v>0.51102941176470584</v>
      </c>
      <c r="M136" s="5">
        <v>4.4105263157894736</v>
      </c>
      <c r="N136" s="5">
        <f t="shared" si="6"/>
        <v>0.5134803921568627</v>
      </c>
      <c r="O136" s="5">
        <v>4.189473684210526</v>
      </c>
      <c r="P136" s="15">
        <f t="shared" si="7"/>
        <v>0.48774509803921567</v>
      </c>
    </row>
    <row r="137" spans="1:16" x14ac:dyDescent="0.25">
      <c r="A137" s="2" t="s">
        <v>47</v>
      </c>
      <c r="B137" s="2">
        <v>2015</v>
      </c>
      <c r="C137" s="2" t="s">
        <v>14</v>
      </c>
      <c r="D137" s="2" t="s">
        <v>35</v>
      </c>
      <c r="E137" s="2" t="s">
        <v>9</v>
      </c>
      <c r="F137" s="2" t="s">
        <v>48</v>
      </c>
      <c r="G137" s="2">
        <f t="shared" si="8"/>
        <v>0.43382352941176466</v>
      </c>
      <c r="H137" s="5">
        <v>4.2650602409638552</v>
      </c>
      <c r="I137" s="2">
        <v>83</v>
      </c>
      <c r="J137" s="57">
        <f>I137/Pondération!$H$27</f>
        <v>0.1017156862745098</v>
      </c>
      <c r="K137" s="5">
        <v>4.2891566265060241</v>
      </c>
      <c r="L137" s="5">
        <f t="shared" si="5"/>
        <v>0.43627450980392157</v>
      </c>
      <c r="M137" s="5">
        <v>4.4216867469879517</v>
      </c>
      <c r="N137" s="5">
        <f t="shared" si="6"/>
        <v>0.44975490196078433</v>
      </c>
      <c r="O137" s="5">
        <v>4.0602409638554215</v>
      </c>
      <c r="P137" s="15">
        <f t="shared" si="7"/>
        <v>0.41299019607843135</v>
      </c>
    </row>
    <row r="138" spans="1:16" x14ac:dyDescent="0.25">
      <c r="A138" s="2" t="s">
        <v>47</v>
      </c>
      <c r="B138" s="2">
        <v>2015</v>
      </c>
      <c r="C138" s="2" t="s">
        <v>15</v>
      </c>
      <c r="D138" s="2" t="s">
        <v>35</v>
      </c>
      <c r="E138" s="2" t="s">
        <v>9</v>
      </c>
      <c r="F138" s="2" t="s">
        <v>48</v>
      </c>
      <c r="G138" s="2">
        <f t="shared" si="8"/>
        <v>0.52665441176470584</v>
      </c>
      <c r="H138" s="5">
        <v>4.3409090909090908</v>
      </c>
      <c r="I138" s="2">
        <v>99</v>
      </c>
      <c r="J138" s="57">
        <f>I138/Pondération!$H$27</f>
        <v>0.12132352941176471</v>
      </c>
      <c r="K138" s="5">
        <v>4.4141414141414144</v>
      </c>
      <c r="L138" s="5">
        <f t="shared" si="5"/>
        <v>0.53553921568627449</v>
      </c>
      <c r="M138" s="5">
        <v>4.3939393939393936</v>
      </c>
      <c r="N138" s="5">
        <f t="shared" si="6"/>
        <v>0.53308823529411764</v>
      </c>
      <c r="O138" s="5">
        <v>4.141414141414141</v>
      </c>
      <c r="P138" s="15">
        <f t="shared" si="7"/>
        <v>0.50245098039215685</v>
      </c>
    </row>
    <row r="139" spans="1:16" x14ac:dyDescent="0.25">
      <c r="A139" s="2" t="s">
        <v>47</v>
      </c>
      <c r="B139" s="2">
        <v>2015</v>
      </c>
      <c r="C139" s="2" t="s">
        <v>16</v>
      </c>
      <c r="D139" s="2" t="s">
        <v>35</v>
      </c>
      <c r="E139" s="2" t="s">
        <v>9</v>
      </c>
      <c r="F139" s="2" t="s">
        <v>48</v>
      </c>
      <c r="G139" s="2">
        <f t="shared" si="8"/>
        <v>0.40226715686274506</v>
      </c>
      <c r="H139" s="5">
        <v>4.4358108108108105</v>
      </c>
      <c r="I139" s="2">
        <v>74</v>
      </c>
      <c r="J139" s="57">
        <f>I139/Pondération!$H$27</f>
        <v>9.0686274509803919E-2</v>
      </c>
      <c r="K139" s="5">
        <v>4.5</v>
      </c>
      <c r="L139" s="5">
        <f t="shared" si="5"/>
        <v>0.40808823529411764</v>
      </c>
      <c r="M139" s="5">
        <v>4.4864864864864868</v>
      </c>
      <c r="N139" s="5">
        <f t="shared" si="6"/>
        <v>0.40686274509803921</v>
      </c>
      <c r="O139" s="5">
        <v>4.256756756756757</v>
      </c>
      <c r="P139" s="15">
        <f t="shared" si="7"/>
        <v>0.3860294117647059</v>
      </c>
    </row>
    <row r="140" spans="1:16" x14ac:dyDescent="0.25">
      <c r="A140" s="2" t="s">
        <v>47</v>
      </c>
      <c r="B140" s="2">
        <v>2015</v>
      </c>
      <c r="C140" s="2" t="s">
        <v>17</v>
      </c>
      <c r="D140" s="2" t="s">
        <v>35</v>
      </c>
      <c r="E140" s="2" t="s">
        <v>9</v>
      </c>
      <c r="F140" s="2" t="s">
        <v>48</v>
      </c>
      <c r="G140" s="2">
        <f t="shared" si="8"/>
        <v>0.43811274509803921</v>
      </c>
      <c r="H140" s="5">
        <v>4.3072289156626509</v>
      </c>
      <c r="I140" s="2">
        <v>83</v>
      </c>
      <c r="J140" s="57">
        <f>I140/Pondération!$H$27</f>
        <v>0.1017156862745098</v>
      </c>
      <c r="K140" s="5">
        <v>4.3253012048192767</v>
      </c>
      <c r="L140" s="5">
        <f t="shared" si="5"/>
        <v>0.4399509803921568</v>
      </c>
      <c r="M140" s="5">
        <v>4.3855421686746991</v>
      </c>
      <c r="N140" s="5">
        <f t="shared" si="6"/>
        <v>0.44607843137254904</v>
      </c>
      <c r="O140" s="5">
        <v>4.1927710843373491</v>
      </c>
      <c r="P140" s="15">
        <f t="shared" si="7"/>
        <v>0.4264705882352941</v>
      </c>
    </row>
    <row r="141" spans="1:16" x14ac:dyDescent="0.25">
      <c r="A141" s="2" t="s">
        <v>47</v>
      </c>
      <c r="B141" s="2">
        <v>2016</v>
      </c>
      <c r="C141" s="2" t="s">
        <v>18</v>
      </c>
      <c r="D141" s="2" t="s">
        <v>35</v>
      </c>
      <c r="E141" s="2" t="s">
        <v>9</v>
      </c>
      <c r="F141" s="2" t="s">
        <v>48</v>
      </c>
      <c r="G141" s="2">
        <f t="shared" si="8"/>
        <v>0.24843945068664169</v>
      </c>
      <c r="H141" s="5">
        <v>4.279569892473118</v>
      </c>
      <c r="I141" s="2">
        <v>93</v>
      </c>
      <c r="J141" s="57">
        <f>I141/Pondération!$G$27</f>
        <v>5.8052434456928842E-2</v>
      </c>
      <c r="K141" s="5">
        <v>4.247311827956989</v>
      </c>
      <c r="L141" s="5">
        <f t="shared" si="5"/>
        <v>0.24656679151061173</v>
      </c>
      <c r="M141" s="5">
        <v>4.4623655913978491</v>
      </c>
      <c r="N141" s="5">
        <f t="shared" si="6"/>
        <v>0.25905118601747812</v>
      </c>
      <c r="O141" s="5">
        <v>4.161290322580645</v>
      </c>
      <c r="P141" s="15">
        <f t="shared" si="7"/>
        <v>0.24157303370786518</v>
      </c>
    </row>
    <row r="142" spans="1:16" x14ac:dyDescent="0.25">
      <c r="A142" s="2" t="s">
        <v>47</v>
      </c>
      <c r="B142" s="2">
        <v>2016</v>
      </c>
      <c r="C142" s="2" t="s">
        <v>19</v>
      </c>
      <c r="D142" s="2" t="s">
        <v>35</v>
      </c>
      <c r="E142" s="2" t="s">
        <v>9</v>
      </c>
      <c r="F142" s="2" t="s">
        <v>48</v>
      </c>
      <c r="G142" s="2">
        <f t="shared" si="8"/>
        <v>0.3495630461922597</v>
      </c>
      <c r="H142" s="5">
        <v>4.2748091603053435</v>
      </c>
      <c r="I142" s="2">
        <v>131</v>
      </c>
      <c r="J142" s="57">
        <f>I142/Pondération!$G$27</f>
        <v>8.1772784019975037E-2</v>
      </c>
      <c r="K142" s="5">
        <v>4.3129770992366412</v>
      </c>
      <c r="L142" s="5">
        <f t="shared" si="5"/>
        <v>0.35268414481897631</v>
      </c>
      <c r="M142" s="5">
        <v>4.4274809160305342</v>
      </c>
      <c r="N142" s="5">
        <f t="shared" si="6"/>
        <v>0.36204744069912609</v>
      </c>
      <c r="O142" s="5">
        <v>4.0458015267175576</v>
      </c>
      <c r="P142" s="15">
        <f t="shared" si="7"/>
        <v>0.33083645443196008</v>
      </c>
    </row>
    <row r="143" spans="1:16" x14ac:dyDescent="0.25">
      <c r="A143" s="2" t="s">
        <v>47</v>
      </c>
      <c r="B143" s="2">
        <v>2016</v>
      </c>
      <c r="C143" s="2" t="s">
        <v>20</v>
      </c>
      <c r="D143" s="2" t="s">
        <v>35</v>
      </c>
      <c r="E143" s="2" t="s">
        <v>9</v>
      </c>
      <c r="F143" s="2" t="s">
        <v>48</v>
      </c>
      <c r="G143" s="2">
        <f t="shared" si="8"/>
        <v>0.28199126092384519</v>
      </c>
      <c r="H143" s="5">
        <v>4.4727722772277225</v>
      </c>
      <c r="I143" s="2">
        <v>101</v>
      </c>
      <c r="J143" s="57">
        <f>I143/Pondération!$G$27</f>
        <v>6.3046192259675407E-2</v>
      </c>
      <c r="K143" s="5">
        <v>4.5841584158415838</v>
      </c>
      <c r="L143" s="5">
        <f t="shared" si="5"/>
        <v>0.28901373283395754</v>
      </c>
      <c r="M143" s="5">
        <v>4.5148514851485144</v>
      </c>
      <c r="N143" s="5">
        <f t="shared" si="6"/>
        <v>0.28464419475655428</v>
      </c>
      <c r="O143" s="5">
        <v>4.2079207920792081</v>
      </c>
      <c r="P143" s="15">
        <f t="shared" si="7"/>
        <v>0.2652933832709114</v>
      </c>
    </row>
    <row r="144" spans="1:16" x14ac:dyDescent="0.25">
      <c r="A144" s="2" t="s">
        <v>47</v>
      </c>
      <c r="B144" s="2">
        <v>2016</v>
      </c>
      <c r="C144" s="2" t="s">
        <v>21</v>
      </c>
      <c r="D144" s="2" t="s">
        <v>35</v>
      </c>
      <c r="E144" s="2" t="s">
        <v>9</v>
      </c>
      <c r="F144" s="2" t="s">
        <v>48</v>
      </c>
      <c r="G144" s="2">
        <f t="shared" si="8"/>
        <v>0.31164169787765295</v>
      </c>
      <c r="H144" s="5">
        <v>4.3413043478260871</v>
      </c>
      <c r="I144" s="2">
        <v>115</v>
      </c>
      <c r="J144" s="57">
        <f>I144/Pondération!$G$27</f>
        <v>7.1785268414481893E-2</v>
      </c>
      <c r="K144" s="5">
        <v>4.4521739130434783</v>
      </c>
      <c r="L144" s="5">
        <f t="shared" si="5"/>
        <v>0.31960049937578028</v>
      </c>
      <c r="M144" s="5">
        <v>4.4521739130434783</v>
      </c>
      <c r="N144" s="5">
        <f t="shared" si="6"/>
        <v>0.31960049937578028</v>
      </c>
      <c r="O144" s="5">
        <v>4.0086956521739134</v>
      </c>
      <c r="P144" s="15">
        <f t="shared" si="7"/>
        <v>0.28776529338327089</v>
      </c>
    </row>
    <row r="145" spans="1:16" x14ac:dyDescent="0.25">
      <c r="A145" s="2" t="s">
        <v>47</v>
      </c>
      <c r="B145" s="2">
        <v>2016</v>
      </c>
      <c r="C145" s="2" t="s">
        <v>22</v>
      </c>
      <c r="D145" s="2" t="s">
        <v>35</v>
      </c>
      <c r="E145" s="2" t="s">
        <v>9</v>
      </c>
      <c r="F145" s="2" t="s">
        <v>48</v>
      </c>
      <c r="G145" s="2">
        <f t="shared" si="8"/>
        <v>0.35190387016229707</v>
      </c>
      <c r="H145" s="5">
        <v>4.4389763779527556</v>
      </c>
      <c r="I145" s="2">
        <v>127</v>
      </c>
      <c r="J145" s="57">
        <f>I145/Pondération!$G$27</f>
        <v>7.9275905118601747E-2</v>
      </c>
      <c r="K145" s="5">
        <v>4.4881889763779528</v>
      </c>
      <c r="L145" s="5">
        <f t="shared" si="5"/>
        <v>0.35580524344569286</v>
      </c>
      <c r="M145" s="5">
        <v>4.4566929133858268</v>
      </c>
      <c r="N145" s="5">
        <f t="shared" si="6"/>
        <v>0.35330836454431963</v>
      </c>
      <c r="O145" s="5">
        <v>4.3228346456692917</v>
      </c>
      <c r="P145" s="15">
        <f t="shared" si="7"/>
        <v>0.34269662921348315</v>
      </c>
    </row>
    <row r="146" spans="1:16" x14ac:dyDescent="0.25">
      <c r="A146" s="2" t="s">
        <v>47</v>
      </c>
      <c r="B146" s="2">
        <v>2016</v>
      </c>
      <c r="C146" s="2" t="s">
        <v>23</v>
      </c>
      <c r="D146" s="2" t="s">
        <v>35</v>
      </c>
      <c r="E146" s="2" t="s">
        <v>9</v>
      </c>
      <c r="F146" s="2" t="s">
        <v>48</v>
      </c>
      <c r="G146" s="2">
        <f t="shared" si="8"/>
        <v>0.31554307116104868</v>
      </c>
      <c r="H146" s="5">
        <v>4.3205128205128203</v>
      </c>
      <c r="I146" s="2">
        <v>117</v>
      </c>
      <c r="J146" s="57">
        <f>I146/Pondération!$G$27</f>
        <v>7.3033707865168537E-2</v>
      </c>
      <c r="K146" s="5">
        <v>4.3760683760683765</v>
      </c>
      <c r="L146" s="5">
        <f t="shared" si="5"/>
        <v>0.31960049937578028</v>
      </c>
      <c r="M146" s="5">
        <v>4.4444444444444446</v>
      </c>
      <c r="N146" s="5">
        <f t="shared" si="6"/>
        <v>0.32459425717852686</v>
      </c>
      <c r="O146" s="5">
        <v>4.0854700854700852</v>
      </c>
      <c r="P146" s="15">
        <f t="shared" si="7"/>
        <v>0.29837702871410732</v>
      </c>
    </row>
    <row r="147" spans="1:16" x14ac:dyDescent="0.25">
      <c r="A147" s="2" t="s">
        <v>47</v>
      </c>
      <c r="B147" s="2">
        <v>2016</v>
      </c>
      <c r="C147" s="2" t="s">
        <v>24</v>
      </c>
      <c r="D147" s="2" t="s">
        <v>35</v>
      </c>
      <c r="E147" s="2" t="s">
        <v>9</v>
      </c>
      <c r="F147" s="2" t="s">
        <v>48</v>
      </c>
      <c r="G147" s="2">
        <f t="shared" si="8"/>
        <v>0.32225343320848937</v>
      </c>
      <c r="H147" s="5">
        <v>4.375</v>
      </c>
      <c r="I147" s="2">
        <v>118</v>
      </c>
      <c r="J147" s="57">
        <f>I147/Pondération!$G$27</f>
        <v>7.365792759051186E-2</v>
      </c>
      <c r="K147" s="5">
        <v>4.4406779661016946</v>
      </c>
      <c r="L147" s="5">
        <f t="shared" si="5"/>
        <v>0.32709113607990009</v>
      </c>
      <c r="M147" s="5">
        <v>4.398305084745763</v>
      </c>
      <c r="N147" s="5">
        <f t="shared" si="6"/>
        <v>0.32397003745318353</v>
      </c>
      <c r="O147" s="5">
        <v>4.2203389830508478</v>
      </c>
      <c r="P147" s="15">
        <f t="shared" si="7"/>
        <v>0.31086142322097382</v>
      </c>
    </row>
    <row r="148" spans="1:16" x14ac:dyDescent="0.25">
      <c r="A148" s="2" t="s">
        <v>47</v>
      </c>
      <c r="B148" s="2">
        <v>2016</v>
      </c>
      <c r="C148" s="2" t="s">
        <v>25</v>
      </c>
      <c r="D148" s="2" t="s">
        <v>35</v>
      </c>
      <c r="E148" s="2" t="s">
        <v>9</v>
      </c>
      <c r="F148" s="2" t="s">
        <v>48</v>
      </c>
      <c r="G148" s="2">
        <f t="shared" si="8"/>
        <v>0.41963171036204738</v>
      </c>
      <c r="H148" s="5">
        <v>4.3092948717948714</v>
      </c>
      <c r="I148" s="2">
        <v>156</v>
      </c>
      <c r="J148" s="57">
        <f>I148/Pondération!$G$27</f>
        <v>9.7378277153558054E-2</v>
      </c>
      <c r="K148" s="5">
        <v>4.3974358974358978</v>
      </c>
      <c r="L148" s="5">
        <f t="shared" si="5"/>
        <v>0.42821473158551815</v>
      </c>
      <c r="M148" s="5">
        <v>4.4102564102564106</v>
      </c>
      <c r="N148" s="5">
        <f t="shared" si="6"/>
        <v>0.42946317103620479</v>
      </c>
      <c r="O148" s="5">
        <v>4.0320512820512819</v>
      </c>
      <c r="P148" s="15">
        <f t="shared" si="7"/>
        <v>0.39263420724094883</v>
      </c>
    </row>
    <row r="149" spans="1:16" x14ac:dyDescent="0.25">
      <c r="A149" s="2" t="s">
        <v>47</v>
      </c>
      <c r="B149" s="2">
        <v>2016</v>
      </c>
      <c r="C149" s="2" t="s">
        <v>26</v>
      </c>
      <c r="D149" s="2" t="s">
        <v>35</v>
      </c>
      <c r="E149" s="2" t="s">
        <v>9</v>
      </c>
      <c r="F149" s="2" t="s">
        <v>48</v>
      </c>
      <c r="G149" s="2">
        <f t="shared" si="8"/>
        <v>0.32272159800249683</v>
      </c>
      <c r="H149" s="5">
        <v>4.3445378151260501</v>
      </c>
      <c r="I149" s="2">
        <v>119</v>
      </c>
      <c r="J149" s="57">
        <f>I149/Pondération!$G$27</f>
        <v>7.4282147315855182E-2</v>
      </c>
      <c r="K149" s="5">
        <v>4.3865546218487399</v>
      </c>
      <c r="L149" s="5">
        <f t="shared" si="5"/>
        <v>0.3258426966292135</v>
      </c>
      <c r="M149" s="5">
        <v>4.4117647058823533</v>
      </c>
      <c r="N149" s="5">
        <f t="shared" si="6"/>
        <v>0.32771535580524347</v>
      </c>
      <c r="O149" s="5">
        <v>4.1932773109243699</v>
      </c>
      <c r="P149" s="15">
        <f t="shared" si="7"/>
        <v>0.31148564294631714</v>
      </c>
    </row>
    <row r="150" spans="1:16" x14ac:dyDescent="0.25">
      <c r="A150" s="2" t="s">
        <v>47</v>
      </c>
      <c r="B150" s="2">
        <v>2016</v>
      </c>
      <c r="C150" s="2" t="s">
        <v>27</v>
      </c>
      <c r="D150" s="2" t="s">
        <v>35</v>
      </c>
      <c r="E150" s="2" t="s">
        <v>9</v>
      </c>
      <c r="F150" s="2" t="s">
        <v>48</v>
      </c>
      <c r="G150" s="2">
        <f t="shared" si="8"/>
        <v>0.54338327091136074</v>
      </c>
      <c r="H150" s="5">
        <v>4.3964646464646462</v>
      </c>
      <c r="I150" s="2">
        <v>198</v>
      </c>
      <c r="J150" s="57">
        <f>I150/Pondération!$G$27</f>
        <v>0.12359550561797752</v>
      </c>
      <c r="K150" s="5">
        <v>4.4242424242424239</v>
      </c>
      <c r="L150" s="5">
        <f t="shared" si="5"/>
        <v>0.54681647940074896</v>
      </c>
      <c r="M150" s="5">
        <v>4.4393939393939394</v>
      </c>
      <c r="N150" s="5">
        <f t="shared" si="6"/>
        <v>0.54868913857677903</v>
      </c>
      <c r="O150" s="5">
        <v>4.2979797979797976</v>
      </c>
      <c r="P150" s="15">
        <f t="shared" si="7"/>
        <v>0.53121098626716601</v>
      </c>
    </row>
    <row r="151" spans="1:16" x14ac:dyDescent="0.25">
      <c r="A151" s="2" t="s">
        <v>47</v>
      </c>
      <c r="B151" s="2">
        <v>2016</v>
      </c>
      <c r="C151" s="2" t="s">
        <v>28</v>
      </c>
      <c r="D151" s="2" t="s">
        <v>35</v>
      </c>
      <c r="E151" s="2" t="s">
        <v>9</v>
      </c>
      <c r="F151" s="2" t="s">
        <v>48</v>
      </c>
      <c r="G151" s="2">
        <f t="shared" si="8"/>
        <v>0.38857677902621718</v>
      </c>
      <c r="H151" s="5">
        <v>4.2636986301369859</v>
      </c>
      <c r="I151" s="2">
        <v>146</v>
      </c>
      <c r="J151" s="57">
        <f>I151/Pondération!$G$27</f>
        <v>9.1136079900124844E-2</v>
      </c>
      <c r="K151" s="5">
        <v>4.3150684931506849</v>
      </c>
      <c r="L151" s="5">
        <f t="shared" si="5"/>
        <v>0.39325842696629215</v>
      </c>
      <c r="M151" s="5">
        <v>4.4246575342465757</v>
      </c>
      <c r="N151" s="5">
        <f t="shared" si="6"/>
        <v>0.40324594257178531</v>
      </c>
      <c r="O151" s="5">
        <v>4</v>
      </c>
      <c r="P151" s="15">
        <f t="shared" si="7"/>
        <v>0.36454431960049938</v>
      </c>
    </row>
    <row r="152" spans="1:16" x14ac:dyDescent="0.25">
      <c r="A152" s="2" t="s">
        <v>47</v>
      </c>
      <c r="B152" s="2">
        <v>2016</v>
      </c>
      <c r="C152" s="2" t="s">
        <v>29</v>
      </c>
      <c r="D152" s="2" t="s">
        <v>35</v>
      </c>
      <c r="E152" s="2" t="s">
        <v>9</v>
      </c>
      <c r="F152" s="2" t="s">
        <v>48</v>
      </c>
      <c r="G152" s="2">
        <f t="shared" si="8"/>
        <v>0.50483770287141072</v>
      </c>
      <c r="H152" s="5">
        <v>4.4682320441988947</v>
      </c>
      <c r="I152" s="2">
        <v>181</v>
      </c>
      <c r="J152" s="57">
        <f>I152/Pondération!$G$27</f>
        <v>0.11298377028714107</v>
      </c>
      <c r="K152" s="5">
        <v>4.5303867403314921</v>
      </c>
      <c r="L152" s="5">
        <f t="shared" si="5"/>
        <v>0.51186017478152313</v>
      </c>
      <c r="M152" s="5">
        <v>4.5193370165745854</v>
      </c>
      <c r="N152" s="5">
        <f t="shared" si="6"/>
        <v>0.51061173533083637</v>
      </c>
      <c r="O152" s="5">
        <v>4.2928176795580111</v>
      </c>
      <c r="P152" s="15">
        <f t="shared" si="7"/>
        <v>0.48501872659176032</v>
      </c>
    </row>
    <row r="153" spans="1:16" x14ac:dyDescent="0.25">
      <c r="A153" s="2" t="s">
        <v>47</v>
      </c>
      <c r="B153" s="2">
        <v>2017</v>
      </c>
      <c r="C153" s="2" t="s">
        <v>30</v>
      </c>
      <c r="D153" s="2" t="s">
        <v>35</v>
      </c>
      <c r="E153" s="2" t="s">
        <v>9</v>
      </c>
      <c r="F153" s="2" t="s">
        <v>48</v>
      </c>
      <c r="G153" s="2">
        <f t="shared" si="8"/>
        <v>0.6061381074168799</v>
      </c>
      <c r="H153" s="5">
        <v>4.3090909090909095</v>
      </c>
      <c r="I153" s="2">
        <v>110</v>
      </c>
      <c r="J153" s="57">
        <f>I153/Pondération!$F$27</f>
        <v>0.14066496163682865</v>
      </c>
      <c r="K153" s="5">
        <v>4.418181818181818</v>
      </c>
      <c r="L153" s="5">
        <f t="shared" si="5"/>
        <v>0.62148337595907932</v>
      </c>
      <c r="M153" s="5">
        <v>4.2727272727272725</v>
      </c>
      <c r="N153" s="5">
        <f t="shared" si="6"/>
        <v>0.60102301790281332</v>
      </c>
      <c r="O153" s="5">
        <v>4.127272727272727</v>
      </c>
      <c r="P153" s="15">
        <f t="shared" si="7"/>
        <v>0.58056265984654731</v>
      </c>
    </row>
    <row r="154" spans="1:16" x14ac:dyDescent="0.25">
      <c r="A154" s="2" t="s">
        <v>47</v>
      </c>
      <c r="B154" s="2">
        <v>2017</v>
      </c>
      <c r="C154" s="2" t="s">
        <v>31</v>
      </c>
      <c r="D154" s="2" t="s">
        <v>35</v>
      </c>
      <c r="E154" s="2" t="s">
        <v>9</v>
      </c>
      <c r="F154" s="2" t="s">
        <v>48</v>
      </c>
      <c r="G154" s="2">
        <f t="shared" si="8"/>
        <v>1.1675191815856778</v>
      </c>
      <c r="H154" s="5">
        <v>4.3066037735849054</v>
      </c>
      <c r="I154" s="2">
        <v>212</v>
      </c>
      <c r="J154" s="57">
        <f>I154/Pondération!$F$27</f>
        <v>0.2710997442455243</v>
      </c>
      <c r="K154" s="5">
        <v>4.3537735849056602</v>
      </c>
      <c r="L154" s="5">
        <f t="shared" si="5"/>
        <v>1.1803069053708439</v>
      </c>
      <c r="M154" s="5">
        <v>4.3962264150943398</v>
      </c>
      <c r="N154" s="5">
        <f t="shared" si="6"/>
        <v>1.1918158567774937</v>
      </c>
      <c r="O154" s="5">
        <v>4.1226415094339623</v>
      </c>
      <c r="P154" s="15">
        <f t="shared" si="7"/>
        <v>1.1176470588235294</v>
      </c>
    </row>
    <row r="155" spans="1:16" x14ac:dyDescent="0.25">
      <c r="A155" s="2" t="s">
        <v>47</v>
      </c>
      <c r="B155" s="2">
        <v>2017</v>
      </c>
      <c r="C155" s="2" t="s">
        <v>32</v>
      </c>
      <c r="D155" s="2" t="s">
        <v>35</v>
      </c>
      <c r="E155" s="2" t="s">
        <v>9</v>
      </c>
      <c r="F155" s="2" t="s">
        <v>48</v>
      </c>
      <c r="G155" s="2">
        <f t="shared" si="8"/>
        <v>1.0083120204603582</v>
      </c>
      <c r="H155" s="5">
        <v>4.4548022598870061</v>
      </c>
      <c r="I155" s="2">
        <v>177</v>
      </c>
      <c r="J155" s="57">
        <f>I155/Pondération!$F$27</f>
        <v>0.22634271099744246</v>
      </c>
      <c r="K155" s="5">
        <v>4.5028248587570623</v>
      </c>
      <c r="L155" s="5">
        <f t="shared" si="5"/>
        <v>1.0191815856777495</v>
      </c>
      <c r="M155" s="5">
        <v>4.5593220338983054</v>
      </c>
      <c r="N155" s="5">
        <f t="shared" si="6"/>
        <v>1.0319693094629157</v>
      </c>
      <c r="O155" s="5">
        <v>4.2542372881355934</v>
      </c>
      <c r="P155" s="15">
        <f t="shared" si="7"/>
        <v>0.96291560102301799</v>
      </c>
    </row>
    <row r="156" spans="1:16" x14ac:dyDescent="0.25">
      <c r="A156" s="2" t="s">
        <v>47</v>
      </c>
      <c r="B156" s="2">
        <v>2017</v>
      </c>
      <c r="C156" s="2" t="s">
        <v>33</v>
      </c>
      <c r="D156" s="2" t="s">
        <v>35</v>
      </c>
      <c r="E156" s="2" t="s">
        <v>9</v>
      </c>
      <c r="F156" s="2" t="s">
        <v>48</v>
      </c>
      <c r="G156" s="2">
        <f t="shared" si="8"/>
        <v>1.2966751918158568</v>
      </c>
      <c r="H156" s="5">
        <v>4.3519313304721026</v>
      </c>
      <c r="I156" s="2">
        <v>233</v>
      </c>
      <c r="J156" s="57">
        <f>I156/Pondération!$F$27</f>
        <v>0.29795396419437342</v>
      </c>
      <c r="K156" s="5">
        <v>4.4463519313304722</v>
      </c>
      <c r="L156" s="5">
        <f t="shared" si="5"/>
        <v>1.3248081841432227</v>
      </c>
      <c r="M156" s="5">
        <v>4.3948497854077253</v>
      </c>
      <c r="N156" s="5">
        <f t="shared" si="6"/>
        <v>1.3094629156010231</v>
      </c>
      <c r="O156" s="5">
        <v>4.1201716738197423</v>
      </c>
      <c r="P156" s="15">
        <f t="shared" si="7"/>
        <v>1.2276214833759591</v>
      </c>
    </row>
    <row r="157" spans="1:16" x14ac:dyDescent="0.25">
      <c r="A157" s="2" t="s">
        <v>47</v>
      </c>
      <c r="B157" s="2">
        <v>2017</v>
      </c>
      <c r="C157" s="2" t="s">
        <v>34</v>
      </c>
      <c r="D157" s="2" t="s">
        <v>35</v>
      </c>
      <c r="E157" s="2" t="s">
        <v>9</v>
      </c>
      <c r="F157" s="2" t="s">
        <v>48</v>
      </c>
      <c r="G157" s="2">
        <f t="shared" si="8"/>
        <v>0.26726342710997442</v>
      </c>
      <c r="H157" s="5">
        <v>4.18</v>
      </c>
      <c r="I157" s="2">
        <v>50</v>
      </c>
      <c r="J157" s="57">
        <f>I157/Pondération!$F$27</f>
        <v>6.3938618925831206E-2</v>
      </c>
      <c r="K157" s="5">
        <v>4.2</v>
      </c>
      <c r="L157" s="5">
        <f t="shared" si="5"/>
        <v>0.26854219948849106</v>
      </c>
      <c r="M157" s="5">
        <v>4.26</v>
      </c>
      <c r="N157" s="5">
        <f t="shared" si="6"/>
        <v>0.27237851662404094</v>
      </c>
      <c r="O157" s="5">
        <v>4.0599999999999996</v>
      </c>
      <c r="P157" s="15">
        <f t="shared" si="7"/>
        <v>0.25959079283887465</v>
      </c>
    </row>
    <row r="158" spans="1:16" x14ac:dyDescent="0.25">
      <c r="A158" s="2" t="s">
        <v>6</v>
      </c>
      <c r="B158" s="2">
        <v>2015</v>
      </c>
      <c r="C158" s="2" t="s">
        <v>7</v>
      </c>
      <c r="D158" s="2" t="s">
        <v>36</v>
      </c>
      <c r="E158" s="2" t="s">
        <v>9</v>
      </c>
      <c r="F158" s="2" t="s">
        <v>10</v>
      </c>
      <c r="G158" s="2">
        <f t="shared" si="8"/>
        <v>0.16613277623026881</v>
      </c>
      <c r="H158" s="5">
        <v>4.2099999999999884</v>
      </c>
      <c r="I158" s="2">
        <v>85</v>
      </c>
      <c r="J158" s="57">
        <f>I158/Pondération!$H$39</f>
        <v>3.9461467038068708E-2</v>
      </c>
      <c r="K158" s="2"/>
      <c r="L158" s="2"/>
      <c r="M158" s="2"/>
      <c r="N158" s="2"/>
      <c r="O158" s="2"/>
      <c r="P158"/>
    </row>
    <row r="159" spans="1:16" x14ac:dyDescent="0.25">
      <c r="A159" s="2" t="s">
        <v>6</v>
      </c>
      <c r="B159" s="2">
        <v>2015</v>
      </c>
      <c r="C159" s="2" t="s">
        <v>11</v>
      </c>
      <c r="D159" s="2" t="s">
        <v>36</v>
      </c>
      <c r="E159" s="2" t="s">
        <v>9</v>
      </c>
      <c r="F159" s="2" t="s">
        <v>10</v>
      </c>
      <c r="G159" s="2">
        <f t="shared" si="8"/>
        <v>0.45584958217270188</v>
      </c>
      <c r="H159" s="5">
        <v>4.0742738589211616</v>
      </c>
      <c r="I159" s="2">
        <v>241</v>
      </c>
      <c r="J159" s="57">
        <f>I159/Pondération!$H$39</f>
        <v>0.11188486536675951</v>
      </c>
      <c r="K159" s="2"/>
      <c r="L159" s="2"/>
      <c r="M159" s="2"/>
      <c r="N159" s="2"/>
      <c r="O159" s="2"/>
      <c r="P159"/>
    </row>
    <row r="160" spans="1:16" x14ac:dyDescent="0.25">
      <c r="A160" s="2" t="s">
        <v>6</v>
      </c>
      <c r="B160" s="2">
        <v>2015</v>
      </c>
      <c r="C160" s="2" t="s">
        <v>12</v>
      </c>
      <c r="D160" s="2" t="s">
        <v>36</v>
      </c>
      <c r="E160" s="2" t="s">
        <v>9</v>
      </c>
      <c r="F160" s="2" t="s">
        <v>10</v>
      </c>
      <c r="G160" s="2">
        <f t="shared" si="8"/>
        <v>0.56107242339832397</v>
      </c>
      <c r="H160" s="5">
        <v>4.1107142857142511</v>
      </c>
      <c r="I160" s="2">
        <v>294</v>
      </c>
      <c r="J160" s="57">
        <f>I160/Pondération!$H$39</f>
        <v>0.13649025069637882</v>
      </c>
      <c r="K160" s="2"/>
      <c r="L160" s="2"/>
      <c r="M160" s="2"/>
      <c r="N160" s="2"/>
      <c r="O160" s="2"/>
      <c r="P160"/>
    </row>
    <row r="161" spans="1:15" customFormat="1" x14ac:dyDescent="0.25">
      <c r="A161" s="2" t="s">
        <v>6</v>
      </c>
      <c r="B161" s="2">
        <v>2015</v>
      </c>
      <c r="C161" s="2" t="s">
        <v>13</v>
      </c>
      <c r="D161" s="2" t="s">
        <v>36</v>
      </c>
      <c r="E161" s="2" t="s">
        <v>9</v>
      </c>
      <c r="F161" s="2" t="s">
        <v>10</v>
      </c>
      <c r="G161" s="2">
        <f t="shared" si="8"/>
        <v>0.81453110492107716</v>
      </c>
      <c r="H161" s="5">
        <v>3.9426966292134833</v>
      </c>
      <c r="I161" s="2">
        <v>445</v>
      </c>
      <c r="J161" s="57">
        <f>I161/Pondération!$H$39</f>
        <v>0.20659238625812443</v>
      </c>
      <c r="K161" s="2"/>
      <c r="L161" s="2"/>
      <c r="M161" s="2"/>
      <c r="N161" s="2"/>
      <c r="O161" s="2"/>
    </row>
    <row r="162" spans="1:15" customFormat="1" x14ac:dyDescent="0.25">
      <c r="A162" s="2" t="s">
        <v>6</v>
      </c>
      <c r="B162" s="2">
        <v>2015</v>
      </c>
      <c r="C162" s="2" t="s">
        <v>14</v>
      </c>
      <c r="D162" s="2" t="s">
        <v>36</v>
      </c>
      <c r="E162" s="2" t="s">
        <v>9</v>
      </c>
      <c r="F162" s="2" t="s">
        <v>10</v>
      </c>
      <c r="G162" s="2">
        <f t="shared" si="8"/>
        <v>0.6451021355617409</v>
      </c>
      <c r="H162" s="5">
        <v>3.9815186246418048</v>
      </c>
      <c r="I162" s="2">
        <v>349</v>
      </c>
      <c r="J162" s="57">
        <f>I162/Pondération!$H$39</f>
        <v>0.16202414113277622</v>
      </c>
      <c r="K162" s="2"/>
      <c r="L162" s="2"/>
      <c r="M162" s="2"/>
      <c r="N162" s="2"/>
      <c r="O162" s="2"/>
    </row>
    <row r="163" spans="1:15" customFormat="1" x14ac:dyDescent="0.25">
      <c r="A163" s="2" t="s">
        <v>6</v>
      </c>
      <c r="B163" s="2">
        <v>2015</v>
      </c>
      <c r="C163" s="2" t="s">
        <v>15</v>
      </c>
      <c r="D163" s="2" t="s">
        <v>36</v>
      </c>
      <c r="E163" s="2" t="s">
        <v>9</v>
      </c>
      <c r="F163" s="2" t="s">
        <v>10</v>
      </c>
      <c r="G163" s="2">
        <f t="shared" si="8"/>
        <v>0.6196843082636907</v>
      </c>
      <c r="H163" s="5">
        <v>4.0944785276073308</v>
      </c>
      <c r="I163" s="2">
        <v>326</v>
      </c>
      <c r="J163" s="57">
        <f>I163/Pondération!$H$39</f>
        <v>0.15134633240482823</v>
      </c>
      <c r="K163" s="2"/>
      <c r="L163" s="2"/>
      <c r="M163" s="2"/>
      <c r="N163" s="2"/>
      <c r="O163" s="2"/>
    </row>
    <row r="164" spans="1:15" customFormat="1" x14ac:dyDescent="0.25">
      <c r="A164" s="2" t="s">
        <v>6</v>
      </c>
      <c r="B164" s="2">
        <v>2015</v>
      </c>
      <c r="C164" s="2" t="s">
        <v>16</v>
      </c>
      <c r="D164" s="2" t="s">
        <v>36</v>
      </c>
      <c r="E164" s="2" t="s">
        <v>9</v>
      </c>
      <c r="F164" s="2" t="s">
        <v>10</v>
      </c>
      <c r="G164" s="2">
        <f t="shared" si="8"/>
        <v>0.45250696378830035</v>
      </c>
      <c r="H164" s="5">
        <v>4.1476595744680811</v>
      </c>
      <c r="I164" s="2">
        <v>235</v>
      </c>
      <c r="J164" s="57">
        <f>I164/Pondération!$H$39</f>
        <v>0.10909935004642525</v>
      </c>
      <c r="K164" s="2"/>
      <c r="L164" s="2"/>
      <c r="M164" s="2"/>
      <c r="N164" s="2"/>
      <c r="O164" s="2"/>
    </row>
    <row r="165" spans="1:15" customFormat="1" x14ac:dyDescent="0.25">
      <c r="A165" s="2" t="s">
        <v>6</v>
      </c>
      <c r="B165" s="2">
        <v>2015</v>
      </c>
      <c r="C165" s="2" t="s">
        <v>17</v>
      </c>
      <c r="D165" s="2" t="s">
        <v>36</v>
      </c>
      <c r="E165" s="2" t="s">
        <v>9</v>
      </c>
      <c r="F165" s="2" t="s">
        <v>10</v>
      </c>
      <c r="G165" s="2">
        <f t="shared" si="8"/>
        <v>0.33221912720519919</v>
      </c>
      <c r="H165" s="5">
        <v>3.9977653631284862</v>
      </c>
      <c r="I165" s="2">
        <v>179</v>
      </c>
      <c r="J165" s="57">
        <f>I165/Pondération!$H$39</f>
        <v>8.3101207056638815E-2</v>
      </c>
      <c r="K165" s="2"/>
      <c r="L165" s="2"/>
      <c r="M165" s="2"/>
      <c r="N165" s="2"/>
      <c r="O165" s="2"/>
    </row>
    <row r="166" spans="1:15" customFormat="1" x14ac:dyDescent="0.25">
      <c r="A166" s="2" t="s">
        <v>6</v>
      </c>
      <c r="B166" s="2">
        <v>2016</v>
      </c>
      <c r="C166" s="2" t="s">
        <v>18</v>
      </c>
      <c r="D166" s="2" t="s">
        <v>36</v>
      </c>
      <c r="E166" s="2" t="s">
        <v>9</v>
      </c>
      <c r="F166" s="2" t="s">
        <v>10</v>
      </c>
      <c r="G166" s="2">
        <f t="shared" si="8"/>
        <v>0.12417013615393159</v>
      </c>
      <c r="H166" s="5">
        <v>4.1799242424242049</v>
      </c>
      <c r="I166" s="2">
        <v>264</v>
      </c>
      <c r="J166" s="57">
        <f>I166/Pondération!$G$39</f>
        <v>2.9706312591425678E-2</v>
      </c>
      <c r="K166" s="2"/>
      <c r="L166" s="2"/>
      <c r="M166" s="2"/>
      <c r="N166" s="2"/>
      <c r="O166" s="2"/>
    </row>
    <row r="167" spans="1:15" customFormat="1" x14ac:dyDescent="0.25">
      <c r="A167" s="2" t="s">
        <v>6</v>
      </c>
      <c r="B167" s="2">
        <v>2016</v>
      </c>
      <c r="C167" s="2" t="s">
        <v>19</v>
      </c>
      <c r="D167" s="2" t="s">
        <v>36</v>
      </c>
      <c r="E167" s="2" t="s">
        <v>9</v>
      </c>
      <c r="F167" s="2" t="s">
        <v>10</v>
      </c>
      <c r="G167" s="2">
        <f t="shared" si="8"/>
        <v>0.15533925959266345</v>
      </c>
      <c r="H167" s="5">
        <v>4.2088414634146343</v>
      </c>
      <c r="I167" s="2">
        <v>328</v>
      </c>
      <c r="J167" s="57">
        <f>I167/Pondération!$G$39</f>
        <v>3.6907842916619783E-2</v>
      </c>
      <c r="K167" s="2"/>
      <c r="L167" s="2"/>
      <c r="M167" s="2"/>
      <c r="N167" s="2"/>
      <c r="O167" s="2"/>
    </row>
    <row r="168" spans="1:15" customFormat="1" x14ac:dyDescent="0.25">
      <c r="A168" s="2" t="s">
        <v>6</v>
      </c>
      <c r="B168" s="2">
        <v>2016</v>
      </c>
      <c r="C168" s="2" t="s">
        <v>20</v>
      </c>
      <c r="D168" s="2" t="s">
        <v>36</v>
      </c>
      <c r="E168" s="2" t="s">
        <v>9</v>
      </c>
      <c r="F168" s="2" t="s">
        <v>10</v>
      </c>
      <c r="G168" s="2">
        <f t="shared" si="8"/>
        <v>0.18639023292449647</v>
      </c>
      <c r="H168" s="5">
        <v>4.1102977667493796</v>
      </c>
      <c r="I168" s="2">
        <v>403</v>
      </c>
      <c r="J168" s="57">
        <f>I168/Pondération!$G$39</f>
        <v>4.5347136266456624E-2</v>
      </c>
      <c r="K168" s="2"/>
      <c r="L168" s="2"/>
      <c r="M168" s="2"/>
      <c r="N168" s="2"/>
      <c r="O168" s="2"/>
    </row>
    <row r="169" spans="1:15" customFormat="1" x14ac:dyDescent="0.25">
      <c r="A169" s="2" t="s">
        <v>6</v>
      </c>
      <c r="B169" s="2">
        <v>2016</v>
      </c>
      <c r="C169" s="2" t="s">
        <v>21</v>
      </c>
      <c r="D169" s="2" t="s">
        <v>36</v>
      </c>
      <c r="E169" s="2" t="s">
        <v>9</v>
      </c>
      <c r="F169" s="2" t="s">
        <v>10</v>
      </c>
      <c r="G169" s="2">
        <f t="shared" si="8"/>
        <v>0.29478451670980083</v>
      </c>
      <c r="H169" s="5">
        <v>4.1451740506329111</v>
      </c>
      <c r="I169" s="2">
        <v>632</v>
      </c>
      <c r="J169" s="57">
        <f>I169/Pondération!$G$39</f>
        <v>7.1115111961291777E-2</v>
      </c>
      <c r="K169" s="2"/>
      <c r="L169" s="2"/>
      <c r="M169" s="2"/>
      <c r="N169" s="2"/>
      <c r="O169" s="2"/>
    </row>
    <row r="170" spans="1:15" customFormat="1" x14ac:dyDescent="0.25">
      <c r="A170" s="2" t="s">
        <v>6</v>
      </c>
      <c r="B170" s="2">
        <v>2016</v>
      </c>
      <c r="C170" s="2" t="s">
        <v>22</v>
      </c>
      <c r="D170" s="2" t="s">
        <v>36</v>
      </c>
      <c r="E170" s="2" t="s">
        <v>9</v>
      </c>
      <c r="F170" s="2" t="s">
        <v>10</v>
      </c>
      <c r="G170" s="2">
        <f t="shared" si="8"/>
        <v>0.36195566557893549</v>
      </c>
      <c r="H170" s="5">
        <v>4.0410804020100501</v>
      </c>
      <c r="I170" s="2">
        <v>796</v>
      </c>
      <c r="J170" s="57">
        <f>I170/Pondération!$G$39</f>
        <v>8.9569033419601665E-2</v>
      </c>
      <c r="K170" s="2"/>
      <c r="L170" s="2"/>
      <c r="M170" s="2"/>
      <c r="N170" s="2"/>
      <c r="O170" s="2"/>
    </row>
    <row r="171" spans="1:15" customFormat="1" x14ac:dyDescent="0.25">
      <c r="A171" s="2" t="s">
        <v>6</v>
      </c>
      <c r="B171" s="2">
        <v>2016</v>
      </c>
      <c r="C171" s="2" t="s">
        <v>23</v>
      </c>
      <c r="D171" s="2" t="s">
        <v>36</v>
      </c>
      <c r="E171" s="2" t="s">
        <v>9</v>
      </c>
      <c r="F171" s="2" t="s">
        <v>10</v>
      </c>
      <c r="G171" s="2">
        <f t="shared" si="8"/>
        <v>0.25787104759761448</v>
      </c>
      <c r="H171" s="5">
        <v>4.0561061946902655</v>
      </c>
      <c r="I171" s="2">
        <v>565</v>
      </c>
      <c r="J171" s="57">
        <f>I171/Pondération!$G$39</f>
        <v>6.35760099021042E-2</v>
      </c>
      <c r="K171" s="2"/>
      <c r="L171" s="2"/>
      <c r="M171" s="2"/>
      <c r="N171" s="2"/>
      <c r="O171" s="2"/>
    </row>
    <row r="172" spans="1:15" customFormat="1" x14ac:dyDescent="0.25">
      <c r="A172" s="2" t="s">
        <v>6</v>
      </c>
      <c r="B172" s="2">
        <v>2016</v>
      </c>
      <c r="C172" s="2" t="s">
        <v>24</v>
      </c>
      <c r="D172" s="2" t="s">
        <v>36</v>
      </c>
      <c r="E172" s="2" t="s">
        <v>9</v>
      </c>
      <c r="F172" s="2" t="s">
        <v>10</v>
      </c>
      <c r="G172" s="2">
        <f t="shared" si="8"/>
        <v>0.4277033869697322</v>
      </c>
      <c r="H172" s="5">
        <v>3.9759414225941527</v>
      </c>
      <c r="I172" s="2">
        <v>956</v>
      </c>
      <c r="J172" s="57">
        <f>I172/Pondération!$G$39</f>
        <v>0.10757285923258693</v>
      </c>
      <c r="K172" s="2"/>
      <c r="L172" s="2"/>
      <c r="M172" s="2"/>
      <c r="N172" s="2"/>
      <c r="O172" s="2"/>
    </row>
    <row r="173" spans="1:15" customFormat="1" x14ac:dyDescent="0.25">
      <c r="A173" s="2" t="s">
        <v>6</v>
      </c>
      <c r="B173" s="2">
        <v>2016</v>
      </c>
      <c r="C173" s="2" t="s">
        <v>25</v>
      </c>
      <c r="D173" s="2" t="s">
        <v>36</v>
      </c>
      <c r="E173" s="2" t="s">
        <v>9</v>
      </c>
      <c r="F173" s="2" t="s">
        <v>10</v>
      </c>
      <c r="G173" s="2">
        <f t="shared" si="8"/>
        <v>0.63967593113536636</v>
      </c>
      <c r="H173" s="5">
        <v>3.901715854495539</v>
      </c>
      <c r="I173" s="2">
        <v>1457</v>
      </c>
      <c r="J173" s="57">
        <f>I173/Pondération!$G$39</f>
        <v>0.16394733880949702</v>
      </c>
      <c r="K173" s="2"/>
      <c r="L173" s="2"/>
      <c r="M173" s="2"/>
      <c r="N173" s="2"/>
      <c r="O173" s="2"/>
    </row>
    <row r="174" spans="1:15" customFormat="1" x14ac:dyDescent="0.25">
      <c r="A174" s="2" t="s">
        <v>6</v>
      </c>
      <c r="B174" s="2">
        <v>2016</v>
      </c>
      <c r="C174" s="2" t="s">
        <v>26</v>
      </c>
      <c r="D174" s="2" t="s">
        <v>36</v>
      </c>
      <c r="E174" s="2" t="s">
        <v>9</v>
      </c>
      <c r="F174" s="2" t="s">
        <v>10</v>
      </c>
      <c r="G174" s="2">
        <f t="shared" si="8"/>
        <v>0.41034094745133343</v>
      </c>
      <c r="H174" s="5">
        <v>3.9552060737527115</v>
      </c>
      <c r="I174" s="2">
        <v>922</v>
      </c>
      <c r="J174" s="57">
        <f>I174/Pondération!$G$39</f>
        <v>0.10374704624732756</v>
      </c>
      <c r="K174" s="2"/>
      <c r="L174" s="2"/>
      <c r="M174" s="2"/>
      <c r="N174" s="2"/>
      <c r="O174" s="2"/>
    </row>
    <row r="175" spans="1:15" customFormat="1" x14ac:dyDescent="0.25">
      <c r="A175" s="2" t="s">
        <v>6</v>
      </c>
      <c r="B175" s="2">
        <v>2016</v>
      </c>
      <c r="C175" s="2" t="s">
        <v>27</v>
      </c>
      <c r="D175" s="2" t="s">
        <v>36</v>
      </c>
      <c r="E175" s="2" t="s">
        <v>9</v>
      </c>
      <c r="F175" s="2" t="s">
        <v>10</v>
      </c>
      <c r="G175" s="2">
        <f t="shared" si="8"/>
        <v>0.42685383143918076</v>
      </c>
      <c r="H175" s="5">
        <v>4.0227465535524916</v>
      </c>
      <c r="I175" s="2">
        <v>943</v>
      </c>
      <c r="J175" s="57">
        <f>I175/Pondération!$G$39</f>
        <v>0.10611004838528187</v>
      </c>
      <c r="K175" s="2"/>
      <c r="L175" s="2"/>
      <c r="M175" s="2"/>
      <c r="N175" s="2"/>
      <c r="O175" s="2"/>
    </row>
    <row r="176" spans="1:15" customFormat="1" x14ac:dyDescent="0.25">
      <c r="A176" s="2" t="s">
        <v>6</v>
      </c>
      <c r="B176" s="2">
        <v>2016</v>
      </c>
      <c r="C176" s="2" t="s">
        <v>28</v>
      </c>
      <c r="D176" s="2" t="s">
        <v>36</v>
      </c>
      <c r="E176" s="2" t="s">
        <v>9</v>
      </c>
      <c r="F176" s="2" t="s">
        <v>10</v>
      </c>
      <c r="G176" s="2">
        <f t="shared" si="8"/>
        <v>0.39850343197929672</v>
      </c>
      <c r="H176" s="5">
        <v>4.0198637911464354</v>
      </c>
      <c r="I176" s="2">
        <v>881</v>
      </c>
      <c r="J176" s="57">
        <f>I176/Pondération!$G$39</f>
        <v>9.9133565882750088E-2</v>
      </c>
      <c r="K176" s="2"/>
      <c r="L176" s="2"/>
      <c r="M176" s="2"/>
      <c r="N176" s="2"/>
      <c r="O176" s="2"/>
    </row>
    <row r="177" spans="1:16" x14ac:dyDescent="0.25">
      <c r="A177" s="2" t="s">
        <v>6</v>
      </c>
      <c r="B177" s="2">
        <v>2016</v>
      </c>
      <c r="C177" s="2" t="s">
        <v>29</v>
      </c>
      <c r="D177" s="2" t="s">
        <v>36</v>
      </c>
      <c r="E177" s="2" t="s">
        <v>9</v>
      </c>
      <c r="F177" s="2" t="s">
        <v>10</v>
      </c>
      <c r="G177" s="2">
        <f t="shared" si="8"/>
        <v>0.34135253741420052</v>
      </c>
      <c r="H177" s="5">
        <v>4.0994594594594593</v>
      </c>
      <c r="I177" s="2">
        <v>740</v>
      </c>
      <c r="J177" s="57">
        <f>I177/Pondération!$G$39</f>
        <v>8.3267694385056823E-2</v>
      </c>
      <c r="K177" s="2"/>
      <c r="L177" s="2"/>
      <c r="M177" s="2"/>
      <c r="N177" s="2"/>
      <c r="O177" s="2"/>
      <c r="P177"/>
    </row>
    <row r="178" spans="1:16" x14ac:dyDescent="0.25">
      <c r="A178" s="2" t="s">
        <v>6</v>
      </c>
      <c r="B178" s="2">
        <v>2017</v>
      </c>
      <c r="C178" s="2" t="s">
        <v>30</v>
      </c>
      <c r="D178" s="2" t="s">
        <v>36</v>
      </c>
      <c r="E178" s="2" t="s">
        <v>9</v>
      </c>
      <c r="F178" s="2" t="s">
        <v>10</v>
      </c>
      <c r="G178" s="2">
        <f t="shared" si="8"/>
        <v>0.65918263350998774</v>
      </c>
      <c r="H178" s="5">
        <v>4.0884323640960805</v>
      </c>
      <c r="I178" s="2">
        <v>791</v>
      </c>
      <c r="J178" s="57">
        <f>I178/Pondération!$F$39</f>
        <v>0.16123114553607829</v>
      </c>
      <c r="K178" s="2"/>
      <c r="L178" s="2"/>
      <c r="M178" s="2"/>
      <c r="N178" s="2"/>
      <c r="O178" s="2"/>
      <c r="P178"/>
    </row>
    <row r="179" spans="1:16" x14ac:dyDescent="0.25">
      <c r="A179" s="2" t="s">
        <v>6</v>
      </c>
      <c r="B179" s="2">
        <v>2017</v>
      </c>
      <c r="C179" s="2" t="s">
        <v>31</v>
      </c>
      <c r="D179" s="2" t="s">
        <v>36</v>
      </c>
      <c r="E179" s="2" t="s">
        <v>9</v>
      </c>
      <c r="F179" s="2" t="s">
        <v>10</v>
      </c>
      <c r="G179" s="2">
        <f t="shared" si="8"/>
        <v>0.77061761108846516</v>
      </c>
      <c r="H179" s="5">
        <v>4.150000000000011</v>
      </c>
      <c r="I179" s="2">
        <v>911</v>
      </c>
      <c r="J179" s="57">
        <f>I179/Pondération!$F$39</f>
        <v>0.18569099062372604</v>
      </c>
      <c r="K179" s="2"/>
      <c r="L179" s="2"/>
      <c r="M179" s="2"/>
      <c r="N179" s="2"/>
      <c r="O179" s="2"/>
      <c r="P179"/>
    </row>
    <row r="180" spans="1:16" x14ac:dyDescent="0.25">
      <c r="A180" s="2" t="s">
        <v>6</v>
      </c>
      <c r="B180" s="2">
        <v>2017</v>
      </c>
      <c r="C180" s="2" t="s">
        <v>32</v>
      </c>
      <c r="D180" s="2" t="s">
        <v>36</v>
      </c>
      <c r="E180" s="2" t="s">
        <v>9</v>
      </c>
      <c r="F180" s="2" t="s">
        <v>10</v>
      </c>
      <c r="G180" s="2">
        <f t="shared" si="8"/>
        <v>0.71246432939258253</v>
      </c>
      <c r="H180" s="5">
        <v>4.1121764705882473</v>
      </c>
      <c r="I180" s="2">
        <v>850</v>
      </c>
      <c r="J180" s="57">
        <f>I180/Pondération!$F$39</f>
        <v>0.17325723603750509</v>
      </c>
      <c r="K180" s="2"/>
      <c r="L180" s="2"/>
      <c r="M180" s="2"/>
      <c r="N180" s="2"/>
      <c r="O180" s="2"/>
      <c r="P180"/>
    </row>
    <row r="181" spans="1:16" x14ac:dyDescent="0.25">
      <c r="A181" s="2" t="s">
        <v>6</v>
      </c>
      <c r="B181" s="2">
        <v>2017</v>
      </c>
      <c r="C181" s="2" t="s">
        <v>33</v>
      </c>
      <c r="D181" s="2" t="s">
        <v>36</v>
      </c>
      <c r="E181" s="2" t="s">
        <v>9</v>
      </c>
      <c r="F181" s="2" t="s">
        <v>10</v>
      </c>
      <c r="G181" s="2">
        <f t="shared" si="8"/>
        <v>1.1147982062780268</v>
      </c>
      <c r="H181" s="5">
        <v>4.0422764227642274</v>
      </c>
      <c r="I181" s="2">
        <v>1353</v>
      </c>
      <c r="J181" s="57">
        <f>I181/Pondération!$F$39</f>
        <v>0.27578475336322872</v>
      </c>
      <c r="K181" s="2"/>
      <c r="L181" s="2"/>
      <c r="M181" s="2"/>
      <c r="N181" s="2"/>
      <c r="O181" s="2"/>
      <c r="P181"/>
    </row>
    <row r="182" spans="1:16" x14ac:dyDescent="0.25">
      <c r="A182" s="2" t="s">
        <v>6</v>
      </c>
      <c r="B182" s="2">
        <v>2017</v>
      </c>
      <c r="C182" s="2" t="s">
        <v>34</v>
      </c>
      <c r="D182" s="2" t="s">
        <v>36</v>
      </c>
      <c r="E182" s="2" t="s">
        <v>9</v>
      </c>
      <c r="F182" s="2" t="s">
        <v>10</v>
      </c>
      <c r="G182" s="2">
        <f t="shared" si="8"/>
        <v>0.83312270688952517</v>
      </c>
      <c r="H182" s="5">
        <v>4.0832167832167938</v>
      </c>
      <c r="I182" s="2">
        <v>1001</v>
      </c>
      <c r="J182" s="57">
        <f>I182/Pondération!$F$39</f>
        <v>0.20403587443946189</v>
      </c>
      <c r="K182" s="2"/>
      <c r="L182" s="2"/>
      <c r="M182" s="2"/>
      <c r="N182" s="2"/>
      <c r="O182" s="2"/>
      <c r="P182"/>
    </row>
    <row r="183" spans="1:16" x14ac:dyDescent="0.25">
      <c r="A183" s="2" t="s">
        <v>47</v>
      </c>
      <c r="B183" s="2">
        <v>2013</v>
      </c>
      <c r="C183" s="2" t="s">
        <v>49</v>
      </c>
      <c r="D183" s="2" t="s">
        <v>36</v>
      </c>
      <c r="E183" s="2" t="s">
        <v>9</v>
      </c>
      <c r="F183" s="2" t="s">
        <v>48</v>
      </c>
      <c r="G183" s="2">
        <f t="shared" si="8"/>
        <v>0.20774647887323941</v>
      </c>
      <c r="H183" s="5">
        <v>4.3382352941176467</v>
      </c>
      <c r="I183" s="2">
        <v>17</v>
      </c>
      <c r="J183" s="57">
        <f>I183/Pondération!$J$40</f>
        <v>4.788732394366197E-2</v>
      </c>
      <c r="K183" s="5">
        <v>4.4705882352941178</v>
      </c>
      <c r="L183" s="5">
        <f t="shared" ref="L183:L235" si="9">K183*$J183</f>
        <v>0.21408450704225351</v>
      </c>
      <c r="M183" s="5">
        <v>4.2941176470588234</v>
      </c>
      <c r="N183" s="5">
        <f t="shared" ref="N183:N235" si="10">M183*$J183</f>
        <v>0.20563380281690138</v>
      </c>
      <c r="O183" s="5">
        <v>4.117647058823529</v>
      </c>
      <c r="P183" s="15">
        <f t="shared" ref="P183:P235" si="11">O183*$J183</f>
        <v>0.19718309859154928</v>
      </c>
    </row>
    <row r="184" spans="1:16" x14ac:dyDescent="0.25">
      <c r="A184" s="2" t="s">
        <v>47</v>
      </c>
      <c r="B184" s="2">
        <v>2013</v>
      </c>
      <c r="C184" s="2" t="s">
        <v>50</v>
      </c>
      <c r="D184" s="2" t="s">
        <v>36</v>
      </c>
      <c r="E184" s="2" t="s">
        <v>9</v>
      </c>
      <c r="F184" s="2" t="s">
        <v>48</v>
      </c>
      <c r="G184" s="2">
        <f t="shared" si="8"/>
        <v>0.45704225352112671</v>
      </c>
      <c r="H184" s="5">
        <v>4.2697368421052628</v>
      </c>
      <c r="I184" s="2">
        <v>38</v>
      </c>
      <c r="J184" s="57">
        <f>I184/Pondération!$J$40</f>
        <v>0.10704225352112676</v>
      </c>
      <c r="K184" s="5">
        <v>4.3947368421052628</v>
      </c>
      <c r="L184" s="5">
        <f t="shared" si="9"/>
        <v>0.47042253521126753</v>
      </c>
      <c r="M184" s="5">
        <v>4.0526315789473681</v>
      </c>
      <c r="N184" s="5">
        <f t="shared" si="10"/>
        <v>0.43380281690140843</v>
      </c>
      <c r="O184" s="5">
        <v>4.2368421052631575</v>
      </c>
      <c r="P184" s="15">
        <f t="shared" si="11"/>
        <v>0.45352112676056333</v>
      </c>
    </row>
    <row r="185" spans="1:16" x14ac:dyDescent="0.25">
      <c r="A185" s="2" t="s">
        <v>47</v>
      </c>
      <c r="B185" s="2">
        <v>2013</v>
      </c>
      <c r="C185" s="2" t="s">
        <v>51</v>
      </c>
      <c r="D185" s="2" t="s">
        <v>36</v>
      </c>
      <c r="E185" s="2" t="s">
        <v>9</v>
      </c>
      <c r="F185" s="2" t="s">
        <v>48</v>
      </c>
      <c r="G185" s="2">
        <f t="shared" si="8"/>
        <v>0.31830985915492954</v>
      </c>
      <c r="H185" s="5">
        <v>4.3461538461538458</v>
      </c>
      <c r="I185" s="2">
        <v>26</v>
      </c>
      <c r="J185" s="57">
        <f>I185/Pondération!$J$40</f>
        <v>7.3239436619718309E-2</v>
      </c>
      <c r="K185" s="5">
        <v>4.3461538461538458</v>
      </c>
      <c r="L185" s="5">
        <f t="shared" si="9"/>
        <v>0.31830985915492954</v>
      </c>
      <c r="M185" s="5">
        <v>4.5769230769230766</v>
      </c>
      <c r="N185" s="5">
        <f t="shared" si="10"/>
        <v>0.3352112676056338</v>
      </c>
      <c r="O185" s="5">
        <v>4.115384615384615</v>
      </c>
      <c r="P185" s="15">
        <f t="shared" si="11"/>
        <v>0.30140845070422534</v>
      </c>
    </row>
    <row r="186" spans="1:16" x14ac:dyDescent="0.25">
      <c r="A186" s="2" t="s">
        <v>47</v>
      </c>
      <c r="B186" s="2">
        <v>2013</v>
      </c>
      <c r="C186" s="2" t="s">
        <v>52</v>
      </c>
      <c r="D186" s="2" t="s">
        <v>36</v>
      </c>
      <c r="E186" s="2" t="s">
        <v>9</v>
      </c>
      <c r="F186" s="2" t="s">
        <v>48</v>
      </c>
      <c r="G186" s="2">
        <f t="shared" si="8"/>
        <v>0.43169014084507046</v>
      </c>
      <c r="H186" s="5">
        <v>4.507352941176471</v>
      </c>
      <c r="I186" s="2">
        <v>34</v>
      </c>
      <c r="J186" s="57">
        <f>I186/Pondération!$J$40</f>
        <v>9.5774647887323941E-2</v>
      </c>
      <c r="K186" s="5">
        <v>4.617647058823529</v>
      </c>
      <c r="L186" s="5">
        <f t="shared" si="9"/>
        <v>0.44225352112676053</v>
      </c>
      <c r="M186" s="5">
        <v>4.5588235294117645</v>
      </c>
      <c r="N186" s="5">
        <f t="shared" si="10"/>
        <v>0.43661971830985913</v>
      </c>
      <c r="O186" s="5">
        <v>4.2352941176470589</v>
      </c>
      <c r="P186" s="15">
        <f t="shared" si="11"/>
        <v>0.40563380281690142</v>
      </c>
    </row>
    <row r="187" spans="1:16" x14ac:dyDescent="0.25">
      <c r="A187" s="2" t="s">
        <v>47</v>
      </c>
      <c r="B187" s="2">
        <v>2013</v>
      </c>
      <c r="C187" s="2" t="s">
        <v>53</v>
      </c>
      <c r="D187" s="2" t="s">
        <v>36</v>
      </c>
      <c r="E187" s="2" t="s">
        <v>9</v>
      </c>
      <c r="F187" s="2" t="s">
        <v>48</v>
      </c>
      <c r="G187" s="2">
        <f t="shared" si="8"/>
        <v>0.38732394366197181</v>
      </c>
      <c r="H187" s="5">
        <v>4.435483870967742</v>
      </c>
      <c r="I187" s="2">
        <v>31</v>
      </c>
      <c r="J187" s="57">
        <f>I187/Pondération!$J$40</f>
        <v>8.7323943661971826E-2</v>
      </c>
      <c r="K187" s="5">
        <v>4.419354838709677</v>
      </c>
      <c r="L187" s="5">
        <f t="shared" si="9"/>
        <v>0.38591549295774641</v>
      </c>
      <c r="M187" s="5">
        <v>4.580645161290323</v>
      </c>
      <c r="N187" s="5">
        <f t="shared" si="10"/>
        <v>0.4</v>
      </c>
      <c r="O187" s="5">
        <v>4.32258064516129</v>
      </c>
      <c r="P187" s="15">
        <f t="shared" si="11"/>
        <v>0.37746478873239431</v>
      </c>
    </row>
    <row r="188" spans="1:16" x14ac:dyDescent="0.25">
      <c r="A188" s="2" t="s">
        <v>47</v>
      </c>
      <c r="B188" s="2">
        <v>2013</v>
      </c>
      <c r="C188" s="2" t="s">
        <v>54</v>
      </c>
      <c r="D188" s="2" t="s">
        <v>36</v>
      </c>
      <c r="E188" s="2" t="s">
        <v>9</v>
      </c>
      <c r="F188" s="2" t="s">
        <v>48</v>
      </c>
      <c r="G188" s="2">
        <f t="shared" si="8"/>
        <v>0.29225352112676056</v>
      </c>
      <c r="H188" s="5">
        <v>4.5108695652173916</v>
      </c>
      <c r="I188" s="2">
        <v>23</v>
      </c>
      <c r="J188" s="57">
        <f>I188/Pondération!$J$40</f>
        <v>6.4788732394366194E-2</v>
      </c>
      <c r="K188" s="5">
        <v>4.5217391304347823</v>
      </c>
      <c r="L188" s="5">
        <f t="shared" si="9"/>
        <v>0.29295774647887318</v>
      </c>
      <c r="M188" s="5">
        <v>4.6956521739130439</v>
      </c>
      <c r="N188" s="5">
        <f t="shared" si="10"/>
        <v>0.3042253521126761</v>
      </c>
      <c r="O188" s="5">
        <v>4.3043478260869561</v>
      </c>
      <c r="P188" s="15">
        <f t="shared" si="11"/>
        <v>0.27887323943661968</v>
      </c>
    </row>
    <row r="189" spans="1:16" x14ac:dyDescent="0.25">
      <c r="A189" s="2" t="s">
        <v>47</v>
      </c>
      <c r="B189" s="2">
        <v>2013</v>
      </c>
      <c r="C189" s="2" t="s">
        <v>55</v>
      </c>
      <c r="D189" s="2" t="s">
        <v>36</v>
      </c>
      <c r="E189" s="2" t="s">
        <v>9</v>
      </c>
      <c r="F189" s="2" t="s">
        <v>48</v>
      </c>
      <c r="G189" s="2">
        <f t="shared" si="8"/>
        <v>0.28450704225352114</v>
      </c>
      <c r="H189" s="5">
        <v>4.3913043478260869</v>
      </c>
      <c r="I189" s="2">
        <v>23</v>
      </c>
      <c r="J189" s="57">
        <f>I189/Pondération!$J$40</f>
        <v>6.4788732394366194E-2</v>
      </c>
      <c r="K189" s="5">
        <v>4.4347826086956523</v>
      </c>
      <c r="L189" s="5">
        <f t="shared" si="9"/>
        <v>0.28732394366197184</v>
      </c>
      <c r="M189" s="5">
        <v>4.3478260869565215</v>
      </c>
      <c r="N189" s="5">
        <f t="shared" si="10"/>
        <v>0.28169014084507038</v>
      </c>
      <c r="O189" s="5">
        <v>4.3478260869565215</v>
      </c>
      <c r="P189" s="15">
        <f t="shared" si="11"/>
        <v>0.28169014084507038</v>
      </c>
    </row>
    <row r="190" spans="1:16" x14ac:dyDescent="0.25">
      <c r="A190" s="2" t="s">
        <v>47</v>
      </c>
      <c r="B190" s="2">
        <v>2013</v>
      </c>
      <c r="C190" s="2" t="s">
        <v>56</v>
      </c>
      <c r="D190" s="2" t="s">
        <v>36</v>
      </c>
      <c r="E190" s="2" t="s">
        <v>9</v>
      </c>
      <c r="F190" s="2" t="s">
        <v>48</v>
      </c>
      <c r="G190" s="2">
        <f t="shared" si="8"/>
        <v>0.59859154929577452</v>
      </c>
      <c r="H190" s="5">
        <v>4.5212765957446805</v>
      </c>
      <c r="I190" s="2">
        <v>47</v>
      </c>
      <c r="J190" s="57">
        <f>I190/Pondération!$J$40</f>
        <v>0.13239436619718309</v>
      </c>
      <c r="K190" s="5">
        <v>4.4468085106382977</v>
      </c>
      <c r="L190" s="5">
        <f t="shared" si="9"/>
        <v>0.58873239436619718</v>
      </c>
      <c r="M190" s="5">
        <v>4.7234042553191493</v>
      </c>
      <c r="N190" s="5">
        <f t="shared" si="10"/>
        <v>0.62535211267605639</v>
      </c>
      <c r="O190" s="5">
        <v>4.4680851063829783</v>
      </c>
      <c r="P190" s="15">
        <f t="shared" si="11"/>
        <v>0.59154929577464777</v>
      </c>
    </row>
    <row r="191" spans="1:16" x14ac:dyDescent="0.25">
      <c r="A191" s="2" t="s">
        <v>47</v>
      </c>
      <c r="B191" s="2">
        <v>2013</v>
      </c>
      <c r="C191" s="2" t="s">
        <v>57</v>
      </c>
      <c r="D191" s="2" t="s">
        <v>36</v>
      </c>
      <c r="E191" s="2" t="s">
        <v>9</v>
      </c>
      <c r="F191" s="2" t="s">
        <v>48</v>
      </c>
      <c r="G191" s="2">
        <f t="shared" si="8"/>
        <v>0.39507042253521124</v>
      </c>
      <c r="H191" s="5">
        <v>4.524193548387097</v>
      </c>
      <c r="I191" s="2">
        <v>31</v>
      </c>
      <c r="J191" s="57">
        <f>I191/Pondération!$J$40</f>
        <v>8.7323943661971826E-2</v>
      </c>
      <c r="K191" s="5">
        <v>4.612903225806452</v>
      </c>
      <c r="L191" s="5">
        <f t="shared" si="9"/>
        <v>0.40281690140845072</v>
      </c>
      <c r="M191" s="5">
        <v>4.419354838709677</v>
      </c>
      <c r="N191" s="5">
        <f t="shared" si="10"/>
        <v>0.38591549295774641</v>
      </c>
      <c r="O191" s="5">
        <v>4.4516129032258061</v>
      </c>
      <c r="P191" s="15">
        <f t="shared" si="11"/>
        <v>0.38873239436619711</v>
      </c>
    </row>
    <row r="192" spans="1:16" x14ac:dyDescent="0.25">
      <c r="A192" s="2" t="s">
        <v>47</v>
      </c>
      <c r="B192" s="2">
        <v>2013</v>
      </c>
      <c r="C192" s="2" t="s">
        <v>58</v>
      </c>
      <c r="D192" s="2" t="s">
        <v>36</v>
      </c>
      <c r="E192" s="2" t="s">
        <v>9</v>
      </c>
      <c r="F192" s="2" t="s">
        <v>48</v>
      </c>
      <c r="G192" s="2">
        <f t="shared" si="8"/>
        <v>0.32042253521126762</v>
      </c>
      <c r="H192" s="5">
        <v>4.375</v>
      </c>
      <c r="I192" s="2">
        <v>26</v>
      </c>
      <c r="J192" s="57">
        <f>I192/Pondération!$J$40</f>
        <v>7.3239436619718309E-2</v>
      </c>
      <c r="K192" s="5">
        <v>4.2307692307692308</v>
      </c>
      <c r="L192" s="5">
        <f t="shared" si="9"/>
        <v>0.30985915492957744</v>
      </c>
      <c r="M192" s="5">
        <v>4.5384615384615383</v>
      </c>
      <c r="N192" s="5">
        <f t="shared" si="10"/>
        <v>0.3323943661971831</v>
      </c>
      <c r="O192" s="5">
        <v>4.5</v>
      </c>
      <c r="P192" s="15">
        <f t="shared" si="11"/>
        <v>0.3295774647887324</v>
      </c>
    </row>
    <row r="193" spans="1:16" x14ac:dyDescent="0.25">
      <c r="A193" s="2" t="s">
        <v>47</v>
      </c>
      <c r="B193" s="2">
        <v>2013</v>
      </c>
      <c r="C193" s="2" t="s">
        <v>59</v>
      </c>
      <c r="D193" s="2" t="s">
        <v>36</v>
      </c>
      <c r="E193" s="2" t="s">
        <v>9</v>
      </c>
      <c r="F193" s="2" t="s">
        <v>48</v>
      </c>
      <c r="G193" s="2">
        <f t="shared" si="8"/>
        <v>0.38802816901408449</v>
      </c>
      <c r="H193" s="5">
        <v>4.443548387096774</v>
      </c>
      <c r="I193" s="2">
        <v>31</v>
      </c>
      <c r="J193" s="57">
        <f>I193/Pondération!$J$40</f>
        <v>8.7323943661971826E-2</v>
      </c>
      <c r="K193" s="5">
        <v>4.580645161290323</v>
      </c>
      <c r="L193" s="5">
        <f t="shared" si="9"/>
        <v>0.4</v>
      </c>
      <c r="M193" s="5">
        <v>4.4516129032258061</v>
      </c>
      <c r="N193" s="5">
        <f t="shared" si="10"/>
        <v>0.38873239436619711</v>
      </c>
      <c r="O193" s="5">
        <v>4.161290322580645</v>
      </c>
      <c r="P193" s="15">
        <f t="shared" si="11"/>
        <v>0.36338028169014081</v>
      </c>
    </row>
    <row r="194" spans="1:16" x14ac:dyDescent="0.25">
      <c r="A194" s="2" t="s">
        <v>47</v>
      </c>
      <c r="B194" s="2">
        <v>2013</v>
      </c>
      <c r="C194" s="2" t="s">
        <v>60</v>
      </c>
      <c r="D194" s="2" t="s">
        <v>36</v>
      </c>
      <c r="E194" s="2" t="s">
        <v>9</v>
      </c>
      <c r="F194" s="2" t="s">
        <v>48</v>
      </c>
      <c r="G194" s="2">
        <f t="shared" ref="G194:G257" si="12">H194*J194</f>
        <v>0.34436619718309863</v>
      </c>
      <c r="H194" s="5">
        <v>4.3660714285714288</v>
      </c>
      <c r="I194" s="2">
        <v>28</v>
      </c>
      <c r="J194" s="57">
        <f>I194/Pondération!$J$40</f>
        <v>7.8873239436619724E-2</v>
      </c>
      <c r="K194" s="5">
        <v>4.3928571428571432</v>
      </c>
      <c r="L194" s="5">
        <f t="shared" si="9"/>
        <v>0.34647887323943666</v>
      </c>
      <c r="M194" s="5">
        <v>4.3571428571428568</v>
      </c>
      <c r="N194" s="5">
        <f t="shared" si="10"/>
        <v>0.3436619718309859</v>
      </c>
      <c r="O194" s="5">
        <v>4.3214285714285712</v>
      </c>
      <c r="P194" s="15">
        <f t="shared" si="11"/>
        <v>0.3408450704225352</v>
      </c>
    </row>
    <row r="195" spans="1:16" x14ac:dyDescent="0.25">
      <c r="A195" s="2" t="s">
        <v>47</v>
      </c>
      <c r="B195" s="2">
        <v>2014</v>
      </c>
      <c r="C195" s="2" t="s">
        <v>61</v>
      </c>
      <c r="D195" s="2" t="s">
        <v>36</v>
      </c>
      <c r="E195" s="2" t="s">
        <v>9</v>
      </c>
      <c r="F195" s="2" t="s">
        <v>48</v>
      </c>
      <c r="G195" s="2">
        <f t="shared" si="12"/>
        <v>0.17064144736842105</v>
      </c>
      <c r="H195" s="5">
        <v>4.322916666666667</v>
      </c>
      <c r="I195" s="2">
        <v>24</v>
      </c>
      <c r="J195" s="57">
        <f>I195/Pondération!$I$40</f>
        <v>3.9473684210526314E-2</v>
      </c>
      <c r="K195" s="5">
        <v>4.291666666666667</v>
      </c>
      <c r="L195" s="5">
        <f t="shared" si="9"/>
        <v>0.16940789473684212</v>
      </c>
      <c r="M195" s="5">
        <v>4.5</v>
      </c>
      <c r="N195" s="5">
        <f t="shared" si="10"/>
        <v>0.17763157894736842</v>
      </c>
      <c r="O195" s="5">
        <v>4.208333333333333</v>
      </c>
      <c r="P195" s="15">
        <f t="shared" si="11"/>
        <v>0.16611842105263155</v>
      </c>
    </row>
    <row r="196" spans="1:16" x14ac:dyDescent="0.25">
      <c r="A196" s="2" t="s">
        <v>47</v>
      </c>
      <c r="B196" s="2">
        <v>2014</v>
      </c>
      <c r="C196" s="2" t="s">
        <v>62</v>
      </c>
      <c r="D196" s="2" t="s">
        <v>36</v>
      </c>
      <c r="E196" s="2" t="s">
        <v>9</v>
      </c>
      <c r="F196" s="2" t="s">
        <v>48</v>
      </c>
      <c r="G196" s="2">
        <f t="shared" si="12"/>
        <v>0.42434210526315785</v>
      </c>
      <c r="H196" s="5">
        <v>4.3728813559322033</v>
      </c>
      <c r="I196" s="2">
        <v>59</v>
      </c>
      <c r="J196" s="57">
        <f>I196/Pondération!$I$40</f>
        <v>9.7039473684210523E-2</v>
      </c>
      <c r="K196" s="5">
        <v>4.3389830508474576</v>
      </c>
      <c r="L196" s="5">
        <f t="shared" si="9"/>
        <v>0.42105263157894735</v>
      </c>
      <c r="M196" s="5">
        <v>4.5254237288135597</v>
      </c>
      <c r="N196" s="5">
        <f t="shared" si="10"/>
        <v>0.43914473684210531</v>
      </c>
      <c r="O196" s="5">
        <v>4.2881355932203391</v>
      </c>
      <c r="P196" s="15">
        <f t="shared" si="11"/>
        <v>0.41611842105263158</v>
      </c>
    </row>
    <row r="197" spans="1:16" x14ac:dyDescent="0.25">
      <c r="A197" s="2" t="s">
        <v>47</v>
      </c>
      <c r="B197" s="2">
        <v>2014</v>
      </c>
      <c r="C197" s="2" t="s">
        <v>63</v>
      </c>
      <c r="D197" s="2" t="s">
        <v>36</v>
      </c>
      <c r="E197" s="2" t="s">
        <v>9</v>
      </c>
      <c r="F197" s="2" t="s">
        <v>48</v>
      </c>
      <c r="G197" s="2">
        <f t="shared" si="12"/>
        <v>0.27796052631578949</v>
      </c>
      <c r="H197" s="5">
        <v>4.4473684210526319</v>
      </c>
      <c r="I197" s="2">
        <v>38</v>
      </c>
      <c r="J197" s="57">
        <f>I197/Pondération!$I$40</f>
        <v>6.25E-2</v>
      </c>
      <c r="K197" s="5">
        <v>4.5</v>
      </c>
      <c r="L197" s="5">
        <f t="shared" si="9"/>
        <v>0.28125</v>
      </c>
      <c r="M197" s="5">
        <v>4.4210526315789478</v>
      </c>
      <c r="N197" s="5">
        <f t="shared" si="10"/>
        <v>0.27631578947368424</v>
      </c>
      <c r="O197" s="5">
        <v>4.3684210526315788</v>
      </c>
      <c r="P197" s="15">
        <f t="shared" si="11"/>
        <v>0.27302631578947367</v>
      </c>
    </row>
    <row r="198" spans="1:16" x14ac:dyDescent="0.25">
      <c r="A198" s="2" t="s">
        <v>47</v>
      </c>
      <c r="B198" s="2">
        <v>2014</v>
      </c>
      <c r="C198" s="2" t="s">
        <v>64</v>
      </c>
      <c r="D198" s="2" t="s">
        <v>36</v>
      </c>
      <c r="E198" s="2" t="s">
        <v>9</v>
      </c>
      <c r="F198" s="2" t="s">
        <v>48</v>
      </c>
      <c r="G198" s="2">
        <f t="shared" si="12"/>
        <v>0.26027960526315785</v>
      </c>
      <c r="H198" s="5">
        <v>4.395833333333333</v>
      </c>
      <c r="I198" s="2">
        <v>36</v>
      </c>
      <c r="J198" s="57">
        <f>I198/Pondération!$I$40</f>
        <v>5.921052631578947E-2</v>
      </c>
      <c r="K198" s="5">
        <v>4.416666666666667</v>
      </c>
      <c r="L198" s="5">
        <f t="shared" si="9"/>
        <v>0.26151315789473684</v>
      </c>
      <c r="M198" s="5">
        <v>4.3611111111111107</v>
      </c>
      <c r="N198" s="5">
        <f t="shared" si="10"/>
        <v>0.25822368421052627</v>
      </c>
      <c r="O198" s="5">
        <v>4.3888888888888893</v>
      </c>
      <c r="P198" s="15">
        <f t="shared" si="11"/>
        <v>0.25986842105263158</v>
      </c>
    </row>
    <row r="199" spans="1:16" x14ac:dyDescent="0.25">
      <c r="A199" s="2" t="s">
        <v>47</v>
      </c>
      <c r="B199" s="2">
        <v>2014</v>
      </c>
      <c r="C199" s="2" t="s">
        <v>65</v>
      </c>
      <c r="D199" s="2" t="s">
        <v>36</v>
      </c>
      <c r="E199" s="2" t="s">
        <v>9</v>
      </c>
      <c r="F199" s="2" t="s">
        <v>48</v>
      </c>
      <c r="G199" s="2">
        <f t="shared" si="12"/>
        <v>0.45888157894736842</v>
      </c>
      <c r="H199" s="5">
        <v>4.5</v>
      </c>
      <c r="I199" s="2">
        <v>62</v>
      </c>
      <c r="J199" s="57">
        <f>I199/Pondération!$I$40</f>
        <v>0.10197368421052631</v>
      </c>
      <c r="K199" s="5">
        <v>4.564516129032258</v>
      </c>
      <c r="L199" s="5">
        <f t="shared" si="9"/>
        <v>0.46546052631578944</v>
      </c>
      <c r="M199" s="5">
        <v>4.580645161290323</v>
      </c>
      <c r="N199" s="5">
        <f t="shared" si="10"/>
        <v>0.46710526315789475</v>
      </c>
      <c r="O199" s="5">
        <v>4.290322580645161</v>
      </c>
      <c r="P199" s="15">
        <f t="shared" si="11"/>
        <v>0.43749999999999994</v>
      </c>
    </row>
    <row r="200" spans="1:16" x14ac:dyDescent="0.25">
      <c r="A200" s="2" t="s">
        <v>47</v>
      </c>
      <c r="B200" s="2">
        <v>2014</v>
      </c>
      <c r="C200" s="2" t="s">
        <v>66</v>
      </c>
      <c r="D200" s="2" t="s">
        <v>36</v>
      </c>
      <c r="E200" s="2" t="s">
        <v>9</v>
      </c>
      <c r="F200" s="2" t="s">
        <v>48</v>
      </c>
      <c r="G200" s="2">
        <f t="shared" si="12"/>
        <v>0.31003289473684215</v>
      </c>
      <c r="H200" s="5">
        <v>4.4880952380952381</v>
      </c>
      <c r="I200" s="2">
        <v>42</v>
      </c>
      <c r="J200" s="57">
        <f>I200/Pondération!$I$40</f>
        <v>6.9078947368421059E-2</v>
      </c>
      <c r="K200" s="5">
        <v>4.5476190476190474</v>
      </c>
      <c r="L200" s="5">
        <f t="shared" si="9"/>
        <v>0.31414473684210525</v>
      </c>
      <c r="M200" s="5">
        <v>4.4761904761904763</v>
      </c>
      <c r="N200" s="5">
        <f t="shared" si="10"/>
        <v>0.30921052631578949</v>
      </c>
      <c r="O200" s="5">
        <v>4.3809523809523814</v>
      </c>
      <c r="P200" s="15">
        <f t="shared" si="11"/>
        <v>0.30263157894736847</v>
      </c>
    </row>
    <row r="201" spans="1:16" x14ac:dyDescent="0.25">
      <c r="A201" s="2" t="s">
        <v>47</v>
      </c>
      <c r="B201" s="2">
        <v>2014</v>
      </c>
      <c r="C201" s="2" t="s">
        <v>67</v>
      </c>
      <c r="D201" s="2" t="s">
        <v>36</v>
      </c>
      <c r="E201" s="2" t="s">
        <v>9</v>
      </c>
      <c r="F201" s="2" t="s">
        <v>48</v>
      </c>
      <c r="G201" s="2">
        <f t="shared" si="12"/>
        <v>0.3819901315789474</v>
      </c>
      <c r="H201" s="5">
        <v>4.4663461538461542</v>
      </c>
      <c r="I201" s="2">
        <v>52</v>
      </c>
      <c r="J201" s="57">
        <f>I201/Pondération!$I$40</f>
        <v>8.5526315789473686E-2</v>
      </c>
      <c r="K201" s="5">
        <v>4.4615384615384617</v>
      </c>
      <c r="L201" s="5">
        <f t="shared" si="9"/>
        <v>0.38157894736842107</v>
      </c>
      <c r="M201" s="5">
        <v>4.5</v>
      </c>
      <c r="N201" s="5">
        <f t="shared" si="10"/>
        <v>0.38486842105263158</v>
      </c>
      <c r="O201" s="5">
        <v>4.4423076923076925</v>
      </c>
      <c r="P201" s="15">
        <f t="shared" si="11"/>
        <v>0.37993421052631582</v>
      </c>
    </row>
    <row r="202" spans="1:16" x14ac:dyDescent="0.25">
      <c r="A202" s="2" t="s">
        <v>47</v>
      </c>
      <c r="B202" s="2">
        <v>2014</v>
      </c>
      <c r="C202" s="2" t="s">
        <v>68</v>
      </c>
      <c r="D202" s="2" t="s">
        <v>36</v>
      </c>
      <c r="E202" s="2" t="s">
        <v>9</v>
      </c>
      <c r="F202" s="2" t="s">
        <v>48</v>
      </c>
      <c r="G202" s="2">
        <f t="shared" si="12"/>
        <v>0.51439144736842102</v>
      </c>
      <c r="H202" s="5">
        <v>4.34375</v>
      </c>
      <c r="I202" s="2">
        <v>72</v>
      </c>
      <c r="J202" s="57">
        <f>I202/Pondération!$I$40</f>
        <v>0.11842105263157894</v>
      </c>
      <c r="K202" s="5">
        <v>4.3055555555555554</v>
      </c>
      <c r="L202" s="5">
        <f t="shared" si="9"/>
        <v>0.50986842105263153</v>
      </c>
      <c r="M202" s="5">
        <v>4.3888888888888893</v>
      </c>
      <c r="N202" s="5">
        <f t="shared" si="10"/>
        <v>0.51973684210526316</v>
      </c>
      <c r="O202" s="5">
        <v>4.375</v>
      </c>
      <c r="P202" s="15">
        <f t="shared" si="11"/>
        <v>0.51809210526315785</v>
      </c>
    </row>
    <row r="203" spans="1:16" x14ac:dyDescent="0.25">
      <c r="A203" s="2" t="s">
        <v>47</v>
      </c>
      <c r="B203" s="2">
        <v>2014</v>
      </c>
      <c r="C203" s="2" t="s">
        <v>69</v>
      </c>
      <c r="D203" s="2" t="s">
        <v>36</v>
      </c>
      <c r="E203" s="2" t="s">
        <v>9</v>
      </c>
      <c r="F203" s="2" t="s">
        <v>48</v>
      </c>
      <c r="G203" s="2">
        <f t="shared" si="12"/>
        <v>0.34087171052631571</v>
      </c>
      <c r="H203" s="5">
        <v>4.6055555555555552</v>
      </c>
      <c r="I203" s="2">
        <v>45</v>
      </c>
      <c r="J203" s="57">
        <f>I203/Pondération!$I$40</f>
        <v>7.4013157894736836E-2</v>
      </c>
      <c r="K203" s="5">
        <v>4.7111111111111112</v>
      </c>
      <c r="L203" s="5">
        <f t="shared" si="9"/>
        <v>0.34868421052631576</v>
      </c>
      <c r="M203" s="5">
        <v>4.6222222222222218</v>
      </c>
      <c r="N203" s="5">
        <f t="shared" si="10"/>
        <v>0.34210526315789469</v>
      </c>
      <c r="O203" s="5">
        <v>4.3777777777777782</v>
      </c>
      <c r="P203" s="15">
        <f t="shared" si="11"/>
        <v>0.32401315789473684</v>
      </c>
    </row>
    <row r="204" spans="1:16" x14ac:dyDescent="0.25">
      <c r="A204" s="2" t="s">
        <v>47</v>
      </c>
      <c r="B204" s="2">
        <v>2014</v>
      </c>
      <c r="C204" s="2" t="s">
        <v>70</v>
      </c>
      <c r="D204" s="2" t="s">
        <v>36</v>
      </c>
      <c r="E204" s="2" t="s">
        <v>9</v>
      </c>
      <c r="F204" s="2" t="s">
        <v>48</v>
      </c>
      <c r="G204" s="2">
        <f t="shared" si="12"/>
        <v>0.44449013157894729</v>
      </c>
      <c r="H204" s="5">
        <v>4.3588709677419351</v>
      </c>
      <c r="I204" s="2">
        <v>62</v>
      </c>
      <c r="J204" s="57">
        <f>I204/Pondération!$I$40</f>
        <v>0.10197368421052631</v>
      </c>
      <c r="K204" s="5">
        <v>4.435483870967742</v>
      </c>
      <c r="L204" s="5">
        <f t="shared" si="9"/>
        <v>0.45230263157894735</v>
      </c>
      <c r="M204" s="5">
        <v>4.258064516129032</v>
      </c>
      <c r="N204" s="5">
        <f t="shared" si="10"/>
        <v>0.43421052631578944</v>
      </c>
      <c r="O204" s="5">
        <v>4.306451612903226</v>
      </c>
      <c r="P204" s="15">
        <f t="shared" si="11"/>
        <v>0.43914473684210525</v>
      </c>
    </row>
    <row r="205" spans="1:16" x14ac:dyDescent="0.25">
      <c r="A205" s="2" t="s">
        <v>47</v>
      </c>
      <c r="B205" s="2">
        <v>2014</v>
      </c>
      <c r="C205" s="2" t="s">
        <v>71</v>
      </c>
      <c r="D205" s="2" t="s">
        <v>36</v>
      </c>
      <c r="E205" s="2" t="s">
        <v>9</v>
      </c>
      <c r="F205" s="2" t="s">
        <v>48</v>
      </c>
      <c r="G205" s="2">
        <f t="shared" si="12"/>
        <v>0.44243421052631582</v>
      </c>
      <c r="H205" s="5">
        <v>4.338709677419355</v>
      </c>
      <c r="I205" s="2">
        <v>62</v>
      </c>
      <c r="J205" s="57">
        <f>I205/Pondération!$I$40</f>
        <v>0.10197368421052631</v>
      </c>
      <c r="K205" s="5">
        <v>4.306451612903226</v>
      </c>
      <c r="L205" s="5">
        <f t="shared" si="9"/>
        <v>0.43914473684210525</v>
      </c>
      <c r="M205" s="5">
        <v>4.435483870967742</v>
      </c>
      <c r="N205" s="5">
        <f t="shared" si="10"/>
        <v>0.45230263157894735</v>
      </c>
      <c r="O205" s="5">
        <v>4.306451612903226</v>
      </c>
      <c r="P205" s="15">
        <f t="shared" si="11"/>
        <v>0.43914473684210525</v>
      </c>
    </row>
    <row r="206" spans="1:16" x14ac:dyDescent="0.25">
      <c r="A206" s="2" t="s">
        <v>47</v>
      </c>
      <c r="B206" s="2">
        <v>2014</v>
      </c>
      <c r="C206" s="2" t="s">
        <v>72</v>
      </c>
      <c r="D206" s="2" t="s">
        <v>36</v>
      </c>
      <c r="E206" s="2" t="s">
        <v>9</v>
      </c>
      <c r="F206" s="2" t="s">
        <v>48</v>
      </c>
      <c r="G206" s="2">
        <f t="shared" si="12"/>
        <v>0.39021381578947367</v>
      </c>
      <c r="H206" s="5">
        <v>4.3935185185185182</v>
      </c>
      <c r="I206" s="2">
        <v>54</v>
      </c>
      <c r="J206" s="57">
        <f>I206/Pondération!$I$40</f>
        <v>8.8815789473684209E-2</v>
      </c>
      <c r="K206" s="5">
        <v>4.4259259259259256</v>
      </c>
      <c r="L206" s="5">
        <f t="shared" si="9"/>
        <v>0.39309210526315785</v>
      </c>
      <c r="M206" s="5">
        <v>4.4074074074074074</v>
      </c>
      <c r="N206" s="5">
        <f t="shared" si="10"/>
        <v>0.39144736842105265</v>
      </c>
      <c r="O206" s="5">
        <v>4.3148148148148149</v>
      </c>
      <c r="P206" s="15">
        <f t="shared" si="11"/>
        <v>0.38322368421052633</v>
      </c>
    </row>
    <row r="207" spans="1:16" x14ac:dyDescent="0.25">
      <c r="A207" s="2" t="s">
        <v>47</v>
      </c>
      <c r="B207" s="2">
        <v>2015</v>
      </c>
      <c r="C207" s="2" t="s">
        <v>73</v>
      </c>
      <c r="D207" s="2" t="s">
        <v>36</v>
      </c>
      <c r="E207" s="2" t="s">
        <v>9</v>
      </c>
      <c r="F207" s="2" t="s">
        <v>48</v>
      </c>
      <c r="G207" s="2">
        <f t="shared" si="12"/>
        <v>0.11440677966101695</v>
      </c>
      <c r="H207" s="5">
        <v>4.4134615384615383</v>
      </c>
      <c r="I207" s="2">
        <v>26</v>
      </c>
      <c r="J207" s="57">
        <f>I207/Pondération!$H$40</f>
        <v>2.5922233300099701E-2</v>
      </c>
      <c r="K207" s="5">
        <v>4.4230769230769234</v>
      </c>
      <c r="L207" s="5">
        <f t="shared" si="9"/>
        <v>0.11465603190428715</v>
      </c>
      <c r="M207" s="5">
        <v>4.5</v>
      </c>
      <c r="N207" s="5">
        <f t="shared" si="10"/>
        <v>0.11665004985044866</v>
      </c>
      <c r="O207" s="5">
        <v>4.3076923076923075</v>
      </c>
      <c r="P207" s="15">
        <f t="shared" si="11"/>
        <v>0.11166500498504486</v>
      </c>
    </row>
    <row r="208" spans="1:16" x14ac:dyDescent="0.25">
      <c r="A208" s="2" t="s">
        <v>47</v>
      </c>
      <c r="B208" s="2">
        <v>2015</v>
      </c>
      <c r="C208" s="2" t="s">
        <v>74</v>
      </c>
      <c r="D208" s="2" t="s">
        <v>36</v>
      </c>
      <c r="E208" s="2" t="s">
        <v>9</v>
      </c>
      <c r="F208" s="2" t="s">
        <v>48</v>
      </c>
      <c r="G208" s="2">
        <f t="shared" si="12"/>
        <v>0.39880358923230308</v>
      </c>
      <c r="H208" s="5">
        <v>4.301075268817204</v>
      </c>
      <c r="I208" s="2">
        <v>93</v>
      </c>
      <c r="J208" s="57">
        <f>I208/Pondération!$H$40</f>
        <v>9.2721834496510475E-2</v>
      </c>
      <c r="K208" s="5">
        <v>4.354838709677419</v>
      </c>
      <c r="L208" s="5">
        <f t="shared" si="9"/>
        <v>0.40378863409770688</v>
      </c>
      <c r="M208" s="5">
        <v>4.311827956989247</v>
      </c>
      <c r="N208" s="5">
        <f t="shared" si="10"/>
        <v>0.39980059820538383</v>
      </c>
      <c r="O208" s="5">
        <v>4.182795698924731</v>
      </c>
      <c r="P208" s="15">
        <f t="shared" si="11"/>
        <v>0.38783649052841479</v>
      </c>
    </row>
    <row r="209" spans="1:16" x14ac:dyDescent="0.25">
      <c r="A209" s="2" t="s">
        <v>47</v>
      </c>
      <c r="B209" s="2">
        <v>2015</v>
      </c>
      <c r="C209" s="2" t="s">
        <v>75</v>
      </c>
      <c r="D209" s="2" t="s">
        <v>36</v>
      </c>
      <c r="E209" s="2" t="s">
        <v>9</v>
      </c>
      <c r="F209" s="2" t="s">
        <v>48</v>
      </c>
      <c r="G209" s="2">
        <f t="shared" si="12"/>
        <v>0.32452642073778665</v>
      </c>
      <c r="H209" s="5">
        <v>4.2828947368421053</v>
      </c>
      <c r="I209" s="2">
        <v>76</v>
      </c>
      <c r="J209" s="57">
        <f>I209/Pondération!$H$40</f>
        <v>7.5772681954137583E-2</v>
      </c>
      <c r="K209" s="5">
        <v>4.2236842105263159</v>
      </c>
      <c r="L209" s="5">
        <f t="shared" si="9"/>
        <v>0.32003988035892322</v>
      </c>
      <c r="M209" s="5">
        <v>4.4736842105263159</v>
      </c>
      <c r="N209" s="5">
        <f t="shared" si="10"/>
        <v>0.33898305084745761</v>
      </c>
      <c r="O209" s="5">
        <v>4.2105263157894735</v>
      </c>
      <c r="P209" s="15">
        <f t="shared" si="11"/>
        <v>0.31904287138584242</v>
      </c>
    </row>
    <row r="210" spans="1:16" x14ac:dyDescent="0.25">
      <c r="A210" s="2" t="s">
        <v>47</v>
      </c>
      <c r="B210" s="2">
        <v>2015</v>
      </c>
      <c r="C210" s="2" t="s">
        <v>76</v>
      </c>
      <c r="D210" s="2" t="s">
        <v>36</v>
      </c>
      <c r="E210" s="2" t="s">
        <v>9</v>
      </c>
      <c r="F210" s="2" t="s">
        <v>48</v>
      </c>
      <c r="G210" s="2">
        <f t="shared" si="12"/>
        <v>0.31679960119641082</v>
      </c>
      <c r="H210" s="5">
        <v>4.4131944444444446</v>
      </c>
      <c r="I210" s="2">
        <v>72</v>
      </c>
      <c r="J210" s="57">
        <f>I210/Pondération!$H$40</f>
        <v>7.1784646061814561E-2</v>
      </c>
      <c r="K210" s="5">
        <v>4.3888888888888893</v>
      </c>
      <c r="L210" s="5">
        <f t="shared" si="9"/>
        <v>0.31505483549351948</v>
      </c>
      <c r="M210" s="5">
        <v>4.5</v>
      </c>
      <c r="N210" s="5">
        <f t="shared" si="10"/>
        <v>0.32303090727816552</v>
      </c>
      <c r="O210" s="5">
        <v>4.375</v>
      </c>
      <c r="P210" s="15">
        <f t="shared" si="11"/>
        <v>0.31405782652043868</v>
      </c>
    </row>
    <row r="211" spans="1:16" x14ac:dyDescent="0.25">
      <c r="A211" s="2" t="s">
        <v>47</v>
      </c>
      <c r="B211" s="2">
        <v>2015</v>
      </c>
      <c r="C211" s="2" t="s">
        <v>7</v>
      </c>
      <c r="D211" s="2" t="s">
        <v>36</v>
      </c>
      <c r="E211" s="2" t="s">
        <v>9</v>
      </c>
      <c r="F211" s="2" t="s">
        <v>48</v>
      </c>
      <c r="G211" s="2">
        <f t="shared" si="12"/>
        <v>0.47756729810568288</v>
      </c>
      <c r="H211" s="5">
        <v>4.3944954128440363</v>
      </c>
      <c r="I211" s="2">
        <v>109</v>
      </c>
      <c r="J211" s="57">
        <f>I211/Pondération!$H$40</f>
        <v>0.10867397806580259</v>
      </c>
      <c r="K211" s="5">
        <v>4.4495412844036695</v>
      </c>
      <c r="L211" s="5">
        <f t="shared" si="9"/>
        <v>0.48354935194416748</v>
      </c>
      <c r="M211" s="5">
        <v>4.3944954128440363</v>
      </c>
      <c r="N211" s="5">
        <f t="shared" si="10"/>
        <v>0.47756729810568288</v>
      </c>
      <c r="O211" s="5">
        <v>4.2844036697247709</v>
      </c>
      <c r="P211" s="15">
        <f t="shared" si="11"/>
        <v>0.4656031904287139</v>
      </c>
    </row>
    <row r="212" spans="1:16" x14ac:dyDescent="0.25">
      <c r="A212" s="2" t="s">
        <v>47</v>
      </c>
      <c r="B212" s="2">
        <v>2015</v>
      </c>
      <c r="C212" s="2" t="s">
        <v>11</v>
      </c>
      <c r="D212" s="2" t="s">
        <v>36</v>
      </c>
      <c r="E212" s="2" t="s">
        <v>9</v>
      </c>
      <c r="F212" s="2" t="s">
        <v>48</v>
      </c>
      <c r="G212" s="2">
        <f t="shared" si="12"/>
        <v>0.26321036889332006</v>
      </c>
      <c r="H212" s="5">
        <v>4.3278688524590168</v>
      </c>
      <c r="I212" s="2">
        <v>61</v>
      </c>
      <c r="J212" s="57">
        <f>I212/Pondération!$H$40</f>
        <v>6.0817547357926223E-2</v>
      </c>
      <c r="K212" s="5">
        <v>4.2622950819672134</v>
      </c>
      <c r="L212" s="5">
        <f t="shared" si="9"/>
        <v>0.25922233300099701</v>
      </c>
      <c r="M212" s="5">
        <v>4.4590163934426226</v>
      </c>
      <c r="N212" s="5">
        <f t="shared" si="10"/>
        <v>0.2711864406779661</v>
      </c>
      <c r="O212" s="5">
        <v>4.3278688524590168</v>
      </c>
      <c r="P212" s="15">
        <f t="shared" si="11"/>
        <v>0.26321036889332006</v>
      </c>
    </row>
    <row r="213" spans="1:16" x14ac:dyDescent="0.25">
      <c r="A213" s="2" t="s">
        <v>47</v>
      </c>
      <c r="B213" s="2">
        <v>2015</v>
      </c>
      <c r="C213" s="2" t="s">
        <v>12</v>
      </c>
      <c r="D213" s="2" t="s">
        <v>36</v>
      </c>
      <c r="E213" s="2" t="s">
        <v>9</v>
      </c>
      <c r="F213" s="2" t="s">
        <v>48</v>
      </c>
      <c r="G213" s="2">
        <f t="shared" si="12"/>
        <v>0.40029910269192426</v>
      </c>
      <c r="H213" s="5">
        <v>4.4120879120879124</v>
      </c>
      <c r="I213" s="2">
        <v>91</v>
      </c>
      <c r="J213" s="57">
        <f>I213/Pondération!$H$40</f>
        <v>9.072781655034895E-2</v>
      </c>
      <c r="K213" s="5">
        <v>4.3736263736263732</v>
      </c>
      <c r="L213" s="5">
        <f t="shared" si="9"/>
        <v>0.39680957128614153</v>
      </c>
      <c r="M213" s="5">
        <v>4.4835164835164836</v>
      </c>
      <c r="N213" s="5">
        <f t="shared" si="10"/>
        <v>0.40677966101694912</v>
      </c>
      <c r="O213" s="5">
        <v>4.4175824175824179</v>
      </c>
      <c r="P213" s="15">
        <f t="shared" si="11"/>
        <v>0.40079760717846463</v>
      </c>
    </row>
    <row r="214" spans="1:16" x14ac:dyDescent="0.25">
      <c r="A214" s="2" t="s">
        <v>47</v>
      </c>
      <c r="B214" s="2">
        <v>2015</v>
      </c>
      <c r="C214" s="2" t="s">
        <v>13</v>
      </c>
      <c r="D214" s="2" t="s">
        <v>36</v>
      </c>
      <c r="E214" s="2" t="s">
        <v>9</v>
      </c>
      <c r="F214" s="2" t="s">
        <v>48</v>
      </c>
      <c r="G214" s="2">
        <f t="shared" si="12"/>
        <v>0.46759720837487539</v>
      </c>
      <c r="H214" s="5">
        <v>4.2636363636363637</v>
      </c>
      <c r="I214" s="2">
        <v>110</v>
      </c>
      <c r="J214" s="57">
        <f>I214/Pondération!$H$40</f>
        <v>0.10967098703888335</v>
      </c>
      <c r="K214" s="5">
        <v>4.2363636363636363</v>
      </c>
      <c r="L214" s="5">
        <f t="shared" si="9"/>
        <v>0.46460618145563309</v>
      </c>
      <c r="M214" s="5">
        <v>4.3818181818181818</v>
      </c>
      <c r="N214" s="5">
        <f t="shared" si="10"/>
        <v>0.48055832502492524</v>
      </c>
      <c r="O214" s="5">
        <v>4.2</v>
      </c>
      <c r="P214" s="15">
        <f t="shared" si="11"/>
        <v>0.4606181455633101</v>
      </c>
    </row>
    <row r="215" spans="1:16" x14ac:dyDescent="0.25">
      <c r="A215" s="2" t="s">
        <v>47</v>
      </c>
      <c r="B215" s="2">
        <v>2015</v>
      </c>
      <c r="C215" s="2" t="s">
        <v>14</v>
      </c>
      <c r="D215" s="2" t="s">
        <v>36</v>
      </c>
      <c r="E215" s="2" t="s">
        <v>9</v>
      </c>
      <c r="F215" s="2" t="s">
        <v>48</v>
      </c>
      <c r="G215" s="2">
        <f t="shared" si="12"/>
        <v>0.45314057826520437</v>
      </c>
      <c r="H215" s="5">
        <v>4.5</v>
      </c>
      <c r="I215" s="2">
        <v>101</v>
      </c>
      <c r="J215" s="57">
        <f>I215/Pondération!$H$40</f>
        <v>0.10069790628115653</v>
      </c>
      <c r="K215" s="5">
        <v>4.4950495049504955</v>
      </c>
      <c r="L215" s="5">
        <f t="shared" si="9"/>
        <v>0.45264207377866406</v>
      </c>
      <c r="M215" s="5">
        <v>4.564356435643564</v>
      </c>
      <c r="N215" s="5">
        <f t="shared" si="10"/>
        <v>0.4596211365902293</v>
      </c>
      <c r="O215" s="5">
        <v>4.4455445544554459</v>
      </c>
      <c r="P215" s="15">
        <f t="shared" si="11"/>
        <v>0.44765702891326026</v>
      </c>
    </row>
    <row r="216" spans="1:16" x14ac:dyDescent="0.25">
      <c r="A216" s="2" t="s">
        <v>47</v>
      </c>
      <c r="B216" s="2">
        <v>2015</v>
      </c>
      <c r="C216" s="2" t="s">
        <v>15</v>
      </c>
      <c r="D216" s="2" t="s">
        <v>36</v>
      </c>
      <c r="E216" s="2" t="s">
        <v>9</v>
      </c>
      <c r="F216" s="2" t="s">
        <v>48</v>
      </c>
      <c r="G216" s="2">
        <f t="shared" si="12"/>
        <v>0.39955134596211367</v>
      </c>
      <c r="H216" s="5">
        <v>4.3559782608695654</v>
      </c>
      <c r="I216" s="2">
        <v>92</v>
      </c>
      <c r="J216" s="57">
        <f>I216/Pondération!$H$40</f>
        <v>9.1724825523429712E-2</v>
      </c>
      <c r="K216" s="5">
        <v>4.3369565217391308</v>
      </c>
      <c r="L216" s="5">
        <f t="shared" si="9"/>
        <v>0.39780658025922239</v>
      </c>
      <c r="M216" s="5">
        <v>4.5543478260869561</v>
      </c>
      <c r="N216" s="5">
        <f t="shared" si="10"/>
        <v>0.41774675972083747</v>
      </c>
      <c r="O216" s="5">
        <v>4.1956521739130439</v>
      </c>
      <c r="P216" s="15">
        <f t="shared" si="11"/>
        <v>0.38484546360917254</v>
      </c>
    </row>
    <row r="217" spans="1:16" x14ac:dyDescent="0.25">
      <c r="A217" s="2" t="s">
        <v>47</v>
      </c>
      <c r="B217" s="2">
        <v>2015</v>
      </c>
      <c r="C217" s="2" t="s">
        <v>16</v>
      </c>
      <c r="D217" s="2" t="s">
        <v>36</v>
      </c>
      <c r="E217" s="2" t="s">
        <v>9</v>
      </c>
      <c r="F217" s="2" t="s">
        <v>48</v>
      </c>
      <c r="G217" s="2">
        <f t="shared" si="12"/>
        <v>0.33873379860418745</v>
      </c>
      <c r="H217" s="5">
        <v>4.3557692307692308</v>
      </c>
      <c r="I217" s="2">
        <v>78</v>
      </c>
      <c r="J217" s="57">
        <f>I217/Pondération!$H$40</f>
        <v>7.7766699900299108E-2</v>
      </c>
      <c r="K217" s="5">
        <v>4.3717948717948714</v>
      </c>
      <c r="L217" s="5">
        <f t="shared" si="9"/>
        <v>0.33998005982053836</v>
      </c>
      <c r="M217" s="5">
        <v>4.3974358974358978</v>
      </c>
      <c r="N217" s="5">
        <f t="shared" si="10"/>
        <v>0.34197407776669997</v>
      </c>
      <c r="O217" s="5">
        <v>4.2820512820512819</v>
      </c>
      <c r="P217" s="15">
        <f t="shared" si="11"/>
        <v>0.33300099700897312</v>
      </c>
    </row>
    <row r="218" spans="1:16" x14ac:dyDescent="0.25">
      <c r="A218" s="2" t="s">
        <v>47</v>
      </c>
      <c r="B218" s="2">
        <v>2015</v>
      </c>
      <c r="C218" s="2" t="s">
        <v>17</v>
      </c>
      <c r="D218" s="2" t="s">
        <v>36</v>
      </c>
      <c r="E218" s="2" t="s">
        <v>9</v>
      </c>
      <c r="F218" s="2" t="s">
        <v>48</v>
      </c>
      <c r="G218" s="2">
        <f t="shared" si="12"/>
        <v>0.40628115653040875</v>
      </c>
      <c r="H218" s="5">
        <v>4.3351063829787231</v>
      </c>
      <c r="I218" s="2">
        <v>94</v>
      </c>
      <c r="J218" s="57">
        <f>I218/Pondération!$H$40</f>
        <v>9.3718843469591223E-2</v>
      </c>
      <c r="K218" s="5">
        <v>4.4042553191489358</v>
      </c>
      <c r="L218" s="5">
        <f t="shared" si="9"/>
        <v>0.41276171485543367</v>
      </c>
      <c r="M218" s="5">
        <v>4.3510638297872344</v>
      </c>
      <c r="N218" s="5">
        <f t="shared" si="10"/>
        <v>0.40777666999002993</v>
      </c>
      <c r="O218" s="5">
        <v>4.1808510638297873</v>
      </c>
      <c r="P218" s="15">
        <f t="shared" si="11"/>
        <v>0.39182452642073778</v>
      </c>
    </row>
    <row r="219" spans="1:16" x14ac:dyDescent="0.25">
      <c r="A219" s="2" t="s">
        <v>47</v>
      </c>
      <c r="B219" s="2">
        <v>2016</v>
      </c>
      <c r="C219" s="2" t="s">
        <v>18</v>
      </c>
      <c r="D219" s="2" t="s">
        <v>36</v>
      </c>
      <c r="E219" s="2" t="s">
        <v>9</v>
      </c>
      <c r="F219" s="2" t="s">
        <v>48</v>
      </c>
      <c r="G219" s="2">
        <f t="shared" si="12"/>
        <v>0.19944119212346992</v>
      </c>
      <c r="H219" s="5">
        <v>4.4613095238095237</v>
      </c>
      <c r="I219" s="2">
        <v>84</v>
      </c>
      <c r="J219" s="57">
        <f>I219/Pondération!$G$40</f>
        <v>4.4704630122405532E-2</v>
      </c>
      <c r="K219" s="5">
        <v>4.5119047619047619</v>
      </c>
      <c r="L219" s="5">
        <f t="shared" si="9"/>
        <v>0.20170303352847258</v>
      </c>
      <c r="M219" s="5">
        <v>4.5595238095238093</v>
      </c>
      <c r="N219" s="5">
        <f t="shared" si="10"/>
        <v>0.20383182543906331</v>
      </c>
      <c r="O219" s="5">
        <v>4.2619047619047619</v>
      </c>
      <c r="P219" s="15">
        <f t="shared" si="11"/>
        <v>0.19052687599787119</v>
      </c>
    </row>
    <row r="220" spans="1:16" x14ac:dyDescent="0.25">
      <c r="A220" s="2" t="s">
        <v>47</v>
      </c>
      <c r="B220" s="2">
        <v>2016</v>
      </c>
      <c r="C220" s="2" t="s">
        <v>19</v>
      </c>
      <c r="D220" s="2" t="s">
        <v>36</v>
      </c>
      <c r="E220" s="2" t="s">
        <v>9</v>
      </c>
      <c r="F220" s="2" t="s">
        <v>48</v>
      </c>
      <c r="G220" s="2">
        <f t="shared" si="12"/>
        <v>0.33155934007450771</v>
      </c>
      <c r="H220" s="5">
        <v>4.387323943661972</v>
      </c>
      <c r="I220" s="2">
        <v>142</v>
      </c>
      <c r="J220" s="57">
        <f>I220/Pondération!$G$40</f>
        <v>7.557211282597126E-2</v>
      </c>
      <c r="K220" s="5">
        <v>4.443661971830986</v>
      </c>
      <c r="L220" s="5">
        <f t="shared" si="9"/>
        <v>0.33581692389568918</v>
      </c>
      <c r="M220" s="5">
        <v>4.450704225352113</v>
      </c>
      <c r="N220" s="5">
        <f t="shared" si="10"/>
        <v>0.33634912187333688</v>
      </c>
      <c r="O220" s="5">
        <v>4.211267605633803</v>
      </c>
      <c r="P220" s="15">
        <f t="shared" si="11"/>
        <v>0.31825439063331562</v>
      </c>
    </row>
    <row r="221" spans="1:16" x14ac:dyDescent="0.25">
      <c r="A221" s="2" t="s">
        <v>47</v>
      </c>
      <c r="B221" s="2">
        <v>2016</v>
      </c>
      <c r="C221" s="2" t="s">
        <v>20</v>
      </c>
      <c r="D221" s="2" t="s">
        <v>36</v>
      </c>
      <c r="E221" s="2" t="s">
        <v>9</v>
      </c>
      <c r="F221" s="2" t="s">
        <v>48</v>
      </c>
      <c r="G221" s="2">
        <f t="shared" si="12"/>
        <v>0.3201170835550825</v>
      </c>
      <c r="H221" s="5">
        <v>4.522556390977444</v>
      </c>
      <c r="I221" s="2">
        <v>133</v>
      </c>
      <c r="J221" s="57">
        <f>I221/Pondération!$G$40</f>
        <v>7.0782331027142098E-2</v>
      </c>
      <c r="K221" s="5">
        <v>4.5338345864661651</v>
      </c>
      <c r="L221" s="5">
        <f t="shared" si="9"/>
        <v>0.32091538052155399</v>
      </c>
      <c r="M221" s="5">
        <v>4.6165413533834583</v>
      </c>
      <c r="N221" s="5">
        <f t="shared" si="10"/>
        <v>0.32676955827567855</v>
      </c>
      <c r="O221" s="5">
        <v>4.4060150375939848</v>
      </c>
      <c r="P221" s="15">
        <f t="shared" si="11"/>
        <v>0.31186801490154337</v>
      </c>
    </row>
    <row r="222" spans="1:16" x14ac:dyDescent="0.25">
      <c r="A222" s="2" t="s">
        <v>47</v>
      </c>
      <c r="B222" s="2">
        <v>2016</v>
      </c>
      <c r="C222" s="2" t="s">
        <v>21</v>
      </c>
      <c r="D222" s="2" t="s">
        <v>36</v>
      </c>
      <c r="E222" s="2" t="s">
        <v>9</v>
      </c>
      <c r="F222" s="2" t="s">
        <v>48</v>
      </c>
      <c r="G222" s="2">
        <f t="shared" si="12"/>
        <v>0.3271687067589143</v>
      </c>
      <c r="H222" s="5">
        <v>4.5202205882352944</v>
      </c>
      <c r="I222" s="2">
        <v>136</v>
      </c>
      <c r="J222" s="57">
        <f>I222/Pondération!$G$40</f>
        <v>7.2378924960085148E-2</v>
      </c>
      <c r="K222" s="5">
        <v>4.5735294117647056</v>
      </c>
      <c r="L222" s="5">
        <f t="shared" si="9"/>
        <v>0.33102714209686002</v>
      </c>
      <c r="M222" s="5">
        <v>4.5367647058823533</v>
      </c>
      <c r="N222" s="5">
        <f t="shared" si="10"/>
        <v>0.32836615220862159</v>
      </c>
      <c r="O222" s="5">
        <v>4.3970588235294121</v>
      </c>
      <c r="P222" s="15">
        <f t="shared" si="11"/>
        <v>0.31825439063331562</v>
      </c>
    </row>
    <row r="223" spans="1:16" x14ac:dyDescent="0.25">
      <c r="A223" s="2" t="s">
        <v>47</v>
      </c>
      <c r="B223" s="2">
        <v>2016</v>
      </c>
      <c r="C223" s="2" t="s">
        <v>22</v>
      </c>
      <c r="D223" s="2" t="s">
        <v>36</v>
      </c>
      <c r="E223" s="2" t="s">
        <v>9</v>
      </c>
      <c r="F223" s="2" t="s">
        <v>48</v>
      </c>
      <c r="G223" s="2">
        <f t="shared" si="12"/>
        <v>0.33608302288451308</v>
      </c>
      <c r="H223" s="5">
        <v>4.4787234042553195</v>
      </c>
      <c r="I223" s="2">
        <v>141</v>
      </c>
      <c r="J223" s="57">
        <f>I223/Pondération!$G$40</f>
        <v>7.5039914848323577E-2</v>
      </c>
      <c r="K223" s="5">
        <v>4.5319148936170217</v>
      </c>
      <c r="L223" s="5">
        <f t="shared" si="9"/>
        <v>0.3400745077168707</v>
      </c>
      <c r="M223" s="5">
        <v>4.4964539007092199</v>
      </c>
      <c r="N223" s="5">
        <f t="shared" si="10"/>
        <v>0.33741351782863227</v>
      </c>
      <c r="O223" s="5">
        <v>4.3546099290780145</v>
      </c>
      <c r="P223" s="15">
        <f t="shared" si="11"/>
        <v>0.32676955827567855</v>
      </c>
    </row>
    <row r="224" spans="1:16" x14ac:dyDescent="0.25">
      <c r="A224" s="2" t="s">
        <v>47</v>
      </c>
      <c r="B224" s="2">
        <v>2016</v>
      </c>
      <c r="C224" s="2" t="s">
        <v>23</v>
      </c>
      <c r="D224" s="2" t="s">
        <v>36</v>
      </c>
      <c r="E224" s="2" t="s">
        <v>9</v>
      </c>
      <c r="F224" s="2" t="s">
        <v>48</v>
      </c>
      <c r="G224" s="2">
        <f t="shared" si="12"/>
        <v>0.29670037253858433</v>
      </c>
      <c r="H224" s="5">
        <v>4.46</v>
      </c>
      <c r="I224" s="2">
        <v>125</v>
      </c>
      <c r="J224" s="57">
        <f>I224/Pondération!$G$40</f>
        <v>6.6524747205960619E-2</v>
      </c>
      <c r="K224" s="5">
        <v>4.5199999999999996</v>
      </c>
      <c r="L224" s="5">
        <f t="shared" si="9"/>
        <v>0.30069185737094195</v>
      </c>
      <c r="M224" s="5">
        <v>4.4880000000000004</v>
      </c>
      <c r="N224" s="5">
        <f t="shared" si="10"/>
        <v>0.29856306546035127</v>
      </c>
      <c r="O224" s="5">
        <v>4.3120000000000003</v>
      </c>
      <c r="P224" s="15">
        <f t="shared" si="11"/>
        <v>0.28685470995210222</v>
      </c>
    </row>
    <row r="225" spans="1:16" x14ac:dyDescent="0.25">
      <c r="A225" s="2" t="s">
        <v>47</v>
      </c>
      <c r="B225" s="2">
        <v>2016</v>
      </c>
      <c r="C225" s="2" t="s">
        <v>24</v>
      </c>
      <c r="D225" s="2" t="s">
        <v>36</v>
      </c>
      <c r="E225" s="2" t="s">
        <v>9</v>
      </c>
      <c r="F225" s="2" t="s">
        <v>48</v>
      </c>
      <c r="G225" s="2">
        <f t="shared" si="12"/>
        <v>0.38970196913251731</v>
      </c>
      <c r="H225" s="5">
        <v>4.384730538922156</v>
      </c>
      <c r="I225" s="2">
        <v>167</v>
      </c>
      <c r="J225" s="57">
        <f>I225/Pondération!$G$40</f>
        <v>8.8877062267163381E-2</v>
      </c>
      <c r="K225" s="5">
        <v>4.3532934131736525</v>
      </c>
      <c r="L225" s="5">
        <f t="shared" si="9"/>
        <v>0.38690792974986693</v>
      </c>
      <c r="M225" s="5">
        <v>4.4491017964071853</v>
      </c>
      <c r="N225" s="5">
        <f t="shared" si="10"/>
        <v>0.39542309739222986</v>
      </c>
      <c r="O225" s="5">
        <v>4.3832335329341321</v>
      </c>
      <c r="P225" s="15">
        <f t="shared" si="11"/>
        <v>0.38956891963810542</v>
      </c>
    </row>
    <row r="226" spans="1:16" x14ac:dyDescent="0.25">
      <c r="A226" s="2" t="s">
        <v>47</v>
      </c>
      <c r="B226" s="2">
        <v>2016</v>
      </c>
      <c r="C226" s="2" t="s">
        <v>25</v>
      </c>
      <c r="D226" s="2" t="s">
        <v>36</v>
      </c>
      <c r="E226" s="2" t="s">
        <v>9</v>
      </c>
      <c r="F226" s="2" t="s">
        <v>48</v>
      </c>
      <c r="G226" s="2">
        <f t="shared" si="12"/>
        <v>0.44212346993081419</v>
      </c>
      <c r="H226" s="5">
        <v>4.3494764397905756</v>
      </c>
      <c r="I226" s="2">
        <v>191</v>
      </c>
      <c r="J226" s="57">
        <f>I226/Pondération!$G$40</f>
        <v>0.10164981373070782</v>
      </c>
      <c r="K226" s="5">
        <v>4.4083769633507854</v>
      </c>
      <c r="L226" s="5">
        <f t="shared" si="9"/>
        <v>0.4481106971793507</v>
      </c>
      <c r="M226" s="5">
        <v>4.3560209424083771</v>
      </c>
      <c r="N226" s="5">
        <f t="shared" si="10"/>
        <v>0.44278871740287384</v>
      </c>
      <c r="O226" s="5">
        <v>4.2251308900523563</v>
      </c>
      <c r="P226" s="15">
        <f t="shared" si="11"/>
        <v>0.42948376796168175</v>
      </c>
    </row>
    <row r="227" spans="1:16" x14ac:dyDescent="0.25">
      <c r="A227" s="2" t="s">
        <v>47</v>
      </c>
      <c r="B227" s="2">
        <v>2016</v>
      </c>
      <c r="C227" s="2" t="s">
        <v>26</v>
      </c>
      <c r="D227" s="2" t="s">
        <v>36</v>
      </c>
      <c r="E227" s="2" t="s">
        <v>9</v>
      </c>
      <c r="F227" s="2" t="s">
        <v>48</v>
      </c>
      <c r="G227" s="2">
        <f t="shared" si="12"/>
        <v>0.29749866950505588</v>
      </c>
      <c r="H227" s="5">
        <v>4.4365079365079367</v>
      </c>
      <c r="I227" s="2">
        <v>126</v>
      </c>
      <c r="J227" s="57">
        <f>I227/Pondération!$G$40</f>
        <v>6.7056945183608302E-2</v>
      </c>
      <c r="K227" s="5">
        <v>4.4682539682539684</v>
      </c>
      <c r="L227" s="5">
        <f t="shared" si="9"/>
        <v>0.29962746141564661</v>
      </c>
      <c r="M227" s="5">
        <v>4.4285714285714288</v>
      </c>
      <c r="N227" s="5">
        <f t="shared" si="10"/>
        <v>0.29696647152740824</v>
      </c>
      <c r="O227" s="5">
        <v>4.3809523809523814</v>
      </c>
      <c r="P227" s="15">
        <f t="shared" si="11"/>
        <v>0.29377328366152211</v>
      </c>
    </row>
    <row r="228" spans="1:16" x14ac:dyDescent="0.25">
      <c r="A228" s="2" t="s">
        <v>47</v>
      </c>
      <c r="B228" s="2">
        <v>2016</v>
      </c>
      <c r="C228" s="2" t="s">
        <v>27</v>
      </c>
      <c r="D228" s="2" t="s">
        <v>36</v>
      </c>
      <c r="E228" s="2" t="s">
        <v>9</v>
      </c>
      <c r="F228" s="2" t="s">
        <v>48</v>
      </c>
      <c r="G228" s="2">
        <f t="shared" si="12"/>
        <v>0.55055880787653</v>
      </c>
      <c r="H228" s="5">
        <v>4.3466386554621845</v>
      </c>
      <c r="I228" s="2">
        <v>238</v>
      </c>
      <c r="J228" s="57">
        <f>I228/Pondération!$G$40</f>
        <v>0.12666311868014901</v>
      </c>
      <c r="K228" s="5">
        <v>4.3865546218487399</v>
      </c>
      <c r="L228" s="5">
        <f t="shared" si="9"/>
        <v>0.55561468866418307</v>
      </c>
      <c r="M228" s="5">
        <v>4.4327731092436977</v>
      </c>
      <c r="N228" s="5">
        <f t="shared" si="10"/>
        <v>0.56146886641830762</v>
      </c>
      <c r="O228" s="5">
        <v>4.1806722689075633</v>
      </c>
      <c r="P228" s="15">
        <f t="shared" si="11"/>
        <v>0.52953698775944658</v>
      </c>
    </row>
    <row r="229" spans="1:16" x14ac:dyDescent="0.25">
      <c r="A229" s="2" t="s">
        <v>47</v>
      </c>
      <c r="B229" s="2">
        <v>2016</v>
      </c>
      <c r="C229" s="2" t="s">
        <v>28</v>
      </c>
      <c r="D229" s="2" t="s">
        <v>36</v>
      </c>
      <c r="E229" s="2" t="s">
        <v>9</v>
      </c>
      <c r="F229" s="2" t="s">
        <v>48</v>
      </c>
      <c r="G229" s="2">
        <f t="shared" si="12"/>
        <v>0.47086216072378922</v>
      </c>
      <c r="H229" s="5">
        <v>4.4237500000000001</v>
      </c>
      <c r="I229" s="2">
        <v>200</v>
      </c>
      <c r="J229" s="57">
        <f>I229/Pondération!$G$40</f>
        <v>0.10643959552953698</v>
      </c>
      <c r="K229" s="5">
        <v>4.5</v>
      </c>
      <c r="L229" s="5">
        <f t="shared" si="9"/>
        <v>0.47897817988291641</v>
      </c>
      <c r="M229" s="5">
        <v>4.4349999999999996</v>
      </c>
      <c r="N229" s="5">
        <f t="shared" si="10"/>
        <v>0.47205960617349646</v>
      </c>
      <c r="O229" s="5">
        <v>4.26</v>
      </c>
      <c r="P229" s="15">
        <f t="shared" si="11"/>
        <v>0.45343267695582751</v>
      </c>
    </row>
    <row r="230" spans="1:16" x14ac:dyDescent="0.25">
      <c r="A230" s="2" t="s">
        <v>47</v>
      </c>
      <c r="B230" s="2">
        <v>2016</v>
      </c>
      <c r="C230" s="2" t="s">
        <v>29</v>
      </c>
      <c r="D230" s="2" t="s">
        <v>36</v>
      </c>
      <c r="E230" s="2" t="s">
        <v>9</v>
      </c>
      <c r="F230" s="2" t="s">
        <v>48</v>
      </c>
      <c r="G230" s="2">
        <f t="shared" si="12"/>
        <v>0.45702501330494949</v>
      </c>
      <c r="H230" s="5">
        <v>4.3813775510204085</v>
      </c>
      <c r="I230" s="2">
        <v>196</v>
      </c>
      <c r="J230" s="57">
        <f>I230/Pondération!$G$40</f>
        <v>0.10431080361894625</v>
      </c>
      <c r="K230" s="5">
        <v>4.4234693877551017</v>
      </c>
      <c r="L230" s="5">
        <f t="shared" si="9"/>
        <v>0.4614156466205428</v>
      </c>
      <c r="M230" s="5">
        <v>4.4285714285714288</v>
      </c>
      <c r="N230" s="5">
        <f t="shared" si="10"/>
        <v>0.46194784459819055</v>
      </c>
      <c r="O230" s="5">
        <v>4.25</v>
      </c>
      <c r="P230" s="15">
        <f t="shared" si="11"/>
        <v>0.44332091538052154</v>
      </c>
    </row>
    <row r="231" spans="1:16" x14ac:dyDescent="0.25">
      <c r="A231" s="2" t="s">
        <v>47</v>
      </c>
      <c r="B231" s="2">
        <v>2017</v>
      </c>
      <c r="C231" s="2" t="s">
        <v>30</v>
      </c>
      <c r="D231" s="2" t="s">
        <v>36</v>
      </c>
      <c r="E231" s="2" t="s">
        <v>9</v>
      </c>
      <c r="F231" s="2" t="s">
        <v>48</v>
      </c>
      <c r="G231" s="2">
        <f t="shared" si="12"/>
        <v>0.76690687361419063</v>
      </c>
      <c r="H231" s="5">
        <v>4.4342948717948714</v>
      </c>
      <c r="I231" s="2">
        <v>156</v>
      </c>
      <c r="J231" s="57">
        <f>I231/Pondération!$F$40</f>
        <v>0.17294900221729489</v>
      </c>
      <c r="K231" s="5">
        <v>4.4615384615384617</v>
      </c>
      <c r="L231" s="5">
        <f t="shared" si="9"/>
        <v>0.77161862527716185</v>
      </c>
      <c r="M231" s="5">
        <v>4.5320512820512819</v>
      </c>
      <c r="N231" s="5">
        <f t="shared" si="10"/>
        <v>0.78381374722838137</v>
      </c>
      <c r="O231" s="5">
        <v>4.2820512820512819</v>
      </c>
      <c r="P231" s="15">
        <f t="shared" si="11"/>
        <v>0.74057649667405756</v>
      </c>
    </row>
    <row r="232" spans="1:16" x14ac:dyDescent="0.25">
      <c r="A232" s="2" t="s">
        <v>47</v>
      </c>
      <c r="B232" s="2">
        <v>2017</v>
      </c>
      <c r="C232" s="2" t="s">
        <v>31</v>
      </c>
      <c r="D232" s="2" t="s">
        <v>36</v>
      </c>
      <c r="E232" s="2" t="s">
        <v>9</v>
      </c>
      <c r="F232" s="2" t="s">
        <v>48</v>
      </c>
      <c r="G232" s="2">
        <f t="shared" si="12"/>
        <v>1.207039911308204</v>
      </c>
      <c r="H232" s="5">
        <v>4.3204365079365079</v>
      </c>
      <c r="I232" s="2">
        <v>252</v>
      </c>
      <c r="J232" s="57">
        <f>I232/Pondération!$F$40</f>
        <v>0.2793791574279379</v>
      </c>
      <c r="K232" s="5">
        <v>4.3769841269841274</v>
      </c>
      <c r="L232" s="5">
        <f t="shared" si="9"/>
        <v>1.2228381374722839</v>
      </c>
      <c r="M232" s="5">
        <v>4.3134920634920633</v>
      </c>
      <c r="N232" s="5">
        <f t="shared" si="10"/>
        <v>1.2050997782705097</v>
      </c>
      <c r="O232" s="5">
        <v>4.2142857142857144</v>
      </c>
      <c r="P232" s="15">
        <f t="shared" si="11"/>
        <v>1.1773835920177382</v>
      </c>
    </row>
    <row r="233" spans="1:16" x14ac:dyDescent="0.25">
      <c r="A233" s="2" t="s">
        <v>47</v>
      </c>
      <c r="B233" s="2">
        <v>2017</v>
      </c>
      <c r="C233" s="2" t="s">
        <v>32</v>
      </c>
      <c r="D233" s="2" t="s">
        <v>36</v>
      </c>
      <c r="E233" s="2" t="s">
        <v>9</v>
      </c>
      <c r="F233" s="2" t="s">
        <v>48</v>
      </c>
      <c r="G233" s="2">
        <f t="shared" si="12"/>
        <v>0.83592017738359203</v>
      </c>
      <c r="H233" s="5">
        <v>4.4093567251461989</v>
      </c>
      <c r="I233" s="2">
        <v>171</v>
      </c>
      <c r="J233" s="57">
        <f>I233/Pondération!$F$40</f>
        <v>0.18957871396895787</v>
      </c>
      <c r="K233" s="5">
        <v>4.4502923976608191</v>
      </c>
      <c r="L233" s="5">
        <f t="shared" si="9"/>
        <v>0.84368070953436813</v>
      </c>
      <c r="M233" s="5">
        <v>4.5087719298245617</v>
      </c>
      <c r="N233" s="5">
        <f t="shared" si="10"/>
        <v>0.8547671840354768</v>
      </c>
      <c r="O233" s="5">
        <v>4.2280701754385968</v>
      </c>
      <c r="P233" s="15">
        <f t="shared" si="11"/>
        <v>0.80155210643015529</v>
      </c>
    </row>
    <row r="234" spans="1:16" x14ac:dyDescent="0.25">
      <c r="A234" s="2" t="s">
        <v>47</v>
      </c>
      <c r="B234" s="2">
        <v>2017</v>
      </c>
      <c r="C234" s="2" t="s">
        <v>33</v>
      </c>
      <c r="D234" s="2" t="s">
        <v>36</v>
      </c>
      <c r="E234" s="2" t="s">
        <v>9</v>
      </c>
      <c r="F234" s="2" t="s">
        <v>48</v>
      </c>
      <c r="G234" s="2">
        <f t="shared" si="12"/>
        <v>1.3118070953436807</v>
      </c>
      <c r="H234" s="5">
        <v>4.5335249042145591</v>
      </c>
      <c r="I234" s="2">
        <v>261</v>
      </c>
      <c r="J234" s="57">
        <f>I234/Pondération!$F$40</f>
        <v>0.28935698447893571</v>
      </c>
      <c r="K234" s="5">
        <v>4.6091954022988508</v>
      </c>
      <c r="L234" s="5">
        <f t="shared" si="9"/>
        <v>1.3337028824833703</v>
      </c>
      <c r="M234" s="5">
        <v>4.509578544061303</v>
      </c>
      <c r="N234" s="5">
        <f t="shared" si="10"/>
        <v>1.3048780487804879</v>
      </c>
      <c r="O234" s="5">
        <v>4.4061302681992336</v>
      </c>
      <c r="P234" s="15">
        <f t="shared" si="11"/>
        <v>1.2749445676274944</v>
      </c>
    </row>
    <row r="235" spans="1:16" x14ac:dyDescent="0.25">
      <c r="A235" s="2" t="s">
        <v>47</v>
      </c>
      <c r="B235" s="2">
        <v>2017</v>
      </c>
      <c r="C235" s="2" t="s">
        <v>34</v>
      </c>
      <c r="D235" s="2" t="s">
        <v>36</v>
      </c>
      <c r="E235" s="2" t="s">
        <v>9</v>
      </c>
      <c r="F235" s="2" t="s">
        <v>48</v>
      </c>
      <c r="G235" s="2">
        <f t="shared" si="12"/>
        <v>0.3098669623059867</v>
      </c>
      <c r="H235" s="5">
        <v>4.508064516129032</v>
      </c>
      <c r="I235" s="2">
        <v>62</v>
      </c>
      <c r="J235" s="57">
        <f>I235/Pondération!$F$40</f>
        <v>6.8736141906873618E-2</v>
      </c>
      <c r="K235" s="5">
        <v>4.596774193548387</v>
      </c>
      <c r="L235" s="5">
        <f t="shared" si="9"/>
        <v>0.31596452328159647</v>
      </c>
      <c r="M235" s="5">
        <v>4.5483870967741939</v>
      </c>
      <c r="N235" s="5">
        <f t="shared" si="10"/>
        <v>0.3126385809312639</v>
      </c>
      <c r="O235" s="5">
        <v>4.290322580645161</v>
      </c>
      <c r="P235" s="15">
        <f t="shared" si="11"/>
        <v>0.29490022172949004</v>
      </c>
    </row>
    <row r="236" spans="1:16" x14ac:dyDescent="0.25">
      <c r="A236" s="2" t="s">
        <v>6</v>
      </c>
      <c r="B236" s="2">
        <v>2015</v>
      </c>
      <c r="C236" s="2" t="s">
        <v>7</v>
      </c>
      <c r="D236" s="2" t="s">
        <v>37</v>
      </c>
      <c r="E236" s="2" t="s">
        <v>9</v>
      </c>
      <c r="F236" s="2" t="s">
        <v>10</v>
      </c>
      <c r="G236" s="2">
        <f t="shared" si="12"/>
        <v>0.19091070582662126</v>
      </c>
      <c r="H236" s="5">
        <v>4.1440874035989461</v>
      </c>
      <c r="I236" s="2">
        <v>389</v>
      </c>
      <c r="J236" s="57">
        <f>I236/Pondération!$H$52</f>
        <v>4.6068214116532447E-2</v>
      </c>
      <c r="K236" s="2"/>
      <c r="L236" s="2"/>
      <c r="M236" s="2"/>
      <c r="N236" s="2"/>
      <c r="O236" s="2"/>
      <c r="P236"/>
    </row>
    <row r="237" spans="1:16" x14ac:dyDescent="0.25">
      <c r="A237" s="2" t="s">
        <v>6</v>
      </c>
      <c r="B237" s="2">
        <v>2015</v>
      </c>
      <c r="C237" s="2" t="s">
        <v>11</v>
      </c>
      <c r="D237" s="2" t="s">
        <v>37</v>
      </c>
      <c r="E237" s="2" t="s">
        <v>9</v>
      </c>
      <c r="F237" s="2" t="s">
        <v>10</v>
      </c>
      <c r="G237" s="2">
        <f t="shared" si="12"/>
        <v>0.46788844149692199</v>
      </c>
      <c r="H237" s="5">
        <v>4.1985653560042611</v>
      </c>
      <c r="I237" s="2">
        <v>941</v>
      </c>
      <c r="J237" s="57">
        <f>I237/Pondération!$H$52</f>
        <v>0.11144007579346281</v>
      </c>
      <c r="K237" s="2"/>
      <c r="L237" s="2"/>
      <c r="M237" s="2"/>
      <c r="N237" s="2"/>
      <c r="O237" s="2"/>
      <c r="P237"/>
    </row>
    <row r="238" spans="1:16" x14ac:dyDescent="0.25">
      <c r="A238" s="2" t="s">
        <v>6</v>
      </c>
      <c r="B238" s="2">
        <v>2015</v>
      </c>
      <c r="C238" s="2" t="s">
        <v>12</v>
      </c>
      <c r="D238" s="2" t="s">
        <v>37</v>
      </c>
      <c r="E238" s="2" t="s">
        <v>9</v>
      </c>
      <c r="F238" s="2" t="s">
        <v>10</v>
      </c>
      <c r="G238" s="2">
        <f t="shared" si="12"/>
        <v>0.66768711511132173</v>
      </c>
      <c r="H238" s="5">
        <v>4.1003272727272728</v>
      </c>
      <c r="I238" s="2">
        <v>1375</v>
      </c>
      <c r="J238" s="57">
        <f>I238/Pondération!$H$52</f>
        <v>0.16283751776409286</v>
      </c>
      <c r="K238" s="2"/>
      <c r="L238" s="2"/>
      <c r="M238" s="2"/>
      <c r="N238" s="2"/>
      <c r="O238" s="2"/>
      <c r="P238"/>
    </row>
    <row r="239" spans="1:16" x14ac:dyDescent="0.25">
      <c r="A239" s="2" t="s">
        <v>6</v>
      </c>
      <c r="B239" s="2">
        <v>2015</v>
      </c>
      <c r="C239" s="2" t="s">
        <v>13</v>
      </c>
      <c r="D239" s="2" t="s">
        <v>37</v>
      </c>
      <c r="E239" s="2" t="s">
        <v>9</v>
      </c>
      <c r="F239" s="2" t="s">
        <v>10</v>
      </c>
      <c r="G239" s="2">
        <f t="shared" si="12"/>
        <v>1.0011369019422052</v>
      </c>
      <c r="H239" s="5">
        <v>4.0977217644207373</v>
      </c>
      <c r="I239" s="2">
        <v>2063</v>
      </c>
      <c r="J239" s="57">
        <f>I239/Pondération!$H$52</f>
        <v>0.24431549028896257</v>
      </c>
      <c r="K239" s="2"/>
      <c r="L239" s="2"/>
      <c r="M239" s="2"/>
      <c r="N239" s="2"/>
      <c r="O239" s="2"/>
      <c r="P239"/>
    </row>
    <row r="240" spans="1:16" x14ac:dyDescent="0.25">
      <c r="A240" s="2" t="s">
        <v>6</v>
      </c>
      <c r="B240" s="2">
        <v>2015</v>
      </c>
      <c r="C240" s="2" t="s">
        <v>14</v>
      </c>
      <c r="D240" s="2" t="s">
        <v>37</v>
      </c>
      <c r="E240" s="2" t="s">
        <v>9</v>
      </c>
      <c r="F240" s="2" t="s">
        <v>10</v>
      </c>
      <c r="G240" s="2">
        <f t="shared" si="12"/>
        <v>0.64108242539081117</v>
      </c>
      <c r="H240" s="5">
        <v>4.0670924117205187</v>
      </c>
      <c r="I240" s="2">
        <v>1331</v>
      </c>
      <c r="J240" s="57">
        <f>I240/Pondération!$H$52</f>
        <v>0.15762671719564186</v>
      </c>
      <c r="K240" s="2"/>
      <c r="L240" s="2"/>
      <c r="M240" s="2"/>
      <c r="N240" s="2"/>
      <c r="O240" s="2"/>
      <c r="P240"/>
    </row>
    <row r="241" spans="1:15" customFormat="1" x14ac:dyDescent="0.25">
      <c r="A241" s="2" t="s">
        <v>6</v>
      </c>
      <c r="B241" s="2">
        <v>2015</v>
      </c>
      <c r="C241" s="2" t="s">
        <v>15</v>
      </c>
      <c r="D241" s="2" t="s">
        <v>37</v>
      </c>
      <c r="E241" s="2" t="s">
        <v>9</v>
      </c>
      <c r="F241" s="2" t="s">
        <v>10</v>
      </c>
      <c r="G241" s="2">
        <f t="shared" si="12"/>
        <v>0.53182141165324615</v>
      </c>
      <c r="H241" s="5">
        <v>4.1851817334576049</v>
      </c>
      <c r="I241" s="2">
        <v>1073</v>
      </c>
      <c r="J241" s="57">
        <f>I241/Pondération!$H$52</f>
        <v>0.12707247749881573</v>
      </c>
      <c r="K241" s="2"/>
      <c r="L241" s="2"/>
      <c r="M241" s="2"/>
      <c r="N241" s="2"/>
      <c r="O241" s="2"/>
    </row>
    <row r="242" spans="1:15" customFormat="1" x14ac:dyDescent="0.25">
      <c r="A242" s="2" t="s">
        <v>6</v>
      </c>
      <c r="B242" s="2">
        <v>2015</v>
      </c>
      <c r="C242" s="2" t="s">
        <v>16</v>
      </c>
      <c r="D242" s="2" t="s">
        <v>37</v>
      </c>
      <c r="E242" s="2" t="s">
        <v>9</v>
      </c>
      <c r="F242" s="2" t="s">
        <v>10</v>
      </c>
      <c r="G242" s="2">
        <f t="shared" si="12"/>
        <v>0.36282567503552815</v>
      </c>
      <c r="H242" s="5">
        <v>4.1682993197278906</v>
      </c>
      <c r="I242" s="2">
        <v>735</v>
      </c>
      <c r="J242" s="57">
        <f>I242/Pondération!$H$52</f>
        <v>8.7044054950260547E-2</v>
      </c>
      <c r="K242" s="2"/>
      <c r="L242" s="2"/>
      <c r="M242" s="2"/>
      <c r="N242" s="2"/>
      <c r="O242" s="2"/>
    </row>
    <row r="243" spans="1:15" customFormat="1" x14ac:dyDescent="0.25">
      <c r="A243" s="2" t="s">
        <v>6</v>
      </c>
      <c r="B243" s="2">
        <v>2015</v>
      </c>
      <c r="C243" s="2" t="s">
        <v>17</v>
      </c>
      <c r="D243" s="2" t="s">
        <v>37</v>
      </c>
      <c r="E243" s="2" t="s">
        <v>9</v>
      </c>
      <c r="F243" s="2" t="s">
        <v>10</v>
      </c>
      <c r="G243" s="2">
        <f t="shared" si="12"/>
        <v>0.26281383230696354</v>
      </c>
      <c r="H243" s="5">
        <v>4.1325884543761635</v>
      </c>
      <c r="I243" s="2">
        <v>537</v>
      </c>
      <c r="J243" s="57">
        <f>I243/Pondération!$H$52</f>
        <v>6.3595452392231175E-2</v>
      </c>
      <c r="K243" s="2"/>
      <c r="L243" s="2"/>
      <c r="M243" s="2"/>
      <c r="N243" s="2"/>
      <c r="O243" s="2"/>
    </row>
    <row r="244" spans="1:15" customFormat="1" x14ac:dyDescent="0.25">
      <c r="A244" s="2" t="s">
        <v>6</v>
      </c>
      <c r="B244" s="2">
        <v>2016</v>
      </c>
      <c r="C244" s="2" t="s">
        <v>18</v>
      </c>
      <c r="D244" s="2" t="s">
        <v>37</v>
      </c>
      <c r="E244" s="2" t="s">
        <v>9</v>
      </c>
      <c r="F244" s="2" t="s">
        <v>10</v>
      </c>
      <c r="G244" s="2">
        <f t="shared" si="12"/>
        <v>9.6701679000557011E-2</v>
      </c>
      <c r="H244" s="5">
        <v>4.1833046471600692</v>
      </c>
      <c r="I244" s="2">
        <v>581</v>
      </c>
      <c r="J244" s="57">
        <f>I244/Pondération!$G$52</f>
        <v>2.3116097716240947E-2</v>
      </c>
      <c r="K244" s="2"/>
      <c r="L244" s="2"/>
      <c r="M244" s="2"/>
      <c r="N244" s="2"/>
      <c r="O244" s="2"/>
    </row>
    <row r="245" spans="1:15" customFormat="1" x14ac:dyDescent="0.25">
      <c r="A245" s="2" t="s">
        <v>6</v>
      </c>
      <c r="B245" s="2">
        <v>2016</v>
      </c>
      <c r="C245" s="2" t="s">
        <v>19</v>
      </c>
      <c r="D245" s="2" t="s">
        <v>37</v>
      </c>
      <c r="E245" s="2" t="s">
        <v>9</v>
      </c>
      <c r="F245" s="2" t="s">
        <v>10</v>
      </c>
      <c r="G245" s="2">
        <f t="shared" si="12"/>
        <v>0.120559799474815</v>
      </c>
      <c r="H245" s="5">
        <v>4.202704576976422</v>
      </c>
      <c r="I245" s="2">
        <v>721</v>
      </c>
      <c r="J245" s="57">
        <f>I245/Pondération!$G$52</f>
        <v>2.8686241744250815E-2</v>
      </c>
      <c r="K245" s="2"/>
      <c r="L245" s="2"/>
      <c r="M245" s="2"/>
      <c r="N245" s="2"/>
      <c r="O245" s="2"/>
    </row>
    <row r="246" spans="1:15" customFormat="1" x14ac:dyDescent="0.25">
      <c r="A246" s="2" t="s">
        <v>6</v>
      </c>
      <c r="B246" s="2">
        <v>2016</v>
      </c>
      <c r="C246" s="2" t="s">
        <v>20</v>
      </c>
      <c r="D246" s="2" t="s">
        <v>37</v>
      </c>
      <c r="E246" s="2" t="s">
        <v>9</v>
      </c>
      <c r="F246" s="2" t="s">
        <v>10</v>
      </c>
      <c r="G246" s="2">
        <f t="shared" si="12"/>
        <v>0.17165990292034733</v>
      </c>
      <c r="H246" s="5">
        <v>4.1766698935140463</v>
      </c>
      <c r="I246" s="2">
        <v>1033</v>
      </c>
      <c r="J246" s="57">
        <f>I246/Pondération!$G$52</f>
        <v>4.109970557810138E-2</v>
      </c>
      <c r="K246" s="2"/>
      <c r="L246" s="2"/>
      <c r="M246" s="2"/>
      <c r="N246" s="2"/>
      <c r="O246" s="2"/>
    </row>
    <row r="247" spans="1:15" customFormat="1" x14ac:dyDescent="0.25">
      <c r="A247" s="2" t="s">
        <v>6</v>
      </c>
      <c r="B247" s="2">
        <v>2016</v>
      </c>
      <c r="C247" s="2" t="s">
        <v>21</v>
      </c>
      <c r="D247" s="2" t="s">
        <v>37</v>
      </c>
      <c r="E247" s="2" t="s">
        <v>9</v>
      </c>
      <c r="F247" s="2" t="s">
        <v>10</v>
      </c>
      <c r="G247" s="2">
        <f t="shared" si="12"/>
        <v>0.26311768918596323</v>
      </c>
      <c r="H247" s="5">
        <v>4.2015247776365943</v>
      </c>
      <c r="I247" s="2">
        <v>1574</v>
      </c>
      <c r="J247" s="57">
        <f>I247/Pondération!$G$52</f>
        <v>6.2624333572053797E-2</v>
      </c>
      <c r="K247" s="2"/>
      <c r="L247" s="2"/>
      <c r="M247" s="2"/>
      <c r="N247" s="2"/>
      <c r="O247" s="2"/>
    </row>
    <row r="248" spans="1:15" customFormat="1" x14ac:dyDescent="0.25">
      <c r="A248" s="2" t="s">
        <v>6</v>
      </c>
      <c r="B248" s="2">
        <v>2016</v>
      </c>
      <c r="C248" s="2" t="s">
        <v>22</v>
      </c>
      <c r="D248" s="2" t="s">
        <v>37</v>
      </c>
      <c r="E248" s="2" t="s">
        <v>9</v>
      </c>
      <c r="F248" s="2" t="s">
        <v>10</v>
      </c>
      <c r="G248" s="2">
        <f t="shared" si="12"/>
        <v>0.41461963873636903</v>
      </c>
      <c r="H248" s="5">
        <v>4.1027755905511416</v>
      </c>
      <c r="I248" s="2">
        <v>2540</v>
      </c>
      <c r="J248" s="57">
        <f>I248/Pondération!$G$52</f>
        <v>0.10105832736532187</v>
      </c>
      <c r="K248" s="2"/>
      <c r="L248" s="2"/>
      <c r="M248" s="2"/>
      <c r="N248" s="2"/>
      <c r="O248" s="2"/>
    </row>
    <row r="249" spans="1:15" customFormat="1" x14ac:dyDescent="0.25">
      <c r="A249" s="2" t="s">
        <v>6</v>
      </c>
      <c r="B249" s="2">
        <v>2016</v>
      </c>
      <c r="C249" s="2" t="s">
        <v>23</v>
      </c>
      <c r="D249" s="2" t="s">
        <v>37</v>
      </c>
      <c r="E249" s="2" t="s">
        <v>9</v>
      </c>
      <c r="F249" s="2" t="s">
        <v>10</v>
      </c>
      <c r="G249" s="2">
        <f t="shared" si="12"/>
        <v>0.30549852789050685</v>
      </c>
      <c r="H249" s="5">
        <v>4.0864289515699834</v>
      </c>
      <c r="I249" s="2">
        <v>1879</v>
      </c>
      <c r="J249" s="57">
        <f>I249/Pondération!$G$52</f>
        <v>7.4759290204503864E-2</v>
      </c>
      <c r="K249" s="2"/>
      <c r="L249" s="2"/>
      <c r="M249" s="2"/>
      <c r="N249" s="2"/>
      <c r="O249" s="2"/>
    </row>
    <row r="250" spans="1:15" customFormat="1" x14ac:dyDescent="0.25">
      <c r="A250" s="2" t="s">
        <v>6</v>
      </c>
      <c r="B250" s="2">
        <v>2016</v>
      </c>
      <c r="C250" s="2" t="s">
        <v>24</v>
      </c>
      <c r="D250" s="2" t="s">
        <v>37</v>
      </c>
      <c r="E250" s="2" t="s">
        <v>9</v>
      </c>
      <c r="F250" s="2" t="s">
        <v>10</v>
      </c>
      <c r="G250" s="2">
        <f t="shared" si="12"/>
        <v>0.55667621548499646</v>
      </c>
      <c r="H250" s="5">
        <v>4.0391166281754911</v>
      </c>
      <c r="I250" s="2">
        <v>3464</v>
      </c>
      <c r="J250" s="57">
        <f>I250/Pondération!$G$52</f>
        <v>0.137821277950187</v>
      </c>
      <c r="K250" s="2"/>
      <c r="L250" s="2"/>
      <c r="M250" s="2"/>
      <c r="N250" s="2"/>
      <c r="O250" s="2"/>
    </row>
    <row r="251" spans="1:15" customFormat="1" x14ac:dyDescent="0.25">
      <c r="A251" s="2" t="s">
        <v>6</v>
      </c>
      <c r="B251" s="2">
        <v>2016</v>
      </c>
      <c r="C251" s="2" t="s">
        <v>25</v>
      </c>
      <c r="D251" s="2" t="s">
        <v>37</v>
      </c>
      <c r="E251" s="2" t="s">
        <v>9</v>
      </c>
      <c r="F251" s="2" t="s">
        <v>10</v>
      </c>
      <c r="G251" s="2">
        <f t="shared" si="12"/>
        <v>0.80952295695074017</v>
      </c>
      <c r="H251" s="5">
        <v>4.0250346191889026</v>
      </c>
      <c r="I251" s="2">
        <v>5055</v>
      </c>
      <c r="J251" s="57">
        <f>I251/Pondération!$G$52</f>
        <v>0.20112198615421342</v>
      </c>
      <c r="K251" s="2"/>
      <c r="L251" s="2"/>
      <c r="M251" s="2"/>
      <c r="N251" s="2"/>
      <c r="O251" s="2"/>
    </row>
    <row r="252" spans="1:15" customFormat="1" x14ac:dyDescent="0.25">
      <c r="A252" s="2" t="s">
        <v>6</v>
      </c>
      <c r="B252" s="2">
        <v>2016</v>
      </c>
      <c r="C252" s="2" t="s">
        <v>26</v>
      </c>
      <c r="D252" s="2" t="s">
        <v>37</v>
      </c>
      <c r="E252" s="2" t="s">
        <v>9</v>
      </c>
      <c r="F252" s="2" t="s">
        <v>10</v>
      </c>
      <c r="G252" s="2">
        <f t="shared" si="12"/>
        <v>0.44628391819845226</v>
      </c>
      <c r="H252" s="5">
        <v>4.0348561151078775</v>
      </c>
      <c r="I252" s="2">
        <v>2780</v>
      </c>
      <c r="J252" s="57">
        <f>I252/Pondération!$G$52</f>
        <v>0.11060714569905307</v>
      </c>
      <c r="K252" s="2"/>
      <c r="L252" s="2"/>
      <c r="M252" s="2"/>
      <c r="N252" s="2"/>
      <c r="O252" s="2"/>
    </row>
    <row r="253" spans="1:15" customFormat="1" x14ac:dyDescent="0.25">
      <c r="A253" s="2" t="s">
        <v>6</v>
      </c>
      <c r="B253" s="2">
        <v>2016</v>
      </c>
      <c r="C253" s="2" t="s">
        <v>27</v>
      </c>
      <c r="D253" s="2" t="s">
        <v>37</v>
      </c>
      <c r="E253" s="2" t="s">
        <v>9</v>
      </c>
      <c r="F253" s="2" t="s">
        <v>10</v>
      </c>
      <c r="G253" s="2">
        <f t="shared" si="12"/>
        <v>0.40211068671918121</v>
      </c>
      <c r="H253" s="5">
        <v>4.1184392828035454</v>
      </c>
      <c r="I253" s="2">
        <v>2454</v>
      </c>
      <c r="J253" s="57">
        <f>I253/Pondération!$G$52</f>
        <v>9.763666746240153E-2</v>
      </c>
      <c r="K253" s="2"/>
      <c r="L253" s="2"/>
      <c r="M253" s="2"/>
      <c r="N253" s="2"/>
      <c r="O253" s="2"/>
    </row>
    <row r="254" spans="1:15" customFormat="1" x14ac:dyDescent="0.25">
      <c r="A254" s="2" t="s">
        <v>6</v>
      </c>
      <c r="B254" s="2">
        <v>2016</v>
      </c>
      <c r="C254" s="2" t="s">
        <v>28</v>
      </c>
      <c r="D254" s="2" t="s">
        <v>37</v>
      </c>
      <c r="E254" s="2" t="s">
        <v>9</v>
      </c>
      <c r="F254" s="2" t="s">
        <v>10</v>
      </c>
      <c r="G254" s="2">
        <f t="shared" si="12"/>
        <v>0.29213018222328241</v>
      </c>
      <c r="H254" s="5">
        <v>4.1041922861933928</v>
      </c>
      <c r="I254" s="2">
        <v>1789</v>
      </c>
      <c r="J254" s="57">
        <f>I254/Pondération!$G$52</f>
        <v>7.1178483329354655E-2</v>
      </c>
      <c r="K254" s="2"/>
      <c r="L254" s="2"/>
      <c r="M254" s="2"/>
      <c r="N254" s="2"/>
      <c r="O254" s="2"/>
    </row>
    <row r="255" spans="1:15" customFormat="1" x14ac:dyDescent="0.25">
      <c r="A255" s="2" t="s">
        <v>6</v>
      </c>
      <c r="B255" s="2">
        <v>2016</v>
      </c>
      <c r="C255" s="2" t="s">
        <v>29</v>
      </c>
      <c r="D255" s="2" t="s">
        <v>37</v>
      </c>
      <c r="E255" s="2" t="s">
        <v>9</v>
      </c>
      <c r="F255" s="2" t="s">
        <v>10</v>
      </c>
      <c r="G255" s="2">
        <f t="shared" si="12"/>
        <v>0.2064951858040901</v>
      </c>
      <c r="H255" s="5">
        <v>4.106052215189874</v>
      </c>
      <c r="I255" s="2">
        <v>1264</v>
      </c>
      <c r="J255" s="57">
        <f>I255/Pondération!$G$52</f>
        <v>5.0290443224317659E-2</v>
      </c>
      <c r="K255" s="2"/>
      <c r="L255" s="2"/>
      <c r="M255" s="2"/>
      <c r="N255" s="2"/>
      <c r="O255" s="2"/>
    </row>
    <row r="256" spans="1:15" customFormat="1" x14ac:dyDescent="0.25">
      <c r="A256" s="2" t="s">
        <v>6</v>
      </c>
      <c r="B256" s="2">
        <v>2017</v>
      </c>
      <c r="C256" s="2" t="s">
        <v>30</v>
      </c>
      <c r="D256" s="2" t="s">
        <v>37</v>
      </c>
      <c r="E256" s="2" t="s">
        <v>9</v>
      </c>
      <c r="F256" s="2" t="s">
        <v>10</v>
      </c>
      <c r="G256" s="2">
        <f t="shared" si="12"/>
        <v>0.52254185692541955</v>
      </c>
      <c r="H256" s="5">
        <v>4.0421114599686101</v>
      </c>
      <c r="I256" s="2">
        <v>1274</v>
      </c>
      <c r="J256" s="57">
        <f>I256/Pondération!$F$52</f>
        <v>0.12927447995941146</v>
      </c>
      <c r="K256" s="2"/>
      <c r="L256" s="2"/>
      <c r="M256" s="2"/>
      <c r="N256" s="2"/>
      <c r="O256" s="2"/>
    </row>
    <row r="257" spans="1:16" x14ac:dyDescent="0.25">
      <c r="A257" s="2" t="s">
        <v>6</v>
      </c>
      <c r="B257" s="2">
        <v>2017</v>
      </c>
      <c r="C257" s="2" t="s">
        <v>31</v>
      </c>
      <c r="D257" s="2" t="s">
        <v>37</v>
      </c>
      <c r="E257" s="2" t="s">
        <v>9</v>
      </c>
      <c r="F257" s="2" t="s">
        <v>10</v>
      </c>
      <c r="G257" s="2">
        <f t="shared" si="12"/>
        <v>0.61901572805682381</v>
      </c>
      <c r="H257" s="5">
        <v>4.1555858310626697</v>
      </c>
      <c r="I257" s="2">
        <v>1468</v>
      </c>
      <c r="J257" s="57">
        <f>I257/Pondération!$F$52</f>
        <v>0.14895991882293252</v>
      </c>
      <c r="K257" s="2"/>
      <c r="L257" s="2"/>
      <c r="M257" s="2"/>
      <c r="N257" s="2"/>
      <c r="O257" s="2"/>
      <c r="P257"/>
    </row>
    <row r="258" spans="1:16" x14ac:dyDescent="0.25">
      <c r="A258" s="2" t="s">
        <v>6</v>
      </c>
      <c r="B258" s="2">
        <v>2017</v>
      </c>
      <c r="C258" s="2" t="s">
        <v>32</v>
      </c>
      <c r="D258" s="2" t="s">
        <v>37</v>
      </c>
      <c r="E258" s="2" t="s">
        <v>9</v>
      </c>
      <c r="F258" s="2" t="s">
        <v>10</v>
      </c>
      <c r="G258" s="2">
        <f t="shared" ref="G258:G321" si="13">H258*J258</f>
        <v>0.62104008117706755</v>
      </c>
      <c r="H258" s="5">
        <v>4.1214478114478119</v>
      </c>
      <c r="I258" s="2">
        <v>1485</v>
      </c>
      <c r="J258" s="57">
        <f>I258/Pondération!$F$52</f>
        <v>0.15068493150684931</v>
      </c>
      <c r="K258" s="2"/>
      <c r="L258" s="2"/>
      <c r="M258" s="2"/>
      <c r="N258" s="2"/>
      <c r="O258" s="2"/>
      <c r="P258"/>
    </row>
    <row r="259" spans="1:16" x14ac:dyDescent="0.25">
      <c r="A259" s="2" t="s">
        <v>6</v>
      </c>
      <c r="B259" s="2">
        <v>2017</v>
      </c>
      <c r="C259" s="2" t="s">
        <v>33</v>
      </c>
      <c r="D259" s="2" t="s">
        <v>37</v>
      </c>
      <c r="E259" s="2" t="s">
        <v>9</v>
      </c>
      <c r="F259" s="2" t="s">
        <v>10</v>
      </c>
      <c r="G259" s="2">
        <f t="shared" si="13"/>
        <v>1.3918822932521362</v>
      </c>
      <c r="H259" s="5">
        <v>4.1579266444376479</v>
      </c>
      <c r="I259" s="2">
        <v>3299</v>
      </c>
      <c r="J259" s="57">
        <f>I259/Pondération!$F$52</f>
        <v>0.334753932014206</v>
      </c>
      <c r="K259" s="2"/>
      <c r="L259" s="2"/>
      <c r="M259" s="2"/>
      <c r="N259" s="2"/>
      <c r="O259" s="2"/>
      <c r="P259"/>
    </row>
    <row r="260" spans="1:16" x14ac:dyDescent="0.25">
      <c r="A260" s="2" t="s">
        <v>6</v>
      </c>
      <c r="B260" s="2">
        <v>2017</v>
      </c>
      <c r="C260" s="2" t="s">
        <v>34</v>
      </c>
      <c r="D260" s="2" t="s">
        <v>37</v>
      </c>
      <c r="E260" s="2" t="s">
        <v>9</v>
      </c>
      <c r="F260" s="2" t="s">
        <v>10</v>
      </c>
      <c r="G260" s="2">
        <f t="shared" si="13"/>
        <v>0.98039573820395232</v>
      </c>
      <c r="H260" s="5">
        <v>4.1484757406612065</v>
      </c>
      <c r="I260" s="2">
        <v>2329</v>
      </c>
      <c r="J260" s="57">
        <f>I260/Pondération!$F$52</f>
        <v>0.2363267376966007</v>
      </c>
      <c r="K260" s="2"/>
      <c r="L260" s="2"/>
      <c r="M260" s="2"/>
      <c r="N260" s="2"/>
      <c r="O260" s="2"/>
      <c r="P260"/>
    </row>
    <row r="261" spans="1:16" x14ac:dyDescent="0.25">
      <c r="A261" s="2" t="s">
        <v>47</v>
      </c>
      <c r="B261" s="2">
        <v>2013</v>
      </c>
      <c r="C261" s="2" t="s">
        <v>49</v>
      </c>
      <c r="D261" s="2" t="s">
        <v>37</v>
      </c>
      <c r="E261" s="2" t="s">
        <v>9</v>
      </c>
      <c r="F261" s="2" t="s">
        <v>48</v>
      </c>
      <c r="G261" s="2">
        <f t="shared" si="13"/>
        <v>0.225669099756691</v>
      </c>
      <c r="H261" s="5">
        <v>4.416666666666667</v>
      </c>
      <c r="I261" s="2">
        <v>42</v>
      </c>
      <c r="J261" s="57">
        <f>I261/Pondération!$J$53</f>
        <v>5.1094890510948905E-2</v>
      </c>
      <c r="K261" s="5">
        <v>4.3809523809523814</v>
      </c>
      <c r="L261" s="5">
        <f t="shared" ref="L261:L313" si="14">K261*$J261</f>
        <v>0.22384428223844285</v>
      </c>
      <c r="M261" s="5">
        <v>4.5714285714285712</v>
      </c>
      <c r="N261" s="5">
        <f t="shared" ref="N261:N313" si="15">M261*$J261</f>
        <v>0.23357664233576642</v>
      </c>
      <c r="O261" s="5">
        <v>4.333333333333333</v>
      </c>
      <c r="P261" s="15">
        <f t="shared" ref="P261:P313" si="16">O261*$J261</f>
        <v>0.2214111922141119</v>
      </c>
    </row>
    <row r="262" spans="1:16" x14ac:dyDescent="0.25">
      <c r="A262" s="2" t="s">
        <v>47</v>
      </c>
      <c r="B262" s="2">
        <v>2013</v>
      </c>
      <c r="C262" s="2" t="s">
        <v>50</v>
      </c>
      <c r="D262" s="2" t="s">
        <v>37</v>
      </c>
      <c r="E262" s="2" t="s">
        <v>9</v>
      </c>
      <c r="F262" s="2" t="s">
        <v>48</v>
      </c>
      <c r="G262" s="2">
        <f t="shared" si="13"/>
        <v>0.49513381995133815</v>
      </c>
      <c r="H262" s="5">
        <v>4.1530612244897958</v>
      </c>
      <c r="I262" s="2">
        <v>98</v>
      </c>
      <c r="J262" s="57">
        <f>I262/Pondération!$J$53</f>
        <v>0.11922141119221411</v>
      </c>
      <c r="K262" s="5">
        <v>4.2244897959183669</v>
      </c>
      <c r="L262" s="5">
        <f t="shared" si="14"/>
        <v>0.50364963503649629</v>
      </c>
      <c r="M262" s="5">
        <v>4.2448979591836737</v>
      </c>
      <c r="N262" s="5">
        <f t="shared" si="15"/>
        <v>0.5060827250608273</v>
      </c>
      <c r="O262" s="5">
        <v>3.9183673469387754</v>
      </c>
      <c r="P262" s="15">
        <f t="shared" si="16"/>
        <v>0.46715328467153283</v>
      </c>
    </row>
    <row r="263" spans="1:16" x14ac:dyDescent="0.25">
      <c r="A263" s="2" t="s">
        <v>47</v>
      </c>
      <c r="B263" s="2">
        <v>2013</v>
      </c>
      <c r="C263" s="2" t="s">
        <v>51</v>
      </c>
      <c r="D263" s="2" t="s">
        <v>37</v>
      </c>
      <c r="E263" s="2" t="s">
        <v>9</v>
      </c>
      <c r="F263" s="2" t="s">
        <v>48</v>
      </c>
      <c r="G263" s="2">
        <f t="shared" si="13"/>
        <v>0.32299270072992703</v>
      </c>
      <c r="H263" s="5">
        <v>4.1484375</v>
      </c>
      <c r="I263" s="2">
        <v>64</v>
      </c>
      <c r="J263" s="57">
        <f>I263/Pondération!$J$53</f>
        <v>7.785888077858881E-2</v>
      </c>
      <c r="K263" s="5">
        <v>4.15625</v>
      </c>
      <c r="L263" s="5">
        <f t="shared" si="14"/>
        <v>0.32360097323600973</v>
      </c>
      <c r="M263" s="5">
        <v>4.375</v>
      </c>
      <c r="N263" s="5">
        <f t="shared" si="15"/>
        <v>0.34063260340632606</v>
      </c>
      <c r="O263" s="5">
        <v>3.90625</v>
      </c>
      <c r="P263" s="15">
        <f t="shared" si="16"/>
        <v>0.30413625304136255</v>
      </c>
    </row>
    <row r="264" spans="1:16" x14ac:dyDescent="0.25">
      <c r="A264" s="2" t="s">
        <v>47</v>
      </c>
      <c r="B264" s="2">
        <v>2013</v>
      </c>
      <c r="C264" s="2" t="s">
        <v>52</v>
      </c>
      <c r="D264" s="2" t="s">
        <v>37</v>
      </c>
      <c r="E264" s="2" t="s">
        <v>9</v>
      </c>
      <c r="F264" s="2" t="s">
        <v>48</v>
      </c>
      <c r="G264" s="2">
        <f t="shared" si="13"/>
        <v>0.3479318734793187</v>
      </c>
      <c r="H264" s="5">
        <v>4.333333333333333</v>
      </c>
      <c r="I264" s="2">
        <v>66</v>
      </c>
      <c r="J264" s="57">
        <f>I264/Pondération!$J$53</f>
        <v>8.0291970802919707E-2</v>
      </c>
      <c r="K264" s="5">
        <v>4.3939393939393936</v>
      </c>
      <c r="L264" s="5">
        <f t="shared" si="14"/>
        <v>0.35279805352798049</v>
      </c>
      <c r="M264" s="5">
        <v>4.2424242424242422</v>
      </c>
      <c r="N264" s="5">
        <f t="shared" si="15"/>
        <v>0.34063260340632601</v>
      </c>
      <c r="O264" s="5">
        <v>4.3030303030303028</v>
      </c>
      <c r="P264" s="15">
        <f t="shared" si="16"/>
        <v>0.3454987834549878</v>
      </c>
    </row>
    <row r="265" spans="1:16" x14ac:dyDescent="0.25">
      <c r="A265" s="2" t="s">
        <v>47</v>
      </c>
      <c r="B265" s="2">
        <v>2013</v>
      </c>
      <c r="C265" s="2" t="s">
        <v>53</v>
      </c>
      <c r="D265" s="2" t="s">
        <v>37</v>
      </c>
      <c r="E265" s="2" t="s">
        <v>9</v>
      </c>
      <c r="F265" s="2" t="s">
        <v>48</v>
      </c>
      <c r="G265" s="2">
        <f t="shared" si="13"/>
        <v>0.3004866180048662</v>
      </c>
      <c r="H265" s="5">
        <v>4.2586206896551726</v>
      </c>
      <c r="I265" s="2">
        <v>58</v>
      </c>
      <c r="J265" s="57">
        <f>I265/Pondération!$J$53</f>
        <v>7.0559610705596104E-2</v>
      </c>
      <c r="K265" s="5">
        <v>4.3103448275862073</v>
      </c>
      <c r="L265" s="5">
        <f t="shared" si="14"/>
        <v>0.30413625304136255</v>
      </c>
      <c r="M265" s="5">
        <v>4.2068965517241379</v>
      </c>
      <c r="N265" s="5">
        <f t="shared" si="15"/>
        <v>0.2968369829683698</v>
      </c>
      <c r="O265" s="5">
        <v>4.2068965517241379</v>
      </c>
      <c r="P265" s="15">
        <f t="shared" si="16"/>
        <v>0.2968369829683698</v>
      </c>
    </row>
    <row r="266" spans="1:16" x14ac:dyDescent="0.25">
      <c r="A266" s="2" t="s">
        <v>47</v>
      </c>
      <c r="B266" s="2">
        <v>2013</v>
      </c>
      <c r="C266" s="2" t="s">
        <v>54</v>
      </c>
      <c r="D266" s="2" t="s">
        <v>37</v>
      </c>
      <c r="E266" s="2" t="s">
        <v>9</v>
      </c>
      <c r="F266" s="2" t="s">
        <v>48</v>
      </c>
      <c r="G266" s="2">
        <f t="shared" si="13"/>
        <v>0.38442822384428221</v>
      </c>
      <c r="H266" s="5">
        <v>4.2702702702702702</v>
      </c>
      <c r="I266" s="2">
        <v>74</v>
      </c>
      <c r="J266" s="57">
        <f>I266/Pondération!$J$53</f>
        <v>9.002433090024331E-2</v>
      </c>
      <c r="K266" s="5">
        <v>4.3243243243243246</v>
      </c>
      <c r="L266" s="5">
        <f t="shared" si="14"/>
        <v>0.38929440389294406</v>
      </c>
      <c r="M266" s="5">
        <v>4.3783783783783781</v>
      </c>
      <c r="N266" s="5">
        <f t="shared" si="15"/>
        <v>0.3941605839416058</v>
      </c>
      <c r="O266" s="5">
        <v>4.0540540540540544</v>
      </c>
      <c r="P266" s="15">
        <f t="shared" si="16"/>
        <v>0.36496350364963509</v>
      </c>
    </row>
    <row r="267" spans="1:16" x14ac:dyDescent="0.25">
      <c r="A267" s="2" t="s">
        <v>47</v>
      </c>
      <c r="B267" s="2">
        <v>2013</v>
      </c>
      <c r="C267" s="2" t="s">
        <v>55</v>
      </c>
      <c r="D267" s="2" t="s">
        <v>37</v>
      </c>
      <c r="E267" s="2" t="s">
        <v>9</v>
      </c>
      <c r="F267" s="2" t="s">
        <v>48</v>
      </c>
      <c r="G267" s="2">
        <f t="shared" si="13"/>
        <v>0.47080291970802918</v>
      </c>
      <c r="H267" s="5">
        <v>4.3</v>
      </c>
      <c r="I267" s="2">
        <v>90</v>
      </c>
      <c r="J267" s="57">
        <f>I267/Pondération!$J$53</f>
        <v>0.10948905109489052</v>
      </c>
      <c r="K267" s="5">
        <v>4.3777777777777782</v>
      </c>
      <c r="L267" s="5">
        <f t="shared" si="14"/>
        <v>0.47931873479318743</v>
      </c>
      <c r="M267" s="5">
        <v>4.0666666666666664</v>
      </c>
      <c r="N267" s="5">
        <f t="shared" si="15"/>
        <v>0.44525547445255476</v>
      </c>
      <c r="O267" s="5">
        <v>4.3777777777777782</v>
      </c>
      <c r="P267" s="15">
        <f t="shared" si="16"/>
        <v>0.47931873479318743</v>
      </c>
    </row>
    <row r="268" spans="1:16" x14ac:dyDescent="0.25">
      <c r="A268" s="2" t="s">
        <v>47</v>
      </c>
      <c r="B268" s="2">
        <v>2013</v>
      </c>
      <c r="C268" s="2" t="s">
        <v>56</v>
      </c>
      <c r="D268" s="2" t="s">
        <v>37</v>
      </c>
      <c r="E268" s="2" t="s">
        <v>9</v>
      </c>
      <c r="F268" s="2" t="s">
        <v>48</v>
      </c>
      <c r="G268" s="2">
        <f t="shared" si="13"/>
        <v>0.46228710462287109</v>
      </c>
      <c r="H268" s="5">
        <v>4.2222222222222223</v>
      </c>
      <c r="I268" s="2">
        <v>90</v>
      </c>
      <c r="J268" s="57">
        <f>I268/Pondération!$J$53</f>
        <v>0.10948905109489052</v>
      </c>
      <c r="K268" s="5">
        <v>4.2888888888888888</v>
      </c>
      <c r="L268" s="5">
        <f t="shared" si="14"/>
        <v>0.46958637469586373</v>
      </c>
      <c r="M268" s="5">
        <v>4.2444444444444445</v>
      </c>
      <c r="N268" s="5">
        <f t="shared" si="15"/>
        <v>0.46472019464720199</v>
      </c>
      <c r="O268" s="5">
        <v>4.0666666666666664</v>
      </c>
      <c r="P268" s="15">
        <f t="shared" si="16"/>
        <v>0.44525547445255476</v>
      </c>
    </row>
    <row r="269" spans="1:16" x14ac:dyDescent="0.25">
      <c r="A269" s="2" t="s">
        <v>47</v>
      </c>
      <c r="B269" s="2">
        <v>2013</v>
      </c>
      <c r="C269" s="2" t="s">
        <v>57</v>
      </c>
      <c r="D269" s="2" t="s">
        <v>37</v>
      </c>
      <c r="E269" s="2" t="s">
        <v>9</v>
      </c>
      <c r="F269" s="2" t="s">
        <v>48</v>
      </c>
      <c r="G269" s="2">
        <f t="shared" si="13"/>
        <v>0.26763990267639898</v>
      </c>
      <c r="H269" s="5">
        <v>4.583333333333333</v>
      </c>
      <c r="I269" s="2">
        <v>48</v>
      </c>
      <c r="J269" s="57">
        <f>I269/Pondération!$J$53</f>
        <v>5.8394160583941604E-2</v>
      </c>
      <c r="K269" s="5">
        <v>4.666666666666667</v>
      </c>
      <c r="L269" s="5">
        <f t="shared" si="14"/>
        <v>0.27250608272506083</v>
      </c>
      <c r="M269" s="5">
        <v>4.5</v>
      </c>
      <c r="N269" s="5">
        <f t="shared" si="15"/>
        <v>0.26277372262773724</v>
      </c>
      <c r="O269" s="5">
        <v>4.5</v>
      </c>
      <c r="P269" s="15">
        <f t="shared" si="16"/>
        <v>0.26277372262773724</v>
      </c>
    </row>
    <row r="270" spans="1:16" x14ac:dyDescent="0.25">
      <c r="A270" s="2" t="s">
        <v>47</v>
      </c>
      <c r="B270" s="2">
        <v>2013</v>
      </c>
      <c r="C270" s="2" t="s">
        <v>58</v>
      </c>
      <c r="D270" s="2" t="s">
        <v>37</v>
      </c>
      <c r="E270" s="2" t="s">
        <v>9</v>
      </c>
      <c r="F270" s="2" t="s">
        <v>48</v>
      </c>
      <c r="G270" s="2">
        <f t="shared" si="13"/>
        <v>0.30170316301703165</v>
      </c>
      <c r="H270" s="5">
        <v>4.4285714285714288</v>
      </c>
      <c r="I270" s="2">
        <v>56</v>
      </c>
      <c r="J270" s="57">
        <f>I270/Pondération!$J$53</f>
        <v>6.8126520681265207E-2</v>
      </c>
      <c r="K270" s="5">
        <v>4.5714285714285712</v>
      </c>
      <c r="L270" s="5">
        <f t="shared" si="14"/>
        <v>0.31143552311435524</v>
      </c>
      <c r="M270" s="5">
        <v>4.3214285714285712</v>
      </c>
      <c r="N270" s="5">
        <f t="shared" si="15"/>
        <v>0.2944038929440389</v>
      </c>
      <c r="O270" s="5">
        <v>4.25</v>
      </c>
      <c r="P270" s="15">
        <f t="shared" si="16"/>
        <v>0.28953771289537711</v>
      </c>
    </row>
    <row r="271" spans="1:16" x14ac:dyDescent="0.25">
      <c r="A271" s="2" t="s">
        <v>47</v>
      </c>
      <c r="B271" s="2">
        <v>2013</v>
      </c>
      <c r="C271" s="2" t="s">
        <v>59</v>
      </c>
      <c r="D271" s="2" t="s">
        <v>37</v>
      </c>
      <c r="E271" s="2" t="s">
        <v>9</v>
      </c>
      <c r="F271" s="2" t="s">
        <v>48</v>
      </c>
      <c r="G271" s="2">
        <f t="shared" si="13"/>
        <v>0.36192214111922139</v>
      </c>
      <c r="H271" s="5">
        <v>4.25</v>
      </c>
      <c r="I271" s="2">
        <v>70</v>
      </c>
      <c r="J271" s="57">
        <f>I271/Pondération!$J$53</f>
        <v>8.5158150851581502E-2</v>
      </c>
      <c r="K271" s="5">
        <v>4.2571428571428571</v>
      </c>
      <c r="L271" s="5">
        <f t="shared" si="14"/>
        <v>0.36253041362530408</v>
      </c>
      <c r="M271" s="5">
        <v>4.371428571428571</v>
      </c>
      <c r="N271" s="5">
        <f t="shared" si="15"/>
        <v>0.37226277372262767</v>
      </c>
      <c r="O271" s="5">
        <v>4.1142857142857139</v>
      </c>
      <c r="P271" s="15">
        <f t="shared" si="16"/>
        <v>0.3503649635036496</v>
      </c>
    </row>
    <row r="272" spans="1:16" x14ac:dyDescent="0.25">
      <c r="A272" s="2" t="s">
        <v>47</v>
      </c>
      <c r="B272" s="2">
        <v>2013</v>
      </c>
      <c r="C272" s="2" t="s">
        <v>60</v>
      </c>
      <c r="D272" s="2" t="s">
        <v>37</v>
      </c>
      <c r="E272" s="2" t="s">
        <v>9</v>
      </c>
      <c r="F272" s="2" t="s">
        <v>48</v>
      </c>
      <c r="G272" s="2">
        <f t="shared" si="13"/>
        <v>0.33941605839416061</v>
      </c>
      <c r="H272" s="5">
        <v>4.2272727272727275</v>
      </c>
      <c r="I272" s="2">
        <v>66</v>
      </c>
      <c r="J272" s="57">
        <f>I272/Pondération!$J$53</f>
        <v>8.0291970802919707E-2</v>
      </c>
      <c r="K272" s="5">
        <v>4.5454545454545459</v>
      </c>
      <c r="L272" s="5">
        <f t="shared" si="14"/>
        <v>0.36496350364963509</v>
      </c>
      <c r="M272" s="5">
        <v>3.9696969696969697</v>
      </c>
      <c r="N272" s="5">
        <f t="shared" si="15"/>
        <v>0.31873479318734793</v>
      </c>
      <c r="O272" s="5">
        <v>3.8484848484848486</v>
      </c>
      <c r="P272" s="15">
        <f t="shared" si="16"/>
        <v>0.30900243309002434</v>
      </c>
    </row>
    <row r="273" spans="1:16" x14ac:dyDescent="0.25">
      <c r="A273" s="2" t="s">
        <v>47</v>
      </c>
      <c r="B273" s="2">
        <v>2014</v>
      </c>
      <c r="C273" s="2" t="s">
        <v>61</v>
      </c>
      <c r="D273" s="2" t="s">
        <v>37</v>
      </c>
      <c r="E273" s="2" t="s">
        <v>9</v>
      </c>
      <c r="F273" s="2" t="s">
        <v>48</v>
      </c>
      <c r="G273" s="2">
        <f t="shared" si="13"/>
        <v>0.14757207890743554</v>
      </c>
      <c r="H273" s="5">
        <v>4.2282608695652177</v>
      </c>
      <c r="I273" s="2">
        <v>46</v>
      </c>
      <c r="J273" s="57">
        <f>I273/Pondération!$I$53</f>
        <v>3.490136570561457E-2</v>
      </c>
      <c r="K273" s="5">
        <v>4.1304347826086953</v>
      </c>
      <c r="L273" s="5">
        <f t="shared" si="14"/>
        <v>0.1441578148710167</v>
      </c>
      <c r="M273" s="5">
        <v>4.3913043478260869</v>
      </c>
      <c r="N273" s="5">
        <f t="shared" si="15"/>
        <v>0.15326251896813356</v>
      </c>
      <c r="O273" s="5">
        <v>4.2608695652173916</v>
      </c>
      <c r="P273" s="15">
        <f t="shared" si="16"/>
        <v>0.14871016691957514</v>
      </c>
    </row>
    <row r="274" spans="1:16" x14ac:dyDescent="0.25">
      <c r="A274" s="2" t="s">
        <v>47</v>
      </c>
      <c r="B274" s="2">
        <v>2014</v>
      </c>
      <c r="C274" s="2" t="s">
        <v>62</v>
      </c>
      <c r="D274" s="2" t="s">
        <v>37</v>
      </c>
      <c r="E274" s="2" t="s">
        <v>9</v>
      </c>
      <c r="F274" s="2" t="s">
        <v>48</v>
      </c>
      <c r="G274" s="2">
        <f t="shared" si="13"/>
        <v>0.26972685887708647</v>
      </c>
      <c r="H274" s="5">
        <v>4.0397727272727275</v>
      </c>
      <c r="I274" s="2">
        <v>88</v>
      </c>
      <c r="J274" s="57">
        <f>I274/Pondération!$I$53</f>
        <v>6.6767830045523516E-2</v>
      </c>
      <c r="K274" s="5">
        <v>4.0454545454545459</v>
      </c>
      <c r="L274" s="5">
        <f t="shared" si="14"/>
        <v>0.27010622154779973</v>
      </c>
      <c r="M274" s="5">
        <v>4.1590909090909092</v>
      </c>
      <c r="N274" s="5">
        <f t="shared" si="15"/>
        <v>0.2776934749620637</v>
      </c>
      <c r="O274" s="5">
        <v>3.9090909090909092</v>
      </c>
      <c r="P274" s="15">
        <f t="shared" si="16"/>
        <v>0.26100151745068284</v>
      </c>
    </row>
    <row r="275" spans="1:16" x14ac:dyDescent="0.25">
      <c r="A275" s="2" t="s">
        <v>47</v>
      </c>
      <c r="B275" s="2">
        <v>2014</v>
      </c>
      <c r="C275" s="2" t="s">
        <v>63</v>
      </c>
      <c r="D275" s="2" t="s">
        <v>37</v>
      </c>
      <c r="E275" s="2" t="s">
        <v>9</v>
      </c>
      <c r="F275" s="2" t="s">
        <v>48</v>
      </c>
      <c r="G275" s="2">
        <f t="shared" si="13"/>
        <v>0.20751138088012142</v>
      </c>
      <c r="H275" s="5">
        <v>4.2734375</v>
      </c>
      <c r="I275" s="2">
        <v>64</v>
      </c>
      <c r="J275" s="57">
        <f>I275/Pondération!$I$53</f>
        <v>4.8558421851289835E-2</v>
      </c>
      <c r="K275" s="5">
        <v>4.25</v>
      </c>
      <c r="L275" s="5">
        <f t="shared" si="14"/>
        <v>0.20637329286798178</v>
      </c>
      <c r="M275" s="5">
        <v>4.375</v>
      </c>
      <c r="N275" s="5">
        <f t="shared" si="15"/>
        <v>0.21244309559939303</v>
      </c>
      <c r="O275" s="5">
        <v>4.21875</v>
      </c>
      <c r="P275" s="15">
        <f t="shared" si="16"/>
        <v>0.20485584218512898</v>
      </c>
    </row>
    <row r="276" spans="1:16" x14ac:dyDescent="0.25">
      <c r="A276" s="2" t="s">
        <v>47</v>
      </c>
      <c r="B276" s="2">
        <v>2014</v>
      </c>
      <c r="C276" s="2" t="s">
        <v>64</v>
      </c>
      <c r="D276" s="2" t="s">
        <v>37</v>
      </c>
      <c r="E276" s="2" t="s">
        <v>9</v>
      </c>
      <c r="F276" s="2" t="s">
        <v>48</v>
      </c>
      <c r="G276" s="2">
        <f t="shared" si="13"/>
        <v>0.40705614567526555</v>
      </c>
      <c r="H276" s="5">
        <v>4.4708333333333332</v>
      </c>
      <c r="I276" s="2">
        <v>120</v>
      </c>
      <c r="J276" s="57">
        <f>I276/Pondération!$I$53</f>
        <v>9.1047040971168433E-2</v>
      </c>
      <c r="K276" s="5">
        <v>4.5333333333333332</v>
      </c>
      <c r="L276" s="5">
        <f t="shared" si="14"/>
        <v>0.41274658573596357</v>
      </c>
      <c r="M276" s="5">
        <v>4.5</v>
      </c>
      <c r="N276" s="5">
        <f t="shared" si="15"/>
        <v>0.40971168437025796</v>
      </c>
      <c r="O276" s="5">
        <v>4.3166666666666664</v>
      </c>
      <c r="P276" s="15">
        <f t="shared" si="16"/>
        <v>0.39301972685887704</v>
      </c>
    </row>
    <row r="277" spans="1:16" x14ac:dyDescent="0.25">
      <c r="A277" s="2" t="s">
        <v>47</v>
      </c>
      <c r="B277" s="2">
        <v>2014</v>
      </c>
      <c r="C277" s="2" t="s">
        <v>65</v>
      </c>
      <c r="D277" s="2" t="s">
        <v>37</v>
      </c>
      <c r="E277" s="2" t="s">
        <v>9</v>
      </c>
      <c r="F277" s="2" t="s">
        <v>48</v>
      </c>
      <c r="G277" s="2">
        <f t="shared" si="13"/>
        <v>0.39681335356600911</v>
      </c>
      <c r="H277" s="5">
        <v>4.3583333333333334</v>
      </c>
      <c r="I277" s="2">
        <v>120</v>
      </c>
      <c r="J277" s="57">
        <f>I277/Pondération!$I$53</f>
        <v>9.1047040971168433E-2</v>
      </c>
      <c r="K277" s="5">
        <v>4.45</v>
      </c>
      <c r="L277" s="5">
        <f t="shared" si="14"/>
        <v>0.40515933232169954</v>
      </c>
      <c r="M277" s="5">
        <v>4.3166666666666664</v>
      </c>
      <c r="N277" s="5">
        <f t="shared" si="15"/>
        <v>0.39301972685887704</v>
      </c>
      <c r="O277" s="5">
        <v>4.2166666666666668</v>
      </c>
      <c r="P277" s="15">
        <f t="shared" si="16"/>
        <v>0.38391502276176026</v>
      </c>
    </row>
    <row r="278" spans="1:16" x14ac:dyDescent="0.25">
      <c r="A278" s="2" t="s">
        <v>47</v>
      </c>
      <c r="B278" s="2">
        <v>2014</v>
      </c>
      <c r="C278" s="2" t="s">
        <v>66</v>
      </c>
      <c r="D278" s="2" t="s">
        <v>37</v>
      </c>
      <c r="E278" s="2" t="s">
        <v>9</v>
      </c>
      <c r="F278" s="2" t="s">
        <v>48</v>
      </c>
      <c r="G278" s="2">
        <f t="shared" si="13"/>
        <v>0.29552352048558417</v>
      </c>
      <c r="H278" s="5">
        <v>4.4261363636363633</v>
      </c>
      <c r="I278" s="2">
        <v>88</v>
      </c>
      <c r="J278" s="57">
        <f>I278/Pondération!$I$53</f>
        <v>6.6767830045523516E-2</v>
      </c>
      <c r="K278" s="5">
        <v>4.5227272727272725</v>
      </c>
      <c r="L278" s="5">
        <f t="shared" si="14"/>
        <v>0.30197268588770859</v>
      </c>
      <c r="M278" s="5">
        <v>4.4318181818181817</v>
      </c>
      <c r="N278" s="5">
        <f t="shared" si="15"/>
        <v>0.29590288315629737</v>
      </c>
      <c r="O278" s="5">
        <v>4.2272727272727275</v>
      </c>
      <c r="P278" s="15">
        <f t="shared" si="16"/>
        <v>0.28224582701062217</v>
      </c>
    </row>
    <row r="279" spans="1:16" x14ac:dyDescent="0.25">
      <c r="A279" s="2" t="s">
        <v>47</v>
      </c>
      <c r="B279" s="2">
        <v>2014</v>
      </c>
      <c r="C279" s="2" t="s">
        <v>67</v>
      </c>
      <c r="D279" s="2" t="s">
        <v>37</v>
      </c>
      <c r="E279" s="2" t="s">
        <v>9</v>
      </c>
      <c r="F279" s="2" t="s">
        <v>48</v>
      </c>
      <c r="G279" s="2">
        <f t="shared" si="13"/>
        <v>0.45523520485584212</v>
      </c>
      <c r="H279" s="5">
        <v>4.2857142857142856</v>
      </c>
      <c r="I279" s="2">
        <v>140</v>
      </c>
      <c r="J279" s="57">
        <f>I279/Pondération!$I$53</f>
        <v>0.1062215477996965</v>
      </c>
      <c r="K279" s="5">
        <v>4.3142857142857141</v>
      </c>
      <c r="L279" s="5">
        <f t="shared" si="14"/>
        <v>0.45827010622154774</v>
      </c>
      <c r="M279" s="5">
        <v>4.3142857142857141</v>
      </c>
      <c r="N279" s="5">
        <f t="shared" si="15"/>
        <v>0.45827010622154774</v>
      </c>
      <c r="O279" s="5">
        <v>4.2</v>
      </c>
      <c r="P279" s="15">
        <f t="shared" si="16"/>
        <v>0.44613050075872535</v>
      </c>
    </row>
    <row r="280" spans="1:16" x14ac:dyDescent="0.25">
      <c r="A280" s="2" t="s">
        <v>47</v>
      </c>
      <c r="B280" s="2">
        <v>2014</v>
      </c>
      <c r="C280" s="2" t="s">
        <v>68</v>
      </c>
      <c r="D280" s="2" t="s">
        <v>37</v>
      </c>
      <c r="E280" s="2" t="s">
        <v>9</v>
      </c>
      <c r="F280" s="2" t="s">
        <v>48</v>
      </c>
      <c r="G280" s="2">
        <f t="shared" si="13"/>
        <v>0.49924127465857354</v>
      </c>
      <c r="H280" s="5">
        <v>4.2727272727272725</v>
      </c>
      <c r="I280" s="2">
        <v>154</v>
      </c>
      <c r="J280" s="57">
        <f>I280/Pondération!$I$53</f>
        <v>0.11684370257966616</v>
      </c>
      <c r="K280" s="5">
        <v>4.2467532467532472</v>
      </c>
      <c r="L280" s="5">
        <f t="shared" si="14"/>
        <v>0.49620637329286799</v>
      </c>
      <c r="M280" s="5">
        <v>4.4025974025974026</v>
      </c>
      <c r="N280" s="5">
        <f t="shared" si="15"/>
        <v>0.51441578148710165</v>
      </c>
      <c r="O280" s="5">
        <v>4.1948051948051948</v>
      </c>
      <c r="P280" s="15">
        <f t="shared" si="16"/>
        <v>0.49013657056145671</v>
      </c>
    </row>
    <row r="281" spans="1:16" x14ac:dyDescent="0.25">
      <c r="A281" s="2" t="s">
        <v>47</v>
      </c>
      <c r="B281" s="2">
        <v>2014</v>
      </c>
      <c r="C281" s="2" t="s">
        <v>69</v>
      </c>
      <c r="D281" s="2" t="s">
        <v>37</v>
      </c>
      <c r="E281" s="2" t="s">
        <v>9</v>
      </c>
      <c r="F281" s="2" t="s">
        <v>48</v>
      </c>
      <c r="G281" s="2">
        <f t="shared" si="13"/>
        <v>0.37746585735963584</v>
      </c>
      <c r="H281" s="5">
        <v>4.4419642857142856</v>
      </c>
      <c r="I281" s="2">
        <v>112</v>
      </c>
      <c r="J281" s="57">
        <f>I281/Pondération!$I$53</f>
        <v>8.4977238239757211E-2</v>
      </c>
      <c r="K281" s="5">
        <v>4.5</v>
      </c>
      <c r="L281" s="5">
        <f t="shared" si="14"/>
        <v>0.38239757207890746</v>
      </c>
      <c r="M281" s="5">
        <v>4.5535714285714288</v>
      </c>
      <c r="N281" s="5">
        <f t="shared" si="15"/>
        <v>0.38694992412746587</v>
      </c>
      <c r="O281" s="5">
        <v>4.2142857142857144</v>
      </c>
      <c r="P281" s="15">
        <f t="shared" si="16"/>
        <v>0.35811836115326257</v>
      </c>
    </row>
    <row r="282" spans="1:16" x14ac:dyDescent="0.25">
      <c r="A282" s="2" t="s">
        <v>47</v>
      </c>
      <c r="B282" s="2">
        <v>2014</v>
      </c>
      <c r="C282" s="2" t="s">
        <v>70</v>
      </c>
      <c r="D282" s="2" t="s">
        <v>37</v>
      </c>
      <c r="E282" s="2" t="s">
        <v>9</v>
      </c>
      <c r="F282" s="2" t="s">
        <v>48</v>
      </c>
      <c r="G282" s="2">
        <f t="shared" si="13"/>
        <v>0.49165402124430951</v>
      </c>
      <c r="H282" s="5">
        <v>4.3783783783783781</v>
      </c>
      <c r="I282" s="2">
        <v>148</v>
      </c>
      <c r="J282" s="57">
        <f>I282/Pondération!$I$53</f>
        <v>0.11229135053110774</v>
      </c>
      <c r="K282" s="5">
        <v>4.4189189189189193</v>
      </c>
      <c r="L282" s="5">
        <f t="shared" si="14"/>
        <v>0.49620637329286804</v>
      </c>
      <c r="M282" s="5">
        <v>4.4054054054054053</v>
      </c>
      <c r="N282" s="5">
        <f t="shared" si="15"/>
        <v>0.49468892261001518</v>
      </c>
      <c r="O282" s="5">
        <v>4.2702702702702702</v>
      </c>
      <c r="P282" s="15">
        <f t="shared" si="16"/>
        <v>0.47951441578148707</v>
      </c>
    </row>
    <row r="283" spans="1:16" x14ac:dyDescent="0.25">
      <c r="A283" s="2" t="s">
        <v>47</v>
      </c>
      <c r="B283" s="2">
        <v>2014</v>
      </c>
      <c r="C283" s="2" t="s">
        <v>71</v>
      </c>
      <c r="D283" s="2" t="s">
        <v>37</v>
      </c>
      <c r="E283" s="2" t="s">
        <v>9</v>
      </c>
      <c r="F283" s="2" t="s">
        <v>48</v>
      </c>
      <c r="G283" s="2">
        <f t="shared" si="13"/>
        <v>0.37405159332321697</v>
      </c>
      <c r="H283" s="5">
        <v>4.4818181818181815</v>
      </c>
      <c r="I283" s="2">
        <v>110</v>
      </c>
      <c r="J283" s="57">
        <f>I283/Pondération!$I$53</f>
        <v>8.3459787556904405E-2</v>
      </c>
      <c r="K283" s="5">
        <v>4.6181818181818182</v>
      </c>
      <c r="L283" s="5">
        <f t="shared" si="14"/>
        <v>0.38543247344461307</v>
      </c>
      <c r="M283" s="5">
        <v>4.5636363636363635</v>
      </c>
      <c r="N283" s="5">
        <f t="shared" si="15"/>
        <v>0.38088012139605465</v>
      </c>
      <c r="O283" s="5">
        <v>4.127272727272727</v>
      </c>
      <c r="P283" s="15">
        <f t="shared" si="16"/>
        <v>0.34446130500758726</v>
      </c>
    </row>
    <row r="284" spans="1:16" x14ac:dyDescent="0.25">
      <c r="A284" s="2" t="s">
        <v>47</v>
      </c>
      <c r="B284" s="2">
        <v>2014</v>
      </c>
      <c r="C284" s="2" t="s">
        <v>72</v>
      </c>
      <c r="D284" s="2" t="s">
        <v>37</v>
      </c>
      <c r="E284" s="2" t="s">
        <v>9</v>
      </c>
      <c r="F284" s="2" t="s">
        <v>48</v>
      </c>
      <c r="G284" s="2">
        <f t="shared" si="13"/>
        <v>0.4347496206373293</v>
      </c>
      <c r="H284" s="5">
        <v>4.4765625</v>
      </c>
      <c r="I284" s="2">
        <v>128</v>
      </c>
      <c r="J284" s="57">
        <f>I284/Pondération!$I$53</f>
        <v>9.7116843702579669E-2</v>
      </c>
      <c r="K284" s="5">
        <v>4.53125</v>
      </c>
      <c r="L284" s="5">
        <f t="shared" si="14"/>
        <v>0.44006069802731412</v>
      </c>
      <c r="M284" s="5">
        <v>4.546875</v>
      </c>
      <c r="N284" s="5">
        <f t="shared" si="15"/>
        <v>0.44157814871016693</v>
      </c>
      <c r="O284" s="5">
        <v>4.296875</v>
      </c>
      <c r="P284" s="15">
        <f t="shared" si="16"/>
        <v>0.41729893778452204</v>
      </c>
    </row>
    <row r="285" spans="1:16" x14ac:dyDescent="0.25">
      <c r="A285" s="2" t="s">
        <v>47</v>
      </c>
      <c r="B285" s="2">
        <v>2015</v>
      </c>
      <c r="C285" s="2" t="s">
        <v>73</v>
      </c>
      <c r="D285" s="2" t="s">
        <v>37</v>
      </c>
      <c r="E285" s="2" t="s">
        <v>9</v>
      </c>
      <c r="F285" s="2" t="s">
        <v>48</v>
      </c>
      <c r="G285" s="2">
        <f t="shared" si="13"/>
        <v>0.15388257575757575</v>
      </c>
      <c r="H285" s="5">
        <v>4.3918918918918921</v>
      </c>
      <c r="I285" s="2">
        <v>74</v>
      </c>
      <c r="J285" s="57">
        <f>I285/Pondération!$H$53</f>
        <v>3.5037878787878785E-2</v>
      </c>
      <c r="K285" s="5">
        <v>4.4594594594594597</v>
      </c>
      <c r="L285" s="5">
        <f t="shared" si="14"/>
        <v>0.15625</v>
      </c>
      <c r="M285" s="5">
        <v>4.4594594594594597</v>
      </c>
      <c r="N285" s="5">
        <f t="shared" si="15"/>
        <v>0.15625</v>
      </c>
      <c r="O285" s="5">
        <v>4.1891891891891895</v>
      </c>
      <c r="P285" s="15">
        <f t="shared" si="16"/>
        <v>0.14678030303030304</v>
      </c>
    </row>
    <row r="286" spans="1:16" x14ac:dyDescent="0.25">
      <c r="A286" s="2" t="s">
        <v>47</v>
      </c>
      <c r="B286" s="2">
        <v>2015</v>
      </c>
      <c r="C286" s="2" t="s">
        <v>74</v>
      </c>
      <c r="D286" s="2" t="s">
        <v>37</v>
      </c>
      <c r="E286" s="2" t="s">
        <v>9</v>
      </c>
      <c r="F286" s="2" t="s">
        <v>48</v>
      </c>
      <c r="G286" s="2">
        <f t="shared" si="13"/>
        <v>0.35866477272727271</v>
      </c>
      <c r="H286" s="5">
        <v>4.3039772727272725</v>
      </c>
      <c r="I286" s="2">
        <v>176</v>
      </c>
      <c r="J286" s="57">
        <f>I286/Pondération!$H$53</f>
        <v>8.3333333333333329E-2</v>
      </c>
      <c r="K286" s="5">
        <v>4.3295454545454541</v>
      </c>
      <c r="L286" s="5">
        <f t="shared" si="14"/>
        <v>0.36079545454545447</v>
      </c>
      <c r="M286" s="5">
        <v>4.3636363636363633</v>
      </c>
      <c r="N286" s="5">
        <f t="shared" si="15"/>
        <v>0.36363636363636359</v>
      </c>
      <c r="O286" s="5">
        <v>4.1931818181818183</v>
      </c>
      <c r="P286" s="15">
        <f t="shared" si="16"/>
        <v>0.34943181818181818</v>
      </c>
    </row>
    <row r="287" spans="1:16" x14ac:dyDescent="0.25">
      <c r="A287" s="2" t="s">
        <v>47</v>
      </c>
      <c r="B287" s="2">
        <v>2015</v>
      </c>
      <c r="C287" s="2" t="s">
        <v>75</v>
      </c>
      <c r="D287" s="2" t="s">
        <v>37</v>
      </c>
      <c r="E287" s="2" t="s">
        <v>9</v>
      </c>
      <c r="F287" s="2" t="s">
        <v>48</v>
      </c>
      <c r="G287" s="2">
        <f t="shared" si="13"/>
        <v>0.28409090909090906</v>
      </c>
      <c r="H287" s="5">
        <v>4.3478260869565215</v>
      </c>
      <c r="I287" s="2">
        <v>138</v>
      </c>
      <c r="J287" s="57">
        <f>I287/Pondération!$H$53</f>
        <v>6.5340909090909088E-2</v>
      </c>
      <c r="K287" s="5">
        <v>4.3043478260869561</v>
      </c>
      <c r="L287" s="5">
        <f t="shared" si="14"/>
        <v>0.28124999999999994</v>
      </c>
      <c r="M287" s="5">
        <v>4.4782608695652177</v>
      </c>
      <c r="N287" s="5">
        <f t="shared" si="15"/>
        <v>0.29261363636363635</v>
      </c>
      <c r="O287" s="5">
        <v>4.3043478260869561</v>
      </c>
      <c r="P287" s="15">
        <f t="shared" si="16"/>
        <v>0.28124999999999994</v>
      </c>
    </row>
    <row r="288" spans="1:16" x14ac:dyDescent="0.25">
      <c r="A288" s="2" t="s">
        <v>47</v>
      </c>
      <c r="B288" s="2">
        <v>2015</v>
      </c>
      <c r="C288" s="2" t="s">
        <v>76</v>
      </c>
      <c r="D288" s="2" t="s">
        <v>37</v>
      </c>
      <c r="E288" s="2" t="s">
        <v>9</v>
      </c>
      <c r="F288" s="2" t="s">
        <v>48</v>
      </c>
      <c r="G288" s="2">
        <f t="shared" si="13"/>
        <v>0.39820075757575757</v>
      </c>
      <c r="H288" s="5">
        <v>4.380208333333333</v>
      </c>
      <c r="I288" s="2">
        <v>192</v>
      </c>
      <c r="J288" s="57">
        <f>I288/Pondération!$H$53</f>
        <v>9.0909090909090912E-2</v>
      </c>
      <c r="K288" s="5">
        <v>4.447916666666667</v>
      </c>
      <c r="L288" s="5">
        <f t="shared" si="14"/>
        <v>0.40435606060606066</v>
      </c>
      <c r="M288" s="5">
        <v>4.479166666666667</v>
      </c>
      <c r="N288" s="5">
        <f t="shared" si="15"/>
        <v>0.40719696969696972</v>
      </c>
      <c r="O288" s="5">
        <v>4.145833333333333</v>
      </c>
      <c r="P288" s="15">
        <f t="shared" si="16"/>
        <v>0.37689393939393939</v>
      </c>
    </row>
    <row r="289" spans="1:16" x14ac:dyDescent="0.25">
      <c r="A289" s="2" t="s">
        <v>47</v>
      </c>
      <c r="B289" s="2">
        <v>2015</v>
      </c>
      <c r="C289" s="2" t="s">
        <v>7</v>
      </c>
      <c r="D289" s="2" t="s">
        <v>37</v>
      </c>
      <c r="E289" s="2" t="s">
        <v>9</v>
      </c>
      <c r="F289" s="2" t="s">
        <v>48</v>
      </c>
      <c r="G289" s="2">
        <f t="shared" si="13"/>
        <v>0.58309659090909083</v>
      </c>
      <c r="H289" s="5">
        <v>4.3982142857142854</v>
      </c>
      <c r="I289" s="2">
        <v>280</v>
      </c>
      <c r="J289" s="57">
        <f>I289/Pondération!$H$53</f>
        <v>0.13257575757575757</v>
      </c>
      <c r="K289" s="5">
        <v>4.4357142857142859</v>
      </c>
      <c r="L289" s="5">
        <f t="shared" si="14"/>
        <v>0.58806818181818177</v>
      </c>
      <c r="M289" s="5">
        <v>4.5142857142857142</v>
      </c>
      <c r="N289" s="5">
        <f t="shared" si="15"/>
        <v>0.5984848484848484</v>
      </c>
      <c r="O289" s="5">
        <v>4.2071428571428573</v>
      </c>
      <c r="P289" s="15">
        <f t="shared" si="16"/>
        <v>0.55776515151515149</v>
      </c>
    </row>
    <row r="290" spans="1:16" x14ac:dyDescent="0.25">
      <c r="A290" s="2" t="s">
        <v>47</v>
      </c>
      <c r="B290" s="2">
        <v>2015</v>
      </c>
      <c r="C290" s="2" t="s">
        <v>11</v>
      </c>
      <c r="D290" s="2" t="s">
        <v>37</v>
      </c>
      <c r="E290" s="2" t="s">
        <v>9</v>
      </c>
      <c r="F290" s="2" t="s">
        <v>48</v>
      </c>
      <c r="G290" s="2">
        <f t="shared" si="13"/>
        <v>0.34114583333333331</v>
      </c>
      <c r="H290" s="5">
        <v>4.2382352941176471</v>
      </c>
      <c r="I290" s="2">
        <v>170</v>
      </c>
      <c r="J290" s="57">
        <f>I290/Pondération!$H$53</f>
        <v>8.049242424242424E-2</v>
      </c>
      <c r="K290" s="5">
        <v>4.2705882352941176</v>
      </c>
      <c r="L290" s="5">
        <f t="shared" si="14"/>
        <v>0.34375</v>
      </c>
      <c r="M290" s="5">
        <v>4.3058823529411763</v>
      </c>
      <c r="N290" s="5">
        <f t="shared" si="15"/>
        <v>0.34659090909090906</v>
      </c>
      <c r="O290" s="5">
        <v>4.1058823529411761</v>
      </c>
      <c r="P290" s="15">
        <f t="shared" si="16"/>
        <v>0.3304924242424242</v>
      </c>
    </row>
    <row r="291" spans="1:16" x14ac:dyDescent="0.25">
      <c r="A291" s="2" t="s">
        <v>47</v>
      </c>
      <c r="B291" s="2">
        <v>2015</v>
      </c>
      <c r="C291" s="2" t="s">
        <v>12</v>
      </c>
      <c r="D291" s="2" t="s">
        <v>37</v>
      </c>
      <c r="E291" s="2" t="s">
        <v>9</v>
      </c>
      <c r="F291" s="2" t="s">
        <v>48</v>
      </c>
      <c r="G291" s="2">
        <f t="shared" si="13"/>
        <v>0.42305871212121215</v>
      </c>
      <c r="H291" s="5">
        <v>4.3373786407766994</v>
      </c>
      <c r="I291" s="2">
        <v>206</v>
      </c>
      <c r="J291" s="57">
        <f>I291/Pondération!$H$53</f>
        <v>9.7537878787878785E-2</v>
      </c>
      <c r="K291" s="5">
        <v>4.349514563106796</v>
      </c>
      <c r="L291" s="5">
        <f t="shared" si="14"/>
        <v>0.4242424242424242</v>
      </c>
      <c r="M291" s="5">
        <v>4.3300970873786406</v>
      </c>
      <c r="N291" s="5">
        <f t="shared" si="15"/>
        <v>0.42234848484848481</v>
      </c>
      <c r="O291" s="5">
        <v>4.3203883495145634</v>
      </c>
      <c r="P291" s="15">
        <f t="shared" si="16"/>
        <v>0.42140151515151519</v>
      </c>
    </row>
    <row r="292" spans="1:16" x14ac:dyDescent="0.25">
      <c r="A292" s="2" t="s">
        <v>47</v>
      </c>
      <c r="B292" s="2">
        <v>2015</v>
      </c>
      <c r="C292" s="2" t="s">
        <v>13</v>
      </c>
      <c r="D292" s="2" t="s">
        <v>37</v>
      </c>
      <c r="E292" s="2" t="s">
        <v>9</v>
      </c>
      <c r="F292" s="2" t="s">
        <v>48</v>
      </c>
      <c r="G292" s="2">
        <f t="shared" si="13"/>
        <v>0.38352272727272729</v>
      </c>
      <c r="H292" s="5">
        <v>4.4021739130434785</v>
      </c>
      <c r="I292" s="2">
        <v>184</v>
      </c>
      <c r="J292" s="57">
        <f>I292/Pondération!$H$53</f>
        <v>8.7121212121212127E-2</v>
      </c>
      <c r="K292" s="5">
        <v>4.3913043478260869</v>
      </c>
      <c r="L292" s="5">
        <f t="shared" si="14"/>
        <v>0.38257575757575762</v>
      </c>
      <c r="M292" s="5">
        <v>4.5</v>
      </c>
      <c r="N292" s="5">
        <f t="shared" si="15"/>
        <v>0.39204545454545459</v>
      </c>
      <c r="O292" s="5">
        <v>4.3260869565217392</v>
      </c>
      <c r="P292" s="15">
        <f t="shared" si="16"/>
        <v>0.37689393939393945</v>
      </c>
    </row>
    <row r="293" spans="1:16" x14ac:dyDescent="0.25">
      <c r="A293" s="2" t="s">
        <v>47</v>
      </c>
      <c r="B293" s="2">
        <v>2015</v>
      </c>
      <c r="C293" s="2" t="s">
        <v>14</v>
      </c>
      <c r="D293" s="2" t="s">
        <v>37</v>
      </c>
      <c r="E293" s="2" t="s">
        <v>9</v>
      </c>
      <c r="F293" s="2" t="s">
        <v>48</v>
      </c>
      <c r="G293" s="2">
        <f t="shared" si="13"/>
        <v>0.37428977272727271</v>
      </c>
      <c r="H293" s="5">
        <v>4.3916666666666666</v>
      </c>
      <c r="I293" s="2">
        <v>180</v>
      </c>
      <c r="J293" s="57">
        <f>I293/Pondération!$H$53</f>
        <v>8.5227272727272721E-2</v>
      </c>
      <c r="K293" s="5">
        <v>4.4333333333333336</v>
      </c>
      <c r="L293" s="5">
        <f t="shared" si="14"/>
        <v>0.37784090909090906</v>
      </c>
      <c r="M293" s="5">
        <v>4.4111111111111114</v>
      </c>
      <c r="N293" s="5">
        <f t="shared" si="15"/>
        <v>0.37594696969696967</v>
      </c>
      <c r="O293" s="5">
        <v>4.2888888888888888</v>
      </c>
      <c r="P293" s="15">
        <f t="shared" si="16"/>
        <v>0.36553030303030298</v>
      </c>
    </row>
    <row r="294" spans="1:16" x14ac:dyDescent="0.25">
      <c r="A294" s="2" t="s">
        <v>47</v>
      </c>
      <c r="B294" s="2">
        <v>2015</v>
      </c>
      <c r="C294" s="2" t="s">
        <v>15</v>
      </c>
      <c r="D294" s="2" t="s">
        <v>37</v>
      </c>
      <c r="E294" s="2" t="s">
        <v>9</v>
      </c>
      <c r="F294" s="2" t="s">
        <v>48</v>
      </c>
      <c r="G294" s="2">
        <f t="shared" si="13"/>
        <v>0.39251893939393939</v>
      </c>
      <c r="H294" s="5">
        <v>4.3631578947368421</v>
      </c>
      <c r="I294" s="2">
        <v>190</v>
      </c>
      <c r="J294" s="57">
        <f>I294/Pondération!$H$53</f>
        <v>8.9962121212121215E-2</v>
      </c>
      <c r="K294" s="5">
        <v>4.4421052631578943</v>
      </c>
      <c r="L294" s="5">
        <f t="shared" si="14"/>
        <v>0.3996212121212121</v>
      </c>
      <c r="M294" s="5">
        <v>4.4105263157894736</v>
      </c>
      <c r="N294" s="5">
        <f t="shared" si="15"/>
        <v>0.39678030303030304</v>
      </c>
      <c r="O294" s="5">
        <v>4.1578947368421053</v>
      </c>
      <c r="P294" s="15">
        <f t="shared" si="16"/>
        <v>0.37405303030303033</v>
      </c>
    </row>
    <row r="295" spans="1:16" x14ac:dyDescent="0.25">
      <c r="A295" s="2" t="s">
        <v>47</v>
      </c>
      <c r="B295" s="2">
        <v>2015</v>
      </c>
      <c r="C295" s="2" t="s">
        <v>16</v>
      </c>
      <c r="D295" s="2" t="s">
        <v>37</v>
      </c>
      <c r="E295" s="2" t="s">
        <v>9</v>
      </c>
      <c r="F295" s="2" t="s">
        <v>48</v>
      </c>
      <c r="G295" s="2">
        <f t="shared" si="13"/>
        <v>0.28314393939393939</v>
      </c>
      <c r="H295" s="5">
        <v>4.2714285714285714</v>
      </c>
      <c r="I295" s="2">
        <v>140</v>
      </c>
      <c r="J295" s="57">
        <f>I295/Pondération!$H$53</f>
        <v>6.6287878787878785E-2</v>
      </c>
      <c r="K295" s="5">
        <v>4.2714285714285714</v>
      </c>
      <c r="L295" s="5">
        <f t="shared" si="14"/>
        <v>0.28314393939393939</v>
      </c>
      <c r="M295" s="5">
        <v>4.3142857142857141</v>
      </c>
      <c r="N295" s="5">
        <f t="shared" si="15"/>
        <v>0.28598484848484845</v>
      </c>
      <c r="O295" s="5">
        <v>4.2285714285714286</v>
      </c>
      <c r="P295" s="15">
        <f t="shared" si="16"/>
        <v>0.28030303030303028</v>
      </c>
    </row>
    <row r="296" spans="1:16" x14ac:dyDescent="0.25">
      <c r="A296" s="2" t="s">
        <v>47</v>
      </c>
      <c r="B296" s="2">
        <v>2015</v>
      </c>
      <c r="C296" s="2" t="s">
        <v>17</v>
      </c>
      <c r="D296" s="2" t="s">
        <v>37</v>
      </c>
      <c r="E296" s="2" t="s">
        <v>9</v>
      </c>
      <c r="F296" s="2" t="s">
        <v>48</v>
      </c>
      <c r="G296" s="2">
        <f t="shared" si="13"/>
        <v>0.36671401515151519</v>
      </c>
      <c r="H296" s="5">
        <v>4.2554945054945055</v>
      </c>
      <c r="I296" s="2">
        <v>182</v>
      </c>
      <c r="J296" s="57">
        <f>I296/Pondération!$H$53</f>
        <v>8.6174242424242431E-2</v>
      </c>
      <c r="K296" s="5">
        <v>4.2747252747252746</v>
      </c>
      <c r="L296" s="5">
        <f t="shared" si="14"/>
        <v>0.36837121212121215</v>
      </c>
      <c r="M296" s="5">
        <v>4.3736263736263732</v>
      </c>
      <c r="N296" s="5">
        <f t="shared" si="15"/>
        <v>0.37689393939393939</v>
      </c>
      <c r="O296" s="5">
        <v>4.0989010989010985</v>
      </c>
      <c r="P296" s="15">
        <f t="shared" si="16"/>
        <v>0.35321969696969696</v>
      </c>
    </row>
    <row r="297" spans="1:16" x14ac:dyDescent="0.25">
      <c r="A297" s="2" t="s">
        <v>47</v>
      </c>
      <c r="B297" s="2">
        <v>2016</v>
      </c>
      <c r="C297" s="2" t="s">
        <v>18</v>
      </c>
      <c r="D297" s="2" t="s">
        <v>37</v>
      </c>
      <c r="E297" s="2" t="s">
        <v>9</v>
      </c>
      <c r="F297" s="2" t="s">
        <v>48</v>
      </c>
      <c r="G297" s="2">
        <f t="shared" si="13"/>
        <v>0.28893306825712389</v>
      </c>
      <c r="H297" s="5">
        <v>4.3168316831683171</v>
      </c>
      <c r="I297" s="2">
        <v>202</v>
      </c>
      <c r="J297" s="57">
        <f>I297/Pondération!$G$53</f>
        <v>6.6931742876076866E-2</v>
      </c>
      <c r="K297" s="5">
        <v>4.3366336633663369</v>
      </c>
      <c r="L297" s="5">
        <f t="shared" si="14"/>
        <v>0.29025844930417494</v>
      </c>
      <c r="M297" s="5">
        <v>4.4257425742574261</v>
      </c>
      <c r="N297" s="5">
        <f t="shared" si="15"/>
        <v>0.29622266401590458</v>
      </c>
      <c r="O297" s="5">
        <v>4.1683168316831685</v>
      </c>
      <c r="P297" s="15">
        <f t="shared" si="16"/>
        <v>0.27899271040424123</v>
      </c>
    </row>
    <row r="298" spans="1:16" x14ac:dyDescent="0.25">
      <c r="A298" s="2" t="s">
        <v>47</v>
      </c>
      <c r="B298" s="2">
        <v>2016</v>
      </c>
      <c r="C298" s="2" t="s">
        <v>19</v>
      </c>
      <c r="D298" s="2" t="s">
        <v>37</v>
      </c>
      <c r="E298" s="2" t="s">
        <v>9</v>
      </c>
      <c r="F298" s="2" t="s">
        <v>48</v>
      </c>
      <c r="G298" s="2">
        <f t="shared" si="13"/>
        <v>0.35056328694499672</v>
      </c>
      <c r="H298" s="5">
        <v>4.3360655737704921</v>
      </c>
      <c r="I298" s="2">
        <v>244</v>
      </c>
      <c r="J298" s="57">
        <f>I298/Pondération!$G$53</f>
        <v>8.0848243870112663E-2</v>
      </c>
      <c r="K298" s="5">
        <v>4.3934426229508201</v>
      </c>
      <c r="L298" s="5">
        <f t="shared" si="14"/>
        <v>0.35520212060967532</v>
      </c>
      <c r="M298" s="5">
        <v>4.4508196721311473</v>
      </c>
      <c r="N298" s="5">
        <f t="shared" si="15"/>
        <v>0.35984095427435386</v>
      </c>
      <c r="O298" s="5">
        <v>4.1065573770491799</v>
      </c>
      <c r="P298" s="15">
        <f t="shared" si="16"/>
        <v>0.33200795228628227</v>
      </c>
    </row>
    <row r="299" spans="1:16" x14ac:dyDescent="0.25">
      <c r="A299" s="2" t="s">
        <v>47</v>
      </c>
      <c r="B299" s="2">
        <v>2016</v>
      </c>
      <c r="C299" s="2" t="s">
        <v>20</v>
      </c>
      <c r="D299" s="2" t="s">
        <v>37</v>
      </c>
      <c r="E299" s="2" t="s">
        <v>9</v>
      </c>
      <c r="F299" s="2" t="s">
        <v>48</v>
      </c>
      <c r="G299" s="2">
        <f t="shared" si="13"/>
        <v>0.318754141815772</v>
      </c>
      <c r="H299" s="5">
        <v>4.2566371681415927</v>
      </c>
      <c r="I299" s="2">
        <v>226</v>
      </c>
      <c r="J299" s="57">
        <f>I299/Pondération!$G$53</f>
        <v>7.4884029158383034E-2</v>
      </c>
      <c r="K299" s="5">
        <v>4.3185840707964598</v>
      </c>
      <c r="L299" s="5">
        <f t="shared" si="14"/>
        <v>0.3233929754804506</v>
      </c>
      <c r="M299" s="5">
        <v>4.2654867256637168</v>
      </c>
      <c r="N299" s="5">
        <f t="shared" si="15"/>
        <v>0.31941683233929752</v>
      </c>
      <c r="O299" s="5">
        <v>4.1238938053097343</v>
      </c>
      <c r="P299" s="15">
        <f t="shared" si="16"/>
        <v>0.30881378396288933</v>
      </c>
    </row>
    <row r="300" spans="1:16" x14ac:dyDescent="0.25">
      <c r="A300" s="2" t="s">
        <v>47</v>
      </c>
      <c r="B300" s="2">
        <v>2016</v>
      </c>
      <c r="C300" s="2" t="s">
        <v>21</v>
      </c>
      <c r="D300" s="2" t="s">
        <v>37</v>
      </c>
      <c r="E300" s="2" t="s">
        <v>9</v>
      </c>
      <c r="F300" s="2" t="s">
        <v>48</v>
      </c>
      <c r="G300" s="2">
        <f t="shared" si="13"/>
        <v>0.30914512922465215</v>
      </c>
      <c r="H300" s="5">
        <v>4.4855769230769234</v>
      </c>
      <c r="I300" s="2">
        <v>208</v>
      </c>
      <c r="J300" s="57">
        <f>I300/Pondération!$G$53</f>
        <v>6.8919814446653418E-2</v>
      </c>
      <c r="K300" s="5">
        <v>4.5480769230769234</v>
      </c>
      <c r="L300" s="5">
        <f t="shared" si="14"/>
        <v>0.31345261762756799</v>
      </c>
      <c r="M300" s="5">
        <v>4.5288461538461542</v>
      </c>
      <c r="N300" s="5">
        <f t="shared" si="15"/>
        <v>0.31212723658051694</v>
      </c>
      <c r="O300" s="5">
        <v>4.3173076923076925</v>
      </c>
      <c r="P300" s="15">
        <f t="shared" si="16"/>
        <v>0.29754804506295562</v>
      </c>
    </row>
    <row r="301" spans="1:16" x14ac:dyDescent="0.25">
      <c r="A301" s="2" t="s">
        <v>47</v>
      </c>
      <c r="B301" s="2">
        <v>2016</v>
      </c>
      <c r="C301" s="2" t="s">
        <v>22</v>
      </c>
      <c r="D301" s="2" t="s">
        <v>37</v>
      </c>
      <c r="E301" s="2" t="s">
        <v>9</v>
      </c>
      <c r="F301" s="2" t="s">
        <v>48</v>
      </c>
      <c r="G301" s="2">
        <f t="shared" si="13"/>
        <v>0.31941683233929752</v>
      </c>
      <c r="H301" s="5">
        <v>4.1551724137931032</v>
      </c>
      <c r="I301" s="2">
        <v>232</v>
      </c>
      <c r="J301" s="57">
        <f>I301/Pondération!$G$53</f>
        <v>7.6872100728959572E-2</v>
      </c>
      <c r="K301" s="5">
        <v>4.1551724137931032</v>
      </c>
      <c r="L301" s="5">
        <f t="shared" si="14"/>
        <v>0.31941683233929752</v>
      </c>
      <c r="M301" s="5">
        <v>4.2586206896551726</v>
      </c>
      <c r="N301" s="5">
        <f t="shared" si="15"/>
        <v>0.32736911862160373</v>
      </c>
      <c r="O301" s="5">
        <v>4.0517241379310347</v>
      </c>
      <c r="P301" s="15">
        <f t="shared" si="16"/>
        <v>0.31146454605699136</v>
      </c>
    </row>
    <row r="302" spans="1:16" x14ac:dyDescent="0.25">
      <c r="A302" s="2" t="s">
        <v>47</v>
      </c>
      <c r="B302" s="2">
        <v>2016</v>
      </c>
      <c r="C302" s="2" t="s">
        <v>23</v>
      </c>
      <c r="D302" s="2" t="s">
        <v>37</v>
      </c>
      <c r="E302" s="2" t="s">
        <v>9</v>
      </c>
      <c r="F302" s="2" t="s">
        <v>48</v>
      </c>
      <c r="G302" s="2">
        <f t="shared" si="13"/>
        <v>0.3093108018555335</v>
      </c>
      <c r="H302" s="5">
        <v>4.4879807692307692</v>
      </c>
      <c r="I302" s="2">
        <v>208</v>
      </c>
      <c r="J302" s="57">
        <f>I302/Pondération!$G$53</f>
        <v>6.8919814446653418E-2</v>
      </c>
      <c r="K302" s="5">
        <v>4.5192307692307692</v>
      </c>
      <c r="L302" s="5">
        <f t="shared" si="14"/>
        <v>0.31146454605699142</v>
      </c>
      <c r="M302" s="5">
        <v>4.5673076923076925</v>
      </c>
      <c r="N302" s="5">
        <f t="shared" si="15"/>
        <v>0.31477799867461898</v>
      </c>
      <c r="O302" s="5">
        <v>4.3461538461538458</v>
      </c>
      <c r="P302" s="15">
        <f t="shared" si="16"/>
        <v>0.29953611663353213</v>
      </c>
    </row>
    <row r="303" spans="1:16" x14ac:dyDescent="0.25">
      <c r="A303" s="2" t="s">
        <v>47</v>
      </c>
      <c r="B303" s="2">
        <v>2016</v>
      </c>
      <c r="C303" s="2" t="s">
        <v>24</v>
      </c>
      <c r="D303" s="2" t="s">
        <v>37</v>
      </c>
      <c r="E303" s="2" t="s">
        <v>9</v>
      </c>
      <c r="F303" s="2" t="s">
        <v>48</v>
      </c>
      <c r="G303" s="2">
        <f t="shared" si="13"/>
        <v>0.32654075546719685</v>
      </c>
      <c r="H303" s="5">
        <v>4.360619469026549</v>
      </c>
      <c r="I303" s="2">
        <v>226</v>
      </c>
      <c r="J303" s="57">
        <f>I303/Pondération!$G$53</f>
        <v>7.4884029158383034E-2</v>
      </c>
      <c r="K303" s="5">
        <v>4.389380530973451</v>
      </c>
      <c r="L303" s="5">
        <f t="shared" si="14"/>
        <v>0.32869449966865472</v>
      </c>
      <c r="M303" s="5">
        <v>4.4336283185840708</v>
      </c>
      <c r="N303" s="5">
        <f t="shared" si="15"/>
        <v>0.33200795228628233</v>
      </c>
      <c r="O303" s="5">
        <v>4.2300884955752212</v>
      </c>
      <c r="P303" s="15">
        <f t="shared" si="16"/>
        <v>0.31676607024519549</v>
      </c>
    </row>
    <row r="304" spans="1:16" x14ac:dyDescent="0.25">
      <c r="A304" s="2" t="s">
        <v>47</v>
      </c>
      <c r="B304" s="2">
        <v>2016</v>
      </c>
      <c r="C304" s="2" t="s">
        <v>25</v>
      </c>
      <c r="D304" s="2" t="s">
        <v>37</v>
      </c>
      <c r="E304" s="2" t="s">
        <v>9</v>
      </c>
      <c r="F304" s="2" t="s">
        <v>48</v>
      </c>
      <c r="G304" s="2">
        <f t="shared" si="13"/>
        <v>0.34045725646123259</v>
      </c>
      <c r="H304" s="5">
        <v>4.2458677685950414</v>
      </c>
      <c r="I304" s="2">
        <v>242</v>
      </c>
      <c r="J304" s="57">
        <f>I304/Pondération!$G$53</f>
        <v>8.0185553346587141E-2</v>
      </c>
      <c r="K304" s="5">
        <v>4.2644628099173554</v>
      </c>
      <c r="L304" s="5">
        <f t="shared" si="14"/>
        <v>0.34194831013916499</v>
      </c>
      <c r="M304" s="5">
        <v>4.3884297520661155</v>
      </c>
      <c r="N304" s="5">
        <f t="shared" si="15"/>
        <v>0.35188866799204771</v>
      </c>
      <c r="O304" s="5">
        <v>4.0661157024793386</v>
      </c>
      <c r="P304" s="15">
        <f t="shared" si="16"/>
        <v>0.32604373757455263</v>
      </c>
    </row>
    <row r="305" spans="1:16" x14ac:dyDescent="0.25">
      <c r="A305" s="2" t="s">
        <v>47</v>
      </c>
      <c r="B305" s="2">
        <v>2016</v>
      </c>
      <c r="C305" s="2" t="s">
        <v>26</v>
      </c>
      <c r="D305" s="2" t="s">
        <v>37</v>
      </c>
      <c r="E305" s="2" t="s">
        <v>9</v>
      </c>
      <c r="F305" s="2" t="s">
        <v>48</v>
      </c>
      <c r="G305" s="2">
        <f t="shared" si="13"/>
        <v>0.29174950298210733</v>
      </c>
      <c r="H305" s="5">
        <v>4.2331730769230766</v>
      </c>
      <c r="I305" s="2">
        <v>208</v>
      </c>
      <c r="J305" s="57">
        <f>I305/Pondération!$G$53</f>
        <v>6.8919814446653418E-2</v>
      </c>
      <c r="K305" s="5">
        <v>4.259615384615385</v>
      </c>
      <c r="L305" s="5">
        <f t="shared" si="14"/>
        <v>0.29357190192180255</v>
      </c>
      <c r="M305" s="5">
        <v>4.375</v>
      </c>
      <c r="N305" s="5">
        <f t="shared" si="15"/>
        <v>0.3015241882041087</v>
      </c>
      <c r="O305" s="5">
        <v>4.0384615384615383</v>
      </c>
      <c r="P305" s="15">
        <f t="shared" si="16"/>
        <v>0.27833001988071571</v>
      </c>
    </row>
    <row r="306" spans="1:16" x14ac:dyDescent="0.25">
      <c r="A306" s="2" t="s">
        <v>47</v>
      </c>
      <c r="B306" s="2">
        <v>2016</v>
      </c>
      <c r="C306" s="2" t="s">
        <v>27</v>
      </c>
      <c r="D306" s="2" t="s">
        <v>37</v>
      </c>
      <c r="E306" s="2" t="s">
        <v>9</v>
      </c>
      <c r="F306" s="2" t="s">
        <v>48</v>
      </c>
      <c r="G306" s="2">
        <f t="shared" si="13"/>
        <v>0.52153744201457919</v>
      </c>
      <c r="H306" s="5">
        <v>4.3241758241758239</v>
      </c>
      <c r="I306" s="2">
        <v>364</v>
      </c>
      <c r="J306" s="57">
        <f>I306/Pondération!$G$53</f>
        <v>0.12060967528164347</v>
      </c>
      <c r="K306" s="5">
        <v>4.3241758241758239</v>
      </c>
      <c r="L306" s="5">
        <f t="shared" si="14"/>
        <v>0.52153744201457919</v>
      </c>
      <c r="M306" s="5">
        <v>4.4395604395604398</v>
      </c>
      <c r="N306" s="5">
        <f t="shared" si="15"/>
        <v>0.53545394300861504</v>
      </c>
      <c r="O306" s="5">
        <v>4.2087912087912089</v>
      </c>
      <c r="P306" s="15">
        <f t="shared" si="16"/>
        <v>0.50762094102054345</v>
      </c>
    </row>
    <row r="307" spans="1:16" x14ac:dyDescent="0.25">
      <c r="A307" s="2" t="s">
        <v>47</v>
      </c>
      <c r="B307" s="2">
        <v>2016</v>
      </c>
      <c r="C307" s="2" t="s">
        <v>28</v>
      </c>
      <c r="D307" s="2" t="s">
        <v>37</v>
      </c>
      <c r="E307" s="2" t="s">
        <v>9</v>
      </c>
      <c r="F307" s="2" t="s">
        <v>48</v>
      </c>
      <c r="G307" s="2">
        <f t="shared" si="13"/>
        <v>0.45444002650762089</v>
      </c>
      <c r="H307" s="5">
        <v>4.4529220779220777</v>
      </c>
      <c r="I307" s="2">
        <v>308</v>
      </c>
      <c r="J307" s="57">
        <f>I307/Pondération!$G$53</f>
        <v>0.10205434062292909</v>
      </c>
      <c r="K307" s="5">
        <v>4.4935064935064934</v>
      </c>
      <c r="L307" s="5">
        <f t="shared" si="14"/>
        <v>0.45858184227965537</v>
      </c>
      <c r="M307" s="5">
        <v>4.5584415584415581</v>
      </c>
      <c r="N307" s="5">
        <f t="shared" si="15"/>
        <v>0.46520874751491048</v>
      </c>
      <c r="O307" s="5">
        <v>4.2662337662337659</v>
      </c>
      <c r="P307" s="15">
        <f t="shared" si="16"/>
        <v>0.43538767395626238</v>
      </c>
    </row>
    <row r="308" spans="1:16" x14ac:dyDescent="0.25">
      <c r="A308" s="2" t="s">
        <v>47</v>
      </c>
      <c r="B308" s="2">
        <v>2016</v>
      </c>
      <c r="C308" s="2" t="s">
        <v>29</v>
      </c>
      <c r="D308" s="2" t="s">
        <v>37</v>
      </c>
      <c r="E308" s="2" t="s">
        <v>9</v>
      </c>
      <c r="F308" s="2" t="s">
        <v>48</v>
      </c>
      <c r="G308" s="2">
        <f t="shared" si="13"/>
        <v>0.49105367793240551</v>
      </c>
      <c r="H308" s="5">
        <v>4.234285714285714</v>
      </c>
      <c r="I308" s="2">
        <v>350</v>
      </c>
      <c r="J308" s="57">
        <f>I308/Pondération!$G$53</f>
        <v>0.11597084161696487</v>
      </c>
      <c r="K308" s="5">
        <v>4.2857142857142856</v>
      </c>
      <c r="L308" s="5">
        <f t="shared" si="14"/>
        <v>0.49701789264413515</v>
      </c>
      <c r="M308" s="5">
        <v>4.274285714285714</v>
      </c>
      <c r="N308" s="5">
        <f t="shared" si="15"/>
        <v>0.49569251159708411</v>
      </c>
      <c r="O308" s="5">
        <v>4.0914285714285716</v>
      </c>
      <c r="P308" s="15">
        <f t="shared" si="16"/>
        <v>0.47448641484426773</v>
      </c>
    </row>
    <row r="309" spans="1:16" x14ac:dyDescent="0.25">
      <c r="A309" s="2" t="s">
        <v>47</v>
      </c>
      <c r="B309" s="2">
        <v>2017</v>
      </c>
      <c r="C309" s="2" t="s">
        <v>30</v>
      </c>
      <c r="D309" s="2" t="s">
        <v>37</v>
      </c>
      <c r="E309" s="2" t="s">
        <v>9</v>
      </c>
      <c r="F309" s="2" t="s">
        <v>48</v>
      </c>
      <c r="G309" s="2">
        <f t="shared" si="13"/>
        <v>0.79376750700280119</v>
      </c>
      <c r="H309" s="5">
        <v>4.2294776119402986</v>
      </c>
      <c r="I309" s="2">
        <v>268</v>
      </c>
      <c r="J309" s="57">
        <f>I309/Pondération!$F$53</f>
        <v>0.1876750700280112</v>
      </c>
      <c r="K309" s="5">
        <v>4.2761194029850742</v>
      </c>
      <c r="L309" s="5">
        <f t="shared" si="14"/>
        <v>0.80252100840336127</v>
      </c>
      <c r="M309" s="5">
        <v>4.3283582089552235</v>
      </c>
      <c r="N309" s="5">
        <f t="shared" si="15"/>
        <v>0.81232492997198869</v>
      </c>
      <c r="O309" s="5">
        <v>4.0373134328358207</v>
      </c>
      <c r="P309" s="15">
        <f t="shared" si="16"/>
        <v>0.75770308123249297</v>
      </c>
    </row>
    <row r="310" spans="1:16" x14ac:dyDescent="0.25">
      <c r="A310" s="2" t="s">
        <v>47</v>
      </c>
      <c r="B310" s="2">
        <v>2017</v>
      </c>
      <c r="C310" s="2" t="s">
        <v>31</v>
      </c>
      <c r="D310" s="2" t="s">
        <v>37</v>
      </c>
      <c r="E310" s="2" t="s">
        <v>9</v>
      </c>
      <c r="F310" s="2" t="s">
        <v>48</v>
      </c>
      <c r="G310" s="2">
        <f t="shared" si="13"/>
        <v>1.0910364145658262</v>
      </c>
      <c r="H310" s="5">
        <v>4.3038674033149169</v>
      </c>
      <c r="I310" s="2">
        <v>362</v>
      </c>
      <c r="J310" s="57">
        <f>I310/Pondération!$F$53</f>
        <v>0.25350140056022408</v>
      </c>
      <c r="K310" s="5">
        <v>4.3591160220994478</v>
      </c>
      <c r="L310" s="5">
        <f t="shared" si="14"/>
        <v>1.1050420168067228</v>
      </c>
      <c r="M310" s="5">
        <v>4.3204419889502761</v>
      </c>
      <c r="N310" s="5">
        <f t="shared" si="15"/>
        <v>1.0952380952380951</v>
      </c>
      <c r="O310" s="5">
        <v>4.1767955801104977</v>
      </c>
      <c r="P310" s="15">
        <f t="shared" si="16"/>
        <v>1.0588235294117647</v>
      </c>
    </row>
    <row r="311" spans="1:16" x14ac:dyDescent="0.25">
      <c r="A311" s="2" t="s">
        <v>47</v>
      </c>
      <c r="B311" s="2">
        <v>2017</v>
      </c>
      <c r="C311" s="2" t="s">
        <v>32</v>
      </c>
      <c r="D311" s="2" t="s">
        <v>37</v>
      </c>
      <c r="E311" s="2" t="s">
        <v>9</v>
      </c>
      <c r="F311" s="2" t="s">
        <v>48</v>
      </c>
      <c r="G311" s="2">
        <f t="shared" si="13"/>
        <v>0.89565826330532217</v>
      </c>
      <c r="H311" s="5">
        <v>4.2350993377483448</v>
      </c>
      <c r="I311" s="2">
        <v>302</v>
      </c>
      <c r="J311" s="57">
        <f>I311/Pondération!$F$53</f>
        <v>0.21148459383753501</v>
      </c>
      <c r="K311" s="5">
        <v>4.2384105960264904</v>
      </c>
      <c r="L311" s="5">
        <f t="shared" si="14"/>
        <v>0.89635854341736698</v>
      </c>
      <c r="M311" s="5">
        <v>4.3377483443708611</v>
      </c>
      <c r="N311" s="5">
        <f t="shared" si="15"/>
        <v>0.91736694677871156</v>
      </c>
      <c r="O311" s="5">
        <v>4.1258278145695364</v>
      </c>
      <c r="P311" s="15">
        <f t="shared" si="16"/>
        <v>0.87254901960784315</v>
      </c>
    </row>
    <row r="312" spans="1:16" x14ac:dyDescent="0.25">
      <c r="A312" s="2" t="s">
        <v>47</v>
      </c>
      <c r="B312" s="2">
        <v>2017</v>
      </c>
      <c r="C312" s="2" t="s">
        <v>33</v>
      </c>
      <c r="D312" s="2" t="s">
        <v>37</v>
      </c>
      <c r="E312" s="2" t="s">
        <v>9</v>
      </c>
      <c r="F312" s="2" t="s">
        <v>48</v>
      </c>
      <c r="G312" s="2">
        <f t="shared" si="13"/>
        <v>1.1887254901960786</v>
      </c>
      <c r="H312" s="5">
        <v>4.3303571428571432</v>
      </c>
      <c r="I312" s="2">
        <v>392</v>
      </c>
      <c r="J312" s="57">
        <f>I312/Pondération!$F$53</f>
        <v>0.27450980392156865</v>
      </c>
      <c r="K312" s="5">
        <v>4.3724489795918364</v>
      </c>
      <c r="L312" s="5">
        <f t="shared" si="14"/>
        <v>1.2002801120448179</v>
      </c>
      <c r="M312" s="5">
        <v>4.3979591836734695</v>
      </c>
      <c r="N312" s="5">
        <f t="shared" si="15"/>
        <v>1.2072829131652663</v>
      </c>
      <c r="O312" s="5">
        <v>4.1785714285714288</v>
      </c>
      <c r="P312" s="15">
        <f t="shared" si="16"/>
        <v>1.1470588235294119</v>
      </c>
    </row>
    <row r="313" spans="1:16" x14ac:dyDescent="0.25">
      <c r="A313" s="2" t="s">
        <v>47</v>
      </c>
      <c r="B313" s="2">
        <v>2017</v>
      </c>
      <c r="C313" s="2" t="s">
        <v>34</v>
      </c>
      <c r="D313" s="2" t="s">
        <v>37</v>
      </c>
      <c r="E313" s="2" t="s">
        <v>9</v>
      </c>
      <c r="F313" s="2" t="s">
        <v>48</v>
      </c>
      <c r="G313" s="2">
        <f t="shared" si="13"/>
        <v>0.31477591036414571</v>
      </c>
      <c r="H313" s="5">
        <v>4.322115384615385</v>
      </c>
      <c r="I313" s="2">
        <v>104</v>
      </c>
      <c r="J313" s="57">
        <f>I313/Pondération!$F$53</f>
        <v>7.2829131652661069E-2</v>
      </c>
      <c r="K313" s="5">
        <v>4.365384615384615</v>
      </c>
      <c r="L313" s="5">
        <f t="shared" si="14"/>
        <v>0.31792717086834732</v>
      </c>
      <c r="M313" s="5">
        <v>4.3269230769230766</v>
      </c>
      <c r="N313" s="5">
        <f t="shared" si="15"/>
        <v>0.31512605042016806</v>
      </c>
      <c r="O313" s="5">
        <v>4.2307692307692308</v>
      </c>
      <c r="P313" s="15">
        <f t="shared" si="16"/>
        <v>0.3081232492997199</v>
      </c>
    </row>
    <row r="314" spans="1:16" x14ac:dyDescent="0.25">
      <c r="A314" s="2" t="s">
        <v>6</v>
      </c>
      <c r="B314" s="2">
        <v>2015</v>
      </c>
      <c r="C314" s="2" t="s">
        <v>7</v>
      </c>
      <c r="D314" s="2" t="s">
        <v>38</v>
      </c>
      <c r="E314" s="2" t="s">
        <v>9</v>
      </c>
      <c r="F314" s="2" t="s">
        <v>10</v>
      </c>
      <c r="G314" s="2">
        <f t="shared" si="13"/>
        <v>0.19828256642903433</v>
      </c>
      <c r="H314" s="5">
        <v>4.249305555555555</v>
      </c>
      <c r="I314" s="2">
        <v>72</v>
      </c>
      <c r="J314" s="57">
        <f>I314/Pondération!$H$65</f>
        <v>4.6662346079066754E-2</v>
      </c>
      <c r="K314" s="2"/>
      <c r="L314" s="2"/>
      <c r="M314" s="2"/>
      <c r="N314" s="2"/>
      <c r="O314" s="2"/>
      <c r="P314"/>
    </row>
    <row r="315" spans="1:16" x14ac:dyDescent="0.25">
      <c r="A315" s="2" t="s">
        <v>6</v>
      </c>
      <c r="B315" s="2">
        <v>2015</v>
      </c>
      <c r="C315" s="2" t="s">
        <v>11</v>
      </c>
      <c r="D315" s="2" t="s">
        <v>38</v>
      </c>
      <c r="E315" s="2" t="s">
        <v>9</v>
      </c>
      <c r="F315" s="2" t="s">
        <v>10</v>
      </c>
      <c r="G315" s="2">
        <f t="shared" si="13"/>
        <v>0.43541801685029097</v>
      </c>
      <c r="H315" s="5">
        <v>4.1217791411042883</v>
      </c>
      <c r="I315" s="2">
        <v>163</v>
      </c>
      <c r="J315" s="57">
        <f>I315/Pondération!$H$65</f>
        <v>0.10563836681788723</v>
      </c>
      <c r="K315" s="2"/>
      <c r="L315" s="2"/>
      <c r="M315" s="2"/>
      <c r="N315" s="2"/>
      <c r="O315" s="2"/>
      <c r="P315"/>
    </row>
    <row r="316" spans="1:16" x14ac:dyDescent="0.25">
      <c r="A316" s="2" t="s">
        <v>6</v>
      </c>
      <c r="B316" s="2">
        <v>2015</v>
      </c>
      <c r="C316" s="2" t="s">
        <v>12</v>
      </c>
      <c r="D316" s="2" t="s">
        <v>38</v>
      </c>
      <c r="E316" s="2" t="s">
        <v>9</v>
      </c>
      <c r="F316" s="2" t="s">
        <v>10</v>
      </c>
      <c r="G316" s="2">
        <f t="shared" si="13"/>
        <v>0.47861309138042707</v>
      </c>
      <c r="H316" s="5">
        <v>3.9281914893616965</v>
      </c>
      <c r="I316" s="2">
        <v>188</v>
      </c>
      <c r="J316" s="57">
        <f>I316/Pondération!$H$65</f>
        <v>0.12184057031756319</v>
      </c>
      <c r="K316" s="2"/>
      <c r="L316" s="2"/>
      <c r="M316" s="2"/>
      <c r="N316" s="2"/>
      <c r="O316" s="2"/>
      <c r="P316"/>
    </row>
    <row r="317" spans="1:16" x14ac:dyDescent="0.25">
      <c r="A317" s="2" t="s">
        <v>6</v>
      </c>
      <c r="B317" s="2">
        <v>2015</v>
      </c>
      <c r="C317" s="2" t="s">
        <v>13</v>
      </c>
      <c r="D317" s="2" t="s">
        <v>38</v>
      </c>
      <c r="E317" s="2" t="s">
        <v>9</v>
      </c>
      <c r="F317" s="2" t="s">
        <v>10</v>
      </c>
      <c r="G317" s="2">
        <f t="shared" si="13"/>
        <v>0.92689565780946204</v>
      </c>
      <c r="H317" s="5">
        <v>3.743979057591623</v>
      </c>
      <c r="I317" s="2">
        <v>382</v>
      </c>
      <c r="J317" s="57">
        <f>I317/Pondération!$H$65</f>
        <v>0.2475696694750486</v>
      </c>
      <c r="K317" s="2"/>
      <c r="L317" s="2"/>
      <c r="M317" s="2"/>
      <c r="N317" s="2"/>
      <c r="O317" s="2"/>
      <c r="P317"/>
    </row>
    <row r="318" spans="1:16" x14ac:dyDescent="0.25">
      <c r="A318" s="2" t="s">
        <v>6</v>
      </c>
      <c r="B318" s="2">
        <v>2015</v>
      </c>
      <c r="C318" s="2" t="s">
        <v>14</v>
      </c>
      <c r="D318" s="2" t="s">
        <v>38</v>
      </c>
      <c r="E318" s="2" t="s">
        <v>9</v>
      </c>
      <c r="F318" s="2" t="s">
        <v>10</v>
      </c>
      <c r="G318" s="2">
        <f t="shared" si="13"/>
        <v>1.0563512637718664</v>
      </c>
      <c r="H318" s="5">
        <v>3.808294392523341</v>
      </c>
      <c r="I318" s="2">
        <v>428</v>
      </c>
      <c r="J318" s="57">
        <f>I318/Pondération!$H$65</f>
        <v>0.27738172391445237</v>
      </c>
      <c r="K318" s="2"/>
      <c r="L318" s="2"/>
      <c r="M318" s="2"/>
      <c r="N318" s="2"/>
      <c r="O318" s="2"/>
      <c r="P318"/>
    </row>
    <row r="319" spans="1:16" x14ac:dyDescent="0.25">
      <c r="A319" s="2" t="s">
        <v>6</v>
      </c>
      <c r="B319" s="2">
        <v>2015</v>
      </c>
      <c r="C319" s="2" t="s">
        <v>15</v>
      </c>
      <c r="D319" s="2" t="s">
        <v>38</v>
      </c>
      <c r="E319" s="2" t="s">
        <v>9</v>
      </c>
      <c r="F319" s="2" t="s">
        <v>10</v>
      </c>
      <c r="G319" s="2">
        <f t="shared" si="13"/>
        <v>0.59238496435515164</v>
      </c>
      <c r="H319" s="5">
        <v>4.0988789237668115</v>
      </c>
      <c r="I319" s="2">
        <v>223</v>
      </c>
      <c r="J319" s="57">
        <f>I319/Pondération!$H$65</f>
        <v>0.14452365521710953</v>
      </c>
      <c r="K319" s="2"/>
      <c r="L319" s="2"/>
      <c r="M319" s="2"/>
      <c r="N319" s="2"/>
      <c r="O319" s="2"/>
      <c r="P319"/>
    </row>
    <row r="320" spans="1:16" x14ac:dyDescent="0.25">
      <c r="A320" s="2" t="s">
        <v>6</v>
      </c>
      <c r="B320" s="2">
        <v>2015</v>
      </c>
      <c r="C320" s="2" t="s">
        <v>16</v>
      </c>
      <c r="D320" s="2" t="s">
        <v>38</v>
      </c>
      <c r="E320" s="2" t="s">
        <v>9</v>
      </c>
      <c r="F320" s="2" t="s">
        <v>10</v>
      </c>
      <c r="G320" s="2">
        <f t="shared" si="13"/>
        <v>0.17342838626053145</v>
      </c>
      <c r="H320" s="5">
        <v>4.3161290322580648</v>
      </c>
      <c r="I320" s="2">
        <v>62</v>
      </c>
      <c r="J320" s="57">
        <f>I320/Pondération!$H$65</f>
        <v>4.0181464679196373E-2</v>
      </c>
      <c r="K320" s="2"/>
      <c r="L320" s="2"/>
      <c r="M320" s="2"/>
      <c r="N320" s="2"/>
      <c r="O320" s="2"/>
      <c r="P320"/>
    </row>
    <row r="321" spans="1:15" customFormat="1" x14ac:dyDescent="0.25">
      <c r="A321" s="2" t="s">
        <v>6</v>
      </c>
      <c r="B321" s="2">
        <v>2015</v>
      </c>
      <c r="C321" s="2" t="s">
        <v>17</v>
      </c>
      <c r="D321" s="2" t="s">
        <v>38</v>
      </c>
      <c r="E321" s="2" t="s">
        <v>9</v>
      </c>
      <c r="F321" s="2" t="s">
        <v>10</v>
      </c>
      <c r="G321" s="2">
        <f t="shared" si="13"/>
        <v>6.9118600129617624E-2</v>
      </c>
      <c r="H321" s="5">
        <v>4.266</v>
      </c>
      <c r="I321" s="2">
        <v>25</v>
      </c>
      <c r="J321" s="57">
        <f>I321/Pondération!$H$65</f>
        <v>1.6202203499675955E-2</v>
      </c>
      <c r="K321" s="2"/>
      <c r="L321" s="2"/>
      <c r="M321" s="2"/>
      <c r="N321" s="2"/>
      <c r="O321" s="2"/>
    </row>
    <row r="322" spans="1:15" customFormat="1" x14ac:dyDescent="0.25">
      <c r="A322" s="2" t="s">
        <v>6</v>
      </c>
      <c r="B322" s="2">
        <v>2016</v>
      </c>
      <c r="C322" s="2" t="s">
        <v>18</v>
      </c>
      <c r="D322" s="2" t="s">
        <v>38</v>
      </c>
      <c r="E322" s="2" t="s">
        <v>9</v>
      </c>
      <c r="F322" s="2" t="s">
        <v>10</v>
      </c>
      <c r="G322" s="2">
        <f t="shared" ref="G322:G385" si="17">H322*J322</f>
        <v>4.2424616905585522E-2</v>
      </c>
      <c r="H322" s="5">
        <v>4.2912499999999749</v>
      </c>
      <c r="I322" s="2">
        <v>40</v>
      </c>
      <c r="J322" s="57">
        <f>I322/Pondération!$G$65</f>
        <v>9.8863074641621362E-3</v>
      </c>
      <c r="K322" s="2"/>
      <c r="L322" s="2"/>
      <c r="M322" s="2"/>
      <c r="N322" s="2"/>
      <c r="O322" s="2"/>
    </row>
    <row r="323" spans="1:15" customFormat="1" x14ac:dyDescent="0.25">
      <c r="A323" s="2" t="s">
        <v>6</v>
      </c>
      <c r="B323" s="2">
        <v>2016</v>
      </c>
      <c r="C323" s="2" t="s">
        <v>19</v>
      </c>
      <c r="D323" s="2" t="s">
        <v>38</v>
      </c>
      <c r="E323" s="2" t="s">
        <v>9</v>
      </c>
      <c r="F323" s="2" t="s">
        <v>10</v>
      </c>
      <c r="G323" s="2">
        <f t="shared" si="17"/>
        <v>3.1870983687592683E-2</v>
      </c>
      <c r="H323" s="5">
        <v>4.1596774193548383</v>
      </c>
      <c r="I323" s="2">
        <v>31</v>
      </c>
      <c r="J323" s="57">
        <f>I323/Pondération!$G$65</f>
        <v>7.6618882847256549E-3</v>
      </c>
      <c r="K323" s="2"/>
      <c r="L323" s="2"/>
      <c r="M323" s="2"/>
      <c r="N323" s="2"/>
      <c r="O323" s="2"/>
    </row>
    <row r="324" spans="1:15" customFormat="1" x14ac:dyDescent="0.25">
      <c r="A324" s="2" t="s">
        <v>6</v>
      </c>
      <c r="B324" s="2">
        <v>2016</v>
      </c>
      <c r="C324" s="2" t="s">
        <v>20</v>
      </c>
      <c r="D324" s="2" t="s">
        <v>38</v>
      </c>
      <c r="E324" s="2" t="s">
        <v>9</v>
      </c>
      <c r="F324" s="2" t="s">
        <v>10</v>
      </c>
      <c r="G324" s="2">
        <f t="shared" si="17"/>
        <v>6.0281759762728621E-2</v>
      </c>
      <c r="H324" s="5">
        <v>4.4345454545454546</v>
      </c>
      <c r="I324" s="2">
        <v>55</v>
      </c>
      <c r="J324" s="57">
        <f>I324/Pondération!$G$65</f>
        <v>1.3593672763222936E-2</v>
      </c>
      <c r="K324" s="2"/>
      <c r="L324" s="2"/>
      <c r="M324" s="2"/>
      <c r="N324" s="2"/>
      <c r="O324" s="2"/>
    </row>
    <row r="325" spans="1:15" customFormat="1" x14ac:dyDescent="0.25">
      <c r="A325" s="2" t="s">
        <v>6</v>
      </c>
      <c r="B325" s="2">
        <v>2016</v>
      </c>
      <c r="C325" s="2" t="s">
        <v>21</v>
      </c>
      <c r="D325" s="2" t="s">
        <v>38</v>
      </c>
      <c r="E325" s="2" t="s">
        <v>9</v>
      </c>
      <c r="F325" s="2" t="s">
        <v>10</v>
      </c>
      <c r="G325" s="2">
        <f t="shared" si="17"/>
        <v>0.18452792881858601</v>
      </c>
      <c r="H325" s="5">
        <v>4.2662857142857087</v>
      </c>
      <c r="I325" s="2">
        <v>175</v>
      </c>
      <c r="J325" s="57">
        <f>I325/Pondération!$G$65</f>
        <v>4.3252595155709339E-2</v>
      </c>
      <c r="K325" s="2"/>
      <c r="L325" s="2"/>
      <c r="M325" s="2"/>
      <c r="N325" s="2"/>
      <c r="O325" s="2"/>
    </row>
    <row r="326" spans="1:15" customFormat="1" x14ac:dyDescent="0.25">
      <c r="A326" s="2" t="s">
        <v>6</v>
      </c>
      <c r="B326" s="2">
        <v>2016</v>
      </c>
      <c r="C326" s="2" t="s">
        <v>22</v>
      </c>
      <c r="D326" s="2" t="s">
        <v>38</v>
      </c>
      <c r="E326" s="2" t="s">
        <v>9</v>
      </c>
      <c r="F326" s="2" t="s">
        <v>10</v>
      </c>
      <c r="G326" s="2">
        <f t="shared" si="17"/>
        <v>0.45386801779535341</v>
      </c>
      <c r="H326" s="5">
        <v>4.1830296127562638</v>
      </c>
      <c r="I326" s="2">
        <v>439</v>
      </c>
      <c r="J326" s="57">
        <f>I326/Pondération!$G$65</f>
        <v>0.10850222441917944</v>
      </c>
      <c r="K326" s="2"/>
      <c r="L326" s="2"/>
      <c r="M326" s="2"/>
      <c r="N326" s="2"/>
      <c r="O326" s="2"/>
    </row>
    <row r="327" spans="1:15" customFormat="1" x14ac:dyDescent="0.25">
      <c r="A327" s="2" t="s">
        <v>6</v>
      </c>
      <c r="B327" s="2">
        <v>2016</v>
      </c>
      <c r="C327" s="2" t="s">
        <v>23</v>
      </c>
      <c r="D327" s="2" t="s">
        <v>38</v>
      </c>
      <c r="E327" s="2" t="s">
        <v>9</v>
      </c>
      <c r="F327" s="2" t="s">
        <v>10</v>
      </c>
      <c r="G327" s="2">
        <f t="shared" si="17"/>
        <v>0.41714038556598859</v>
      </c>
      <c r="H327" s="5">
        <v>4.0570913461538218</v>
      </c>
      <c r="I327" s="2">
        <v>416</v>
      </c>
      <c r="J327" s="57">
        <f>I327/Pondération!$G$65</f>
        <v>0.10281759762728621</v>
      </c>
      <c r="K327" s="2"/>
      <c r="L327" s="2"/>
      <c r="M327" s="2"/>
      <c r="N327" s="2"/>
      <c r="O327" s="2"/>
    </row>
    <row r="328" spans="1:15" customFormat="1" x14ac:dyDescent="0.25">
      <c r="A328" s="2" t="s">
        <v>6</v>
      </c>
      <c r="B328" s="2">
        <v>2016</v>
      </c>
      <c r="C328" s="2" t="s">
        <v>24</v>
      </c>
      <c r="D328" s="2" t="s">
        <v>38</v>
      </c>
      <c r="E328" s="2" t="s">
        <v>9</v>
      </c>
      <c r="F328" s="2" t="s">
        <v>10</v>
      </c>
      <c r="G328" s="2">
        <f t="shared" si="17"/>
        <v>0.56183885318833415</v>
      </c>
      <c r="H328" s="5">
        <v>4.0304964539007093</v>
      </c>
      <c r="I328" s="2">
        <v>564</v>
      </c>
      <c r="J328" s="57">
        <f>I328/Pondération!$G$65</f>
        <v>0.1393969352446861</v>
      </c>
      <c r="K328" s="2"/>
      <c r="L328" s="2"/>
      <c r="M328" s="2"/>
      <c r="N328" s="2"/>
      <c r="O328" s="2"/>
    </row>
    <row r="329" spans="1:15" customFormat="1" x14ac:dyDescent="0.25">
      <c r="A329" s="2" t="s">
        <v>6</v>
      </c>
      <c r="B329" s="2">
        <v>2016</v>
      </c>
      <c r="C329" s="2" t="s">
        <v>25</v>
      </c>
      <c r="D329" s="2" t="s">
        <v>38</v>
      </c>
      <c r="E329" s="2" t="s">
        <v>9</v>
      </c>
      <c r="F329" s="2" t="s">
        <v>10</v>
      </c>
      <c r="G329" s="2">
        <f t="shared" si="17"/>
        <v>0.70124814631735044</v>
      </c>
      <c r="H329" s="5">
        <v>3.8445121951219514</v>
      </c>
      <c r="I329" s="2">
        <v>738</v>
      </c>
      <c r="J329" s="57">
        <f>I329/Pondération!$G$65</f>
        <v>0.18240237271379139</v>
      </c>
      <c r="K329" s="2"/>
      <c r="L329" s="2"/>
      <c r="M329" s="2"/>
      <c r="N329" s="2"/>
      <c r="O329" s="2"/>
    </row>
    <row r="330" spans="1:15" customFormat="1" x14ac:dyDescent="0.25">
      <c r="A330" s="2" t="s">
        <v>6</v>
      </c>
      <c r="B330" s="2">
        <v>2016</v>
      </c>
      <c r="C330" s="2" t="s">
        <v>26</v>
      </c>
      <c r="D330" s="2" t="s">
        <v>38</v>
      </c>
      <c r="E330" s="2" t="s">
        <v>9</v>
      </c>
      <c r="F330" s="2" t="s">
        <v>10</v>
      </c>
      <c r="G330" s="2">
        <f t="shared" si="17"/>
        <v>0.72137913989125058</v>
      </c>
      <c r="H330" s="5">
        <v>3.8607142857142853</v>
      </c>
      <c r="I330" s="2">
        <v>756</v>
      </c>
      <c r="J330" s="57">
        <f>I330/Pondération!$G$65</f>
        <v>0.18685121107266436</v>
      </c>
      <c r="K330" s="2"/>
      <c r="L330" s="2"/>
      <c r="M330" s="2"/>
      <c r="N330" s="2"/>
      <c r="O330" s="2"/>
    </row>
    <row r="331" spans="1:15" customFormat="1" x14ac:dyDescent="0.25">
      <c r="A331" s="2" t="s">
        <v>6</v>
      </c>
      <c r="B331" s="2">
        <v>2016</v>
      </c>
      <c r="C331" s="2" t="s">
        <v>27</v>
      </c>
      <c r="D331" s="2" t="s">
        <v>38</v>
      </c>
      <c r="E331" s="2" t="s">
        <v>9</v>
      </c>
      <c r="F331" s="2" t="s">
        <v>10</v>
      </c>
      <c r="G331" s="2">
        <f t="shared" si="17"/>
        <v>0.56503954522985678</v>
      </c>
      <c r="H331" s="5">
        <v>4.0320105820105825</v>
      </c>
      <c r="I331" s="2">
        <v>567</v>
      </c>
      <c r="J331" s="57">
        <f>I331/Pondération!$G$65</f>
        <v>0.14013840830449828</v>
      </c>
      <c r="K331" s="2"/>
      <c r="L331" s="2"/>
      <c r="M331" s="2"/>
      <c r="N331" s="2"/>
      <c r="O331" s="2"/>
    </row>
    <row r="332" spans="1:15" customFormat="1" x14ac:dyDescent="0.25">
      <c r="A332" s="2" t="s">
        <v>6</v>
      </c>
      <c r="B332" s="2">
        <v>2016</v>
      </c>
      <c r="C332" s="2" t="s">
        <v>28</v>
      </c>
      <c r="D332" s="2" t="s">
        <v>38</v>
      </c>
      <c r="E332" s="2" t="s">
        <v>9</v>
      </c>
      <c r="F332" s="2" t="s">
        <v>10</v>
      </c>
      <c r="G332" s="2">
        <f t="shared" si="17"/>
        <v>0.18237765694513075</v>
      </c>
      <c r="H332" s="5">
        <v>4.1455056179775225</v>
      </c>
      <c r="I332" s="2">
        <v>178</v>
      </c>
      <c r="J332" s="57">
        <f>I332/Pondération!$G$65</f>
        <v>4.3994068215521501E-2</v>
      </c>
      <c r="K332" s="2"/>
      <c r="L332" s="2"/>
      <c r="M332" s="2"/>
      <c r="N332" s="2"/>
      <c r="O332" s="2"/>
    </row>
    <row r="333" spans="1:15" customFormat="1" x14ac:dyDescent="0.25">
      <c r="A333" s="2" t="s">
        <v>6</v>
      </c>
      <c r="B333" s="2">
        <v>2016</v>
      </c>
      <c r="C333" s="2" t="s">
        <v>29</v>
      </c>
      <c r="D333" s="2" t="s">
        <v>38</v>
      </c>
      <c r="E333" s="2" t="s">
        <v>9</v>
      </c>
      <c r="F333" s="2" t="s">
        <v>10</v>
      </c>
      <c r="G333" s="2">
        <f t="shared" si="17"/>
        <v>9.4945625308947096E-2</v>
      </c>
      <c r="H333" s="5">
        <v>4.4155172413793098</v>
      </c>
      <c r="I333" s="2">
        <v>87</v>
      </c>
      <c r="J333" s="57">
        <f>I333/Pondération!$G$65</f>
        <v>2.1502718734552645E-2</v>
      </c>
      <c r="K333" s="2"/>
      <c r="L333" s="2"/>
      <c r="M333" s="2"/>
      <c r="N333" s="2"/>
      <c r="O333" s="2"/>
    </row>
    <row r="334" spans="1:15" customFormat="1" x14ac:dyDescent="0.25">
      <c r="A334" s="2" t="s">
        <v>6</v>
      </c>
      <c r="B334" s="2">
        <v>2017</v>
      </c>
      <c r="C334" s="2" t="s">
        <v>30</v>
      </c>
      <c r="D334" s="2" t="s">
        <v>38</v>
      </c>
      <c r="E334" s="2" t="s">
        <v>9</v>
      </c>
      <c r="F334" s="2" t="s">
        <v>10</v>
      </c>
      <c r="G334" s="2">
        <f t="shared" si="17"/>
        <v>0.32523076923076927</v>
      </c>
      <c r="H334" s="5">
        <v>4.3587628865979386</v>
      </c>
      <c r="I334" s="2">
        <v>97</v>
      </c>
      <c r="J334" s="57">
        <f>I334/Pondération!$F$65</f>
        <v>7.4615384615384611E-2</v>
      </c>
      <c r="K334" s="2"/>
      <c r="L334" s="2"/>
      <c r="M334" s="2"/>
      <c r="N334" s="2"/>
      <c r="O334" s="2"/>
    </row>
    <row r="335" spans="1:15" customFormat="1" x14ac:dyDescent="0.25">
      <c r="A335" s="2" t="s">
        <v>6</v>
      </c>
      <c r="B335" s="2">
        <v>2017</v>
      </c>
      <c r="C335" s="2" t="s">
        <v>31</v>
      </c>
      <c r="D335" s="2" t="s">
        <v>38</v>
      </c>
      <c r="E335" s="2" t="s">
        <v>9</v>
      </c>
      <c r="F335" s="2" t="s">
        <v>10</v>
      </c>
      <c r="G335" s="2">
        <f t="shared" si="17"/>
        <v>0.28342307692307689</v>
      </c>
      <c r="H335" s="5">
        <v>4.2350574712643674</v>
      </c>
      <c r="I335" s="2">
        <v>87</v>
      </c>
      <c r="J335" s="57">
        <f>I335/Pondération!$F$65</f>
        <v>6.6923076923076918E-2</v>
      </c>
      <c r="K335" s="2"/>
      <c r="L335" s="2"/>
      <c r="M335" s="2"/>
      <c r="N335" s="2"/>
      <c r="O335" s="2"/>
    </row>
    <row r="336" spans="1:15" customFormat="1" x14ac:dyDescent="0.25">
      <c r="A336" s="2" t="s">
        <v>6</v>
      </c>
      <c r="B336" s="2">
        <v>2017</v>
      </c>
      <c r="C336" s="2" t="s">
        <v>32</v>
      </c>
      <c r="D336" s="2" t="s">
        <v>38</v>
      </c>
      <c r="E336" s="2" t="s">
        <v>9</v>
      </c>
      <c r="F336" s="2" t="s">
        <v>10</v>
      </c>
      <c r="G336" s="2">
        <f t="shared" si="17"/>
        <v>0.34646153846153838</v>
      </c>
      <c r="H336" s="5">
        <v>4.2490566037735844</v>
      </c>
      <c r="I336" s="2">
        <v>106</v>
      </c>
      <c r="J336" s="57">
        <f>I336/Pondération!$F$65</f>
        <v>8.1538461538461532E-2</v>
      </c>
      <c r="K336" s="2"/>
      <c r="L336" s="2"/>
      <c r="M336" s="2"/>
      <c r="N336" s="2"/>
      <c r="O336" s="2"/>
    </row>
    <row r="337" spans="1:16" x14ac:dyDescent="0.25">
      <c r="A337" s="2" t="s">
        <v>6</v>
      </c>
      <c r="B337" s="2">
        <v>2017</v>
      </c>
      <c r="C337" s="2" t="s">
        <v>33</v>
      </c>
      <c r="D337" s="2" t="s">
        <v>38</v>
      </c>
      <c r="E337" s="2" t="s">
        <v>9</v>
      </c>
      <c r="F337" s="2" t="s">
        <v>10</v>
      </c>
      <c r="G337" s="2">
        <f t="shared" si="17"/>
        <v>1.5306923076923078</v>
      </c>
      <c r="H337" s="5">
        <v>4.2158898305084751</v>
      </c>
      <c r="I337" s="2">
        <v>472</v>
      </c>
      <c r="J337" s="57">
        <f>I337/Pondération!$F$65</f>
        <v>0.36307692307692307</v>
      </c>
      <c r="K337" s="2"/>
      <c r="L337" s="2"/>
      <c r="M337" s="2"/>
      <c r="N337" s="2"/>
      <c r="O337" s="2"/>
      <c r="P337"/>
    </row>
    <row r="338" spans="1:16" x14ac:dyDescent="0.25">
      <c r="A338" s="2" t="s">
        <v>6</v>
      </c>
      <c r="B338" s="2">
        <v>2017</v>
      </c>
      <c r="C338" s="2" t="s">
        <v>34</v>
      </c>
      <c r="D338" s="2" t="s">
        <v>38</v>
      </c>
      <c r="E338" s="2" t="s">
        <v>9</v>
      </c>
      <c r="F338" s="2" t="s">
        <v>10</v>
      </c>
      <c r="G338" s="2">
        <f t="shared" si="17"/>
        <v>1.7121923076923078</v>
      </c>
      <c r="H338" s="5">
        <v>4.1372676579925649</v>
      </c>
      <c r="I338" s="2">
        <v>538</v>
      </c>
      <c r="J338" s="57">
        <f>I338/Pondération!$F$65</f>
        <v>0.41384615384615386</v>
      </c>
      <c r="K338" s="2"/>
      <c r="L338" s="2"/>
      <c r="M338" s="2"/>
      <c r="N338" s="2"/>
      <c r="O338" s="2"/>
      <c r="P338"/>
    </row>
    <row r="339" spans="1:16" x14ac:dyDescent="0.25">
      <c r="A339" s="2" t="s">
        <v>47</v>
      </c>
      <c r="B339" s="2">
        <v>2013</v>
      </c>
      <c r="C339" s="2" t="s">
        <v>49</v>
      </c>
      <c r="D339" s="2" t="s">
        <v>38</v>
      </c>
      <c r="E339" s="2" t="s">
        <v>9</v>
      </c>
      <c r="F339" s="2" t="s">
        <v>48</v>
      </c>
      <c r="G339" s="2">
        <f t="shared" si="17"/>
        <v>0.15277777777777776</v>
      </c>
      <c r="H339" s="5">
        <v>2.75</v>
      </c>
      <c r="I339" s="2">
        <v>1</v>
      </c>
      <c r="J339" s="57">
        <f>I339/Pondération!$J$66</f>
        <v>5.5555555555555552E-2</v>
      </c>
      <c r="K339" s="5">
        <v>3</v>
      </c>
      <c r="L339" s="5">
        <f t="shared" ref="L339:L380" si="18">K339*$J339</f>
        <v>0.16666666666666666</v>
      </c>
      <c r="M339" s="5">
        <v>2</v>
      </c>
      <c r="N339" s="5">
        <f t="shared" ref="N339:N380" si="19">M339*$J339</f>
        <v>0.1111111111111111</v>
      </c>
      <c r="O339" s="5">
        <v>3</v>
      </c>
      <c r="P339" s="15">
        <f t="shared" ref="P339:P380" si="20">O339*$J339</f>
        <v>0.16666666666666666</v>
      </c>
    </row>
    <row r="340" spans="1:16" x14ac:dyDescent="0.25">
      <c r="A340" s="2" t="s">
        <v>47</v>
      </c>
      <c r="B340" s="2">
        <v>2013</v>
      </c>
      <c r="C340" s="2" t="s">
        <v>52</v>
      </c>
      <c r="D340" s="2" t="s">
        <v>38</v>
      </c>
      <c r="E340" s="2" t="s">
        <v>9</v>
      </c>
      <c r="F340" s="2" t="s">
        <v>48</v>
      </c>
      <c r="G340" s="2">
        <f t="shared" si="17"/>
        <v>0.27777777777777779</v>
      </c>
      <c r="H340" s="5">
        <v>5</v>
      </c>
      <c r="I340" s="2">
        <v>1</v>
      </c>
      <c r="J340" s="57">
        <f>I340/Pondération!$J$66</f>
        <v>5.5555555555555552E-2</v>
      </c>
      <c r="K340" s="5">
        <v>5</v>
      </c>
      <c r="L340" s="5">
        <f t="shared" si="18"/>
        <v>0.27777777777777779</v>
      </c>
      <c r="M340" s="5">
        <v>5</v>
      </c>
      <c r="N340" s="5">
        <f t="shared" si="19"/>
        <v>0.27777777777777779</v>
      </c>
      <c r="O340" s="5">
        <v>5</v>
      </c>
      <c r="P340" s="15">
        <f t="shared" si="20"/>
        <v>0.27777777777777779</v>
      </c>
    </row>
    <row r="341" spans="1:16" x14ac:dyDescent="0.25">
      <c r="A341" s="2" t="s">
        <v>47</v>
      </c>
      <c r="B341" s="2">
        <v>2013</v>
      </c>
      <c r="C341" s="2" t="s">
        <v>53</v>
      </c>
      <c r="D341" s="2" t="s">
        <v>38</v>
      </c>
      <c r="E341" s="2" t="s">
        <v>9</v>
      </c>
      <c r="F341" s="2" t="s">
        <v>48</v>
      </c>
      <c r="G341" s="2">
        <f t="shared" si="17"/>
        <v>0.27777777777777779</v>
      </c>
      <c r="H341" s="5">
        <v>5</v>
      </c>
      <c r="I341" s="2">
        <v>1</v>
      </c>
      <c r="J341" s="57">
        <f>I341/Pondération!$J$66</f>
        <v>5.5555555555555552E-2</v>
      </c>
      <c r="K341" s="5">
        <v>5</v>
      </c>
      <c r="L341" s="5">
        <f t="shared" si="18"/>
        <v>0.27777777777777779</v>
      </c>
      <c r="M341" s="5">
        <v>5</v>
      </c>
      <c r="N341" s="5">
        <f t="shared" si="19"/>
        <v>0.27777777777777779</v>
      </c>
      <c r="O341" s="5">
        <v>5</v>
      </c>
      <c r="P341" s="15">
        <f t="shared" si="20"/>
        <v>0.27777777777777779</v>
      </c>
    </row>
    <row r="342" spans="1:16" x14ac:dyDescent="0.25">
      <c r="A342" s="2" t="s">
        <v>47</v>
      </c>
      <c r="B342" s="2">
        <v>2013</v>
      </c>
      <c r="C342" s="2" t="s">
        <v>54</v>
      </c>
      <c r="D342" s="2" t="s">
        <v>38</v>
      </c>
      <c r="E342" s="2" t="s">
        <v>9</v>
      </c>
      <c r="F342" s="2" t="s">
        <v>48</v>
      </c>
      <c r="G342" s="2">
        <f t="shared" si="17"/>
        <v>0.73611111111111116</v>
      </c>
      <c r="H342" s="5">
        <v>4.416666666666667</v>
      </c>
      <c r="I342" s="2">
        <v>3</v>
      </c>
      <c r="J342" s="57">
        <f>I342/Pondération!$J$66</f>
        <v>0.16666666666666666</v>
      </c>
      <c r="K342" s="5">
        <v>4.666666666666667</v>
      </c>
      <c r="L342" s="5">
        <f t="shared" si="18"/>
        <v>0.77777777777777779</v>
      </c>
      <c r="M342" s="5">
        <v>4.666666666666667</v>
      </c>
      <c r="N342" s="5">
        <f t="shared" si="19"/>
        <v>0.77777777777777779</v>
      </c>
      <c r="O342" s="5">
        <v>3.6666666666666665</v>
      </c>
      <c r="P342" s="15">
        <f t="shared" si="20"/>
        <v>0.61111111111111105</v>
      </c>
    </row>
    <row r="343" spans="1:16" x14ac:dyDescent="0.25">
      <c r="A343" s="2" t="s">
        <v>47</v>
      </c>
      <c r="B343" s="2">
        <v>2013</v>
      </c>
      <c r="C343" s="2" t="s">
        <v>56</v>
      </c>
      <c r="D343" s="2" t="s">
        <v>38</v>
      </c>
      <c r="E343" s="2" t="s">
        <v>9</v>
      </c>
      <c r="F343" s="2" t="s">
        <v>48</v>
      </c>
      <c r="G343" s="2">
        <f t="shared" si="17"/>
        <v>1.5</v>
      </c>
      <c r="H343" s="5">
        <v>4.5</v>
      </c>
      <c r="I343" s="2">
        <v>6</v>
      </c>
      <c r="J343" s="57">
        <f>I343/Pondération!$J$66</f>
        <v>0.33333333333333331</v>
      </c>
      <c r="K343" s="5">
        <v>4.5</v>
      </c>
      <c r="L343" s="5">
        <f t="shared" si="18"/>
        <v>1.5</v>
      </c>
      <c r="M343" s="5">
        <v>4.5</v>
      </c>
      <c r="N343" s="5">
        <f t="shared" si="19"/>
        <v>1.5</v>
      </c>
      <c r="O343" s="5">
        <v>4.5</v>
      </c>
      <c r="P343" s="15">
        <f t="shared" si="20"/>
        <v>1.5</v>
      </c>
    </row>
    <row r="344" spans="1:16" x14ac:dyDescent="0.25">
      <c r="A344" s="2" t="s">
        <v>47</v>
      </c>
      <c r="B344" s="2">
        <v>2013</v>
      </c>
      <c r="C344" s="2" t="s">
        <v>57</v>
      </c>
      <c r="D344" s="2" t="s">
        <v>38</v>
      </c>
      <c r="E344" s="2" t="s">
        <v>9</v>
      </c>
      <c r="F344" s="2" t="s">
        <v>48</v>
      </c>
      <c r="G344" s="2">
        <f t="shared" si="17"/>
        <v>0.93055555555555547</v>
      </c>
      <c r="H344" s="5">
        <v>4.1875</v>
      </c>
      <c r="I344" s="2">
        <v>4</v>
      </c>
      <c r="J344" s="57">
        <f>I344/Pondération!$J$66</f>
        <v>0.22222222222222221</v>
      </c>
      <c r="K344" s="5">
        <v>4</v>
      </c>
      <c r="L344" s="5">
        <f t="shared" si="18"/>
        <v>0.88888888888888884</v>
      </c>
      <c r="M344" s="5">
        <v>4.75</v>
      </c>
      <c r="N344" s="5">
        <f t="shared" si="19"/>
        <v>1.0555555555555556</v>
      </c>
      <c r="O344" s="5">
        <v>4</v>
      </c>
      <c r="P344" s="15">
        <f t="shared" si="20"/>
        <v>0.88888888888888884</v>
      </c>
    </row>
    <row r="345" spans="1:16" x14ac:dyDescent="0.25">
      <c r="A345" s="2" t="s">
        <v>47</v>
      </c>
      <c r="B345" s="2">
        <v>2013</v>
      </c>
      <c r="C345" s="2" t="s">
        <v>58</v>
      </c>
      <c r="D345" s="2" t="s">
        <v>38</v>
      </c>
      <c r="E345" s="2" t="s">
        <v>9</v>
      </c>
      <c r="F345" s="2" t="s">
        <v>48</v>
      </c>
      <c r="G345" s="2">
        <f t="shared" si="17"/>
        <v>0.5</v>
      </c>
      <c r="H345" s="5">
        <v>4.5</v>
      </c>
      <c r="I345" s="2">
        <v>2</v>
      </c>
      <c r="J345" s="57">
        <f>I345/Pondération!$J$66</f>
        <v>0.1111111111111111</v>
      </c>
      <c r="K345" s="5">
        <v>4.5</v>
      </c>
      <c r="L345" s="5">
        <f t="shared" si="18"/>
        <v>0.5</v>
      </c>
      <c r="M345" s="5">
        <v>4.5</v>
      </c>
      <c r="N345" s="5">
        <f t="shared" si="19"/>
        <v>0.5</v>
      </c>
      <c r="O345" s="5">
        <v>4.5</v>
      </c>
      <c r="P345" s="15">
        <f t="shared" si="20"/>
        <v>0.5</v>
      </c>
    </row>
    <row r="346" spans="1:16" x14ac:dyDescent="0.25">
      <c r="A346" s="2" t="s">
        <v>47</v>
      </c>
      <c r="B346" s="2">
        <v>2014</v>
      </c>
      <c r="C346" s="2" t="s">
        <v>61</v>
      </c>
      <c r="D346" s="2" t="s">
        <v>38</v>
      </c>
      <c r="E346" s="2" t="s">
        <v>9</v>
      </c>
      <c r="F346" s="2" t="s">
        <v>48</v>
      </c>
      <c r="G346" s="2">
        <f t="shared" si="17"/>
        <v>0.16964285714285712</v>
      </c>
      <c r="H346" s="5">
        <v>4.75</v>
      </c>
      <c r="I346" s="2">
        <v>1</v>
      </c>
      <c r="J346" s="57">
        <f>I346/Pondération!$I$66</f>
        <v>3.5714285714285712E-2</v>
      </c>
      <c r="K346" s="5">
        <v>5</v>
      </c>
      <c r="L346" s="5">
        <f t="shared" si="18"/>
        <v>0.17857142857142855</v>
      </c>
      <c r="M346" s="5">
        <v>5</v>
      </c>
      <c r="N346" s="5">
        <f t="shared" si="19"/>
        <v>0.17857142857142855</v>
      </c>
      <c r="O346" s="5">
        <v>4</v>
      </c>
      <c r="P346" s="15">
        <f t="shared" si="20"/>
        <v>0.14285714285714285</v>
      </c>
    </row>
    <row r="347" spans="1:16" x14ac:dyDescent="0.25">
      <c r="A347" s="2" t="s">
        <v>47</v>
      </c>
      <c r="B347" s="2">
        <v>2014</v>
      </c>
      <c r="C347" s="2" t="s">
        <v>64</v>
      </c>
      <c r="D347" s="2" t="s">
        <v>38</v>
      </c>
      <c r="E347" s="2" t="s">
        <v>9</v>
      </c>
      <c r="F347" s="2" t="s">
        <v>48</v>
      </c>
      <c r="G347" s="2">
        <f t="shared" si="17"/>
        <v>0.5267857142857143</v>
      </c>
      <c r="H347" s="5">
        <v>4.916666666666667</v>
      </c>
      <c r="I347" s="2">
        <v>3</v>
      </c>
      <c r="J347" s="57">
        <f>I347/Pondération!$I$66</f>
        <v>0.10714285714285714</v>
      </c>
      <c r="K347" s="5">
        <v>5</v>
      </c>
      <c r="L347" s="5">
        <f t="shared" si="18"/>
        <v>0.5357142857142857</v>
      </c>
      <c r="M347" s="5">
        <v>4.666666666666667</v>
      </c>
      <c r="N347" s="5">
        <f t="shared" si="19"/>
        <v>0.5</v>
      </c>
      <c r="O347" s="5">
        <v>5</v>
      </c>
      <c r="P347" s="15">
        <f t="shared" si="20"/>
        <v>0.5357142857142857</v>
      </c>
    </row>
    <row r="348" spans="1:16" x14ac:dyDescent="0.25">
      <c r="A348" s="2" t="s">
        <v>47</v>
      </c>
      <c r="B348" s="2">
        <v>2014</v>
      </c>
      <c r="C348" s="2" t="s">
        <v>65</v>
      </c>
      <c r="D348" s="2" t="s">
        <v>38</v>
      </c>
      <c r="E348" s="2" t="s">
        <v>9</v>
      </c>
      <c r="F348" s="2" t="s">
        <v>48</v>
      </c>
      <c r="G348" s="2">
        <f t="shared" si="17"/>
        <v>0.7410714285714286</v>
      </c>
      <c r="H348" s="5">
        <v>4.1500000000000004</v>
      </c>
      <c r="I348" s="2">
        <v>5</v>
      </c>
      <c r="J348" s="57">
        <f>I348/Pondération!$I$66</f>
        <v>0.17857142857142858</v>
      </c>
      <c r="K348" s="5">
        <v>4.2</v>
      </c>
      <c r="L348" s="5">
        <f t="shared" si="18"/>
        <v>0.75</v>
      </c>
      <c r="M348" s="5">
        <v>4</v>
      </c>
      <c r="N348" s="5">
        <f t="shared" si="19"/>
        <v>0.7142857142857143</v>
      </c>
      <c r="O348" s="5">
        <v>4.2</v>
      </c>
      <c r="P348" s="15">
        <f t="shared" si="20"/>
        <v>0.75</v>
      </c>
    </row>
    <row r="349" spans="1:16" x14ac:dyDescent="0.25">
      <c r="A349" s="2" t="s">
        <v>47</v>
      </c>
      <c r="B349" s="2">
        <v>2014</v>
      </c>
      <c r="C349" s="2" t="s">
        <v>66</v>
      </c>
      <c r="D349" s="2" t="s">
        <v>38</v>
      </c>
      <c r="E349" s="2" t="s">
        <v>9</v>
      </c>
      <c r="F349" s="2" t="s">
        <v>48</v>
      </c>
      <c r="G349" s="2">
        <f t="shared" si="17"/>
        <v>0.4732142857142857</v>
      </c>
      <c r="H349" s="5">
        <v>4.416666666666667</v>
      </c>
      <c r="I349" s="2">
        <v>3</v>
      </c>
      <c r="J349" s="57">
        <f>I349/Pondération!$I$66</f>
        <v>0.10714285714285714</v>
      </c>
      <c r="K349" s="5">
        <v>4</v>
      </c>
      <c r="L349" s="5">
        <f t="shared" si="18"/>
        <v>0.42857142857142855</v>
      </c>
      <c r="M349" s="5">
        <v>4.666666666666667</v>
      </c>
      <c r="N349" s="5">
        <f t="shared" si="19"/>
        <v>0.5</v>
      </c>
      <c r="O349" s="5">
        <v>5</v>
      </c>
      <c r="P349" s="15">
        <f t="shared" si="20"/>
        <v>0.5357142857142857</v>
      </c>
    </row>
    <row r="350" spans="1:16" x14ac:dyDescent="0.25">
      <c r="A350" s="2" t="s">
        <v>47</v>
      </c>
      <c r="B350" s="2">
        <v>2014</v>
      </c>
      <c r="C350" s="2" t="s">
        <v>68</v>
      </c>
      <c r="D350" s="2" t="s">
        <v>38</v>
      </c>
      <c r="E350" s="2" t="s">
        <v>9</v>
      </c>
      <c r="F350" s="2" t="s">
        <v>48</v>
      </c>
      <c r="G350" s="2">
        <f t="shared" si="17"/>
        <v>1.5357142857142856</v>
      </c>
      <c r="H350" s="5">
        <v>4.3</v>
      </c>
      <c r="I350" s="2">
        <v>10</v>
      </c>
      <c r="J350" s="57">
        <f>I350/Pondération!$I$66</f>
        <v>0.35714285714285715</v>
      </c>
      <c r="K350" s="5">
        <v>4.5</v>
      </c>
      <c r="L350" s="5">
        <f t="shared" si="18"/>
        <v>1.6071428571428572</v>
      </c>
      <c r="M350" s="5">
        <v>4.0999999999999996</v>
      </c>
      <c r="N350" s="5">
        <f t="shared" si="19"/>
        <v>1.4642857142857142</v>
      </c>
      <c r="O350" s="5">
        <v>4.0999999999999996</v>
      </c>
      <c r="P350" s="15">
        <f t="shared" si="20"/>
        <v>1.4642857142857142</v>
      </c>
    </row>
    <row r="351" spans="1:16" x14ac:dyDescent="0.25">
      <c r="A351" s="2" t="s">
        <v>47</v>
      </c>
      <c r="B351" s="2">
        <v>2014</v>
      </c>
      <c r="C351" s="2" t="s">
        <v>69</v>
      </c>
      <c r="D351" s="2" t="s">
        <v>38</v>
      </c>
      <c r="E351" s="2" t="s">
        <v>9</v>
      </c>
      <c r="F351" s="2" t="s">
        <v>48</v>
      </c>
      <c r="G351" s="2">
        <f t="shared" si="17"/>
        <v>0.24107142857142855</v>
      </c>
      <c r="H351" s="5">
        <v>3.375</v>
      </c>
      <c r="I351" s="2">
        <v>2</v>
      </c>
      <c r="J351" s="57">
        <f>I351/Pondération!$I$66</f>
        <v>7.1428571428571425E-2</v>
      </c>
      <c r="K351" s="5">
        <v>3</v>
      </c>
      <c r="L351" s="5">
        <f t="shared" si="18"/>
        <v>0.21428571428571427</v>
      </c>
      <c r="M351" s="5">
        <v>4</v>
      </c>
      <c r="N351" s="5">
        <f t="shared" si="19"/>
        <v>0.2857142857142857</v>
      </c>
      <c r="O351" s="5">
        <v>3.5</v>
      </c>
      <c r="P351" s="15">
        <f t="shared" si="20"/>
        <v>0.25</v>
      </c>
    </row>
    <row r="352" spans="1:16" x14ac:dyDescent="0.25">
      <c r="A352" s="2" t="s">
        <v>47</v>
      </c>
      <c r="B352" s="2">
        <v>2014</v>
      </c>
      <c r="C352" s="2" t="s">
        <v>70</v>
      </c>
      <c r="D352" s="2" t="s">
        <v>38</v>
      </c>
      <c r="E352" s="2" t="s">
        <v>9</v>
      </c>
      <c r="F352" s="2" t="s">
        <v>48</v>
      </c>
      <c r="G352" s="2">
        <f t="shared" si="17"/>
        <v>0.4821428571428571</v>
      </c>
      <c r="H352" s="5">
        <v>4.5</v>
      </c>
      <c r="I352" s="2">
        <v>3</v>
      </c>
      <c r="J352" s="57">
        <f>I352/Pondération!$I$66</f>
        <v>0.10714285714285714</v>
      </c>
      <c r="K352" s="5">
        <v>4.333333333333333</v>
      </c>
      <c r="L352" s="5">
        <f t="shared" si="18"/>
        <v>0.46428571428571425</v>
      </c>
      <c r="M352" s="5">
        <v>4.333333333333333</v>
      </c>
      <c r="N352" s="5">
        <f t="shared" si="19"/>
        <v>0.46428571428571425</v>
      </c>
      <c r="O352" s="5">
        <v>5</v>
      </c>
      <c r="P352" s="15">
        <f t="shared" si="20"/>
        <v>0.5357142857142857</v>
      </c>
    </row>
    <row r="353" spans="1:16" x14ac:dyDescent="0.25">
      <c r="A353" s="2" t="s">
        <v>47</v>
      </c>
      <c r="B353" s="2">
        <v>2014</v>
      </c>
      <c r="C353" s="2" t="s">
        <v>71</v>
      </c>
      <c r="D353" s="2" t="s">
        <v>38</v>
      </c>
      <c r="E353" s="2" t="s">
        <v>9</v>
      </c>
      <c r="F353" s="2" t="s">
        <v>48</v>
      </c>
      <c r="G353" s="2">
        <f t="shared" si="17"/>
        <v>0.17857142857142855</v>
      </c>
      <c r="H353" s="5">
        <v>5</v>
      </c>
      <c r="I353" s="2">
        <v>1</v>
      </c>
      <c r="J353" s="57">
        <f>I353/Pondération!$I$66</f>
        <v>3.5714285714285712E-2</v>
      </c>
      <c r="K353" s="5">
        <v>5</v>
      </c>
      <c r="L353" s="5">
        <f t="shared" si="18"/>
        <v>0.17857142857142855</v>
      </c>
      <c r="M353" s="5">
        <v>5</v>
      </c>
      <c r="N353" s="5">
        <f t="shared" si="19"/>
        <v>0.17857142857142855</v>
      </c>
      <c r="O353" s="5">
        <v>5</v>
      </c>
      <c r="P353" s="15">
        <f t="shared" si="20"/>
        <v>0.17857142857142855</v>
      </c>
    </row>
    <row r="354" spans="1:16" x14ac:dyDescent="0.25">
      <c r="A354" s="2" t="s">
        <v>47</v>
      </c>
      <c r="B354" s="2">
        <v>2015</v>
      </c>
      <c r="C354" s="2" t="s">
        <v>73</v>
      </c>
      <c r="D354" s="2" t="s">
        <v>38</v>
      </c>
      <c r="E354" s="2" t="s">
        <v>9</v>
      </c>
      <c r="F354" s="2" t="s">
        <v>48</v>
      </c>
      <c r="G354" s="2">
        <f t="shared" si="17"/>
        <v>5.7471264367816091E-2</v>
      </c>
      <c r="H354" s="5">
        <v>5</v>
      </c>
      <c r="I354" s="2">
        <v>1</v>
      </c>
      <c r="J354" s="57">
        <f>I354/Pondération!$H$66</f>
        <v>1.1494252873563218E-2</v>
      </c>
      <c r="K354" s="5">
        <v>5</v>
      </c>
      <c r="L354" s="5">
        <f t="shared" si="18"/>
        <v>5.7471264367816091E-2</v>
      </c>
      <c r="M354" s="5">
        <v>5</v>
      </c>
      <c r="N354" s="5">
        <f t="shared" si="19"/>
        <v>5.7471264367816091E-2</v>
      </c>
      <c r="O354" s="5">
        <v>5</v>
      </c>
      <c r="P354" s="15">
        <f t="shared" si="20"/>
        <v>5.7471264367816091E-2</v>
      </c>
    </row>
    <row r="355" spans="1:16" x14ac:dyDescent="0.25">
      <c r="A355" s="2" t="s">
        <v>47</v>
      </c>
      <c r="B355" s="2">
        <v>2015</v>
      </c>
      <c r="C355" s="2" t="s">
        <v>74</v>
      </c>
      <c r="D355" s="2" t="s">
        <v>38</v>
      </c>
      <c r="E355" s="2" t="s">
        <v>9</v>
      </c>
      <c r="F355" s="2" t="s">
        <v>48</v>
      </c>
      <c r="G355" s="2">
        <f t="shared" si="17"/>
        <v>0.12068965517241378</v>
      </c>
      <c r="H355" s="5">
        <v>3.5</v>
      </c>
      <c r="I355" s="2">
        <v>3</v>
      </c>
      <c r="J355" s="57">
        <f>I355/Pondération!$H$66</f>
        <v>3.4482758620689655E-2</v>
      </c>
      <c r="K355" s="5">
        <v>3.3333333333333335</v>
      </c>
      <c r="L355" s="5">
        <f t="shared" si="18"/>
        <v>0.11494252873563218</v>
      </c>
      <c r="M355" s="5">
        <v>3.6666666666666665</v>
      </c>
      <c r="N355" s="5">
        <f t="shared" si="19"/>
        <v>0.12643678160919539</v>
      </c>
      <c r="O355" s="5">
        <v>3.6666666666666665</v>
      </c>
      <c r="P355" s="15">
        <f t="shared" si="20"/>
        <v>0.12643678160919539</v>
      </c>
    </row>
    <row r="356" spans="1:16" x14ac:dyDescent="0.25">
      <c r="A356" s="2" t="s">
        <v>47</v>
      </c>
      <c r="B356" s="2">
        <v>2015</v>
      </c>
      <c r="C356" s="2" t="s">
        <v>76</v>
      </c>
      <c r="D356" s="2" t="s">
        <v>38</v>
      </c>
      <c r="E356" s="2" t="s">
        <v>9</v>
      </c>
      <c r="F356" s="2" t="s">
        <v>48</v>
      </c>
      <c r="G356" s="2">
        <f t="shared" si="17"/>
        <v>5.7471264367816091E-2</v>
      </c>
      <c r="H356" s="5">
        <v>5</v>
      </c>
      <c r="I356" s="2">
        <v>1</v>
      </c>
      <c r="J356" s="57">
        <f>I356/Pondération!$H$66</f>
        <v>1.1494252873563218E-2</v>
      </c>
      <c r="K356" s="5">
        <v>5</v>
      </c>
      <c r="L356" s="5">
        <f t="shared" si="18"/>
        <v>5.7471264367816091E-2</v>
      </c>
      <c r="M356" s="5">
        <v>5</v>
      </c>
      <c r="N356" s="5">
        <f t="shared" si="19"/>
        <v>5.7471264367816091E-2</v>
      </c>
      <c r="O356" s="5">
        <v>5</v>
      </c>
      <c r="P356" s="15">
        <f t="shared" si="20"/>
        <v>5.7471264367816091E-2</v>
      </c>
    </row>
    <row r="357" spans="1:16" x14ac:dyDescent="0.25">
      <c r="A357" s="2" t="s">
        <v>47</v>
      </c>
      <c r="B357" s="2">
        <v>2015</v>
      </c>
      <c r="C357" s="2" t="s">
        <v>7</v>
      </c>
      <c r="D357" s="2" t="s">
        <v>38</v>
      </c>
      <c r="E357" s="2" t="s">
        <v>9</v>
      </c>
      <c r="F357" s="2" t="s">
        <v>48</v>
      </c>
      <c r="G357" s="2">
        <f t="shared" si="17"/>
        <v>0.2873563218390805</v>
      </c>
      <c r="H357" s="5">
        <v>4.166666666666667</v>
      </c>
      <c r="I357" s="2">
        <v>6</v>
      </c>
      <c r="J357" s="57">
        <f>I357/Pondération!$H$66</f>
        <v>6.8965517241379309E-2</v>
      </c>
      <c r="K357" s="5">
        <v>3.8333333333333335</v>
      </c>
      <c r="L357" s="5">
        <f t="shared" si="18"/>
        <v>0.26436781609195403</v>
      </c>
      <c r="M357" s="5">
        <v>4.5</v>
      </c>
      <c r="N357" s="5">
        <f t="shared" si="19"/>
        <v>0.31034482758620691</v>
      </c>
      <c r="O357" s="5">
        <v>4.5</v>
      </c>
      <c r="P357" s="15">
        <f t="shared" si="20"/>
        <v>0.31034482758620691</v>
      </c>
    </row>
    <row r="358" spans="1:16" x14ac:dyDescent="0.25">
      <c r="A358" s="2" t="s">
        <v>47</v>
      </c>
      <c r="B358" s="2">
        <v>2015</v>
      </c>
      <c r="C358" s="2" t="s">
        <v>11</v>
      </c>
      <c r="D358" s="2" t="s">
        <v>38</v>
      </c>
      <c r="E358" s="2" t="s">
        <v>9</v>
      </c>
      <c r="F358" s="2" t="s">
        <v>48</v>
      </c>
      <c r="G358" s="2">
        <f t="shared" si="17"/>
        <v>0.36494252873563215</v>
      </c>
      <c r="H358" s="5">
        <v>4.5357142857142856</v>
      </c>
      <c r="I358" s="2">
        <v>7</v>
      </c>
      <c r="J358" s="57">
        <f>I358/Pondération!$H$66</f>
        <v>8.0459770114942528E-2</v>
      </c>
      <c r="K358" s="5">
        <v>4.5714285714285712</v>
      </c>
      <c r="L358" s="5">
        <f t="shared" si="18"/>
        <v>0.36781609195402298</v>
      </c>
      <c r="M358" s="5">
        <v>4.5714285714285712</v>
      </c>
      <c r="N358" s="5">
        <f t="shared" si="19"/>
        <v>0.36781609195402298</v>
      </c>
      <c r="O358" s="5">
        <v>4.4285714285714288</v>
      </c>
      <c r="P358" s="15">
        <f t="shared" si="20"/>
        <v>0.35632183908045978</v>
      </c>
    </row>
    <row r="359" spans="1:16" x14ac:dyDescent="0.25">
      <c r="A359" s="2" t="s">
        <v>47</v>
      </c>
      <c r="B359" s="2">
        <v>2015</v>
      </c>
      <c r="C359" s="2" t="s">
        <v>12</v>
      </c>
      <c r="D359" s="2" t="s">
        <v>38</v>
      </c>
      <c r="E359" s="2" t="s">
        <v>9</v>
      </c>
      <c r="F359" s="2" t="s">
        <v>48</v>
      </c>
      <c r="G359" s="2">
        <f t="shared" si="17"/>
        <v>0.30172413793103448</v>
      </c>
      <c r="H359" s="5">
        <v>4.375</v>
      </c>
      <c r="I359" s="2">
        <v>6</v>
      </c>
      <c r="J359" s="57">
        <f>I359/Pondération!$H$66</f>
        <v>6.8965517241379309E-2</v>
      </c>
      <c r="K359" s="5">
        <v>4</v>
      </c>
      <c r="L359" s="5">
        <f t="shared" si="18"/>
        <v>0.27586206896551724</v>
      </c>
      <c r="M359" s="5">
        <v>4.666666666666667</v>
      </c>
      <c r="N359" s="5">
        <f t="shared" si="19"/>
        <v>0.32183908045977011</v>
      </c>
      <c r="O359" s="5">
        <v>4.833333333333333</v>
      </c>
      <c r="P359" s="15">
        <f t="shared" si="20"/>
        <v>0.33333333333333331</v>
      </c>
    </row>
    <row r="360" spans="1:16" x14ac:dyDescent="0.25">
      <c r="A360" s="2" t="s">
        <v>47</v>
      </c>
      <c r="B360" s="2">
        <v>2015</v>
      </c>
      <c r="C360" s="2" t="s">
        <v>13</v>
      </c>
      <c r="D360" s="2" t="s">
        <v>38</v>
      </c>
      <c r="E360" s="2" t="s">
        <v>9</v>
      </c>
      <c r="F360" s="2" t="s">
        <v>48</v>
      </c>
      <c r="G360" s="2">
        <f t="shared" si="17"/>
        <v>1.75</v>
      </c>
      <c r="H360" s="5">
        <v>4.3499999999999996</v>
      </c>
      <c r="I360" s="2">
        <v>35</v>
      </c>
      <c r="J360" s="57">
        <f>I360/Pondération!$H$66</f>
        <v>0.40229885057471265</v>
      </c>
      <c r="K360" s="5">
        <v>4.2</v>
      </c>
      <c r="L360" s="5">
        <f t="shared" si="18"/>
        <v>1.6896551724137931</v>
      </c>
      <c r="M360" s="5">
        <v>4.5142857142857142</v>
      </c>
      <c r="N360" s="5">
        <f t="shared" si="19"/>
        <v>1.8160919540229885</v>
      </c>
      <c r="O360" s="5">
        <v>4.4857142857142858</v>
      </c>
      <c r="P360" s="15">
        <f t="shared" si="20"/>
        <v>1.8045977011494254</v>
      </c>
    </row>
    <row r="361" spans="1:16" x14ac:dyDescent="0.25">
      <c r="A361" s="2" t="s">
        <v>47</v>
      </c>
      <c r="B361" s="2">
        <v>2015</v>
      </c>
      <c r="C361" s="2" t="s">
        <v>14</v>
      </c>
      <c r="D361" s="2" t="s">
        <v>38</v>
      </c>
      <c r="E361" s="2" t="s">
        <v>9</v>
      </c>
      <c r="F361" s="2" t="s">
        <v>48</v>
      </c>
      <c r="G361" s="2">
        <f t="shared" si="17"/>
        <v>0.57758620689655182</v>
      </c>
      <c r="H361" s="5">
        <v>4.5681818181818183</v>
      </c>
      <c r="I361" s="2">
        <v>11</v>
      </c>
      <c r="J361" s="57">
        <f>I361/Pondération!$H$66</f>
        <v>0.12643678160919541</v>
      </c>
      <c r="K361" s="5">
        <v>4.5454545454545459</v>
      </c>
      <c r="L361" s="5">
        <f t="shared" si="18"/>
        <v>0.57471264367816099</v>
      </c>
      <c r="M361" s="5">
        <v>4.5454545454545459</v>
      </c>
      <c r="N361" s="5">
        <f t="shared" si="19"/>
        <v>0.57471264367816099</v>
      </c>
      <c r="O361" s="5">
        <v>4.6363636363636367</v>
      </c>
      <c r="P361" s="15">
        <f t="shared" si="20"/>
        <v>0.5862068965517242</v>
      </c>
    </row>
    <row r="362" spans="1:16" x14ac:dyDescent="0.25">
      <c r="A362" s="2" t="s">
        <v>47</v>
      </c>
      <c r="B362" s="2">
        <v>2015</v>
      </c>
      <c r="C362" s="2" t="s">
        <v>15</v>
      </c>
      <c r="D362" s="2" t="s">
        <v>38</v>
      </c>
      <c r="E362" s="2" t="s">
        <v>9</v>
      </c>
      <c r="F362" s="2" t="s">
        <v>48</v>
      </c>
      <c r="G362" s="2">
        <f t="shared" si="17"/>
        <v>0.55459770114942541</v>
      </c>
      <c r="H362" s="5">
        <v>4.3863636363636367</v>
      </c>
      <c r="I362" s="2">
        <v>11</v>
      </c>
      <c r="J362" s="57">
        <f>I362/Pondération!$H$66</f>
        <v>0.12643678160919541</v>
      </c>
      <c r="K362" s="5">
        <v>4.2727272727272725</v>
      </c>
      <c r="L362" s="5">
        <f t="shared" si="18"/>
        <v>0.54022988505747127</v>
      </c>
      <c r="M362" s="5">
        <v>4.5454545454545459</v>
      </c>
      <c r="N362" s="5">
        <f t="shared" si="19"/>
        <v>0.57471264367816099</v>
      </c>
      <c r="O362" s="5">
        <v>4.4545454545454541</v>
      </c>
      <c r="P362" s="15">
        <f t="shared" si="20"/>
        <v>0.56321839080459768</v>
      </c>
    </row>
    <row r="363" spans="1:16" x14ac:dyDescent="0.25">
      <c r="A363" s="2" t="s">
        <v>47</v>
      </c>
      <c r="B363" s="2">
        <v>2015</v>
      </c>
      <c r="C363" s="2" t="s">
        <v>16</v>
      </c>
      <c r="D363" s="2" t="s">
        <v>38</v>
      </c>
      <c r="E363" s="2" t="s">
        <v>9</v>
      </c>
      <c r="F363" s="2" t="s">
        <v>48</v>
      </c>
      <c r="G363" s="2">
        <f t="shared" si="17"/>
        <v>0.21839080459770116</v>
      </c>
      <c r="H363" s="5">
        <v>4.75</v>
      </c>
      <c r="I363" s="2">
        <v>4</v>
      </c>
      <c r="J363" s="57">
        <f>I363/Pondération!$H$66</f>
        <v>4.5977011494252873E-2</v>
      </c>
      <c r="K363" s="5">
        <v>4.5</v>
      </c>
      <c r="L363" s="5">
        <f t="shared" si="18"/>
        <v>0.20689655172413793</v>
      </c>
      <c r="M363" s="5">
        <v>5</v>
      </c>
      <c r="N363" s="5">
        <f t="shared" si="19"/>
        <v>0.22988505747126436</v>
      </c>
      <c r="O363" s="5">
        <v>5</v>
      </c>
      <c r="P363" s="15">
        <f t="shared" si="20"/>
        <v>0.22988505747126436</v>
      </c>
    </row>
    <row r="364" spans="1:16" x14ac:dyDescent="0.25">
      <c r="A364" s="2" t="s">
        <v>47</v>
      </c>
      <c r="B364" s="2">
        <v>2015</v>
      </c>
      <c r="C364" s="2" t="s">
        <v>17</v>
      </c>
      <c r="D364" s="2" t="s">
        <v>38</v>
      </c>
      <c r="E364" s="2" t="s">
        <v>9</v>
      </c>
      <c r="F364" s="2" t="s">
        <v>48</v>
      </c>
      <c r="G364" s="2">
        <f t="shared" si="17"/>
        <v>0.10919540229885058</v>
      </c>
      <c r="H364" s="5">
        <v>4.75</v>
      </c>
      <c r="I364" s="2">
        <v>2</v>
      </c>
      <c r="J364" s="57">
        <f>I364/Pondération!$H$66</f>
        <v>2.2988505747126436E-2</v>
      </c>
      <c r="K364" s="5">
        <v>4.5</v>
      </c>
      <c r="L364" s="5">
        <f t="shared" si="18"/>
        <v>0.10344827586206896</v>
      </c>
      <c r="M364" s="5">
        <v>5</v>
      </c>
      <c r="N364" s="5">
        <f t="shared" si="19"/>
        <v>0.11494252873563218</v>
      </c>
      <c r="O364" s="5">
        <v>5</v>
      </c>
      <c r="P364" s="15">
        <f t="shared" si="20"/>
        <v>0.11494252873563218</v>
      </c>
    </row>
    <row r="365" spans="1:16" x14ac:dyDescent="0.25">
      <c r="A365" s="2" t="s">
        <v>47</v>
      </c>
      <c r="B365" s="2">
        <v>2016</v>
      </c>
      <c r="C365" s="2" t="s">
        <v>18</v>
      </c>
      <c r="D365" s="2" t="s">
        <v>38</v>
      </c>
      <c r="E365" s="2" t="s">
        <v>9</v>
      </c>
      <c r="F365" s="2" t="s">
        <v>48</v>
      </c>
      <c r="G365" s="2">
        <f t="shared" si="17"/>
        <v>6.3953488372093026E-2</v>
      </c>
      <c r="H365" s="5">
        <v>4.125</v>
      </c>
      <c r="I365" s="2">
        <v>2</v>
      </c>
      <c r="J365" s="57">
        <f>I365/Pondération!$G$66</f>
        <v>1.5503875968992248E-2</v>
      </c>
      <c r="K365" s="5">
        <v>4</v>
      </c>
      <c r="L365" s="5">
        <f t="shared" si="18"/>
        <v>6.2015503875968991E-2</v>
      </c>
      <c r="M365" s="5">
        <v>4.5</v>
      </c>
      <c r="N365" s="5">
        <f t="shared" si="19"/>
        <v>6.9767441860465115E-2</v>
      </c>
      <c r="O365" s="5">
        <v>4</v>
      </c>
      <c r="P365" s="15">
        <f t="shared" si="20"/>
        <v>6.2015503875968991E-2</v>
      </c>
    </row>
    <row r="366" spans="1:16" x14ac:dyDescent="0.25">
      <c r="A366" s="2" t="s">
        <v>47</v>
      </c>
      <c r="B366" s="2">
        <v>2016</v>
      </c>
      <c r="C366" s="2" t="s">
        <v>19</v>
      </c>
      <c r="D366" s="2" t="s">
        <v>38</v>
      </c>
      <c r="E366" s="2" t="s">
        <v>9</v>
      </c>
      <c r="F366" s="2" t="s">
        <v>48</v>
      </c>
      <c r="G366" s="2">
        <f t="shared" si="17"/>
        <v>0.25193798449612403</v>
      </c>
      <c r="H366" s="5">
        <v>4.6428571428571432</v>
      </c>
      <c r="I366" s="2">
        <v>7</v>
      </c>
      <c r="J366" s="57">
        <f>I366/Pondération!$G$66</f>
        <v>5.4263565891472867E-2</v>
      </c>
      <c r="K366" s="5">
        <v>4.5714285714285712</v>
      </c>
      <c r="L366" s="5">
        <f t="shared" si="18"/>
        <v>0.24806201550387597</v>
      </c>
      <c r="M366" s="5">
        <v>4.8571428571428568</v>
      </c>
      <c r="N366" s="5">
        <f t="shared" si="19"/>
        <v>0.26356589147286819</v>
      </c>
      <c r="O366" s="5">
        <v>4.5714285714285712</v>
      </c>
      <c r="P366" s="15">
        <f t="shared" si="20"/>
        <v>0.24806201550387597</v>
      </c>
    </row>
    <row r="367" spans="1:16" x14ac:dyDescent="0.25">
      <c r="A367" s="2" t="s">
        <v>47</v>
      </c>
      <c r="B367" s="2">
        <v>2016</v>
      </c>
      <c r="C367" s="2" t="s">
        <v>21</v>
      </c>
      <c r="D367" s="2" t="s">
        <v>38</v>
      </c>
      <c r="E367" s="2" t="s">
        <v>9</v>
      </c>
      <c r="F367" s="2" t="s">
        <v>48</v>
      </c>
      <c r="G367" s="2">
        <f t="shared" si="17"/>
        <v>0.18217054263565891</v>
      </c>
      <c r="H367" s="5">
        <v>3.9166666666666665</v>
      </c>
      <c r="I367" s="2">
        <v>6</v>
      </c>
      <c r="J367" s="57">
        <f>I367/Pondération!$G$66</f>
        <v>4.6511627906976744E-2</v>
      </c>
      <c r="K367" s="5">
        <v>3.6666666666666665</v>
      </c>
      <c r="L367" s="5">
        <f t="shared" si="18"/>
        <v>0.17054263565891473</v>
      </c>
      <c r="M367" s="5">
        <v>4.333333333333333</v>
      </c>
      <c r="N367" s="5">
        <f t="shared" si="19"/>
        <v>0.20155038759689922</v>
      </c>
      <c r="O367" s="5">
        <v>4</v>
      </c>
      <c r="P367" s="15">
        <f t="shared" si="20"/>
        <v>0.18604651162790697</v>
      </c>
    </row>
    <row r="368" spans="1:16" x14ac:dyDescent="0.25">
      <c r="A368" s="2" t="s">
        <v>47</v>
      </c>
      <c r="B368" s="2">
        <v>2016</v>
      </c>
      <c r="C368" s="2" t="s">
        <v>22</v>
      </c>
      <c r="D368" s="2" t="s">
        <v>38</v>
      </c>
      <c r="E368" s="2" t="s">
        <v>9</v>
      </c>
      <c r="F368" s="2" t="s">
        <v>48</v>
      </c>
      <c r="G368" s="2">
        <f t="shared" si="17"/>
        <v>0.33333333333333331</v>
      </c>
      <c r="H368" s="5">
        <v>4.7777777777777777</v>
      </c>
      <c r="I368" s="2">
        <v>9</v>
      </c>
      <c r="J368" s="57">
        <f>I368/Pondération!$G$66</f>
        <v>6.9767441860465115E-2</v>
      </c>
      <c r="K368" s="5">
        <v>4.5555555555555554</v>
      </c>
      <c r="L368" s="5">
        <f t="shared" si="18"/>
        <v>0.31782945736434109</v>
      </c>
      <c r="M368" s="5">
        <v>5</v>
      </c>
      <c r="N368" s="5">
        <f t="shared" si="19"/>
        <v>0.34883720930232559</v>
      </c>
      <c r="O368" s="5">
        <v>5</v>
      </c>
      <c r="P368" s="15">
        <f t="shared" si="20"/>
        <v>0.34883720930232559</v>
      </c>
    </row>
    <row r="369" spans="1:16" x14ac:dyDescent="0.25">
      <c r="A369" s="2" t="s">
        <v>47</v>
      </c>
      <c r="B369" s="2">
        <v>2016</v>
      </c>
      <c r="C369" s="2" t="s">
        <v>23</v>
      </c>
      <c r="D369" s="2" t="s">
        <v>38</v>
      </c>
      <c r="E369" s="2" t="s">
        <v>9</v>
      </c>
      <c r="F369" s="2" t="s">
        <v>48</v>
      </c>
      <c r="G369" s="2">
        <f t="shared" si="17"/>
        <v>0.37984496124031003</v>
      </c>
      <c r="H369" s="5">
        <v>4.4545454545454541</v>
      </c>
      <c r="I369" s="2">
        <v>11</v>
      </c>
      <c r="J369" s="57">
        <f>I369/Pondération!$G$66</f>
        <v>8.5271317829457363E-2</v>
      </c>
      <c r="K369" s="5">
        <v>4.2727272727272725</v>
      </c>
      <c r="L369" s="5">
        <f t="shared" si="18"/>
        <v>0.36434108527131781</v>
      </c>
      <c r="M369" s="5">
        <v>4.8181818181818183</v>
      </c>
      <c r="N369" s="5">
        <f t="shared" si="19"/>
        <v>0.41085271317829458</v>
      </c>
      <c r="O369" s="5">
        <v>4.4545454545454541</v>
      </c>
      <c r="P369" s="15">
        <f t="shared" si="20"/>
        <v>0.37984496124031003</v>
      </c>
    </row>
    <row r="370" spans="1:16" x14ac:dyDescent="0.25">
      <c r="A370" s="2" t="s">
        <v>47</v>
      </c>
      <c r="B370" s="2">
        <v>2016</v>
      </c>
      <c r="C370" s="2" t="s">
        <v>24</v>
      </c>
      <c r="D370" s="2" t="s">
        <v>38</v>
      </c>
      <c r="E370" s="2" t="s">
        <v>9</v>
      </c>
      <c r="F370" s="2" t="s">
        <v>48</v>
      </c>
      <c r="G370" s="2">
        <f t="shared" si="17"/>
        <v>0.77131782945736438</v>
      </c>
      <c r="H370" s="5">
        <v>4.3260869565217392</v>
      </c>
      <c r="I370" s="2">
        <v>23</v>
      </c>
      <c r="J370" s="57">
        <f>I370/Pondération!$G$66</f>
        <v>0.17829457364341086</v>
      </c>
      <c r="K370" s="5">
        <v>4.3043478260869561</v>
      </c>
      <c r="L370" s="5">
        <f t="shared" si="18"/>
        <v>0.7674418604651162</v>
      </c>
      <c r="M370" s="5">
        <v>4.3913043478260869</v>
      </c>
      <c r="N370" s="5">
        <f t="shared" si="19"/>
        <v>0.78294573643410859</v>
      </c>
      <c r="O370" s="5">
        <v>4.3043478260869561</v>
      </c>
      <c r="P370" s="15">
        <f t="shared" si="20"/>
        <v>0.7674418604651162</v>
      </c>
    </row>
    <row r="371" spans="1:16" x14ac:dyDescent="0.25">
      <c r="A371" s="2" t="s">
        <v>47</v>
      </c>
      <c r="B371" s="2">
        <v>2016</v>
      </c>
      <c r="C371" s="2" t="s">
        <v>25</v>
      </c>
      <c r="D371" s="2" t="s">
        <v>38</v>
      </c>
      <c r="E371" s="2" t="s">
        <v>9</v>
      </c>
      <c r="F371" s="2" t="s">
        <v>48</v>
      </c>
      <c r="G371" s="2">
        <f t="shared" si="17"/>
        <v>1.0813953488372094</v>
      </c>
      <c r="H371" s="5">
        <v>4.2272727272727275</v>
      </c>
      <c r="I371" s="2">
        <v>33</v>
      </c>
      <c r="J371" s="57">
        <f>I371/Pondération!$G$66</f>
        <v>0.2558139534883721</v>
      </c>
      <c r="K371" s="5">
        <v>4.1515151515151514</v>
      </c>
      <c r="L371" s="5">
        <f t="shared" si="18"/>
        <v>1.0620155038759691</v>
      </c>
      <c r="M371" s="5">
        <v>4.1212121212121211</v>
      </c>
      <c r="N371" s="5">
        <f t="shared" si="19"/>
        <v>1.054263565891473</v>
      </c>
      <c r="O371" s="5">
        <v>4.4848484848484844</v>
      </c>
      <c r="P371" s="15">
        <f t="shared" si="20"/>
        <v>1.1472868217054264</v>
      </c>
    </row>
    <row r="372" spans="1:16" x14ac:dyDescent="0.25">
      <c r="A372" s="2" t="s">
        <v>47</v>
      </c>
      <c r="B372" s="2">
        <v>2016</v>
      </c>
      <c r="C372" s="2" t="s">
        <v>26</v>
      </c>
      <c r="D372" s="2" t="s">
        <v>38</v>
      </c>
      <c r="E372" s="2" t="s">
        <v>9</v>
      </c>
      <c r="F372" s="2" t="s">
        <v>48</v>
      </c>
      <c r="G372" s="2">
        <f t="shared" si="17"/>
        <v>0.75775193798449614</v>
      </c>
      <c r="H372" s="5">
        <v>4.4431818181818183</v>
      </c>
      <c r="I372" s="2">
        <v>22</v>
      </c>
      <c r="J372" s="57">
        <f>I372/Pondération!$G$66</f>
        <v>0.17054263565891473</v>
      </c>
      <c r="K372" s="5">
        <v>4.4545454545454541</v>
      </c>
      <c r="L372" s="5">
        <f t="shared" si="18"/>
        <v>0.75968992248062006</v>
      </c>
      <c r="M372" s="5">
        <v>4.5909090909090908</v>
      </c>
      <c r="N372" s="5">
        <f t="shared" si="19"/>
        <v>0.78294573643410847</v>
      </c>
      <c r="O372" s="5">
        <v>4.2727272727272725</v>
      </c>
      <c r="P372" s="15">
        <f t="shared" si="20"/>
        <v>0.72868217054263562</v>
      </c>
    </row>
    <row r="373" spans="1:16" x14ac:dyDescent="0.25">
      <c r="A373" s="2" t="s">
        <v>47</v>
      </c>
      <c r="B373" s="2">
        <v>2016</v>
      </c>
      <c r="C373" s="2" t="s">
        <v>27</v>
      </c>
      <c r="D373" s="2" t="s">
        <v>38</v>
      </c>
      <c r="E373" s="2" t="s">
        <v>9</v>
      </c>
      <c r="F373" s="2" t="s">
        <v>48</v>
      </c>
      <c r="G373" s="2">
        <f t="shared" si="17"/>
        <v>0.22480620155038758</v>
      </c>
      <c r="H373" s="5">
        <v>4.833333333333333</v>
      </c>
      <c r="I373" s="2">
        <v>6</v>
      </c>
      <c r="J373" s="57">
        <f>I373/Pondération!$G$66</f>
        <v>4.6511627906976744E-2</v>
      </c>
      <c r="K373" s="5">
        <v>4.833333333333333</v>
      </c>
      <c r="L373" s="5">
        <f t="shared" si="18"/>
        <v>0.22480620155038758</v>
      </c>
      <c r="M373" s="5">
        <v>5</v>
      </c>
      <c r="N373" s="5">
        <f t="shared" si="19"/>
        <v>0.23255813953488372</v>
      </c>
      <c r="O373" s="5">
        <v>4.666666666666667</v>
      </c>
      <c r="P373" s="15">
        <f t="shared" si="20"/>
        <v>0.21705426356589147</v>
      </c>
    </row>
    <row r="374" spans="1:16" x14ac:dyDescent="0.25">
      <c r="A374" s="2" t="s">
        <v>47</v>
      </c>
      <c r="B374" s="2">
        <v>2016</v>
      </c>
      <c r="C374" s="2" t="s">
        <v>28</v>
      </c>
      <c r="D374" s="2" t="s">
        <v>38</v>
      </c>
      <c r="E374" s="2" t="s">
        <v>9</v>
      </c>
      <c r="F374" s="2" t="s">
        <v>48</v>
      </c>
      <c r="G374" s="2">
        <f t="shared" si="17"/>
        <v>0.10465116279069767</v>
      </c>
      <c r="H374" s="5">
        <v>4.5</v>
      </c>
      <c r="I374" s="2">
        <v>3</v>
      </c>
      <c r="J374" s="57">
        <f>I374/Pondération!$G$66</f>
        <v>2.3255813953488372E-2</v>
      </c>
      <c r="K374" s="5">
        <v>4.333333333333333</v>
      </c>
      <c r="L374" s="5">
        <f t="shared" si="18"/>
        <v>0.10077519379844961</v>
      </c>
      <c r="M374" s="5">
        <v>4.666666666666667</v>
      </c>
      <c r="N374" s="5">
        <f t="shared" si="19"/>
        <v>0.10852713178294573</v>
      </c>
      <c r="O374" s="5">
        <v>4.666666666666667</v>
      </c>
      <c r="P374" s="15">
        <f t="shared" si="20"/>
        <v>0.10852713178294573</v>
      </c>
    </row>
    <row r="375" spans="1:16" x14ac:dyDescent="0.25">
      <c r="A375" s="2" t="s">
        <v>47</v>
      </c>
      <c r="B375" s="2">
        <v>2016</v>
      </c>
      <c r="C375" s="2" t="s">
        <v>29</v>
      </c>
      <c r="D375" s="2" t="s">
        <v>38</v>
      </c>
      <c r="E375" s="2" t="s">
        <v>9</v>
      </c>
      <c r="F375" s="2" t="s">
        <v>48</v>
      </c>
      <c r="G375" s="2">
        <f t="shared" si="17"/>
        <v>0.26162790697674415</v>
      </c>
      <c r="H375" s="5">
        <v>4.8214285714285712</v>
      </c>
      <c r="I375" s="2">
        <v>7</v>
      </c>
      <c r="J375" s="57">
        <f>I375/Pondération!$G$66</f>
        <v>5.4263565891472867E-2</v>
      </c>
      <c r="K375" s="5">
        <v>4.7142857142857144</v>
      </c>
      <c r="L375" s="5">
        <f t="shared" si="18"/>
        <v>0.2558139534883721</v>
      </c>
      <c r="M375" s="5">
        <v>4.8571428571428568</v>
      </c>
      <c r="N375" s="5">
        <f t="shared" si="19"/>
        <v>0.26356589147286819</v>
      </c>
      <c r="O375" s="5">
        <v>5</v>
      </c>
      <c r="P375" s="15">
        <f t="shared" si="20"/>
        <v>0.27131782945736432</v>
      </c>
    </row>
    <row r="376" spans="1:16" x14ac:dyDescent="0.25">
      <c r="A376" s="2" t="s">
        <v>47</v>
      </c>
      <c r="B376" s="2">
        <v>2017</v>
      </c>
      <c r="C376" s="2" t="s">
        <v>30</v>
      </c>
      <c r="D376" s="2" t="s">
        <v>38</v>
      </c>
      <c r="E376" s="2" t="s">
        <v>9</v>
      </c>
      <c r="F376" s="2" t="s">
        <v>48</v>
      </c>
      <c r="G376" s="2">
        <f t="shared" si="17"/>
        <v>0.60897435897435892</v>
      </c>
      <c r="H376" s="5">
        <v>4.75</v>
      </c>
      <c r="I376" s="2">
        <v>5</v>
      </c>
      <c r="J376" s="57">
        <f>I376/Pondération!$F$66</f>
        <v>0.12820512820512819</v>
      </c>
      <c r="K376" s="5">
        <v>4.8</v>
      </c>
      <c r="L376" s="5">
        <f t="shared" si="18"/>
        <v>0.61538461538461531</v>
      </c>
      <c r="M376" s="5">
        <v>4.8</v>
      </c>
      <c r="N376" s="5">
        <f t="shared" si="19"/>
        <v>0.61538461538461531</v>
      </c>
      <c r="O376" s="5">
        <v>4.5999999999999996</v>
      </c>
      <c r="P376" s="15">
        <f t="shared" si="20"/>
        <v>0.58974358974358965</v>
      </c>
    </row>
    <row r="377" spans="1:16" x14ac:dyDescent="0.25">
      <c r="A377" s="2" t="s">
        <v>47</v>
      </c>
      <c r="B377" s="2">
        <v>2017</v>
      </c>
      <c r="C377" s="2" t="s">
        <v>31</v>
      </c>
      <c r="D377" s="2" t="s">
        <v>38</v>
      </c>
      <c r="E377" s="2" t="s">
        <v>9</v>
      </c>
      <c r="F377" s="2" t="s">
        <v>48</v>
      </c>
      <c r="G377" s="2">
        <f t="shared" si="17"/>
        <v>0.79487179487179493</v>
      </c>
      <c r="H377" s="5">
        <v>4.4285714285714288</v>
      </c>
      <c r="I377" s="2">
        <v>7</v>
      </c>
      <c r="J377" s="57">
        <f>I377/Pondération!$F$66</f>
        <v>0.17948717948717949</v>
      </c>
      <c r="K377" s="5">
        <v>4.5714285714285712</v>
      </c>
      <c r="L377" s="5">
        <f t="shared" si="18"/>
        <v>0.82051282051282048</v>
      </c>
      <c r="M377" s="5">
        <v>4.1428571428571432</v>
      </c>
      <c r="N377" s="5">
        <f t="shared" si="19"/>
        <v>0.74358974358974361</v>
      </c>
      <c r="O377" s="5">
        <v>4.4285714285714288</v>
      </c>
      <c r="P377" s="15">
        <f t="shared" si="20"/>
        <v>0.79487179487179493</v>
      </c>
    </row>
    <row r="378" spans="1:16" x14ac:dyDescent="0.25">
      <c r="A378" s="2" t="s">
        <v>47</v>
      </c>
      <c r="B378" s="2">
        <v>2017</v>
      </c>
      <c r="C378" s="2" t="s">
        <v>32</v>
      </c>
      <c r="D378" s="2" t="s">
        <v>38</v>
      </c>
      <c r="E378" s="2" t="s">
        <v>9</v>
      </c>
      <c r="F378" s="2" t="s">
        <v>48</v>
      </c>
      <c r="G378" s="2">
        <f t="shared" si="17"/>
        <v>0.51282051282051277</v>
      </c>
      <c r="H378" s="5">
        <v>5</v>
      </c>
      <c r="I378" s="2">
        <v>4</v>
      </c>
      <c r="J378" s="57">
        <f>I378/Pondération!$F$66</f>
        <v>0.10256410256410256</v>
      </c>
      <c r="K378" s="5">
        <v>5</v>
      </c>
      <c r="L378" s="5">
        <f t="shared" si="18"/>
        <v>0.51282051282051277</v>
      </c>
      <c r="M378" s="5">
        <v>5</v>
      </c>
      <c r="N378" s="5">
        <f t="shared" si="19"/>
        <v>0.51282051282051277</v>
      </c>
      <c r="O378" s="5">
        <v>5</v>
      </c>
      <c r="P378" s="15">
        <f t="shared" si="20"/>
        <v>0.51282051282051277</v>
      </c>
    </row>
    <row r="379" spans="1:16" x14ac:dyDescent="0.25">
      <c r="A379" s="2" t="s">
        <v>47</v>
      </c>
      <c r="B379" s="2">
        <v>2017</v>
      </c>
      <c r="C379" s="2" t="s">
        <v>33</v>
      </c>
      <c r="D379" s="2" t="s">
        <v>38</v>
      </c>
      <c r="E379" s="2" t="s">
        <v>9</v>
      </c>
      <c r="F379" s="2" t="s">
        <v>48</v>
      </c>
      <c r="G379" s="2">
        <f t="shared" si="17"/>
        <v>2.0641025641025639</v>
      </c>
      <c r="H379" s="5">
        <v>4.2368421052631575</v>
      </c>
      <c r="I379" s="2">
        <v>19</v>
      </c>
      <c r="J379" s="57">
        <f>I379/Pondération!$F$66</f>
        <v>0.48717948717948717</v>
      </c>
      <c r="K379" s="5">
        <v>4</v>
      </c>
      <c r="L379" s="5">
        <f t="shared" si="18"/>
        <v>1.9487179487179487</v>
      </c>
      <c r="M379" s="5">
        <v>4.5263157894736841</v>
      </c>
      <c r="N379" s="5">
        <f t="shared" si="19"/>
        <v>2.2051282051282048</v>
      </c>
      <c r="O379" s="5">
        <v>4.4210526315789478</v>
      </c>
      <c r="P379" s="15">
        <f t="shared" si="20"/>
        <v>2.1538461538461542</v>
      </c>
    </row>
    <row r="380" spans="1:16" x14ac:dyDescent="0.25">
      <c r="A380" s="2" t="s">
        <v>47</v>
      </c>
      <c r="B380" s="2">
        <v>2017</v>
      </c>
      <c r="C380" s="2" t="s">
        <v>34</v>
      </c>
      <c r="D380" s="2" t="s">
        <v>38</v>
      </c>
      <c r="E380" s="2" t="s">
        <v>9</v>
      </c>
      <c r="F380" s="2" t="s">
        <v>48</v>
      </c>
      <c r="G380" s="2">
        <f t="shared" si="17"/>
        <v>0.46153846153846151</v>
      </c>
      <c r="H380" s="5">
        <v>4.5</v>
      </c>
      <c r="I380" s="2">
        <v>4</v>
      </c>
      <c r="J380" s="57">
        <f>I380/Pondération!$F$66</f>
        <v>0.10256410256410256</v>
      </c>
      <c r="K380" s="5">
        <v>4.5</v>
      </c>
      <c r="L380" s="5">
        <f t="shared" si="18"/>
        <v>0.46153846153846151</v>
      </c>
      <c r="M380" s="5">
        <v>4.75</v>
      </c>
      <c r="N380" s="5">
        <f t="shared" si="19"/>
        <v>0.48717948717948717</v>
      </c>
      <c r="O380" s="5">
        <v>4.25</v>
      </c>
      <c r="P380" s="15">
        <f t="shared" si="20"/>
        <v>0.4358974358974359</v>
      </c>
    </row>
    <row r="381" spans="1:16" x14ac:dyDescent="0.25">
      <c r="A381" s="2" t="s">
        <v>6</v>
      </c>
      <c r="B381" s="2">
        <v>2015</v>
      </c>
      <c r="C381" s="2" t="s">
        <v>7</v>
      </c>
      <c r="D381" s="2" t="s">
        <v>39</v>
      </c>
      <c r="E381" s="2" t="s">
        <v>9</v>
      </c>
      <c r="F381" s="2" t="s">
        <v>10</v>
      </c>
      <c r="G381" s="2">
        <f t="shared" si="17"/>
        <v>0.15235910878112688</v>
      </c>
      <c r="H381" s="5">
        <v>3.8749999999999933</v>
      </c>
      <c r="I381" s="2">
        <v>150</v>
      </c>
      <c r="J381" s="57">
        <f>I381/Pondération!$H$78</f>
        <v>3.9318479685452164E-2</v>
      </c>
      <c r="K381" s="2"/>
      <c r="L381" s="2"/>
      <c r="M381" s="2"/>
      <c r="N381" s="2"/>
      <c r="O381" s="2"/>
      <c r="P381"/>
    </row>
    <row r="382" spans="1:16" x14ac:dyDescent="0.25">
      <c r="A382" s="2" t="s">
        <v>6</v>
      </c>
      <c r="B382" s="2">
        <v>2015</v>
      </c>
      <c r="C382" s="2" t="s">
        <v>11</v>
      </c>
      <c r="D382" s="2" t="s">
        <v>39</v>
      </c>
      <c r="E382" s="2" t="s">
        <v>9</v>
      </c>
      <c r="F382" s="2" t="s">
        <v>10</v>
      </c>
      <c r="G382" s="2">
        <f t="shared" si="17"/>
        <v>0.35545216251638001</v>
      </c>
      <c r="H382" s="5">
        <v>4.0001474926253389</v>
      </c>
      <c r="I382" s="2">
        <v>339</v>
      </c>
      <c r="J382" s="57">
        <f>I382/Pondération!$H$78</f>
        <v>8.8859764089121884E-2</v>
      </c>
      <c r="K382" s="2"/>
      <c r="L382" s="2"/>
      <c r="M382" s="2"/>
      <c r="N382" s="2"/>
      <c r="O382" s="2"/>
      <c r="P382"/>
    </row>
    <row r="383" spans="1:16" x14ac:dyDescent="0.25">
      <c r="A383" s="2" t="s">
        <v>6</v>
      </c>
      <c r="B383" s="2">
        <v>2015</v>
      </c>
      <c r="C383" s="2" t="s">
        <v>12</v>
      </c>
      <c r="D383" s="2" t="s">
        <v>39</v>
      </c>
      <c r="E383" s="2" t="s">
        <v>9</v>
      </c>
      <c r="F383" s="2" t="s">
        <v>10</v>
      </c>
      <c r="G383" s="2">
        <f t="shared" si="17"/>
        <v>0.37153342070773004</v>
      </c>
      <c r="H383" s="5">
        <v>3.9814606741572756</v>
      </c>
      <c r="I383" s="2">
        <v>356</v>
      </c>
      <c r="J383" s="57">
        <f>I383/Pondération!$H$78</f>
        <v>9.3315858453473136E-2</v>
      </c>
      <c r="K383" s="2"/>
      <c r="L383" s="2"/>
      <c r="M383" s="2"/>
      <c r="N383" s="2"/>
      <c r="O383" s="2"/>
      <c r="P383"/>
    </row>
    <row r="384" spans="1:16" x14ac:dyDescent="0.25">
      <c r="A384" s="2" t="s">
        <v>6</v>
      </c>
      <c r="B384" s="2">
        <v>2015</v>
      </c>
      <c r="C384" s="2" t="s">
        <v>13</v>
      </c>
      <c r="D384" s="2" t="s">
        <v>39</v>
      </c>
      <c r="E384" s="2" t="s">
        <v>9</v>
      </c>
      <c r="F384" s="2" t="s">
        <v>10</v>
      </c>
      <c r="G384" s="2">
        <f t="shared" si="17"/>
        <v>0.48922673656618609</v>
      </c>
      <c r="H384" s="5">
        <v>3.971063829787234</v>
      </c>
      <c r="I384" s="2">
        <v>470</v>
      </c>
      <c r="J384" s="57">
        <f>I384/Pondération!$H$78</f>
        <v>0.12319790301441677</v>
      </c>
      <c r="K384" s="2"/>
      <c r="L384" s="2"/>
      <c r="M384" s="2"/>
      <c r="N384" s="2"/>
      <c r="O384" s="2"/>
      <c r="P384"/>
    </row>
    <row r="385" spans="1:15" customFormat="1" x14ac:dyDescent="0.25">
      <c r="A385" s="2" t="s">
        <v>6</v>
      </c>
      <c r="B385" s="2">
        <v>2015</v>
      </c>
      <c r="C385" s="2" t="s">
        <v>14</v>
      </c>
      <c r="D385" s="2" t="s">
        <v>39</v>
      </c>
      <c r="E385" s="2" t="s">
        <v>9</v>
      </c>
      <c r="F385" s="2" t="s">
        <v>10</v>
      </c>
      <c r="G385" s="2">
        <f t="shared" si="17"/>
        <v>0.44998689384010482</v>
      </c>
      <c r="H385" s="5">
        <v>3.9373853211009173</v>
      </c>
      <c r="I385" s="2">
        <v>436</v>
      </c>
      <c r="J385" s="57">
        <f>I385/Pondération!$H$78</f>
        <v>0.11428571428571428</v>
      </c>
      <c r="K385" s="2"/>
      <c r="L385" s="2"/>
      <c r="M385" s="2"/>
      <c r="N385" s="2"/>
      <c r="O385" s="2"/>
    </row>
    <row r="386" spans="1:15" customFormat="1" x14ac:dyDescent="0.25">
      <c r="A386" s="2" t="s">
        <v>6</v>
      </c>
      <c r="B386" s="2">
        <v>2015</v>
      </c>
      <c r="C386" s="2" t="s">
        <v>15</v>
      </c>
      <c r="D386" s="2" t="s">
        <v>39</v>
      </c>
      <c r="E386" s="2" t="s">
        <v>9</v>
      </c>
      <c r="F386" s="2" t="s">
        <v>10</v>
      </c>
      <c r="G386" s="2">
        <f t="shared" ref="G386:G449" si="21">H386*J386</f>
        <v>0.52836173001310616</v>
      </c>
      <c r="H386" s="5">
        <v>3.9679133858267717</v>
      </c>
      <c r="I386" s="2">
        <v>508</v>
      </c>
      <c r="J386" s="57">
        <f>I386/Pondération!$H$78</f>
        <v>0.13315858453473131</v>
      </c>
      <c r="K386" s="2"/>
      <c r="L386" s="2"/>
      <c r="M386" s="2"/>
      <c r="N386" s="2"/>
      <c r="O386" s="2"/>
    </row>
    <row r="387" spans="1:15" customFormat="1" x14ac:dyDescent="0.25">
      <c r="A387" s="2" t="s">
        <v>6</v>
      </c>
      <c r="B387" s="2">
        <v>2015</v>
      </c>
      <c r="C387" s="2" t="s">
        <v>16</v>
      </c>
      <c r="D387" s="2" t="s">
        <v>39</v>
      </c>
      <c r="E387" s="2" t="s">
        <v>9</v>
      </c>
      <c r="F387" s="2" t="s">
        <v>10</v>
      </c>
      <c r="G387" s="2">
        <f t="shared" si="21"/>
        <v>0.518781127129751</v>
      </c>
      <c r="H387" s="5">
        <v>4.039081632653061</v>
      </c>
      <c r="I387" s="2">
        <v>490</v>
      </c>
      <c r="J387" s="57">
        <f>I387/Pondération!$H$78</f>
        <v>0.12844036697247707</v>
      </c>
      <c r="K387" s="2"/>
      <c r="L387" s="2"/>
      <c r="M387" s="2"/>
      <c r="N387" s="2"/>
      <c r="O387" s="2"/>
    </row>
    <row r="388" spans="1:15" customFormat="1" x14ac:dyDescent="0.25">
      <c r="A388" s="2" t="s">
        <v>6</v>
      </c>
      <c r="B388" s="2">
        <v>2015</v>
      </c>
      <c r="C388" s="2" t="s">
        <v>17</v>
      </c>
      <c r="D388" s="2" t="s">
        <v>39</v>
      </c>
      <c r="E388" s="2" t="s">
        <v>9</v>
      </c>
      <c r="F388" s="2" t="s">
        <v>10</v>
      </c>
      <c r="G388" s="2">
        <f t="shared" si="21"/>
        <v>1.1143250327654022</v>
      </c>
      <c r="H388" s="5">
        <v>3.9879455909943804</v>
      </c>
      <c r="I388" s="2">
        <v>1066</v>
      </c>
      <c r="J388" s="57">
        <f>I388/Pondération!$H$78</f>
        <v>0.27942332896461336</v>
      </c>
      <c r="K388" s="2"/>
      <c r="L388" s="2"/>
      <c r="M388" s="2"/>
      <c r="N388" s="2"/>
      <c r="O388" s="2"/>
    </row>
    <row r="389" spans="1:15" customFormat="1" x14ac:dyDescent="0.25">
      <c r="A389" s="2" t="s">
        <v>6</v>
      </c>
      <c r="B389" s="2">
        <v>2016</v>
      </c>
      <c r="C389" s="2" t="s">
        <v>18</v>
      </c>
      <c r="D389" s="2" t="s">
        <v>39</v>
      </c>
      <c r="E389" s="2" t="s">
        <v>9</v>
      </c>
      <c r="F389" s="2" t="s">
        <v>10</v>
      </c>
      <c r="G389" s="2">
        <f t="shared" si="21"/>
        <v>0.16197013173340288</v>
      </c>
      <c r="H389" s="5">
        <v>4.1052066115702477</v>
      </c>
      <c r="I389" s="2">
        <v>605</v>
      </c>
      <c r="J389" s="57">
        <f>I389/Pondération!$G$78</f>
        <v>3.9454806312769007E-2</v>
      </c>
      <c r="K389" s="2"/>
      <c r="L389" s="2"/>
      <c r="M389" s="2"/>
      <c r="N389" s="2"/>
      <c r="O389" s="2"/>
    </row>
    <row r="390" spans="1:15" customFormat="1" x14ac:dyDescent="0.25">
      <c r="A390" s="2" t="s">
        <v>6</v>
      </c>
      <c r="B390" s="2">
        <v>2016</v>
      </c>
      <c r="C390" s="2" t="s">
        <v>19</v>
      </c>
      <c r="D390" s="2" t="s">
        <v>39</v>
      </c>
      <c r="E390" s="2" t="s">
        <v>9</v>
      </c>
      <c r="F390" s="2" t="s">
        <v>10</v>
      </c>
      <c r="G390" s="2">
        <f t="shared" si="21"/>
        <v>0.1381211686448415</v>
      </c>
      <c r="H390" s="5">
        <v>4.0112689393939389</v>
      </c>
      <c r="I390" s="2">
        <v>528</v>
      </c>
      <c r="J390" s="57">
        <f>I390/Pondération!$G$78</f>
        <v>3.443328550932568E-2</v>
      </c>
      <c r="K390" s="2"/>
      <c r="L390" s="2"/>
      <c r="M390" s="2"/>
      <c r="N390" s="2"/>
      <c r="O390" s="2"/>
    </row>
    <row r="391" spans="1:15" customFormat="1" x14ac:dyDescent="0.25">
      <c r="A391" s="2" t="s">
        <v>6</v>
      </c>
      <c r="B391" s="2">
        <v>2016</v>
      </c>
      <c r="C391" s="2" t="s">
        <v>20</v>
      </c>
      <c r="D391" s="2" t="s">
        <v>39</v>
      </c>
      <c r="E391" s="2" t="s">
        <v>9</v>
      </c>
      <c r="F391" s="2" t="s">
        <v>10</v>
      </c>
      <c r="G391" s="2">
        <f t="shared" si="21"/>
        <v>0.1888124429372636</v>
      </c>
      <c r="H391" s="5">
        <v>4.0380055788005578</v>
      </c>
      <c r="I391" s="2">
        <v>717</v>
      </c>
      <c r="J391" s="57">
        <f>I391/Pondération!$G$78</f>
        <v>4.6758836572322944E-2</v>
      </c>
      <c r="K391" s="2"/>
      <c r="L391" s="2"/>
      <c r="M391" s="2"/>
      <c r="N391" s="2"/>
      <c r="O391" s="2"/>
    </row>
    <row r="392" spans="1:15" customFormat="1" x14ac:dyDescent="0.25">
      <c r="A392" s="2" t="s">
        <v>6</v>
      </c>
      <c r="B392" s="2">
        <v>2016</v>
      </c>
      <c r="C392" s="2" t="s">
        <v>21</v>
      </c>
      <c r="D392" s="2" t="s">
        <v>39</v>
      </c>
      <c r="E392" s="2" t="s">
        <v>9</v>
      </c>
      <c r="F392" s="2" t="s">
        <v>10</v>
      </c>
      <c r="G392" s="2">
        <f t="shared" si="21"/>
        <v>0.21370483892004694</v>
      </c>
      <c r="H392" s="5">
        <v>3.9672518159806294</v>
      </c>
      <c r="I392" s="2">
        <v>826</v>
      </c>
      <c r="J392" s="57">
        <f>I392/Pondération!$G$78</f>
        <v>5.3867223164210248E-2</v>
      </c>
      <c r="K392" s="2"/>
      <c r="L392" s="2"/>
      <c r="M392" s="2"/>
      <c r="N392" s="2"/>
      <c r="O392" s="2"/>
    </row>
    <row r="393" spans="1:15" customFormat="1" x14ac:dyDescent="0.25">
      <c r="A393" s="2" t="s">
        <v>6</v>
      </c>
      <c r="B393" s="2">
        <v>2016</v>
      </c>
      <c r="C393" s="2" t="s">
        <v>22</v>
      </c>
      <c r="D393" s="2" t="s">
        <v>39</v>
      </c>
      <c r="E393" s="2" t="s">
        <v>9</v>
      </c>
      <c r="F393" s="2" t="s">
        <v>10</v>
      </c>
      <c r="G393" s="2">
        <f t="shared" si="21"/>
        <v>0.2711523412025571</v>
      </c>
      <c r="H393" s="5">
        <v>3.9336329233680325</v>
      </c>
      <c r="I393" s="2">
        <v>1057</v>
      </c>
      <c r="J393" s="57">
        <f>I393/Pondération!$G$78</f>
        <v>6.8931785574540244E-2</v>
      </c>
      <c r="K393" s="2"/>
      <c r="L393" s="2"/>
      <c r="M393" s="2"/>
      <c r="N393" s="2"/>
      <c r="O393" s="2"/>
    </row>
    <row r="394" spans="1:15" customFormat="1" x14ac:dyDescent="0.25">
      <c r="A394" s="2" t="s">
        <v>6</v>
      </c>
      <c r="B394" s="2">
        <v>2016</v>
      </c>
      <c r="C394" s="2" t="s">
        <v>23</v>
      </c>
      <c r="D394" s="2" t="s">
        <v>39</v>
      </c>
      <c r="E394" s="2" t="s">
        <v>9</v>
      </c>
      <c r="F394" s="2" t="s">
        <v>10</v>
      </c>
      <c r="G394" s="2">
        <f t="shared" si="21"/>
        <v>0.22170666492761248</v>
      </c>
      <c r="H394" s="5">
        <v>3.89421534937</v>
      </c>
      <c r="I394" s="2">
        <v>873</v>
      </c>
      <c r="J394" s="57">
        <f>I394/Pondération!$G$78</f>
        <v>5.6932307290987347E-2</v>
      </c>
      <c r="K394" s="2"/>
      <c r="L394" s="2"/>
      <c r="M394" s="2"/>
      <c r="N394" s="2"/>
      <c r="O394" s="2"/>
    </row>
    <row r="395" spans="1:15" customFormat="1" x14ac:dyDescent="0.25">
      <c r="A395" s="2" t="s">
        <v>6</v>
      </c>
      <c r="B395" s="2">
        <v>2016</v>
      </c>
      <c r="C395" s="2" t="s">
        <v>24</v>
      </c>
      <c r="D395" s="2" t="s">
        <v>39</v>
      </c>
      <c r="E395" s="2" t="s">
        <v>9</v>
      </c>
      <c r="F395" s="2" t="s">
        <v>10</v>
      </c>
      <c r="G395" s="2">
        <f t="shared" si="21"/>
        <v>0.30499543498108844</v>
      </c>
      <c r="H395" s="5">
        <v>3.8940882597835222</v>
      </c>
      <c r="I395" s="2">
        <v>1201</v>
      </c>
      <c r="J395" s="57">
        <f>I395/Pondération!$G$78</f>
        <v>7.8322681622538151E-2</v>
      </c>
      <c r="K395" s="2"/>
      <c r="L395" s="2"/>
      <c r="M395" s="2"/>
      <c r="N395" s="2"/>
      <c r="O395" s="2"/>
    </row>
    <row r="396" spans="1:15" customFormat="1" x14ac:dyDescent="0.25">
      <c r="A396" s="2" t="s">
        <v>6</v>
      </c>
      <c r="B396" s="2">
        <v>2016</v>
      </c>
      <c r="C396" s="2" t="s">
        <v>25</v>
      </c>
      <c r="D396" s="2" t="s">
        <v>39</v>
      </c>
      <c r="E396" s="2" t="s">
        <v>9</v>
      </c>
      <c r="F396" s="2" t="s">
        <v>10</v>
      </c>
      <c r="G396" s="2">
        <f t="shared" si="21"/>
        <v>0.41904265031955068</v>
      </c>
      <c r="H396" s="5">
        <v>3.9639728562615608</v>
      </c>
      <c r="I396" s="2">
        <v>1621</v>
      </c>
      <c r="J396" s="57">
        <f>I396/Pondération!$G$78</f>
        <v>0.1057127950958654</v>
      </c>
      <c r="K396" s="2"/>
      <c r="L396" s="2"/>
      <c r="M396" s="2"/>
      <c r="N396" s="2"/>
      <c r="O396" s="2"/>
    </row>
    <row r="397" spans="1:15" customFormat="1" x14ac:dyDescent="0.25">
      <c r="A397" s="2" t="s">
        <v>6</v>
      </c>
      <c r="B397" s="2">
        <v>2016</v>
      </c>
      <c r="C397" s="2" t="s">
        <v>26</v>
      </c>
      <c r="D397" s="2" t="s">
        <v>39</v>
      </c>
      <c r="E397" s="2" t="s">
        <v>9</v>
      </c>
      <c r="F397" s="2" t="s">
        <v>10</v>
      </c>
      <c r="G397" s="2">
        <f t="shared" si="21"/>
        <v>0.31179405243250363</v>
      </c>
      <c r="H397" s="5">
        <v>3.9253284072249675</v>
      </c>
      <c r="I397" s="2">
        <v>1218</v>
      </c>
      <c r="J397" s="57">
        <f>I397/Pondération!$G$78</f>
        <v>7.9431329072649021E-2</v>
      </c>
      <c r="K397" s="2"/>
      <c r="L397" s="2"/>
      <c r="M397" s="2"/>
      <c r="N397" s="2"/>
      <c r="O397" s="2"/>
    </row>
    <row r="398" spans="1:15" customFormat="1" x14ac:dyDescent="0.25">
      <c r="A398" s="2" t="s">
        <v>6</v>
      </c>
      <c r="B398" s="2">
        <v>2016</v>
      </c>
      <c r="C398" s="2" t="s">
        <v>27</v>
      </c>
      <c r="D398" s="2" t="s">
        <v>39</v>
      </c>
      <c r="E398" s="2" t="s">
        <v>9</v>
      </c>
      <c r="F398" s="2" t="s">
        <v>10</v>
      </c>
      <c r="G398" s="2">
        <f t="shared" si="21"/>
        <v>0.41262227729229101</v>
      </c>
      <c r="H398" s="5">
        <v>3.8960283251231465</v>
      </c>
      <c r="I398" s="2">
        <v>1624</v>
      </c>
      <c r="J398" s="57">
        <f>I398/Pondération!$G$78</f>
        <v>0.10590843876353202</v>
      </c>
      <c r="K398" s="2"/>
      <c r="L398" s="2"/>
      <c r="M398" s="2"/>
      <c r="N398" s="2"/>
      <c r="O398" s="2"/>
    </row>
    <row r="399" spans="1:15" customFormat="1" x14ac:dyDescent="0.25">
      <c r="A399" s="2" t="s">
        <v>6</v>
      </c>
      <c r="B399" s="2">
        <v>2016</v>
      </c>
      <c r="C399" s="2" t="s">
        <v>28</v>
      </c>
      <c r="D399" s="2" t="s">
        <v>39</v>
      </c>
      <c r="E399" s="2" t="s">
        <v>9</v>
      </c>
      <c r="F399" s="2" t="s">
        <v>10</v>
      </c>
      <c r="G399" s="2">
        <f t="shared" si="21"/>
        <v>0.39257858353984609</v>
      </c>
      <c r="H399" s="5">
        <v>3.9525935653315827</v>
      </c>
      <c r="I399" s="2">
        <v>1523</v>
      </c>
      <c r="J399" s="57">
        <f>I399/Pondération!$G$78</f>
        <v>9.9321768618755704E-2</v>
      </c>
      <c r="K399" s="2"/>
      <c r="L399" s="2"/>
      <c r="M399" s="2"/>
      <c r="N399" s="2"/>
      <c r="O399" s="2"/>
    </row>
    <row r="400" spans="1:15" customFormat="1" x14ac:dyDescent="0.25">
      <c r="A400" s="2" t="s">
        <v>6</v>
      </c>
      <c r="B400" s="2">
        <v>2016</v>
      </c>
      <c r="C400" s="2" t="s">
        <v>29</v>
      </c>
      <c r="D400" s="2" t="s">
        <v>39</v>
      </c>
      <c r="E400" s="2" t="s">
        <v>9</v>
      </c>
      <c r="F400" s="2" t="s">
        <v>10</v>
      </c>
      <c r="G400" s="2">
        <f t="shared" si="21"/>
        <v>0.90450632581190826</v>
      </c>
      <c r="H400" s="5">
        <v>3.9168878847782551</v>
      </c>
      <c r="I400" s="2">
        <v>3541</v>
      </c>
      <c r="J400" s="57">
        <f>I400/Pondération!$G$78</f>
        <v>0.23092474240250424</v>
      </c>
      <c r="K400" s="2"/>
      <c r="L400" s="2"/>
      <c r="M400" s="2"/>
      <c r="N400" s="2"/>
      <c r="O400" s="2"/>
    </row>
    <row r="401" spans="1:16" x14ac:dyDescent="0.25">
      <c r="A401" s="2" t="s">
        <v>6</v>
      </c>
      <c r="B401" s="2">
        <v>2017</v>
      </c>
      <c r="C401" s="2" t="s">
        <v>30</v>
      </c>
      <c r="D401" s="2" t="s">
        <v>39</v>
      </c>
      <c r="E401" s="2" t="s">
        <v>9</v>
      </c>
      <c r="F401" s="2" t="s">
        <v>10</v>
      </c>
      <c r="G401" s="2">
        <f t="shared" si="21"/>
        <v>0.93689013890482964</v>
      </c>
      <c r="H401" s="5">
        <v>4.0203201970443203</v>
      </c>
      <c r="I401" s="2">
        <v>2030</v>
      </c>
      <c r="J401" s="57">
        <f>I401/Pondération!$F$78</f>
        <v>0.23303868671794284</v>
      </c>
      <c r="K401" s="2"/>
      <c r="L401" s="2"/>
      <c r="M401" s="2"/>
      <c r="N401" s="2"/>
      <c r="O401" s="2"/>
      <c r="P401"/>
    </row>
    <row r="402" spans="1:16" x14ac:dyDescent="0.25">
      <c r="A402" s="2" t="s">
        <v>6</v>
      </c>
      <c r="B402" s="2">
        <v>2017</v>
      </c>
      <c r="C402" s="2" t="s">
        <v>31</v>
      </c>
      <c r="D402" s="2" t="s">
        <v>39</v>
      </c>
      <c r="E402" s="2" t="s">
        <v>9</v>
      </c>
      <c r="F402" s="2" t="s">
        <v>10</v>
      </c>
      <c r="G402" s="2">
        <f t="shared" si="21"/>
        <v>0.69663643668924236</v>
      </c>
      <c r="H402" s="5">
        <v>4.0321594684385316</v>
      </c>
      <c r="I402" s="2">
        <v>1505</v>
      </c>
      <c r="J402" s="57">
        <f>I402/Pondération!$F$78</f>
        <v>0.17277006084261279</v>
      </c>
      <c r="K402" s="2"/>
      <c r="L402" s="2"/>
      <c r="M402" s="2"/>
      <c r="N402" s="2"/>
      <c r="O402" s="2"/>
      <c r="P402"/>
    </row>
    <row r="403" spans="1:16" x14ac:dyDescent="0.25">
      <c r="A403" s="2" t="s">
        <v>6</v>
      </c>
      <c r="B403" s="2">
        <v>2017</v>
      </c>
      <c r="C403" s="2" t="s">
        <v>32</v>
      </c>
      <c r="D403" s="2" t="s">
        <v>39</v>
      </c>
      <c r="E403" s="2" t="s">
        <v>9</v>
      </c>
      <c r="F403" s="2" t="s">
        <v>10</v>
      </c>
      <c r="G403" s="2">
        <f t="shared" si="21"/>
        <v>0.73594306049822067</v>
      </c>
      <c r="H403" s="5">
        <v>3.9719950433705082</v>
      </c>
      <c r="I403" s="2">
        <v>1614</v>
      </c>
      <c r="J403" s="57">
        <f>I403/Pondération!$F$78</f>
        <v>0.18528297554815751</v>
      </c>
      <c r="K403" s="2"/>
      <c r="L403" s="2"/>
      <c r="M403" s="2"/>
      <c r="N403" s="2"/>
      <c r="O403" s="2"/>
      <c r="P403"/>
    </row>
    <row r="404" spans="1:16" x14ac:dyDescent="0.25">
      <c r="A404" s="2" t="s">
        <v>6</v>
      </c>
      <c r="B404" s="2">
        <v>2017</v>
      </c>
      <c r="C404" s="2" t="s">
        <v>33</v>
      </c>
      <c r="D404" s="2" t="s">
        <v>39</v>
      </c>
      <c r="E404" s="2" t="s">
        <v>9</v>
      </c>
      <c r="F404" s="2" t="s">
        <v>10</v>
      </c>
      <c r="G404" s="2">
        <f t="shared" si="21"/>
        <v>0.95906325335782006</v>
      </c>
      <c r="H404" s="5">
        <v>3.9388967468175249</v>
      </c>
      <c r="I404" s="2">
        <v>2121</v>
      </c>
      <c r="J404" s="57">
        <f>I404/Pondération!$F$78</f>
        <v>0.24348524853633338</v>
      </c>
      <c r="K404" s="2"/>
      <c r="L404" s="2"/>
      <c r="M404" s="2"/>
      <c r="N404" s="2"/>
      <c r="O404" s="2"/>
      <c r="P404"/>
    </row>
    <row r="405" spans="1:16" x14ac:dyDescent="0.25">
      <c r="A405" s="2" t="s">
        <v>6</v>
      </c>
      <c r="B405" s="2">
        <v>2017</v>
      </c>
      <c r="C405" s="2" t="s">
        <v>34</v>
      </c>
      <c r="D405" s="2" t="s">
        <v>39</v>
      </c>
      <c r="E405" s="2" t="s">
        <v>9</v>
      </c>
      <c r="F405" s="2" t="s">
        <v>10</v>
      </c>
      <c r="G405" s="2">
        <f t="shared" si="21"/>
        <v>0.64845597520376541</v>
      </c>
      <c r="H405" s="5">
        <v>3.9199861207494795</v>
      </c>
      <c r="I405" s="2">
        <v>1441</v>
      </c>
      <c r="J405" s="57">
        <f>I405/Pondération!$F$78</f>
        <v>0.16542302835495351</v>
      </c>
      <c r="K405" s="2"/>
      <c r="L405" s="2"/>
      <c r="M405" s="2"/>
      <c r="N405" s="2"/>
      <c r="O405" s="2"/>
      <c r="P405"/>
    </row>
    <row r="406" spans="1:16" x14ac:dyDescent="0.25">
      <c r="A406" s="2" t="s">
        <v>47</v>
      </c>
      <c r="B406" s="2">
        <v>2013</v>
      </c>
      <c r="C406" s="2" t="s">
        <v>49</v>
      </c>
      <c r="D406" s="2" t="s">
        <v>39</v>
      </c>
      <c r="E406" s="2" t="s">
        <v>9</v>
      </c>
      <c r="F406" s="2" t="s">
        <v>48</v>
      </c>
      <c r="G406" s="2">
        <f t="shared" si="21"/>
        <v>0.34359388774610639</v>
      </c>
      <c r="H406" s="5">
        <v>4.2829670329670328</v>
      </c>
      <c r="I406" s="2">
        <v>273</v>
      </c>
      <c r="J406" s="57">
        <f>I406/Pondération!$J$79</f>
        <v>8.0223332353805465E-2</v>
      </c>
      <c r="K406" s="5">
        <v>4.344322344322344</v>
      </c>
      <c r="L406" s="5">
        <f t="shared" ref="L406:L458" si="22">K406*$J406</f>
        <v>0.34851601528063469</v>
      </c>
      <c r="M406" s="5">
        <v>4.3479853479853476</v>
      </c>
      <c r="N406" s="5">
        <f t="shared" ref="N406:N458" si="23">M406*$J406</f>
        <v>0.34880987364090504</v>
      </c>
      <c r="O406" s="5">
        <v>4.0952380952380949</v>
      </c>
      <c r="P406" s="15">
        <f t="shared" ref="P406:P458" si="24">O406*$J406</f>
        <v>0.32853364678225094</v>
      </c>
    </row>
    <row r="407" spans="1:16" x14ac:dyDescent="0.25">
      <c r="A407" s="2" t="s">
        <v>47</v>
      </c>
      <c r="B407" s="2">
        <v>2013</v>
      </c>
      <c r="C407" s="2" t="s">
        <v>50</v>
      </c>
      <c r="D407" s="2" t="s">
        <v>39</v>
      </c>
      <c r="E407" s="2" t="s">
        <v>9</v>
      </c>
      <c r="F407" s="2" t="s">
        <v>48</v>
      </c>
      <c r="G407" s="2">
        <f t="shared" si="21"/>
        <v>0.36497208345577425</v>
      </c>
      <c r="H407" s="5">
        <v>4.29757785467128</v>
      </c>
      <c r="I407" s="2">
        <v>289</v>
      </c>
      <c r="J407" s="57">
        <f>I407/Pondération!$J$79</f>
        <v>8.4925066118131054E-2</v>
      </c>
      <c r="K407" s="5">
        <v>4.3598615916955019</v>
      </c>
      <c r="L407" s="5">
        <f t="shared" si="22"/>
        <v>0.3702615339406406</v>
      </c>
      <c r="M407" s="5">
        <v>4.3598615916955019</v>
      </c>
      <c r="N407" s="5">
        <f t="shared" si="23"/>
        <v>0.3702615339406406</v>
      </c>
      <c r="O407" s="5">
        <v>4.1107266435986158</v>
      </c>
      <c r="P407" s="15">
        <f t="shared" si="24"/>
        <v>0.34910373200117539</v>
      </c>
    </row>
    <row r="408" spans="1:16" x14ac:dyDescent="0.25">
      <c r="A408" s="2" t="s">
        <v>47</v>
      </c>
      <c r="B408" s="2">
        <v>2013</v>
      </c>
      <c r="C408" s="2" t="s">
        <v>51</v>
      </c>
      <c r="D408" s="2" t="s">
        <v>39</v>
      </c>
      <c r="E408" s="2" t="s">
        <v>9</v>
      </c>
      <c r="F408" s="2" t="s">
        <v>48</v>
      </c>
      <c r="G408" s="2">
        <f t="shared" si="21"/>
        <v>0.30869820746400234</v>
      </c>
      <c r="H408" s="5">
        <v>4.4324894514767932</v>
      </c>
      <c r="I408" s="2">
        <v>237</v>
      </c>
      <c r="J408" s="57">
        <f>I408/Pondération!$J$79</f>
        <v>6.9644431384072877E-2</v>
      </c>
      <c r="K408" s="5">
        <v>4.4894514767932492</v>
      </c>
      <c r="L408" s="5">
        <f t="shared" si="22"/>
        <v>0.31266529532765208</v>
      </c>
      <c r="M408" s="5">
        <v>4.5274261603375532</v>
      </c>
      <c r="N408" s="5">
        <f t="shared" si="23"/>
        <v>0.31531002057008523</v>
      </c>
      <c r="O408" s="5">
        <v>4.2236286919831221</v>
      </c>
      <c r="P408" s="15">
        <f t="shared" si="24"/>
        <v>0.29415221863062002</v>
      </c>
    </row>
    <row r="409" spans="1:16" x14ac:dyDescent="0.25">
      <c r="A409" s="2" t="s">
        <v>47</v>
      </c>
      <c r="B409" s="2">
        <v>2013</v>
      </c>
      <c r="C409" s="2" t="s">
        <v>52</v>
      </c>
      <c r="D409" s="2" t="s">
        <v>39</v>
      </c>
      <c r="E409" s="2" t="s">
        <v>9</v>
      </c>
      <c r="F409" s="2" t="s">
        <v>48</v>
      </c>
      <c r="G409" s="2">
        <f t="shared" si="21"/>
        <v>0.33610049955921245</v>
      </c>
      <c r="H409" s="5">
        <v>4.3821839080459766</v>
      </c>
      <c r="I409" s="2">
        <v>261</v>
      </c>
      <c r="J409" s="57">
        <f>I409/Pondération!$J$79</f>
        <v>7.6697032030561274E-2</v>
      </c>
      <c r="K409" s="5">
        <v>4.4022988505747129</v>
      </c>
      <c r="L409" s="5">
        <f t="shared" si="22"/>
        <v>0.33764325595063183</v>
      </c>
      <c r="M409" s="5">
        <v>4.5287356321839081</v>
      </c>
      <c r="N409" s="5">
        <f t="shared" si="23"/>
        <v>0.34734058183955335</v>
      </c>
      <c r="O409" s="5">
        <v>4.195402298850575</v>
      </c>
      <c r="P409" s="15">
        <f t="shared" si="24"/>
        <v>0.32177490449603297</v>
      </c>
    </row>
    <row r="410" spans="1:16" x14ac:dyDescent="0.25">
      <c r="A410" s="2" t="s">
        <v>47</v>
      </c>
      <c r="B410" s="2">
        <v>2013</v>
      </c>
      <c r="C410" s="2" t="s">
        <v>53</v>
      </c>
      <c r="D410" s="2" t="s">
        <v>39</v>
      </c>
      <c r="E410" s="2" t="s">
        <v>9</v>
      </c>
      <c r="F410" s="2" t="s">
        <v>48</v>
      </c>
      <c r="G410" s="2">
        <f t="shared" si="21"/>
        <v>0.50036732295033792</v>
      </c>
      <c r="H410" s="5">
        <v>4.3885309278350517</v>
      </c>
      <c r="I410" s="2">
        <v>388</v>
      </c>
      <c r="J410" s="57">
        <f>I410/Pondération!$J$79</f>
        <v>0.11401704378489567</v>
      </c>
      <c r="K410" s="5">
        <v>4.4149484536082477</v>
      </c>
      <c r="L410" s="5">
        <f t="shared" si="22"/>
        <v>0.50337937114310904</v>
      </c>
      <c r="M410" s="5">
        <v>4.4510309278350517</v>
      </c>
      <c r="N410" s="5">
        <f t="shared" si="23"/>
        <v>0.50749338818689393</v>
      </c>
      <c r="O410" s="5">
        <v>4.2731958762886597</v>
      </c>
      <c r="P410" s="15">
        <f t="shared" si="24"/>
        <v>0.48721716132823978</v>
      </c>
    </row>
    <row r="411" spans="1:16" x14ac:dyDescent="0.25">
      <c r="A411" s="2" t="s">
        <v>47</v>
      </c>
      <c r="B411" s="2">
        <v>2013</v>
      </c>
      <c r="C411" s="2" t="s">
        <v>54</v>
      </c>
      <c r="D411" s="2" t="s">
        <v>39</v>
      </c>
      <c r="E411" s="2" t="s">
        <v>9</v>
      </c>
      <c r="F411" s="2" t="s">
        <v>48</v>
      </c>
      <c r="G411" s="2">
        <f t="shared" si="21"/>
        <v>0.38186893917131942</v>
      </c>
      <c r="H411" s="5">
        <v>4.3754208754208754</v>
      </c>
      <c r="I411" s="2">
        <v>297</v>
      </c>
      <c r="J411" s="57">
        <f>I411/Pondération!$J$79</f>
        <v>8.7275933000293862E-2</v>
      </c>
      <c r="K411" s="5">
        <v>4.4107744107744109</v>
      </c>
      <c r="L411" s="5">
        <f t="shared" si="22"/>
        <v>0.38495445195415812</v>
      </c>
      <c r="M411" s="5">
        <v>4.4242424242424239</v>
      </c>
      <c r="N411" s="5">
        <f t="shared" si="23"/>
        <v>0.38612988539523946</v>
      </c>
      <c r="O411" s="5">
        <v>4.2558922558922561</v>
      </c>
      <c r="P411" s="15">
        <f t="shared" si="24"/>
        <v>0.37143696738172205</v>
      </c>
    </row>
    <row r="412" spans="1:16" x14ac:dyDescent="0.25">
      <c r="A412" s="2" t="s">
        <v>47</v>
      </c>
      <c r="B412" s="2">
        <v>2013</v>
      </c>
      <c r="C412" s="2" t="s">
        <v>55</v>
      </c>
      <c r="D412" s="2" t="s">
        <v>39</v>
      </c>
      <c r="E412" s="2" t="s">
        <v>9</v>
      </c>
      <c r="F412" s="2" t="s">
        <v>48</v>
      </c>
      <c r="G412" s="2">
        <f t="shared" si="21"/>
        <v>0.32353805465765501</v>
      </c>
      <c r="H412" s="5">
        <v>4.3346456692913389</v>
      </c>
      <c r="I412" s="2">
        <v>254</v>
      </c>
      <c r="J412" s="57">
        <f>I412/Pondération!$J$79</f>
        <v>7.4640023508668815E-2</v>
      </c>
      <c r="K412" s="5">
        <v>4.3897637795275593</v>
      </c>
      <c r="L412" s="5">
        <f t="shared" si="22"/>
        <v>0.3276520717014399</v>
      </c>
      <c r="M412" s="5">
        <v>4.3503937007874018</v>
      </c>
      <c r="N412" s="5">
        <f t="shared" si="23"/>
        <v>0.3247134880987364</v>
      </c>
      <c r="O412" s="5">
        <v>4.2086614173228343</v>
      </c>
      <c r="P412" s="15">
        <f t="shared" si="24"/>
        <v>0.31413458712900377</v>
      </c>
    </row>
    <row r="413" spans="1:16" x14ac:dyDescent="0.25">
      <c r="A413" s="2" t="s">
        <v>47</v>
      </c>
      <c r="B413" s="2">
        <v>2013</v>
      </c>
      <c r="C413" s="2" t="s">
        <v>56</v>
      </c>
      <c r="D413" s="2" t="s">
        <v>39</v>
      </c>
      <c r="E413" s="2" t="s">
        <v>9</v>
      </c>
      <c r="F413" s="2" t="s">
        <v>48</v>
      </c>
      <c r="G413" s="2">
        <f t="shared" si="21"/>
        <v>0.40963855421686751</v>
      </c>
      <c r="H413" s="5">
        <v>4.3024691358024691</v>
      </c>
      <c r="I413" s="2">
        <v>324</v>
      </c>
      <c r="J413" s="57">
        <f>I413/Pondération!$J$79</f>
        <v>9.5210108727593307E-2</v>
      </c>
      <c r="K413" s="5">
        <v>4.3549382716049383</v>
      </c>
      <c r="L413" s="5">
        <f t="shared" si="22"/>
        <v>0.41463414634146345</v>
      </c>
      <c r="M413" s="5">
        <v>4.3271604938271606</v>
      </c>
      <c r="N413" s="5">
        <f t="shared" si="23"/>
        <v>0.41198942109903031</v>
      </c>
      <c r="O413" s="5">
        <v>4.1728395061728394</v>
      </c>
      <c r="P413" s="15">
        <f t="shared" si="24"/>
        <v>0.39729650308551279</v>
      </c>
    </row>
    <row r="414" spans="1:16" x14ac:dyDescent="0.25">
      <c r="A414" s="2" t="s">
        <v>47</v>
      </c>
      <c r="B414" s="2">
        <v>2013</v>
      </c>
      <c r="C414" s="2" t="s">
        <v>57</v>
      </c>
      <c r="D414" s="2" t="s">
        <v>39</v>
      </c>
      <c r="E414" s="2" t="s">
        <v>9</v>
      </c>
      <c r="F414" s="2" t="s">
        <v>48</v>
      </c>
      <c r="G414" s="2">
        <f t="shared" si="21"/>
        <v>0.31935057302380249</v>
      </c>
      <c r="H414" s="5">
        <v>4.3125</v>
      </c>
      <c r="I414" s="2">
        <v>252</v>
      </c>
      <c r="J414" s="57">
        <f>I414/Pondération!$J$79</f>
        <v>7.4052306788128117E-2</v>
      </c>
      <c r="K414" s="5">
        <v>4.3571428571428568</v>
      </c>
      <c r="L414" s="5">
        <f t="shared" si="22"/>
        <v>0.3226564795768439</v>
      </c>
      <c r="M414" s="5">
        <v>4.4325396825396828</v>
      </c>
      <c r="N414" s="5">
        <f t="shared" si="23"/>
        <v>0.32823978842198059</v>
      </c>
      <c r="O414" s="5">
        <v>4.1031746031746028</v>
      </c>
      <c r="P414" s="15">
        <f t="shared" si="24"/>
        <v>0.30384954451954155</v>
      </c>
    </row>
    <row r="415" spans="1:16" x14ac:dyDescent="0.25">
      <c r="A415" s="2" t="s">
        <v>47</v>
      </c>
      <c r="B415" s="2">
        <v>2013</v>
      </c>
      <c r="C415" s="2" t="s">
        <v>58</v>
      </c>
      <c r="D415" s="2" t="s">
        <v>39</v>
      </c>
      <c r="E415" s="2" t="s">
        <v>9</v>
      </c>
      <c r="F415" s="2" t="s">
        <v>48</v>
      </c>
      <c r="G415" s="2">
        <f t="shared" si="21"/>
        <v>0.2844548927416985</v>
      </c>
      <c r="H415" s="5">
        <v>4.5023255813953487</v>
      </c>
      <c r="I415" s="2">
        <v>215</v>
      </c>
      <c r="J415" s="57">
        <f>I415/Pondération!$J$79</f>
        <v>6.3179547458125179E-2</v>
      </c>
      <c r="K415" s="5">
        <v>4.590697674418605</v>
      </c>
      <c r="L415" s="5">
        <f t="shared" si="22"/>
        <v>0.29003820158683513</v>
      </c>
      <c r="M415" s="5">
        <v>4.5488372093023255</v>
      </c>
      <c r="N415" s="5">
        <f t="shared" si="23"/>
        <v>0.28739347634440199</v>
      </c>
      <c r="O415" s="5">
        <v>4.2790697674418601</v>
      </c>
      <c r="P415" s="15">
        <f t="shared" si="24"/>
        <v>0.27034969144872167</v>
      </c>
    </row>
    <row r="416" spans="1:16" x14ac:dyDescent="0.25">
      <c r="A416" s="2" t="s">
        <v>47</v>
      </c>
      <c r="B416" s="2">
        <v>2013</v>
      </c>
      <c r="C416" s="2" t="s">
        <v>59</v>
      </c>
      <c r="D416" s="2" t="s">
        <v>39</v>
      </c>
      <c r="E416" s="2" t="s">
        <v>9</v>
      </c>
      <c r="F416" s="2" t="s">
        <v>48</v>
      </c>
      <c r="G416" s="2">
        <f t="shared" si="21"/>
        <v>0.35035263003232442</v>
      </c>
      <c r="H416" s="5">
        <v>4.4321561338289959</v>
      </c>
      <c r="I416" s="2">
        <v>269</v>
      </c>
      <c r="J416" s="57">
        <f>I416/Pondération!$J$79</f>
        <v>7.9047898912724068E-2</v>
      </c>
      <c r="K416" s="5">
        <v>4.4869888475836435</v>
      </c>
      <c r="L416" s="5">
        <f t="shared" si="22"/>
        <v>0.35468704084631208</v>
      </c>
      <c r="M416" s="5">
        <v>4.5092936802973975</v>
      </c>
      <c r="N416" s="5">
        <f t="shared" si="23"/>
        <v>0.35645019100793418</v>
      </c>
      <c r="O416" s="5">
        <v>4.2453531598513008</v>
      </c>
      <c r="P416" s="15">
        <f t="shared" si="24"/>
        <v>0.33558624742873933</v>
      </c>
    </row>
    <row r="417" spans="1:16" x14ac:dyDescent="0.25">
      <c r="A417" s="2" t="s">
        <v>47</v>
      </c>
      <c r="B417" s="2">
        <v>2013</v>
      </c>
      <c r="C417" s="2" t="s">
        <v>60</v>
      </c>
      <c r="D417" s="2" t="s">
        <v>39</v>
      </c>
      <c r="E417" s="2" t="s">
        <v>9</v>
      </c>
      <c r="F417" s="2" t="s">
        <v>48</v>
      </c>
      <c r="G417" s="2">
        <f t="shared" si="21"/>
        <v>0.43101674992653544</v>
      </c>
      <c r="H417" s="5">
        <v>4.2638081395348841</v>
      </c>
      <c r="I417" s="2">
        <v>344</v>
      </c>
      <c r="J417" s="57">
        <f>I417/Pondération!$J$79</f>
        <v>0.10108727593300029</v>
      </c>
      <c r="K417" s="5">
        <v>4.3517441860465116</v>
      </c>
      <c r="L417" s="5">
        <f t="shared" si="22"/>
        <v>0.43990596532471349</v>
      </c>
      <c r="M417" s="5">
        <v>4.2238372093023253</v>
      </c>
      <c r="N417" s="5">
        <f t="shared" si="23"/>
        <v>0.42697619747281806</v>
      </c>
      <c r="O417" s="5">
        <v>4.1279069767441863</v>
      </c>
      <c r="P417" s="15">
        <f t="shared" si="24"/>
        <v>0.41727887158389659</v>
      </c>
    </row>
    <row r="418" spans="1:16" x14ac:dyDescent="0.25">
      <c r="A418" s="2" t="s">
        <v>47</v>
      </c>
      <c r="B418" s="2">
        <v>2014</v>
      </c>
      <c r="C418" s="2" t="s">
        <v>61</v>
      </c>
      <c r="D418" s="2" t="s">
        <v>39</v>
      </c>
      <c r="E418" s="2" t="s">
        <v>9</v>
      </c>
      <c r="F418" s="2" t="s">
        <v>48</v>
      </c>
      <c r="G418" s="2">
        <f t="shared" si="21"/>
        <v>0.2658042144571886</v>
      </c>
      <c r="H418" s="5">
        <v>4.4288888888888893</v>
      </c>
      <c r="I418" s="2">
        <v>225</v>
      </c>
      <c r="J418" s="57">
        <f>I418/Pondération!$I$79</f>
        <v>6.0016004267804748E-2</v>
      </c>
      <c r="K418" s="5">
        <v>4.4666666666666668</v>
      </c>
      <c r="L418" s="5">
        <f t="shared" si="22"/>
        <v>0.26807148572952788</v>
      </c>
      <c r="M418" s="5">
        <v>4.5244444444444447</v>
      </c>
      <c r="N418" s="5">
        <f t="shared" si="23"/>
        <v>0.2715390770872233</v>
      </c>
      <c r="O418" s="5">
        <v>4.2577777777777781</v>
      </c>
      <c r="P418" s="15">
        <f t="shared" si="24"/>
        <v>0.25553480928247535</v>
      </c>
    </row>
    <row r="419" spans="1:16" x14ac:dyDescent="0.25">
      <c r="A419" s="2" t="s">
        <v>47</v>
      </c>
      <c r="B419" s="2">
        <v>2014</v>
      </c>
      <c r="C419" s="2" t="s">
        <v>62</v>
      </c>
      <c r="D419" s="2" t="s">
        <v>39</v>
      </c>
      <c r="E419" s="2" t="s">
        <v>9</v>
      </c>
      <c r="F419" s="2" t="s">
        <v>48</v>
      </c>
      <c r="G419" s="2">
        <f t="shared" si="21"/>
        <v>0.32288610296078957</v>
      </c>
      <c r="H419" s="5">
        <v>4.4018181818181814</v>
      </c>
      <c r="I419" s="2">
        <v>275</v>
      </c>
      <c r="J419" s="57">
        <f>I419/Pondération!$I$79</f>
        <v>7.3352894105094699E-2</v>
      </c>
      <c r="K419" s="5">
        <v>4.4690909090909088</v>
      </c>
      <c r="L419" s="5">
        <f t="shared" si="22"/>
        <v>0.32782075220058682</v>
      </c>
      <c r="M419" s="5">
        <v>4.4436363636363634</v>
      </c>
      <c r="N419" s="5">
        <f t="shared" si="23"/>
        <v>0.32595358762336624</v>
      </c>
      <c r="O419" s="5">
        <v>4.2254545454545456</v>
      </c>
      <c r="P419" s="15">
        <f t="shared" si="24"/>
        <v>0.30994931981861834</v>
      </c>
    </row>
    <row r="420" spans="1:16" x14ac:dyDescent="0.25">
      <c r="A420" s="2" t="s">
        <v>47</v>
      </c>
      <c r="B420" s="2">
        <v>2014</v>
      </c>
      <c r="C420" s="2" t="s">
        <v>63</v>
      </c>
      <c r="D420" s="2" t="s">
        <v>39</v>
      </c>
      <c r="E420" s="2" t="s">
        <v>9</v>
      </c>
      <c r="F420" s="2" t="s">
        <v>48</v>
      </c>
      <c r="G420" s="2">
        <f t="shared" si="21"/>
        <v>0.28487596692451322</v>
      </c>
      <c r="H420" s="5">
        <v>4.3950617283950617</v>
      </c>
      <c r="I420" s="2">
        <v>243</v>
      </c>
      <c r="J420" s="57">
        <f>I420/Pondération!$I$79</f>
        <v>6.4817284609229128E-2</v>
      </c>
      <c r="K420" s="5">
        <v>4.4320987654320989</v>
      </c>
      <c r="L420" s="5">
        <f t="shared" si="22"/>
        <v>0.2872766070952254</v>
      </c>
      <c r="M420" s="5">
        <v>4.4855967078189298</v>
      </c>
      <c r="N420" s="5">
        <f t="shared" si="23"/>
        <v>0.29074419845292077</v>
      </c>
      <c r="O420" s="5">
        <v>4.2304526748971192</v>
      </c>
      <c r="P420" s="15">
        <f t="shared" si="24"/>
        <v>0.27420645505468122</v>
      </c>
    </row>
    <row r="421" spans="1:16" x14ac:dyDescent="0.25">
      <c r="A421" s="2" t="s">
        <v>47</v>
      </c>
      <c r="B421" s="2">
        <v>2014</v>
      </c>
      <c r="C421" s="2" t="s">
        <v>64</v>
      </c>
      <c r="D421" s="2" t="s">
        <v>39</v>
      </c>
      <c r="E421" s="2" t="s">
        <v>9</v>
      </c>
      <c r="F421" s="2" t="s">
        <v>48</v>
      </c>
      <c r="G421" s="2">
        <f t="shared" si="21"/>
        <v>0.35922912776740462</v>
      </c>
      <c r="H421" s="5">
        <v>4.3443548387096778</v>
      </c>
      <c r="I421" s="2">
        <v>310</v>
      </c>
      <c r="J421" s="57">
        <f>I421/Pondération!$I$79</f>
        <v>8.2688716991197647E-2</v>
      </c>
      <c r="K421" s="5">
        <v>4.370967741935484</v>
      </c>
      <c r="L421" s="5">
        <f t="shared" si="22"/>
        <v>0.36142971459055745</v>
      </c>
      <c r="M421" s="5">
        <v>4.4129032258064518</v>
      </c>
      <c r="N421" s="5">
        <f t="shared" si="23"/>
        <v>0.36489730594825287</v>
      </c>
      <c r="O421" s="5">
        <v>4.2225806451612904</v>
      </c>
      <c r="P421" s="15">
        <f t="shared" si="24"/>
        <v>0.34915977594025072</v>
      </c>
    </row>
    <row r="422" spans="1:16" x14ac:dyDescent="0.25">
      <c r="A422" s="2" t="s">
        <v>47</v>
      </c>
      <c r="B422" s="2">
        <v>2014</v>
      </c>
      <c r="C422" s="2" t="s">
        <v>65</v>
      </c>
      <c r="D422" s="2" t="s">
        <v>39</v>
      </c>
      <c r="E422" s="2" t="s">
        <v>9</v>
      </c>
      <c r="F422" s="2" t="s">
        <v>48</v>
      </c>
      <c r="G422" s="2">
        <f t="shared" si="21"/>
        <v>0.37276607095225389</v>
      </c>
      <c r="H422" s="5">
        <v>4.3808777429467085</v>
      </c>
      <c r="I422" s="2">
        <v>319</v>
      </c>
      <c r="J422" s="57">
        <f>I422/Pondération!$I$79</f>
        <v>8.5089357161909837E-2</v>
      </c>
      <c r="K422" s="5">
        <v>4.4796238244514104</v>
      </c>
      <c r="L422" s="5">
        <f t="shared" si="22"/>
        <v>0.38116831154974656</v>
      </c>
      <c r="M422" s="5">
        <v>4.3542319749216301</v>
      </c>
      <c r="N422" s="5">
        <f t="shared" si="23"/>
        <v>0.37049879967991461</v>
      </c>
      <c r="O422" s="5">
        <v>4.2100313479623823</v>
      </c>
      <c r="P422" s="15">
        <f t="shared" si="24"/>
        <v>0.35822886102960788</v>
      </c>
    </row>
    <row r="423" spans="1:16" x14ac:dyDescent="0.25">
      <c r="A423" s="2" t="s">
        <v>47</v>
      </c>
      <c r="B423" s="2">
        <v>2014</v>
      </c>
      <c r="C423" s="2" t="s">
        <v>66</v>
      </c>
      <c r="D423" s="2" t="s">
        <v>39</v>
      </c>
      <c r="E423" s="2" t="s">
        <v>9</v>
      </c>
      <c r="F423" s="2" t="s">
        <v>48</v>
      </c>
      <c r="G423" s="2">
        <f t="shared" si="21"/>
        <v>0.29887970125366764</v>
      </c>
      <c r="H423" s="5">
        <v>4.4464285714285712</v>
      </c>
      <c r="I423" s="2">
        <v>252</v>
      </c>
      <c r="J423" s="57">
        <f>I423/Pondération!$I$79</f>
        <v>6.7217924779941318E-2</v>
      </c>
      <c r="K423" s="5">
        <v>4.4880952380952381</v>
      </c>
      <c r="L423" s="5">
        <f t="shared" si="22"/>
        <v>0.30168044811949851</v>
      </c>
      <c r="M423" s="5">
        <v>4.4920634920634921</v>
      </c>
      <c r="N423" s="5">
        <f t="shared" si="23"/>
        <v>0.30194718591624431</v>
      </c>
      <c r="O423" s="5">
        <v>4.3174603174603172</v>
      </c>
      <c r="P423" s="15">
        <f t="shared" si="24"/>
        <v>0.29021072285942917</v>
      </c>
    </row>
    <row r="424" spans="1:16" x14ac:dyDescent="0.25">
      <c r="A424" s="2" t="s">
        <v>47</v>
      </c>
      <c r="B424" s="2">
        <v>2014</v>
      </c>
      <c r="C424" s="2" t="s">
        <v>67</v>
      </c>
      <c r="D424" s="2" t="s">
        <v>39</v>
      </c>
      <c r="E424" s="2" t="s">
        <v>9</v>
      </c>
      <c r="F424" s="2" t="s">
        <v>48</v>
      </c>
      <c r="G424" s="2">
        <f t="shared" si="21"/>
        <v>0.36803147506001604</v>
      </c>
      <c r="H424" s="5">
        <v>4.3801587301587306</v>
      </c>
      <c r="I424" s="2">
        <v>315</v>
      </c>
      <c r="J424" s="57">
        <f>I424/Pondération!$I$79</f>
        <v>8.4022405974926648E-2</v>
      </c>
      <c r="K424" s="5">
        <v>4.4698412698412699</v>
      </c>
      <c r="L424" s="5">
        <f t="shared" si="22"/>
        <v>0.37556681781808482</v>
      </c>
      <c r="M424" s="5">
        <v>4.4000000000000004</v>
      </c>
      <c r="N424" s="5">
        <f t="shared" si="23"/>
        <v>0.36969858628967728</v>
      </c>
      <c r="O424" s="5">
        <v>4.1809523809523812</v>
      </c>
      <c r="P424" s="15">
        <f t="shared" si="24"/>
        <v>0.35129367831421715</v>
      </c>
    </row>
    <row r="425" spans="1:16" x14ac:dyDescent="0.25">
      <c r="A425" s="2" t="s">
        <v>47</v>
      </c>
      <c r="B425" s="2">
        <v>2014</v>
      </c>
      <c r="C425" s="2" t="s">
        <v>68</v>
      </c>
      <c r="D425" s="2" t="s">
        <v>39</v>
      </c>
      <c r="E425" s="2" t="s">
        <v>9</v>
      </c>
      <c r="F425" s="2" t="s">
        <v>48</v>
      </c>
      <c r="G425" s="2">
        <f t="shared" si="21"/>
        <v>0.38550280074686583</v>
      </c>
      <c r="H425" s="5">
        <v>4.3663141993957701</v>
      </c>
      <c r="I425" s="2">
        <v>331</v>
      </c>
      <c r="J425" s="57">
        <f>I425/Pondération!$I$79</f>
        <v>8.8290210722859433E-2</v>
      </c>
      <c r="K425" s="5">
        <v>4.4622356495468276</v>
      </c>
      <c r="L425" s="5">
        <f t="shared" si="22"/>
        <v>0.39397172579354495</v>
      </c>
      <c r="M425" s="5">
        <v>4.3172205438066467</v>
      </c>
      <c r="N425" s="5">
        <f t="shared" si="23"/>
        <v>0.38116831154974662</v>
      </c>
      <c r="O425" s="5">
        <v>4.2235649546827796</v>
      </c>
      <c r="P425" s="15">
        <f t="shared" si="24"/>
        <v>0.37289943985062685</v>
      </c>
    </row>
    <row r="426" spans="1:16" x14ac:dyDescent="0.25">
      <c r="A426" s="2" t="s">
        <v>47</v>
      </c>
      <c r="B426" s="2">
        <v>2014</v>
      </c>
      <c r="C426" s="2" t="s">
        <v>69</v>
      </c>
      <c r="D426" s="2" t="s">
        <v>39</v>
      </c>
      <c r="E426" s="2" t="s">
        <v>9</v>
      </c>
      <c r="F426" s="2" t="s">
        <v>48</v>
      </c>
      <c r="G426" s="2">
        <f t="shared" si="21"/>
        <v>0.33268871699119767</v>
      </c>
      <c r="H426" s="5">
        <v>4.4228723404255321</v>
      </c>
      <c r="I426" s="2">
        <v>282</v>
      </c>
      <c r="J426" s="57">
        <f>I426/Pondération!$I$79</f>
        <v>7.522005868231528E-2</v>
      </c>
      <c r="K426" s="5">
        <v>4.4787234042553195</v>
      </c>
      <c r="L426" s="5">
        <f t="shared" si="22"/>
        <v>0.33688983728994398</v>
      </c>
      <c r="M426" s="5">
        <v>4.4361702127659575</v>
      </c>
      <c r="N426" s="5">
        <f t="shared" si="23"/>
        <v>0.33368898372899436</v>
      </c>
      <c r="O426" s="5">
        <v>4.2978723404255321</v>
      </c>
      <c r="P426" s="15">
        <f t="shared" si="24"/>
        <v>0.32328620965590826</v>
      </c>
    </row>
    <row r="427" spans="1:16" x14ac:dyDescent="0.25">
      <c r="A427" s="2" t="s">
        <v>47</v>
      </c>
      <c r="B427" s="2">
        <v>2014</v>
      </c>
      <c r="C427" s="2" t="s">
        <v>70</v>
      </c>
      <c r="D427" s="2" t="s">
        <v>39</v>
      </c>
      <c r="E427" s="2" t="s">
        <v>9</v>
      </c>
      <c r="F427" s="2" t="s">
        <v>48</v>
      </c>
      <c r="G427" s="2">
        <f t="shared" si="21"/>
        <v>0.40497465990930914</v>
      </c>
      <c r="H427" s="5">
        <v>4.3132102272727275</v>
      </c>
      <c r="I427" s="2">
        <v>352</v>
      </c>
      <c r="J427" s="57">
        <f>I427/Pondération!$I$79</f>
        <v>9.3891704454521205E-2</v>
      </c>
      <c r="K427" s="5">
        <v>4.3892045454545459</v>
      </c>
      <c r="L427" s="5">
        <f t="shared" si="22"/>
        <v>0.41210989597225928</v>
      </c>
      <c r="M427" s="5">
        <v>4.3068181818181817</v>
      </c>
      <c r="N427" s="5">
        <f t="shared" si="23"/>
        <v>0.4043744998666311</v>
      </c>
      <c r="O427" s="5">
        <v>4.1676136363636367</v>
      </c>
      <c r="P427" s="15">
        <f t="shared" si="24"/>
        <v>0.39130434782608697</v>
      </c>
    </row>
    <row r="428" spans="1:16" x14ac:dyDescent="0.25">
      <c r="A428" s="2" t="s">
        <v>47</v>
      </c>
      <c r="B428" s="2">
        <v>2014</v>
      </c>
      <c r="C428" s="2" t="s">
        <v>71</v>
      </c>
      <c r="D428" s="2" t="s">
        <v>39</v>
      </c>
      <c r="E428" s="2" t="s">
        <v>9</v>
      </c>
      <c r="F428" s="2" t="s">
        <v>48</v>
      </c>
      <c r="G428" s="2">
        <f t="shared" si="21"/>
        <v>0.47239263803680975</v>
      </c>
      <c r="H428" s="5">
        <v>4.4164588528678301</v>
      </c>
      <c r="I428" s="2">
        <v>401</v>
      </c>
      <c r="J428" s="57">
        <f>I428/Pondération!$I$79</f>
        <v>0.10696185649506534</v>
      </c>
      <c r="K428" s="5">
        <v>4.5112219451371569</v>
      </c>
      <c r="L428" s="5">
        <f t="shared" si="22"/>
        <v>0.48252867431315011</v>
      </c>
      <c r="M428" s="5">
        <v>4.3965087281795512</v>
      </c>
      <c r="N428" s="5">
        <f t="shared" si="23"/>
        <v>0.47025873566284337</v>
      </c>
      <c r="O428" s="5">
        <v>4.2468827930174564</v>
      </c>
      <c r="P428" s="15">
        <f t="shared" si="24"/>
        <v>0.45425446785809548</v>
      </c>
    </row>
    <row r="429" spans="1:16" x14ac:dyDescent="0.25">
      <c r="A429" s="2" t="s">
        <v>47</v>
      </c>
      <c r="B429" s="2">
        <v>2014</v>
      </c>
      <c r="C429" s="2" t="s">
        <v>72</v>
      </c>
      <c r="D429" s="2" t="s">
        <v>39</v>
      </c>
      <c r="E429" s="2" t="s">
        <v>9</v>
      </c>
      <c r="F429" s="2" t="s">
        <v>48</v>
      </c>
      <c r="G429" s="2">
        <f t="shared" si="21"/>
        <v>0.50693518271539073</v>
      </c>
      <c r="H429" s="5">
        <v>4.2804054054054053</v>
      </c>
      <c r="I429" s="2">
        <v>444</v>
      </c>
      <c r="J429" s="57">
        <f>I429/Pondération!$I$79</f>
        <v>0.1184315817551347</v>
      </c>
      <c r="K429" s="5">
        <v>4.3581081081081079</v>
      </c>
      <c r="L429" s="5">
        <f t="shared" si="22"/>
        <v>0.51613763670312074</v>
      </c>
      <c r="M429" s="5">
        <v>4.2612612612612617</v>
      </c>
      <c r="N429" s="5">
        <f t="shared" si="23"/>
        <v>0.50466791144305156</v>
      </c>
      <c r="O429" s="5">
        <v>4.1441441441441444</v>
      </c>
      <c r="P429" s="15">
        <f t="shared" si="24"/>
        <v>0.49079754601226994</v>
      </c>
    </row>
    <row r="430" spans="1:16" x14ac:dyDescent="0.25">
      <c r="A430" s="2" t="s">
        <v>47</v>
      </c>
      <c r="B430" s="2">
        <v>2015</v>
      </c>
      <c r="C430" s="2" t="s">
        <v>73</v>
      </c>
      <c r="D430" s="2" t="s">
        <v>39</v>
      </c>
      <c r="E430" s="2" t="s">
        <v>9</v>
      </c>
      <c r="F430" s="2" t="s">
        <v>48</v>
      </c>
      <c r="G430" s="2">
        <f t="shared" si="21"/>
        <v>0.20487490071485306</v>
      </c>
      <c r="H430" s="5">
        <v>4.4281115879828326</v>
      </c>
      <c r="I430" s="2">
        <v>233</v>
      </c>
      <c r="J430" s="57">
        <f>I430/Pondération!$H$79</f>
        <v>4.6266878474980143E-2</v>
      </c>
      <c r="K430" s="5">
        <v>4.4463519313304722</v>
      </c>
      <c r="L430" s="5">
        <f t="shared" si="22"/>
        <v>0.20571882446386022</v>
      </c>
      <c r="M430" s="5">
        <v>4.5579399141630903</v>
      </c>
      <c r="N430" s="5">
        <f t="shared" si="23"/>
        <v>0.21088165210484514</v>
      </c>
      <c r="O430" s="5">
        <v>4.2618025751072963</v>
      </c>
      <c r="P430" s="15">
        <f t="shared" si="24"/>
        <v>0.1971803018268467</v>
      </c>
    </row>
    <row r="431" spans="1:16" x14ac:dyDescent="0.25">
      <c r="A431" s="2" t="s">
        <v>47</v>
      </c>
      <c r="B431" s="2">
        <v>2015</v>
      </c>
      <c r="C431" s="2" t="s">
        <v>74</v>
      </c>
      <c r="D431" s="2" t="s">
        <v>39</v>
      </c>
      <c r="E431" s="2" t="s">
        <v>9</v>
      </c>
      <c r="F431" s="2" t="s">
        <v>48</v>
      </c>
      <c r="G431" s="2">
        <f t="shared" si="21"/>
        <v>0.30718824463860211</v>
      </c>
      <c r="H431" s="5">
        <v>4.445402298850575</v>
      </c>
      <c r="I431" s="2">
        <v>348</v>
      </c>
      <c r="J431" s="57">
        <f>I431/Pondération!$H$79</f>
        <v>6.9102462271644169E-2</v>
      </c>
      <c r="K431" s="5">
        <v>4.4770114942528734</v>
      </c>
      <c r="L431" s="5">
        <f t="shared" si="22"/>
        <v>0.30937251787132647</v>
      </c>
      <c r="M431" s="5">
        <v>4.5574712643678161</v>
      </c>
      <c r="N431" s="5">
        <f t="shared" si="23"/>
        <v>0.31493248610007946</v>
      </c>
      <c r="O431" s="5">
        <v>4.2701149425287355</v>
      </c>
      <c r="P431" s="15">
        <f t="shared" si="24"/>
        <v>0.29507545671167595</v>
      </c>
    </row>
    <row r="432" spans="1:16" x14ac:dyDescent="0.25">
      <c r="A432" s="2" t="s">
        <v>47</v>
      </c>
      <c r="B432" s="2">
        <v>2015</v>
      </c>
      <c r="C432" s="2" t="s">
        <v>75</v>
      </c>
      <c r="D432" s="2" t="s">
        <v>39</v>
      </c>
      <c r="E432" s="2" t="s">
        <v>9</v>
      </c>
      <c r="F432" s="2" t="s">
        <v>48</v>
      </c>
      <c r="G432" s="2">
        <f t="shared" si="21"/>
        <v>0.27834590945194604</v>
      </c>
      <c r="H432" s="5">
        <v>4.4219242902208205</v>
      </c>
      <c r="I432" s="2">
        <v>317</v>
      </c>
      <c r="J432" s="57">
        <f>I432/Pondération!$H$79</f>
        <v>6.2946783161239084E-2</v>
      </c>
      <c r="K432" s="5">
        <v>4.5078864353312307</v>
      </c>
      <c r="L432" s="5">
        <f t="shared" si="22"/>
        <v>0.283756949960286</v>
      </c>
      <c r="M432" s="5">
        <v>4.4321766561514195</v>
      </c>
      <c r="N432" s="5">
        <f t="shared" si="23"/>
        <v>0.2789912629070691</v>
      </c>
      <c r="O432" s="5">
        <v>4.2397476340694009</v>
      </c>
      <c r="P432" s="15">
        <f t="shared" si="24"/>
        <v>0.266878474980143</v>
      </c>
    </row>
    <row r="433" spans="1:16" x14ac:dyDescent="0.25">
      <c r="A433" s="2" t="s">
        <v>47</v>
      </c>
      <c r="B433" s="2">
        <v>2015</v>
      </c>
      <c r="C433" s="2" t="s">
        <v>76</v>
      </c>
      <c r="D433" s="2" t="s">
        <v>39</v>
      </c>
      <c r="E433" s="2" t="s">
        <v>9</v>
      </c>
      <c r="F433" s="2" t="s">
        <v>48</v>
      </c>
      <c r="G433" s="2">
        <f t="shared" si="21"/>
        <v>0.28261517077045273</v>
      </c>
      <c r="H433" s="5">
        <v>4.3524464831804277</v>
      </c>
      <c r="I433" s="2">
        <v>327</v>
      </c>
      <c r="J433" s="57">
        <f>I433/Pondération!$H$79</f>
        <v>6.4932486100079428E-2</v>
      </c>
      <c r="K433" s="5">
        <v>4.3975535168195723</v>
      </c>
      <c r="L433" s="5">
        <f t="shared" si="22"/>
        <v>0.28554408260524228</v>
      </c>
      <c r="M433" s="5">
        <v>4.4067278287461775</v>
      </c>
      <c r="N433" s="5">
        <f t="shared" si="23"/>
        <v>0.28613979348689439</v>
      </c>
      <c r="O433" s="5">
        <v>4.2079510703363914</v>
      </c>
      <c r="P433" s="15">
        <f t="shared" si="24"/>
        <v>0.27323272438443208</v>
      </c>
    </row>
    <row r="434" spans="1:16" x14ac:dyDescent="0.25">
      <c r="A434" s="2" t="s">
        <v>47</v>
      </c>
      <c r="B434" s="2">
        <v>2015</v>
      </c>
      <c r="C434" s="2" t="s">
        <v>7</v>
      </c>
      <c r="D434" s="2" t="s">
        <v>39</v>
      </c>
      <c r="E434" s="2" t="s">
        <v>9</v>
      </c>
      <c r="F434" s="2" t="s">
        <v>48</v>
      </c>
      <c r="G434" s="2">
        <f t="shared" si="21"/>
        <v>0.38636814932486097</v>
      </c>
      <c r="H434" s="5">
        <v>4.3529082774049215</v>
      </c>
      <c r="I434" s="2">
        <v>447</v>
      </c>
      <c r="J434" s="57">
        <f>I434/Pondération!$H$79</f>
        <v>8.876092136616362E-2</v>
      </c>
      <c r="K434" s="5">
        <v>4.4116331096196868</v>
      </c>
      <c r="L434" s="5">
        <f t="shared" si="22"/>
        <v>0.39158061953931689</v>
      </c>
      <c r="M434" s="5">
        <v>4.3736017897091726</v>
      </c>
      <c r="N434" s="5">
        <f t="shared" si="23"/>
        <v>0.38820492454328837</v>
      </c>
      <c r="O434" s="5">
        <v>4.2147651006711406</v>
      </c>
      <c r="P434" s="15">
        <f t="shared" si="24"/>
        <v>0.37410643367752183</v>
      </c>
    </row>
    <row r="435" spans="1:16" x14ac:dyDescent="0.25">
      <c r="A435" s="2" t="s">
        <v>47</v>
      </c>
      <c r="B435" s="2">
        <v>2015</v>
      </c>
      <c r="C435" s="2" t="s">
        <v>11</v>
      </c>
      <c r="D435" s="2" t="s">
        <v>39</v>
      </c>
      <c r="E435" s="2" t="s">
        <v>9</v>
      </c>
      <c r="F435" s="2" t="s">
        <v>48</v>
      </c>
      <c r="G435" s="2">
        <f t="shared" si="21"/>
        <v>0.28276409849086576</v>
      </c>
      <c r="H435" s="5">
        <v>4.4361370716510899</v>
      </c>
      <c r="I435" s="2">
        <v>321</v>
      </c>
      <c r="J435" s="57">
        <f>I435/Pondération!$H$79</f>
        <v>6.3741064336775219E-2</v>
      </c>
      <c r="K435" s="5">
        <v>4.4797507788161992</v>
      </c>
      <c r="L435" s="5">
        <f t="shared" si="22"/>
        <v>0.28554408260524222</v>
      </c>
      <c r="M435" s="5">
        <v>4.4735202492211839</v>
      </c>
      <c r="N435" s="5">
        <f t="shared" si="23"/>
        <v>0.2851469420174742</v>
      </c>
      <c r="O435" s="5">
        <v>4.3115264797507784</v>
      </c>
      <c r="P435" s="15">
        <f t="shared" si="24"/>
        <v>0.27482128673550432</v>
      </c>
    </row>
    <row r="436" spans="1:16" x14ac:dyDescent="0.25">
      <c r="A436" s="2" t="s">
        <v>47</v>
      </c>
      <c r="B436" s="2">
        <v>2015</v>
      </c>
      <c r="C436" s="2" t="s">
        <v>12</v>
      </c>
      <c r="D436" s="2" t="s">
        <v>39</v>
      </c>
      <c r="E436" s="2" t="s">
        <v>9</v>
      </c>
      <c r="F436" s="2" t="s">
        <v>48</v>
      </c>
      <c r="G436" s="2">
        <f t="shared" si="21"/>
        <v>0.40607625099285144</v>
      </c>
      <c r="H436" s="5">
        <v>4.4553376906318078</v>
      </c>
      <c r="I436" s="2">
        <v>459</v>
      </c>
      <c r="J436" s="57">
        <f>I436/Pondération!$H$79</f>
        <v>9.1143764892772039E-2</v>
      </c>
      <c r="K436" s="5">
        <v>4.522875816993464</v>
      </c>
      <c r="L436" s="5">
        <f t="shared" si="22"/>
        <v>0.41223193010325654</v>
      </c>
      <c r="M436" s="5">
        <v>4.4880174291939001</v>
      </c>
      <c r="N436" s="5">
        <f t="shared" si="23"/>
        <v>0.409054805401112</v>
      </c>
      <c r="O436" s="5">
        <v>4.2875816993464051</v>
      </c>
      <c r="P436" s="15">
        <f t="shared" si="24"/>
        <v>0.39078633836378074</v>
      </c>
    </row>
    <row r="437" spans="1:16" x14ac:dyDescent="0.25">
      <c r="A437" s="2" t="s">
        <v>47</v>
      </c>
      <c r="B437" s="2">
        <v>2015</v>
      </c>
      <c r="C437" s="2" t="s">
        <v>13</v>
      </c>
      <c r="D437" s="2" t="s">
        <v>39</v>
      </c>
      <c r="E437" s="2" t="s">
        <v>9</v>
      </c>
      <c r="F437" s="2" t="s">
        <v>48</v>
      </c>
      <c r="G437" s="2">
        <f t="shared" si="21"/>
        <v>0.43333002382843533</v>
      </c>
      <c r="H437" s="5">
        <v>4.2789215686274513</v>
      </c>
      <c r="I437" s="2">
        <v>510</v>
      </c>
      <c r="J437" s="57">
        <f>I437/Pondération!$H$79</f>
        <v>0.10127084988085783</v>
      </c>
      <c r="K437" s="5">
        <v>4.3431372549019605</v>
      </c>
      <c r="L437" s="5">
        <f t="shared" si="22"/>
        <v>0.43983320095313738</v>
      </c>
      <c r="M437" s="5">
        <v>4.2686274509803921</v>
      </c>
      <c r="N437" s="5">
        <f t="shared" si="23"/>
        <v>0.43228752978554408</v>
      </c>
      <c r="O437" s="5">
        <v>4.1607843137254905</v>
      </c>
      <c r="P437" s="15">
        <f t="shared" si="24"/>
        <v>0.4213661636219222</v>
      </c>
    </row>
    <row r="438" spans="1:16" x14ac:dyDescent="0.25">
      <c r="A438" s="2" t="s">
        <v>47</v>
      </c>
      <c r="B438" s="2">
        <v>2015</v>
      </c>
      <c r="C438" s="2" t="s">
        <v>14</v>
      </c>
      <c r="D438" s="2" t="s">
        <v>39</v>
      </c>
      <c r="E438" s="2" t="s">
        <v>9</v>
      </c>
      <c r="F438" s="2" t="s">
        <v>48</v>
      </c>
      <c r="G438" s="2">
        <f t="shared" si="21"/>
        <v>0.38353852263701343</v>
      </c>
      <c r="H438" s="5">
        <v>4.3997722095671978</v>
      </c>
      <c r="I438" s="2">
        <v>439</v>
      </c>
      <c r="J438" s="57">
        <f>I438/Pondération!$H$79</f>
        <v>8.7172359015091336E-2</v>
      </c>
      <c r="K438" s="5">
        <v>4.4214123006833717</v>
      </c>
      <c r="L438" s="5">
        <f t="shared" si="22"/>
        <v>0.38542494042891184</v>
      </c>
      <c r="M438" s="5">
        <v>4.4783599088838271</v>
      </c>
      <c r="N438" s="5">
        <f t="shared" si="23"/>
        <v>0.39038919777601272</v>
      </c>
      <c r="O438" s="5">
        <v>4.2779043280182236</v>
      </c>
      <c r="P438" s="15">
        <f t="shared" si="24"/>
        <v>0.37291501191421766</v>
      </c>
    </row>
    <row r="439" spans="1:16" x14ac:dyDescent="0.25">
      <c r="A439" s="2" t="s">
        <v>47</v>
      </c>
      <c r="B439" s="2">
        <v>2015</v>
      </c>
      <c r="C439" s="2" t="s">
        <v>15</v>
      </c>
      <c r="D439" s="2" t="s">
        <v>39</v>
      </c>
      <c r="E439" s="2" t="s">
        <v>9</v>
      </c>
      <c r="F439" s="2" t="s">
        <v>48</v>
      </c>
      <c r="G439" s="2">
        <f t="shared" si="21"/>
        <v>0.41203335980937245</v>
      </c>
      <c r="H439" s="5">
        <v>4.3592436974789912</v>
      </c>
      <c r="I439" s="2">
        <v>476</v>
      </c>
      <c r="J439" s="57">
        <f>I439/Pondération!$H$79</f>
        <v>9.451945988880063E-2</v>
      </c>
      <c r="K439" s="5">
        <v>4.4285714285714288</v>
      </c>
      <c r="L439" s="5">
        <f t="shared" si="22"/>
        <v>0.41858617950754567</v>
      </c>
      <c r="M439" s="5">
        <v>4.3781512605042021</v>
      </c>
      <c r="N439" s="5">
        <f t="shared" si="23"/>
        <v>0.41382049245432884</v>
      </c>
      <c r="O439" s="5">
        <v>4.2016806722689077</v>
      </c>
      <c r="P439" s="15">
        <f t="shared" si="24"/>
        <v>0.39714058776806987</v>
      </c>
    </row>
    <row r="440" spans="1:16" x14ac:dyDescent="0.25">
      <c r="A440" s="2" t="s">
        <v>47</v>
      </c>
      <c r="B440" s="2">
        <v>2015</v>
      </c>
      <c r="C440" s="2" t="s">
        <v>16</v>
      </c>
      <c r="D440" s="2" t="s">
        <v>39</v>
      </c>
      <c r="E440" s="2" t="s">
        <v>9</v>
      </c>
      <c r="F440" s="2" t="s">
        <v>48</v>
      </c>
      <c r="G440" s="2">
        <f t="shared" si="21"/>
        <v>0.48193010325655278</v>
      </c>
      <c r="H440" s="5">
        <v>4.4532110091743116</v>
      </c>
      <c r="I440" s="2">
        <v>545</v>
      </c>
      <c r="J440" s="57">
        <f>I440/Pondération!$H$79</f>
        <v>0.10822081016679905</v>
      </c>
      <c r="K440" s="5">
        <v>4.5137614678899078</v>
      </c>
      <c r="L440" s="5">
        <f t="shared" si="22"/>
        <v>0.48848292295472595</v>
      </c>
      <c r="M440" s="5">
        <v>4.477064220183486</v>
      </c>
      <c r="N440" s="5">
        <f t="shared" si="23"/>
        <v>0.48451151707704526</v>
      </c>
      <c r="O440" s="5">
        <v>4.3082568807339445</v>
      </c>
      <c r="P440" s="15">
        <f t="shared" si="24"/>
        <v>0.466243050039714</v>
      </c>
    </row>
    <row r="441" spans="1:16" x14ac:dyDescent="0.25">
      <c r="A441" s="2" t="s">
        <v>47</v>
      </c>
      <c r="B441" s="2">
        <v>2015</v>
      </c>
      <c r="C441" s="2" t="s">
        <v>17</v>
      </c>
      <c r="D441" s="2" t="s">
        <v>39</v>
      </c>
      <c r="E441" s="2" t="s">
        <v>9</v>
      </c>
      <c r="F441" s="2" t="s">
        <v>48</v>
      </c>
      <c r="G441" s="2">
        <f t="shared" si="21"/>
        <v>0.52367950754567116</v>
      </c>
      <c r="H441" s="5">
        <v>4.2951954397394134</v>
      </c>
      <c r="I441" s="2">
        <v>614</v>
      </c>
      <c r="J441" s="57">
        <f>I441/Pondération!$H$79</f>
        <v>0.12192216044479746</v>
      </c>
      <c r="K441" s="5">
        <v>4.3501628664495113</v>
      </c>
      <c r="L441" s="5">
        <f t="shared" si="22"/>
        <v>0.53038125496425736</v>
      </c>
      <c r="M441" s="5">
        <v>4.328990228013029</v>
      </c>
      <c r="N441" s="5">
        <f t="shared" si="23"/>
        <v>0.52779984114376488</v>
      </c>
      <c r="O441" s="5">
        <v>4.1514657980456029</v>
      </c>
      <c r="P441" s="15">
        <f t="shared" si="24"/>
        <v>0.50615567911040515</v>
      </c>
    </row>
    <row r="442" spans="1:16" x14ac:dyDescent="0.25">
      <c r="A442" s="2" t="s">
        <v>47</v>
      </c>
      <c r="B442" s="2">
        <v>2016</v>
      </c>
      <c r="C442" s="2" t="s">
        <v>18</v>
      </c>
      <c r="D442" s="2" t="s">
        <v>39</v>
      </c>
      <c r="E442" s="2" t="s">
        <v>9</v>
      </c>
      <c r="F442" s="2" t="s">
        <v>48</v>
      </c>
      <c r="G442" s="2">
        <f t="shared" si="21"/>
        <v>0.25433767100433768</v>
      </c>
      <c r="H442" s="5">
        <v>4.4316860465116283</v>
      </c>
      <c r="I442" s="2">
        <v>516</v>
      </c>
      <c r="J442" s="57">
        <f>I442/Pondération!$G$79</f>
        <v>5.7390724057390721E-2</v>
      </c>
      <c r="K442" s="5">
        <v>4.4844961240310077</v>
      </c>
      <c r="L442" s="5">
        <f t="shared" si="22"/>
        <v>0.2573684795907018</v>
      </c>
      <c r="M442" s="5">
        <v>4.4844961240310077</v>
      </c>
      <c r="N442" s="5">
        <f t="shared" si="23"/>
        <v>0.2573684795907018</v>
      </c>
      <c r="O442" s="5">
        <v>4.2732558139534884</v>
      </c>
      <c r="P442" s="15">
        <f t="shared" si="24"/>
        <v>0.24524524524524524</v>
      </c>
    </row>
    <row r="443" spans="1:16" x14ac:dyDescent="0.25">
      <c r="A443" s="2" t="s">
        <v>47</v>
      </c>
      <c r="B443" s="2">
        <v>2016</v>
      </c>
      <c r="C443" s="2" t="s">
        <v>19</v>
      </c>
      <c r="D443" s="2" t="s">
        <v>39</v>
      </c>
      <c r="E443" s="2" t="s">
        <v>9</v>
      </c>
      <c r="F443" s="2" t="s">
        <v>48</v>
      </c>
      <c r="G443" s="2">
        <f t="shared" si="21"/>
        <v>0.32560338115893672</v>
      </c>
      <c r="H443" s="5">
        <v>4.4022556390977448</v>
      </c>
      <c r="I443" s="2">
        <v>665</v>
      </c>
      <c r="J443" s="57">
        <f>I443/Pondération!$G$79</f>
        <v>7.3962851740629512E-2</v>
      </c>
      <c r="K443" s="5">
        <v>4.4360902255639099</v>
      </c>
      <c r="L443" s="5">
        <f t="shared" si="22"/>
        <v>0.32810588366143917</v>
      </c>
      <c r="M443" s="5">
        <v>4.4691729323308271</v>
      </c>
      <c r="N443" s="5">
        <f t="shared" si="23"/>
        <v>0.33055277499721941</v>
      </c>
      <c r="O443" s="5">
        <v>4.2676691729323304</v>
      </c>
      <c r="P443" s="15">
        <f t="shared" si="24"/>
        <v>0.31564898231564892</v>
      </c>
    </row>
    <row r="444" spans="1:16" x14ac:dyDescent="0.25">
      <c r="A444" s="2" t="s">
        <v>47</v>
      </c>
      <c r="B444" s="2">
        <v>2016</v>
      </c>
      <c r="C444" s="2" t="s">
        <v>20</v>
      </c>
      <c r="D444" s="2" t="s">
        <v>39</v>
      </c>
      <c r="E444" s="2" t="s">
        <v>9</v>
      </c>
      <c r="F444" s="2" t="s">
        <v>48</v>
      </c>
      <c r="G444" s="2">
        <f t="shared" si="21"/>
        <v>0.29865977088199308</v>
      </c>
      <c r="H444" s="5">
        <v>4.4679700499168051</v>
      </c>
      <c r="I444" s="2">
        <v>601</v>
      </c>
      <c r="J444" s="57">
        <f>I444/Pondération!$G$79</f>
        <v>6.6844622400177953E-2</v>
      </c>
      <c r="K444" s="5">
        <v>4.4908485856905154</v>
      </c>
      <c r="L444" s="5">
        <f t="shared" si="22"/>
        <v>0.30018907796685568</v>
      </c>
      <c r="M444" s="5">
        <v>4.527454242928453</v>
      </c>
      <c r="N444" s="5">
        <f t="shared" si="23"/>
        <v>0.30263596930263598</v>
      </c>
      <c r="O444" s="5">
        <v>4.3627287853577368</v>
      </c>
      <c r="P444" s="15">
        <f t="shared" si="24"/>
        <v>0.29162495829162494</v>
      </c>
    </row>
    <row r="445" spans="1:16" x14ac:dyDescent="0.25">
      <c r="A445" s="2" t="s">
        <v>47</v>
      </c>
      <c r="B445" s="2">
        <v>2016</v>
      </c>
      <c r="C445" s="2" t="s">
        <v>21</v>
      </c>
      <c r="D445" s="2" t="s">
        <v>39</v>
      </c>
      <c r="E445" s="2" t="s">
        <v>9</v>
      </c>
      <c r="F445" s="2" t="s">
        <v>48</v>
      </c>
      <c r="G445" s="2">
        <f t="shared" si="21"/>
        <v>0.33430652875097322</v>
      </c>
      <c r="H445" s="5">
        <v>4.4267304860088368</v>
      </c>
      <c r="I445" s="2">
        <v>679</v>
      </c>
      <c r="J445" s="57">
        <f>I445/Pondération!$G$79</f>
        <v>7.5519964408853293E-2</v>
      </c>
      <c r="K445" s="5">
        <v>4.4491899852724597</v>
      </c>
      <c r="L445" s="5">
        <f t="shared" si="22"/>
        <v>0.33600266933600265</v>
      </c>
      <c r="M445" s="5">
        <v>4.4786450662739323</v>
      </c>
      <c r="N445" s="5">
        <f t="shared" si="23"/>
        <v>0.33822711600489375</v>
      </c>
      <c r="O445" s="5">
        <v>4.3298969072164946</v>
      </c>
      <c r="P445" s="15">
        <f t="shared" si="24"/>
        <v>0.32699366032699362</v>
      </c>
    </row>
    <row r="446" spans="1:16" x14ac:dyDescent="0.25">
      <c r="A446" s="2" t="s">
        <v>47</v>
      </c>
      <c r="B446" s="2">
        <v>2016</v>
      </c>
      <c r="C446" s="2" t="s">
        <v>22</v>
      </c>
      <c r="D446" s="2" t="s">
        <v>39</v>
      </c>
      <c r="E446" s="2" t="s">
        <v>9</v>
      </c>
      <c r="F446" s="2" t="s">
        <v>48</v>
      </c>
      <c r="G446" s="2">
        <f t="shared" si="21"/>
        <v>0.32571460349238124</v>
      </c>
      <c r="H446" s="5">
        <v>4.3905547226386803</v>
      </c>
      <c r="I446" s="2">
        <v>667</v>
      </c>
      <c r="J446" s="57">
        <f>I446/Pondération!$G$79</f>
        <v>7.4185296407518628E-2</v>
      </c>
      <c r="K446" s="5">
        <v>4.4107946026986511</v>
      </c>
      <c r="L446" s="5">
        <f t="shared" si="22"/>
        <v>0.32721610499388282</v>
      </c>
      <c r="M446" s="5">
        <v>4.4572713643178412</v>
      </c>
      <c r="N446" s="5">
        <f t="shared" si="23"/>
        <v>0.33066399733066398</v>
      </c>
      <c r="O446" s="5">
        <v>4.2833583208395805</v>
      </c>
      <c r="P446" s="15">
        <f t="shared" si="24"/>
        <v>0.31776220665109556</v>
      </c>
    </row>
    <row r="447" spans="1:16" x14ac:dyDescent="0.25">
      <c r="A447" s="2" t="s">
        <v>47</v>
      </c>
      <c r="B447" s="2">
        <v>2016</v>
      </c>
      <c r="C447" s="2" t="s">
        <v>23</v>
      </c>
      <c r="D447" s="2" t="s">
        <v>39</v>
      </c>
      <c r="E447" s="2" t="s">
        <v>9</v>
      </c>
      <c r="F447" s="2" t="s">
        <v>48</v>
      </c>
      <c r="G447" s="2">
        <f t="shared" si="21"/>
        <v>0.30836391947503061</v>
      </c>
      <c r="H447" s="5">
        <v>4.4359999999999999</v>
      </c>
      <c r="I447" s="2">
        <v>625</v>
      </c>
      <c r="J447" s="57">
        <f>I447/Pondération!$G$79</f>
        <v>6.9513958402847298E-2</v>
      </c>
      <c r="K447" s="5">
        <v>4.4896000000000003</v>
      </c>
      <c r="L447" s="5">
        <f t="shared" si="22"/>
        <v>0.31208986764542324</v>
      </c>
      <c r="M447" s="5">
        <v>4.4816000000000003</v>
      </c>
      <c r="N447" s="5">
        <f t="shared" si="23"/>
        <v>0.31153375597820049</v>
      </c>
      <c r="O447" s="5">
        <v>4.2831999999999999</v>
      </c>
      <c r="P447" s="15">
        <f t="shared" si="24"/>
        <v>0.29774218663107554</v>
      </c>
    </row>
    <row r="448" spans="1:16" x14ac:dyDescent="0.25">
      <c r="A448" s="2" t="s">
        <v>47</v>
      </c>
      <c r="B448" s="2">
        <v>2016</v>
      </c>
      <c r="C448" s="2" t="s">
        <v>24</v>
      </c>
      <c r="D448" s="2" t="s">
        <v>39</v>
      </c>
      <c r="E448" s="2" t="s">
        <v>9</v>
      </c>
      <c r="F448" s="2" t="s">
        <v>48</v>
      </c>
      <c r="G448" s="2">
        <f t="shared" si="21"/>
        <v>0.32657657657657657</v>
      </c>
      <c r="H448" s="5">
        <v>4.4421331316187596</v>
      </c>
      <c r="I448" s="2">
        <v>661</v>
      </c>
      <c r="J448" s="57">
        <f>I448/Pondération!$G$79</f>
        <v>7.3517962406851295E-2</v>
      </c>
      <c r="K448" s="5">
        <v>4.4977307110438733</v>
      </c>
      <c r="L448" s="5">
        <f t="shared" si="22"/>
        <v>0.33066399733066404</v>
      </c>
      <c r="M448" s="5">
        <v>4.4795763993948565</v>
      </c>
      <c r="N448" s="5">
        <f t="shared" si="23"/>
        <v>0.32932932932932935</v>
      </c>
      <c r="O448" s="5">
        <v>4.2934947049924359</v>
      </c>
      <c r="P448" s="15">
        <f t="shared" si="24"/>
        <v>0.31564898231564897</v>
      </c>
    </row>
    <row r="449" spans="1:16" x14ac:dyDescent="0.25">
      <c r="A449" s="2" t="s">
        <v>47</v>
      </c>
      <c r="B449" s="2">
        <v>2016</v>
      </c>
      <c r="C449" s="2" t="s">
        <v>25</v>
      </c>
      <c r="D449" s="2" t="s">
        <v>39</v>
      </c>
      <c r="E449" s="2" t="s">
        <v>9</v>
      </c>
      <c r="F449" s="2" t="s">
        <v>48</v>
      </c>
      <c r="G449" s="2">
        <f t="shared" si="21"/>
        <v>0.36280725169614059</v>
      </c>
      <c r="H449" s="5">
        <v>4.4140730717185388</v>
      </c>
      <c r="I449" s="2">
        <v>739</v>
      </c>
      <c r="J449" s="57">
        <f>I449/Pondération!$G$79</f>
        <v>8.2193304415526636E-2</v>
      </c>
      <c r="K449" s="5">
        <v>4.450608930987821</v>
      </c>
      <c r="L449" s="5">
        <f t="shared" si="22"/>
        <v>0.36581025469914352</v>
      </c>
      <c r="M449" s="5">
        <v>4.4438430311231389</v>
      </c>
      <c r="N449" s="5">
        <f t="shared" si="23"/>
        <v>0.36525414303192077</v>
      </c>
      <c r="O449" s="5">
        <v>4.3112313937753726</v>
      </c>
      <c r="P449" s="15">
        <f t="shared" si="24"/>
        <v>0.35435435435435436</v>
      </c>
    </row>
    <row r="450" spans="1:16" x14ac:dyDescent="0.25">
      <c r="A450" s="2" t="s">
        <v>47</v>
      </c>
      <c r="B450" s="2">
        <v>2016</v>
      </c>
      <c r="C450" s="2" t="s">
        <v>26</v>
      </c>
      <c r="D450" s="2" t="s">
        <v>39</v>
      </c>
      <c r="E450" s="2" t="s">
        <v>9</v>
      </c>
      <c r="F450" s="2" t="s">
        <v>48</v>
      </c>
      <c r="G450" s="2">
        <f t="shared" ref="G450:G513" si="25">H450*J450</f>
        <v>0.35755199644088531</v>
      </c>
      <c r="H450" s="5">
        <v>4.4711404728789983</v>
      </c>
      <c r="I450" s="2">
        <v>719</v>
      </c>
      <c r="J450" s="57">
        <f>I450/Pondération!$G$79</f>
        <v>7.9968857746635522E-2</v>
      </c>
      <c r="K450" s="5">
        <v>4.5173852573018083</v>
      </c>
      <c r="L450" s="5">
        <f t="shared" si="22"/>
        <v>0.36125013902791681</v>
      </c>
      <c r="M450" s="5">
        <v>4.527121001390821</v>
      </c>
      <c r="N450" s="5">
        <f t="shared" si="23"/>
        <v>0.3620286953620287</v>
      </c>
      <c r="O450" s="5">
        <v>4.3226703755215574</v>
      </c>
      <c r="P450" s="15">
        <f t="shared" si="24"/>
        <v>0.34567901234567899</v>
      </c>
    </row>
    <row r="451" spans="1:16" x14ac:dyDescent="0.25">
      <c r="A451" s="2" t="s">
        <v>47</v>
      </c>
      <c r="B451" s="2">
        <v>2016</v>
      </c>
      <c r="C451" s="2" t="s">
        <v>27</v>
      </c>
      <c r="D451" s="2" t="s">
        <v>39</v>
      </c>
      <c r="E451" s="2" t="s">
        <v>9</v>
      </c>
      <c r="F451" s="2" t="s">
        <v>48</v>
      </c>
      <c r="G451" s="2">
        <f t="shared" si="25"/>
        <v>0.51837949060171284</v>
      </c>
      <c r="H451" s="5">
        <v>4.4261633428300096</v>
      </c>
      <c r="I451" s="2">
        <v>1053</v>
      </c>
      <c r="J451" s="57">
        <f>I451/Pondération!$G$79</f>
        <v>0.11711711711711711</v>
      </c>
      <c r="K451" s="5">
        <v>4.4757834757834756</v>
      </c>
      <c r="L451" s="5">
        <f t="shared" si="22"/>
        <v>0.52419085752419081</v>
      </c>
      <c r="M451" s="5">
        <v>4.4529914529914532</v>
      </c>
      <c r="N451" s="5">
        <f t="shared" si="23"/>
        <v>0.52152152152152154</v>
      </c>
      <c r="O451" s="5">
        <v>4.3000949667616331</v>
      </c>
      <c r="P451" s="15">
        <f t="shared" si="24"/>
        <v>0.503614725836948</v>
      </c>
    </row>
    <row r="452" spans="1:16" x14ac:dyDescent="0.25">
      <c r="A452" s="2" t="s">
        <v>47</v>
      </c>
      <c r="B452" s="2">
        <v>2016</v>
      </c>
      <c r="C452" s="2" t="s">
        <v>28</v>
      </c>
      <c r="D452" s="2" t="s">
        <v>39</v>
      </c>
      <c r="E452" s="2" t="s">
        <v>9</v>
      </c>
      <c r="F452" s="2" t="s">
        <v>48</v>
      </c>
      <c r="G452" s="2">
        <f t="shared" si="25"/>
        <v>0.46018240462684912</v>
      </c>
      <c r="H452" s="5">
        <v>4.3969181721572799</v>
      </c>
      <c r="I452" s="2">
        <v>941</v>
      </c>
      <c r="J452" s="57">
        <f>I452/Pondération!$G$79</f>
        <v>0.10466021577132688</v>
      </c>
      <c r="K452" s="5">
        <v>4.4293304994686507</v>
      </c>
      <c r="L452" s="5">
        <f t="shared" si="22"/>
        <v>0.46357468579690803</v>
      </c>
      <c r="M452" s="5">
        <v>4.4984059511158341</v>
      </c>
      <c r="N452" s="5">
        <f t="shared" si="23"/>
        <v>0.47080413747080413</v>
      </c>
      <c r="O452" s="5">
        <v>4.2306057385759832</v>
      </c>
      <c r="P452" s="15">
        <f t="shared" si="24"/>
        <v>0.44277610944277612</v>
      </c>
    </row>
    <row r="453" spans="1:16" x14ac:dyDescent="0.25">
      <c r="A453" s="2" t="s">
        <v>47</v>
      </c>
      <c r="B453" s="2">
        <v>2016</v>
      </c>
      <c r="C453" s="2" t="s">
        <v>29</v>
      </c>
      <c r="D453" s="2" t="s">
        <v>39</v>
      </c>
      <c r="E453" s="2" t="s">
        <v>9</v>
      </c>
      <c r="F453" s="2" t="s">
        <v>48</v>
      </c>
      <c r="G453" s="2">
        <f t="shared" si="25"/>
        <v>0.54460015571126685</v>
      </c>
      <c r="H453" s="5">
        <v>4.3524444444444441</v>
      </c>
      <c r="I453" s="2">
        <v>1125</v>
      </c>
      <c r="J453" s="57">
        <f>I453/Pondération!$G$79</f>
        <v>0.12512512512512514</v>
      </c>
      <c r="K453" s="5">
        <v>4.4142222222222225</v>
      </c>
      <c r="L453" s="5">
        <f t="shared" si="22"/>
        <v>0.5523301078856635</v>
      </c>
      <c r="M453" s="5">
        <v>4.3555555555555552</v>
      </c>
      <c r="N453" s="5">
        <f t="shared" si="23"/>
        <v>0.54498943387832277</v>
      </c>
      <c r="O453" s="5">
        <v>4.2257777777777781</v>
      </c>
      <c r="P453" s="15">
        <f t="shared" si="24"/>
        <v>0.52875097319541775</v>
      </c>
    </row>
    <row r="454" spans="1:16" x14ac:dyDescent="0.25">
      <c r="A454" s="2" t="s">
        <v>47</v>
      </c>
      <c r="B454" s="2">
        <v>2017</v>
      </c>
      <c r="C454" s="2" t="s">
        <v>30</v>
      </c>
      <c r="D454" s="2" t="s">
        <v>39</v>
      </c>
      <c r="E454" s="2" t="s">
        <v>9</v>
      </c>
      <c r="F454" s="2" t="s">
        <v>48</v>
      </c>
      <c r="G454" s="2">
        <f t="shared" si="25"/>
        <v>0.8231218506642235</v>
      </c>
      <c r="H454" s="5">
        <v>4.4978097622027535</v>
      </c>
      <c r="I454" s="2">
        <v>799</v>
      </c>
      <c r="J454" s="57">
        <f>I454/Pondération!$F$79</f>
        <v>0.18300503893724232</v>
      </c>
      <c r="K454" s="5">
        <v>4.5544430538172715</v>
      </c>
      <c r="L454" s="5">
        <f t="shared" si="22"/>
        <v>0.83348602840128261</v>
      </c>
      <c r="M454" s="5">
        <v>4.5932415519399248</v>
      </c>
      <c r="N454" s="5">
        <f t="shared" si="23"/>
        <v>0.84058634906092533</v>
      </c>
      <c r="O454" s="5">
        <v>4.2891113892365453</v>
      </c>
      <c r="P454" s="15">
        <f t="shared" si="24"/>
        <v>0.78492899679340344</v>
      </c>
    </row>
    <row r="455" spans="1:16" x14ac:dyDescent="0.25">
      <c r="A455" s="2" t="s">
        <v>47</v>
      </c>
      <c r="B455" s="2">
        <v>2017</v>
      </c>
      <c r="C455" s="2" t="s">
        <v>31</v>
      </c>
      <c r="D455" s="2" t="s">
        <v>39</v>
      </c>
      <c r="E455" s="2" t="s">
        <v>9</v>
      </c>
      <c r="F455" s="2" t="s">
        <v>48</v>
      </c>
      <c r="G455" s="2">
        <f t="shared" si="25"/>
        <v>1.2044777828676134</v>
      </c>
      <c r="H455" s="5">
        <v>4.4228343145500419</v>
      </c>
      <c r="I455" s="2">
        <v>1189</v>
      </c>
      <c r="J455" s="57">
        <f>I455/Pondération!$F$79</f>
        <v>0.27233165368758588</v>
      </c>
      <c r="K455" s="5">
        <v>4.465937762825904</v>
      </c>
      <c r="L455" s="5">
        <f t="shared" si="22"/>
        <v>1.2162162162162162</v>
      </c>
      <c r="M455" s="5">
        <v>4.4911690496215311</v>
      </c>
      <c r="N455" s="5">
        <f t="shared" si="23"/>
        <v>1.2230874942739349</v>
      </c>
      <c r="O455" s="5">
        <v>4.2682926829268295</v>
      </c>
      <c r="P455" s="15">
        <f t="shared" si="24"/>
        <v>1.1623912047640861</v>
      </c>
    </row>
    <row r="456" spans="1:16" x14ac:dyDescent="0.25">
      <c r="A456" s="2" t="s">
        <v>47</v>
      </c>
      <c r="B456" s="2">
        <v>2017</v>
      </c>
      <c r="C456" s="2" t="s">
        <v>32</v>
      </c>
      <c r="D456" s="2" t="s">
        <v>39</v>
      </c>
      <c r="E456" s="2" t="s">
        <v>9</v>
      </c>
      <c r="F456" s="2" t="s">
        <v>48</v>
      </c>
      <c r="G456" s="2">
        <f t="shared" si="25"/>
        <v>1.0348144754924415</v>
      </c>
      <c r="H456" s="5">
        <v>4.4468503937007871</v>
      </c>
      <c r="I456" s="2">
        <v>1016</v>
      </c>
      <c r="J456" s="57">
        <f>I456/Pondération!$F$79</f>
        <v>0.23270728355474118</v>
      </c>
      <c r="K456" s="5">
        <v>4.5059055118110241</v>
      </c>
      <c r="L456" s="5">
        <f t="shared" si="22"/>
        <v>1.0485570316078792</v>
      </c>
      <c r="M456" s="5">
        <v>4.4980314960629917</v>
      </c>
      <c r="N456" s="5">
        <f t="shared" si="23"/>
        <v>1.0467246907924874</v>
      </c>
      <c r="O456" s="5">
        <v>4.2775590551181102</v>
      </c>
      <c r="P456" s="15">
        <f t="shared" si="24"/>
        <v>0.99541914796152087</v>
      </c>
    </row>
    <row r="457" spans="1:16" x14ac:dyDescent="0.25">
      <c r="A457" s="2" t="s">
        <v>47</v>
      </c>
      <c r="B457" s="2">
        <v>2017</v>
      </c>
      <c r="C457" s="2" t="s">
        <v>33</v>
      </c>
      <c r="D457" s="2" t="s">
        <v>39</v>
      </c>
      <c r="E457" s="2" t="s">
        <v>9</v>
      </c>
      <c r="F457" s="2" t="s">
        <v>48</v>
      </c>
      <c r="G457" s="2">
        <f t="shared" si="25"/>
        <v>1.0838295923041685</v>
      </c>
      <c r="H457" s="5">
        <v>4.4018604651162789</v>
      </c>
      <c r="I457" s="2">
        <v>1075</v>
      </c>
      <c r="J457" s="57">
        <f>I457/Pondération!$F$79</f>
        <v>0.2462207970682547</v>
      </c>
      <c r="K457" s="5">
        <v>4.4381395348837209</v>
      </c>
      <c r="L457" s="5">
        <f t="shared" si="22"/>
        <v>1.092762253779203</v>
      </c>
      <c r="M457" s="5">
        <v>4.4762790697674415</v>
      </c>
      <c r="N457" s="5">
        <f t="shared" si="23"/>
        <v>1.1021530004580851</v>
      </c>
      <c r="O457" s="5">
        <v>4.2548837209302324</v>
      </c>
      <c r="P457" s="15">
        <f t="shared" si="24"/>
        <v>1.0476408612001833</v>
      </c>
    </row>
    <row r="458" spans="1:16" x14ac:dyDescent="0.25">
      <c r="A458" s="2" t="s">
        <v>47</v>
      </c>
      <c r="B458" s="2">
        <v>2017</v>
      </c>
      <c r="C458" s="2" t="s">
        <v>34</v>
      </c>
      <c r="D458" s="2" t="s">
        <v>39</v>
      </c>
      <c r="E458" s="2" t="s">
        <v>9</v>
      </c>
      <c r="F458" s="2" t="s">
        <v>48</v>
      </c>
      <c r="G458" s="2">
        <f t="shared" si="25"/>
        <v>0.29214383875400818</v>
      </c>
      <c r="H458" s="5">
        <v>4.4442508710801389</v>
      </c>
      <c r="I458" s="2">
        <v>287</v>
      </c>
      <c r="J458" s="57">
        <f>I458/Pondération!$F$79</f>
        <v>6.5735226752175899E-2</v>
      </c>
      <c r="K458" s="5">
        <v>4.480836236933798</v>
      </c>
      <c r="L458" s="5">
        <f t="shared" si="22"/>
        <v>0.29454878607420976</v>
      </c>
      <c r="M458" s="5">
        <v>4.5644599303135891</v>
      </c>
      <c r="N458" s="5">
        <f t="shared" si="23"/>
        <v>0.30004580852038476</v>
      </c>
      <c r="O458" s="5">
        <v>4.2508710801393725</v>
      </c>
      <c r="P458" s="15">
        <f t="shared" si="24"/>
        <v>0.27943197434722855</v>
      </c>
    </row>
    <row r="459" spans="1:16" x14ac:dyDescent="0.25">
      <c r="A459" s="2" t="s">
        <v>6</v>
      </c>
      <c r="B459" s="2">
        <v>2015</v>
      </c>
      <c r="C459" s="2" t="s">
        <v>7</v>
      </c>
      <c r="D459" s="2" t="s">
        <v>40</v>
      </c>
      <c r="E459" s="2" t="s">
        <v>9</v>
      </c>
      <c r="F459" s="2" t="s">
        <v>10</v>
      </c>
      <c r="G459" s="2">
        <f t="shared" si="25"/>
        <v>0.21698301698301697</v>
      </c>
      <c r="H459" s="5">
        <v>4.0222222222222221</v>
      </c>
      <c r="I459" s="2">
        <v>108</v>
      </c>
      <c r="J459" s="57">
        <f>I459/Pondération!$H$91</f>
        <v>5.3946053946053944E-2</v>
      </c>
      <c r="K459" s="2"/>
      <c r="L459" s="2"/>
      <c r="M459" s="2"/>
      <c r="N459" s="2"/>
      <c r="O459" s="2"/>
      <c r="P459"/>
    </row>
    <row r="460" spans="1:16" x14ac:dyDescent="0.25">
      <c r="A460" s="2" t="s">
        <v>6</v>
      </c>
      <c r="B460" s="2">
        <v>2015</v>
      </c>
      <c r="C460" s="2" t="s">
        <v>11</v>
      </c>
      <c r="D460" s="2" t="s">
        <v>40</v>
      </c>
      <c r="E460" s="2" t="s">
        <v>9</v>
      </c>
      <c r="F460" s="2" t="s">
        <v>10</v>
      </c>
      <c r="G460" s="2">
        <f t="shared" si="25"/>
        <v>0.50596903096902601</v>
      </c>
      <c r="H460" s="5">
        <v>4.1010121457489479</v>
      </c>
      <c r="I460" s="2">
        <v>247</v>
      </c>
      <c r="J460" s="57">
        <f>I460/Pondération!$H$91</f>
        <v>0.12337662337662338</v>
      </c>
      <c r="K460" s="2"/>
      <c r="L460" s="2"/>
      <c r="M460" s="2"/>
      <c r="N460" s="2"/>
      <c r="O460" s="2"/>
      <c r="P460"/>
    </row>
    <row r="461" spans="1:16" x14ac:dyDescent="0.25">
      <c r="A461" s="2" t="s">
        <v>6</v>
      </c>
      <c r="B461" s="2">
        <v>2015</v>
      </c>
      <c r="C461" s="2" t="s">
        <v>12</v>
      </c>
      <c r="D461" s="2" t="s">
        <v>40</v>
      </c>
      <c r="E461" s="2" t="s">
        <v>9</v>
      </c>
      <c r="F461" s="2" t="s">
        <v>10</v>
      </c>
      <c r="G461" s="2">
        <f t="shared" si="25"/>
        <v>0.40604395604395555</v>
      </c>
      <c r="H461" s="5">
        <v>4.0442786069651691</v>
      </c>
      <c r="I461" s="2">
        <v>201</v>
      </c>
      <c r="J461" s="57">
        <f>I461/Pondération!$H$91</f>
        <v>0.1003996003996004</v>
      </c>
      <c r="K461" s="2"/>
      <c r="L461" s="2"/>
      <c r="M461" s="2"/>
      <c r="N461" s="2"/>
      <c r="O461" s="2"/>
      <c r="P461"/>
    </row>
    <row r="462" spans="1:16" x14ac:dyDescent="0.25">
      <c r="A462" s="2" t="s">
        <v>6</v>
      </c>
      <c r="B462" s="2">
        <v>2015</v>
      </c>
      <c r="C462" s="2" t="s">
        <v>13</v>
      </c>
      <c r="D462" s="2" t="s">
        <v>40</v>
      </c>
      <c r="E462" s="2" t="s">
        <v>9</v>
      </c>
      <c r="F462" s="2" t="s">
        <v>10</v>
      </c>
      <c r="G462" s="2">
        <f t="shared" si="25"/>
        <v>0.45529470529470478</v>
      </c>
      <c r="H462" s="5">
        <v>3.9978070175438551</v>
      </c>
      <c r="I462" s="2">
        <v>228</v>
      </c>
      <c r="J462" s="57">
        <f>I462/Pondération!$H$91</f>
        <v>0.11388611388611389</v>
      </c>
      <c r="K462" s="2"/>
      <c r="L462" s="2"/>
      <c r="M462" s="2"/>
      <c r="N462" s="2"/>
      <c r="O462" s="2"/>
      <c r="P462"/>
    </row>
    <row r="463" spans="1:16" x14ac:dyDescent="0.25">
      <c r="A463" s="2" t="s">
        <v>6</v>
      </c>
      <c r="B463" s="2">
        <v>2015</v>
      </c>
      <c r="C463" s="2" t="s">
        <v>14</v>
      </c>
      <c r="D463" s="2" t="s">
        <v>40</v>
      </c>
      <c r="E463" s="2" t="s">
        <v>9</v>
      </c>
      <c r="F463" s="2" t="s">
        <v>10</v>
      </c>
      <c r="G463" s="2">
        <f t="shared" si="25"/>
        <v>0.63061938061938061</v>
      </c>
      <c r="H463" s="5">
        <v>4.1258169934640527</v>
      </c>
      <c r="I463" s="2">
        <v>306</v>
      </c>
      <c r="J463" s="57">
        <f>I463/Pondération!$H$91</f>
        <v>0.15284715284715283</v>
      </c>
      <c r="K463" s="2"/>
      <c r="L463" s="2"/>
      <c r="M463" s="2"/>
      <c r="N463" s="2"/>
      <c r="O463" s="2"/>
      <c r="P463"/>
    </row>
    <row r="464" spans="1:16" x14ac:dyDescent="0.25">
      <c r="A464" s="2" t="s">
        <v>6</v>
      </c>
      <c r="B464" s="2">
        <v>2015</v>
      </c>
      <c r="C464" s="2" t="s">
        <v>15</v>
      </c>
      <c r="D464" s="2" t="s">
        <v>40</v>
      </c>
      <c r="E464" s="2" t="s">
        <v>9</v>
      </c>
      <c r="F464" s="2" t="s">
        <v>10</v>
      </c>
      <c r="G464" s="2">
        <f t="shared" si="25"/>
        <v>0.65224775224774734</v>
      </c>
      <c r="H464" s="5">
        <v>4.1322784810126265</v>
      </c>
      <c r="I464" s="2">
        <v>316</v>
      </c>
      <c r="J464" s="57">
        <f>I464/Pondération!$H$91</f>
        <v>0.15784215784215785</v>
      </c>
      <c r="K464" s="2"/>
      <c r="L464" s="2"/>
      <c r="M464" s="2"/>
      <c r="N464" s="2"/>
      <c r="O464" s="2"/>
      <c r="P464"/>
    </row>
    <row r="465" spans="1:15" customFormat="1" x14ac:dyDescent="0.25">
      <c r="A465" s="2" t="s">
        <v>6</v>
      </c>
      <c r="B465" s="2">
        <v>2015</v>
      </c>
      <c r="C465" s="2" t="s">
        <v>16</v>
      </c>
      <c r="D465" s="2" t="s">
        <v>40</v>
      </c>
      <c r="E465" s="2" t="s">
        <v>9</v>
      </c>
      <c r="F465" s="2" t="s">
        <v>10</v>
      </c>
      <c r="G465" s="2">
        <f t="shared" si="25"/>
        <v>0.56188811188810694</v>
      </c>
      <c r="H465" s="5">
        <v>4.1662962962962595</v>
      </c>
      <c r="I465" s="2">
        <v>270</v>
      </c>
      <c r="J465" s="57">
        <f>I465/Pondération!$H$91</f>
        <v>0.13486513486513488</v>
      </c>
      <c r="K465" s="2"/>
      <c r="L465" s="2"/>
      <c r="M465" s="2"/>
      <c r="N465" s="2"/>
      <c r="O465" s="2"/>
    </row>
    <row r="466" spans="1:15" customFormat="1" x14ac:dyDescent="0.25">
      <c r="A466" s="2" t="s">
        <v>6</v>
      </c>
      <c r="B466" s="2">
        <v>2015</v>
      </c>
      <c r="C466" s="2" t="s">
        <v>17</v>
      </c>
      <c r="D466" s="2" t="s">
        <v>40</v>
      </c>
      <c r="E466" s="2" t="s">
        <v>9</v>
      </c>
      <c r="F466" s="2" t="s">
        <v>10</v>
      </c>
      <c r="G466" s="2">
        <f t="shared" si="25"/>
        <v>0.65422077922077937</v>
      </c>
      <c r="H466" s="5">
        <v>4.0176380368098163</v>
      </c>
      <c r="I466" s="2">
        <v>326</v>
      </c>
      <c r="J466" s="57">
        <f>I466/Pondération!$H$91</f>
        <v>0.16283716283716285</v>
      </c>
      <c r="K466" s="2"/>
      <c r="L466" s="2"/>
      <c r="M466" s="2"/>
      <c r="N466" s="2"/>
      <c r="O466" s="2"/>
    </row>
    <row r="467" spans="1:15" customFormat="1" x14ac:dyDescent="0.25">
      <c r="A467" s="2" t="s">
        <v>6</v>
      </c>
      <c r="B467" s="2">
        <v>2016</v>
      </c>
      <c r="C467" s="2" t="s">
        <v>18</v>
      </c>
      <c r="D467" s="2" t="s">
        <v>40</v>
      </c>
      <c r="E467" s="2" t="s">
        <v>9</v>
      </c>
      <c r="F467" s="2" t="s">
        <v>10</v>
      </c>
      <c r="G467" s="2">
        <f t="shared" si="25"/>
        <v>0.1501737735596832</v>
      </c>
      <c r="H467" s="5">
        <v>4.1303308823529044</v>
      </c>
      <c r="I467" s="2">
        <v>272</v>
      </c>
      <c r="J467" s="57">
        <f>I467/Pondération!$G$91</f>
        <v>3.6358775564764072E-2</v>
      </c>
      <c r="K467" s="2"/>
      <c r="L467" s="2"/>
      <c r="M467" s="2"/>
      <c r="N467" s="2"/>
      <c r="O467" s="2"/>
    </row>
    <row r="468" spans="1:15" customFormat="1" x14ac:dyDescent="0.25">
      <c r="A468" s="2" t="s">
        <v>6</v>
      </c>
      <c r="B468" s="2">
        <v>2016</v>
      </c>
      <c r="C468" s="2" t="s">
        <v>19</v>
      </c>
      <c r="D468" s="2" t="s">
        <v>40</v>
      </c>
      <c r="E468" s="2" t="s">
        <v>9</v>
      </c>
      <c r="F468" s="2" t="s">
        <v>10</v>
      </c>
      <c r="G468" s="2">
        <f t="shared" si="25"/>
        <v>0.16534554203983293</v>
      </c>
      <c r="H468" s="5">
        <v>4.1508389261744636</v>
      </c>
      <c r="I468" s="2">
        <v>298</v>
      </c>
      <c r="J468" s="57">
        <f>I468/Pondération!$G$91</f>
        <v>3.9834246758454754E-2</v>
      </c>
      <c r="K468" s="2"/>
      <c r="L468" s="2"/>
      <c r="M468" s="2"/>
      <c r="N468" s="2"/>
      <c r="O468" s="2"/>
    </row>
    <row r="469" spans="1:15" customFormat="1" x14ac:dyDescent="0.25">
      <c r="A469" s="2" t="s">
        <v>6</v>
      </c>
      <c r="B469" s="2">
        <v>2016</v>
      </c>
      <c r="C469" s="2" t="s">
        <v>20</v>
      </c>
      <c r="D469" s="2" t="s">
        <v>40</v>
      </c>
      <c r="E469" s="2" t="s">
        <v>9</v>
      </c>
      <c r="F469" s="2" t="s">
        <v>10</v>
      </c>
      <c r="G469" s="2">
        <f t="shared" si="25"/>
        <v>0.22942120037428151</v>
      </c>
      <c r="H469" s="5">
        <v>4.0383529411764707</v>
      </c>
      <c r="I469" s="2">
        <v>425</v>
      </c>
      <c r="J469" s="57">
        <f>I469/Pondération!$G$91</f>
        <v>5.6810586819943859E-2</v>
      </c>
      <c r="K469" s="2"/>
      <c r="L469" s="2"/>
      <c r="M469" s="2"/>
      <c r="N469" s="2"/>
      <c r="O469" s="2"/>
    </row>
    <row r="470" spans="1:15" customFormat="1" x14ac:dyDescent="0.25">
      <c r="A470" s="2" t="s">
        <v>6</v>
      </c>
      <c r="B470" s="2">
        <v>2016</v>
      </c>
      <c r="C470" s="2" t="s">
        <v>21</v>
      </c>
      <c r="D470" s="2" t="s">
        <v>40</v>
      </c>
      <c r="E470" s="2" t="s">
        <v>9</v>
      </c>
      <c r="F470" s="2" t="s">
        <v>10</v>
      </c>
      <c r="G470" s="2">
        <f t="shared" si="25"/>
        <v>0.26332041170966447</v>
      </c>
      <c r="H470" s="5">
        <v>3.9715725806451614</v>
      </c>
      <c r="I470" s="2">
        <v>496</v>
      </c>
      <c r="J470" s="57">
        <f>I470/Pondération!$G$91</f>
        <v>6.6301296618099179E-2</v>
      </c>
      <c r="K470" s="2"/>
      <c r="L470" s="2"/>
      <c r="M470" s="2"/>
      <c r="N470" s="2"/>
      <c r="O470" s="2"/>
    </row>
    <row r="471" spans="1:15" customFormat="1" x14ac:dyDescent="0.25">
      <c r="A471" s="2" t="s">
        <v>6</v>
      </c>
      <c r="B471" s="2">
        <v>2016</v>
      </c>
      <c r="C471" s="2" t="s">
        <v>22</v>
      </c>
      <c r="D471" s="2" t="s">
        <v>40</v>
      </c>
      <c r="E471" s="2" t="s">
        <v>9</v>
      </c>
      <c r="F471" s="2" t="s">
        <v>10</v>
      </c>
      <c r="G471" s="2">
        <f t="shared" si="25"/>
        <v>0.37015104932495657</v>
      </c>
      <c r="H471" s="5">
        <v>3.9900576368876077</v>
      </c>
      <c r="I471" s="2">
        <v>694</v>
      </c>
      <c r="J471" s="57">
        <f>I471/Pondération!$G$91</f>
        <v>9.2768346477743624E-2</v>
      </c>
      <c r="K471" s="2"/>
      <c r="L471" s="2"/>
      <c r="M471" s="2"/>
      <c r="N471" s="2"/>
      <c r="O471" s="2"/>
    </row>
    <row r="472" spans="1:15" customFormat="1" x14ac:dyDescent="0.25">
      <c r="A472" s="2" t="s">
        <v>6</v>
      </c>
      <c r="B472" s="2">
        <v>2016</v>
      </c>
      <c r="C472" s="2" t="s">
        <v>23</v>
      </c>
      <c r="D472" s="2" t="s">
        <v>40</v>
      </c>
      <c r="E472" s="2" t="s">
        <v>9</v>
      </c>
      <c r="F472" s="2" t="s">
        <v>10</v>
      </c>
      <c r="G472" s="2">
        <f t="shared" si="25"/>
        <v>0.27916054003475471</v>
      </c>
      <c r="H472" s="5">
        <v>3.8602587800369688</v>
      </c>
      <c r="I472" s="2">
        <v>541</v>
      </c>
      <c r="J472" s="57">
        <f>I472/Pondération!$G$91</f>
        <v>7.231653522256383E-2</v>
      </c>
      <c r="K472" s="2"/>
      <c r="L472" s="2"/>
      <c r="M472" s="2"/>
      <c r="N472" s="2"/>
      <c r="O472" s="2"/>
    </row>
    <row r="473" spans="1:15" customFormat="1" x14ac:dyDescent="0.25">
      <c r="A473" s="2" t="s">
        <v>6</v>
      </c>
      <c r="B473" s="2">
        <v>2016</v>
      </c>
      <c r="C473" s="2" t="s">
        <v>24</v>
      </c>
      <c r="D473" s="2" t="s">
        <v>40</v>
      </c>
      <c r="E473" s="2" t="s">
        <v>9</v>
      </c>
      <c r="F473" s="2" t="s">
        <v>10</v>
      </c>
      <c r="G473" s="2">
        <f t="shared" si="25"/>
        <v>0.29729314262799089</v>
      </c>
      <c r="H473" s="5">
        <v>3.8611979166666668</v>
      </c>
      <c r="I473" s="2">
        <v>576</v>
      </c>
      <c r="J473" s="57">
        <f>I473/Pondération!$G$91</f>
        <v>7.699505413714744E-2</v>
      </c>
      <c r="K473" s="2"/>
      <c r="L473" s="2"/>
      <c r="M473" s="2"/>
      <c r="N473" s="2"/>
      <c r="O473" s="2"/>
    </row>
    <row r="474" spans="1:15" customFormat="1" x14ac:dyDescent="0.25">
      <c r="A474" s="2" t="s">
        <v>6</v>
      </c>
      <c r="B474" s="2">
        <v>2016</v>
      </c>
      <c r="C474" s="2" t="s">
        <v>25</v>
      </c>
      <c r="D474" s="2" t="s">
        <v>40</v>
      </c>
      <c r="E474" s="2" t="s">
        <v>9</v>
      </c>
      <c r="F474" s="2" t="s">
        <v>10</v>
      </c>
      <c r="G474" s="2">
        <f t="shared" si="25"/>
        <v>0.36932228311723031</v>
      </c>
      <c r="H474" s="5">
        <v>3.9470000000000001</v>
      </c>
      <c r="I474" s="2">
        <v>700</v>
      </c>
      <c r="J474" s="57">
        <f>I474/Pondération!$G$91</f>
        <v>9.3570378291672238E-2</v>
      </c>
      <c r="K474" s="2"/>
      <c r="L474" s="2"/>
      <c r="M474" s="2"/>
      <c r="N474" s="2"/>
      <c r="O474" s="2"/>
    </row>
    <row r="475" spans="1:15" customFormat="1" x14ac:dyDescent="0.25">
      <c r="A475" s="2" t="s">
        <v>6</v>
      </c>
      <c r="B475" s="2">
        <v>2016</v>
      </c>
      <c r="C475" s="2" t="s">
        <v>26</v>
      </c>
      <c r="D475" s="2" t="s">
        <v>40</v>
      </c>
      <c r="E475" s="2" t="s">
        <v>9</v>
      </c>
      <c r="F475" s="2" t="s">
        <v>10</v>
      </c>
      <c r="G475" s="2">
        <f t="shared" si="25"/>
        <v>0.34967250367597918</v>
      </c>
      <c r="H475" s="5">
        <v>3.9043283582089554</v>
      </c>
      <c r="I475" s="2">
        <v>670</v>
      </c>
      <c r="J475" s="57">
        <f>I475/Pondération!$G$91</f>
        <v>8.9560219222029142E-2</v>
      </c>
      <c r="K475" s="2"/>
      <c r="L475" s="2"/>
      <c r="M475" s="2"/>
      <c r="N475" s="2"/>
      <c r="O475" s="2"/>
    </row>
    <row r="476" spans="1:15" customFormat="1" x14ac:dyDescent="0.25">
      <c r="A476" s="2" t="s">
        <v>6</v>
      </c>
      <c r="B476" s="2">
        <v>2016</v>
      </c>
      <c r="C476" s="2" t="s">
        <v>27</v>
      </c>
      <c r="D476" s="2" t="s">
        <v>40</v>
      </c>
      <c r="E476" s="2" t="s">
        <v>9</v>
      </c>
      <c r="F476" s="2" t="s">
        <v>10</v>
      </c>
      <c r="G476" s="2">
        <f t="shared" si="25"/>
        <v>0.44804838925277374</v>
      </c>
      <c r="H476" s="5">
        <v>3.9248829039812647</v>
      </c>
      <c r="I476" s="2">
        <v>854</v>
      </c>
      <c r="J476" s="57">
        <f>I476/Pondération!$G$91</f>
        <v>0.11415586151584013</v>
      </c>
      <c r="K476" s="2"/>
      <c r="L476" s="2"/>
      <c r="M476" s="2"/>
      <c r="N476" s="2"/>
      <c r="O476" s="2"/>
    </row>
    <row r="477" spans="1:15" customFormat="1" x14ac:dyDescent="0.25">
      <c r="A477" s="2" t="s">
        <v>6</v>
      </c>
      <c r="B477" s="2">
        <v>2016</v>
      </c>
      <c r="C477" s="2" t="s">
        <v>28</v>
      </c>
      <c r="D477" s="2" t="s">
        <v>40</v>
      </c>
      <c r="E477" s="2" t="s">
        <v>9</v>
      </c>
      <c r="F477" s="2" t="s">
        <v>10</v>
      </c>
      <c r="G477" s="2">
        <f t="shared" si="25"/>
        <v>0.41411575992514371</v>
      </c>
      <c r="H477" s="5">
        <v>3.9264892268694549</v>
      </c>
      <c r="I477" s="2">
        <v>789</v>
      </c>
      <c r="J477" s="57">
        <f>I477/Pondération!$G$91</f>
        <v>0.10546718353161343</v>
      </c>
      <c r="K477" s="2"/>
      <c r="L477" s="2"/>
      <c r="M477" s="2"/>
      <c r="N477" s="2"/>
      <c r="O477" s="2"/>
    </row>
    <row r="478" spans="1:15" customFormat="1" x14ac:dyDescent="0.25">
      <c r="A478" s="2" t="s">
        <v>6</v>
      </c>
      <c r="B478" s="2">
        <v>2016</v>
      </c>
      <c r="C478" s="2" t="s">
        <v>29</v>
      </c>
      <c r="D478" s="2" t="s">
        <v>40</v>
      </c>
      <c r="E478" s="2" t="s">
        <v>9</v>
      </c>
      <c r="F478" s="2" t="s">
        <v>10</v>
      </c>
      <c r="G478" s="2">
        <f t="shared" si="25"/>
        <v>0.62541772490308645</v>
      </c>
      <c r="H478" s="5">
        <v>4.0126500857632843</v>
      </c>
      <c r="I478" s="2">
        <v>1166</v>
      </c>
      <c r="J478" s="57">
        <f>I478/Pondération!$G$91</f>
        <v>0.15586151584012833</v>
      </c>
      <c r="K478" s="2"/>
      <c r="L478" s="2"/>
      <c r="M478" s="2"/>
      <c r="N478" s="2"/>
      <c r="O478" s="2"/>
    </row>
    <row r="479" spans="1:15" customFormat="1" x14ac:dyDescent="0.25">
      <c r="A479" s="2" t="s">
        <v>6</v>
      </c>
      <c r="B479" s="2">
        <v>2017</v>
      </c>
      <c r="C479" s="2" t="s">
        <v>30</v>
      </c>
      <c r="D479" s="2" t="s">
        <v>40</v>
      </c>
      <c r="E479" s="2" t="s">
        <v>9</v>
      </c>
      <c r="F479" s="2" t="s">
        <v>10</v>
      </c>
      <c r="G479" s="2">
        <f t="shared" si="25"/>
        <v>0.88222591362126457</v>
      </c>
      <c r="H479" s="5">
        <v>3.963432835820905</v>
      </c>
      <c r="I479" s="2">
        <v>1072</v>
      </c>
      <c r="J479" s="57">
        <f>I479/Pondération!$F$91</f>
        <v>0.22259136212624583</v>
      </c>
      <c r="K479" s="2"/>
      <c r="L479" s="2"/>
      <c r="M479" s="2"/>
      <c r="N479" s="2"/>
      <c r="O479" s="2"/>
    </row>
    <row r="480" spans="1:15" customFormat="1" x14ac:dyDescent="0.25">
      <c r="A480" s="2" t="s">
        <v>6</v>
      </c>
      <c r="B480" s="2">
        <v>2017</v>
      </c>
      <c r="C480" s="2" t="s">
        <v>31</v>
      </c>
      <c r="D480" s="2" t="s">
        <v>40</v>
      </c>
      <c r="E480" s="2" t="s">
        <v>9</v>
      </c>
      <c r="F480" s="2" t="s">
        <v>10</v>
      </c>
      <c r="G480" s="2">
        <f t="shared" si="25"/>
        <v>0.75460963455149699</v>
      </c>
      <c r="H480" s="5">
        <v>4.0879640044994483</v>
      </c>
      <c r="I480" s="2">
        <v>889</v>
      </c>
      <c r="J480" s="57">
        <f>I480/Pondération!$F$91</f>
        <v>0.18459302325581395</v>
      </c>
      <c r="K480" s="2"/>
      <c r="L480" s="2"/>
      <c r="M480" s="2"/>
      <c r="N480" s="2"/>
      <c r="O480" s="2"/>
    </row>
    <row r="481" spans="1:16" x14ac:dyDescent="0.25">
      <c r="A481" s="2" t="s">
        <v>6</v>
      </c>
      <c r="B481" s="2">
        <v>2017</v>
      </c>
      <c r="C481" s="2" t="s">
        <v>32</v>
      </c>
      <c r="D481" s="2" t="s">
        <v>40</v>
      </c>
      <c r="E481" s="2" t="s">
        <v>9</v>
      </c>
      <c r="F481" s="2" t="s">
        <v>10</v>
      </c>
      <c r="G481" s="2">
        <f t="shared" si="25"/>
        <v>0.79717607973422122</v>
      </c>
      <c r="H481" s="5">
        <v>4.0033368091762354</v>
      </c>
      <c r="I481" s="2">
        <v>959</v>
      </c>
      <c r="J481" s="57">
        <f>I481/Pondération!$F$91</f>
        <v>0.19912790697674418</v>
      </c>
      <c r="K481" s="2"/>
      <c r="L481" s="2"/>
      <c r="M481" s="2"/>
      <c r="N481" s="2"/>
      <c r="O481" s="2"/>
      <c r="P481"/>
    </row>
    <row r="482" spans="1:16" x14ac:dyDescent="0.25">
      <c r="A482" s="2" t="s">
        <v>6</v>
      </c>
      <c r="B482" s="2">
        <v>2017</v>
      </c>
      <c r="C482" s="2" t="s">
        <v>33</v>
      </c>
      <c r="D482" s="2" t="s">
        <v>40</v>
      </c>
      <c r="E482" s="2" t="s">
        <v>9</v>
      </c>
      <c r="F482" s="2" t="s">
        <v>10</v>
      </c>
      <c r="G482" s="2">
        <f t="shared" si="25"/>
        <v>0.89643895348837221</v>
      </c>
      <c r="H482" s="5">
        <v>3.9680606617647061</v>
      </c>
      <c r="I482" s="2">
        <v>1088</v>
      </c>
      <c r="J482" s="57">
        <f>I482/Pondération!$F$91</f>
        <v>0.22591362126245848</v>
      </c>
      <c r="K482" s="2"/>
      <c r="L482" s="2"/>
      <c r="M482" s="2"/>
      <c r="N482" s="2"/>
      <c r="O482" s="2"/>
      <c r="P482"/>
    </row>
    <row r="483" spans="1:16" x14ac:dyDescent="0.25">
      <c r="A483" s="2" t="s">
        <v>6</v>
      </c>
      <c r="B483" s="2">
        <v>2017</v>
      </c>
      <c r="C483" s="2" t="s">
        <v>34</v>
      </c>
      <c r="D483" s="2" t="s">
        <v>40</v>
      </c>
      <c r="E483" s="2" t="s">
        <v>9</v>
      </c>
      <c r="F483" s="2" t="s">
        <v>10</v>
      </c>
      <c r="G483" s="2">
        <f t="shared" si="25"/>
        <v>0.66327865448504975</v>
      </c>
      <c r="H483" s="5">
        <v>3.9534034653465344</v>
      </c>
      <c r="I483" s="2">
        <v>808</v>
      </c>
      <c r="J483" s="57">
        <f>I483/Pondération!$F$91</f>
        <v>0.16777408637873753</v>
      </c>
      <c r="K483" s="2"/>
      <c r="L483" s="2"/>
      <c r="M483" s="2"/>
      <c r="N483" s="2"/>
      <c r="O483" s="2"/>
      <c r="P483"/>
    </row>
    <row r="484" spans="1:16" x14ac:dyDescent="0.25">
      <c r="A484" s="2" t="s">
        <v>47</v>
      </c>
      <c r="B484" s="2">
        <v>2013</v>
      </c>
      <c r="C484" s="2" t="s">
        <v>49</v>
      </c>
      <c r="D484" s="2" t="s">
        <v>40</v>
      </c>
      <c r="E484" s="2" t="s">
        <v>9</v>
      </c>
      <c r="F484" s="2" t="s">
        <v>48</v>
      </c>
      <c r="G484" s="2">
        <f t="shared" si="25"/>
        <v>0.15557324840764331</v>
      </c>
      <c r="H484" s="5">
        <v>4.2112068965517242</v>
      </c>
      <c r="I484" s="2">
        <v>58</v>
      </c>
      <c r="J484" s="57">
        <f>I484/Pondération!$J$92</f>
        <v>3.6942675159235668E-2</v>
      </c>
      <c r="K484" s="5">
        <v>4.2068965517241379</v>
      </c>
      <c r="L484" s="5">
        <f t="shared" ref="L484:L536" si="26">K484*$J484</f>
        <v>0.1554140127388535</v>
      </c>
      <c r="M484" s="5">
        <v>4.1724137931034484</v>
      </c>
      <c r="N484" s="5">
        <f t="shared" ref="N484:N536" si="27">M484*$J484</f>
        <v>0.15414012738853503</v>
      </c>
      <c r="O484" s="5">
        <v>4.2586206896551726</v>
      </c>
      <c r="P484" s="15">
        <f t="shared" ref="P484:P536" si="28">O484*$J484</f>
        <v>0.1573248407643312</v>
      </c>
    </row>
    <row r="485" spans="1:16" x14ac:dyDescent="0.25">
      <c r="A485" s="2" t="s">
        <v>47</v>
      </c>
      <c r="B485" s="2">
        <v>2013</v>
      </c>
      <c r="C485" s="2" t="s">
        <v>50</v>
      </c>
      <c r="D485" s="2" t="s">
        <v>40</v>
      </c>
      <c r="E485" s="2" t="s">
        <v>9</v>
      </c>
      <c r="F485" s="2" t="s">
        <v>48</v>
      </c>
      <c r="G485" s="2">
        <f t="shared" si="25"/>
        <v>0.31385350318471339</v>
      </c>
      <c r="H485" s="5">
        <v>4.2478448275862073</v>
      </c>
      <c r="I485" s="2">
        <v>116</v>
      </c>
      <c r="J485" s="57">
        <f>I485/Pondération!$J$92</f>
        <v>7.3885350318471335E-2</v>
      </c>
      <c r="K485" s="5">
        <v>4.2672413793103452</v>
      </c>
      <c r="L485" s="5">
        <f t="shared" si="26"/>
        <v>0.3152866242038217</v>
      </c>
      <c r="M485" s="5">
        <v>4.2068965517241379</v>
      </c>
      <c r="N485" s="5">
        <f t="shared" si="27"/>
        <v>0.31082802547770699</v>
      </c>
      <c r="O485" s="5">
        <v>4.25</v>
      </c>
      <c r="P485" s="15">
        <f t="shared" si="28"/>
        <v>0.31401273885350317</v>
      </c>
    </row>
    <row r="486" spans="1:16" x14ac:dyDescent="0.25">
      <c r="A486" s="2" t="s">
        <v>47</v>
      </c>
      <c r="B486" s="2">
        <v>2013</v>
      </c>
      <c r="C486" s="2" t="s">
        <v>51</v>
      </c>
      <c r="D486" s="2" t="s">
        <v>40</v>
      </c>
      <c r="E486" s="2" t="s">
        <v>9</v>
      </c>
      <c r="F486" s="2" t="s">
        <v>48</v>
      </c>
      <c r="G486" s="2">
        <f t="shared" si="25"/>
        <v>0.18168789808917196</v>
      </c>
      <c r="H486" s="5">
        <v>4.2574626865671643</v>
      </c>
      <c r="I486" s="2">
        <v>67</v>
      </c>
      <c r="J486" s="57">
        <f>I486/Pondération!$J$92</f>
        <v>4.2675159235668787E-2</v>
      </c>
      <c r="K486" s="5">
        <v>4.2537313432835822</v>
      </c>
      <c r="L486" s="5">
        <f t="shared" si="26"/>
        <v>0.18152866242038215</v>
      </c>
      <c r="M486" s="5">
        <v>4.3731343283582094</v>
      </c>
      <c r="N486" s="5">
        <f t="shared" si="27"/>
        <v>0.18662420382165607</v>
      </c>
      <c r="O486" s="5">
        <v>4.1492537313432836</v>
      </c>
      <c r="P486" s="15">
        <f t="shared" si="28"/>
        <v>0.1770700636942675</v>
      </c>
    </row>
    <row r="487" spans="1:16" x14ac:dyDescent="0.25">
      <c r="A487" s="2" t="s">
        <v>47</v>
      </c>
      <c r="B487" s="2">
        <v>2013</v>
      </c>
      <c r="C487" s="2" t="s">
        <v>52</v>
      </c>
      <c r="D487" s="2" t="s">
        <v>40</v>
      </c>
      <c r="E487" s="2" t="s">
        <v>9</v>
      </c>
      <c r="F487" s="2" t="s">
        <v>48</v>
      </c>
      <c r="G487" s="2">
        <f t="shared" si="25"/>
        <v>0.21449044585987265</v>
      </c>
      <c r="H487" s="5">
        <v>4.3733766233766236</v>
      </c>
      <c r="I487" s="2">
        <v>77</v>
      </c>
      <c r="J487" s="57">
        <f>I487/Pondération!$J$92</f>
        <v>4.9044585987261149E-2</v>
      </c>
      <c r="K487" s="5">
        <v>4.2857142857142856</v>
      </c>
      <c r="L487" s="5">
        <f t="shared" si="26"/>
        <v>0.21019108280254778</v>
      </c>
      <c r="M487" s="5">
        <v>4.5584415584415581</v>
      </c>
      <c r="N487" s="5">
        <f t="shared" si="27"/>
        <v>0.22356687898089173</v>
      </c>
      <c r="O487" s="5">
        <v>4.3636363636363633</v>
      </c>
      <c r="P487" s="15">
        <f t="shared" si="28"/>
        <v>0.21401273885350319</v>
      </c>
    </row>
    <row r="488" spans="1:16" x14ac:dyDescent="0.25">
      <c r="A488" s="2" t="s">
        <v>47</v>
      </c>
      <c r="B488" s="2">
        <v>2013</v>
      </c>
      <c r="C488" s="2" t="s">
        <v>53</v>
      </c>
      <c r="D488" s="2" t="s">
        <v>40</v>
      </c>
      <c r="E488" s="2" t="s">
        <v>9</v>
      </c>
      <c r="F488" s="2" t="s">
        <v>48</v>
      </c>
      <c r="G488" s="2">
        <f t="shared" si="25"/>
        <v>0.32500000000000001</v>
      </c>
      <c r="H488" s="5">
        <v>4.4369565217391305</v>
      </c>
      <c r="I488" s="2">
        <v>115</v>
      </c>
      <c r="J488" s="57">
        <f>I488/Pondération!$J$92</f>
        <v>7.32484076433121E-2</v>
      </c>
      <c r="K488" s="5">
        <v>4.4956521739130437</v>
      </c>
      <c r="L488" s="5">
        <f t="shared" si="26"/>
        <v>0.32929936305732482</v>
      </c>
      <c r="M488" s="5">
        <v>4.4521739130434783</v>
      </c>
      <c r="N488" s="5">
        <f t="shared" si="27"/>
        <v>0.32611464968152865</v>
      </c>
      <c r="O488" s="5">
        <v>4.3043478260869561</v>
      </c>
      <c r="P488" s="15">
        <f t="shared" si="28"/>
        <v>0.31528662420382164</v>
      </c>
    </row>
    <row r="489" spans="1:16" x14ac:dyDescent="0.25">
      <c r="A489" s="2" t="s">
        <v>47</v>
      </c>
      <c r="B489" s="2">
        <v>2013</v>
      </c>
      <c r="C489" s="2" t="s">
        <v>54</v>
      </c>
      <c r="D489" s="2" t="s">
        <v>40</v>
      </c>
      <c r="E489" s="2" t="s">
        <v>9</v>
      </c>
      <c r="F489" s="2" t="s">
        <v>48</v>
      </c>
      <c r="G489" s="2">
        <f t="shared" si="25"/>
        <v>0.44140127388535033</v>
      </c>
      <c r="H489" s="5">
        <v>4.5</v>
      </c>
      <c r="I489" s="2">
        <v>154</v>
      </c>
      <c r="J489" s="57">
        <f>I489/Pondération!$J$92</f>
        <v>9.8089171974522299E-2</v>
      </c>
      <c r="K489" s="5">
        <v>4.5714285714285712</v>
      </c>
      <c r="L489" s="5">
        <f t="shared" si="26"/>
        <v>0.44840764331210192</v>
      </c>
      <c r="M489" s="5">
        <v>4.4870129870129869</v>
      </c>
      <c r="N489" s="5">
        <f t="shared" si="27"/>
        <v>0.44012738853503186</v>
      </c>
      <c r="O489" s="5">
        <v>4.3701298701298699</v>
      </c>
      <c r="P489" s="15">
        <f t="shared" si="28"/>
        <v>0.42866242038216562</v>
      </c>
    </row>
    <row r="490" spans="1:16" x14ac:dyDescent="0.25">
      <c r="A490" s="2" t="s">
        <v>47</v>
      </c>
      <c r="B490" s="2">
        <v>2013</v>
      </c>
      <c r="C490" s="2" t="s">
        <v>55</v>
      </c>
      <c r="D490" s="2" t="s">
        <v>40</v>
      </c>
      <c r="E490" s="2" t="s">
        <v>9</v>
      </c>
      <c r="F490" s="2" t="s">
        <v>48</v>
      </c>
      <c r="G490" s="2">
        <f t="shared" si="25"/>
        <v>0.38025477707006372</v>
      </c>
      <c r="H490" s="5">
        <v>4.4222222222222225</v>
      </c>
      <c r="I490" s="2">
        <v>135</v>
      </c>
      <c r="J490" s="57">
        <f>I490/Pondération!$J$92</f>
        <v>8.598726114649681E-2</v>
      </c>
      <c r="K490" s="5">
        <v>4.4814814814814818</v>
      </c>
      <c r="L490" s="5">
        <f t="shared" si="26"/>
        <v>0.38535031847133761</v>
      </c>
      <c r="M490" s="5">
        <v>4.4222222222222225</v>
      </c>
      <c r="N490" s="5">
        <f t="shared" si="27"/>
        <v>0.38025477707006372</v>
      </c>
      <c r="O490" s="5">
        <v>4.3037037037037038</v>
      </c>
      <c r="P490" s="15">
        <f t="shared" si="28"/>
        <v>0.3700636942675159</v>
      </c>
    </row>
    <row r="491" spans="1:16" x14ac:dyDescent="0.25">
      <c r="A491" s="2" t="s">
        <v>47</v>
      </c>
      <c r="B491" s="2">
        <v>2013</v>
      </c>
      <c r="C491" s="2" t="s">
        <v>56</v>
      </c>
      <c r="D491" s="2" t="s">
        <v>40</v>
      </c>
      <c r="E491" s="2" t="s">
        <v>9</v>
      </c>
      <c r="F491" s="2" t="s">
        <v>48</v>
      </c>
      <c r="G491" s="2">
        <f t="shared" si="25"/>
        <v>0.39171974522292996</v>
      </c>
      <c r="H491" s="5">
        <v>4.5220588235294121</v>
      </c>
      <c r="I491" s="2">
        <v>136</v>
      </c>
      <c r="J491" s="57">
        <f>I491/Pondération!$J$92</f>
        <v>8.6624203821656046E-2</v>
      </c>
      <c r="K491" s="5">
        <v>4.5735294117647056</v>
      </c>
      <c r="L491" s="5">
        <f t="shared" si="26"/>
        <v>0.39617834394904455</v>
      </c>
      <c r="M491" s="5">
        <v>4.5367647058823533</v>
      </c>
      <c r="N491" s="5">
        <f t="shared" si="27"/>
        <v>0.39299363057324843</v>
      </c>
      <c r="O491" s="5">
        <v>4.4044117647058822</v>
      </c>
      <c r="P491" s="15">
        <f t="shared" si="28"/>
        <v>0.38152866242038214</v>
      </c>
    </row>
    <row r="492" spans="1:16" x14ac:dyDescent="0.25">
      <c r="A492" s="2" t="s">
        <v>47</v>
      </c>
      <c r="B492" s="2">
        <v>2013</v>
      </c>
      <c r="C492" s="2" t="s">
        <v>57</v>
      </c>
      <c r="D492" s="2" t="s">
        <v>40</v>
      </c>
      <c r="E492" s="2" t="s">
        <v>9</v>
      </c>
      <c r="F492" s="2" t="s">
        <v>48</v>
      </c>
      <c r="G492" s="2">
        <f t="shared" si="25"/>
        <v>0.41576433121019107</v>
      </c>
      <c r="H492" s="5">
        <v>4.596830985915493</v>
      </c>
      <c r="I492" s="2">
        <v>142</v>
      </c>
      <c r="J492" s="57">
        <f>I492/Pondération!$J$92</f>
        <v>9.0445859872611459E-2</v>
      </c>
      <c r="K492" s="5">
        <v>4.6901408450704229</v>
      </c>
      <c r="L492" s="5">
        <f t="shared" si="26"/>
        <v>0.42420382165605097</v>
      </c>
      <c r="M492" s="5">
        <v>4.640845070422535</v>
      </c>
      <c r="N492" s="5">
        <f t="shared" si="27"/>
        <v>0.41974522292993627</v>
      </c>
      <c r="O492" s="5">
        <v>4.3661971830985919</v>
      </c>
      <c r="P492" s="15">
        <f t="shared" si="28"/>
        <v>0.39490445859872614</v>
      </c>
    </row>
    <row r="493" spans="1:16" x14ac:dyDescent="0.25">
      <c r="A493" s="2" t="s">
        <v>47</v>
      </c>
      <c r="B493" s="2">
        <v>2013</v>
      </c>
      <c r="C493" s="2" t="s">
        <v>58</v>
      </c>
      <c r="D493" s="2" t="s">
        <v>40</v>
      </c>
      <c r="E493" s="2" t="s">
        <v>9</v>
      </c>
      <c r="F493" s="2" t="s">
        <v>48</v>
      </c>
      <c r="G493" s="2">
        <f t="shared" si="25"/>
        <v>0.59570063694267517</v>
      </c>
      <c r="H493" s="5">
        <v>4.5181159420289854</v>
      </c>
      <c r="I493" s="2">
        <v>207</v>
      </c>
      <c r="J493" s="57">
        <f>I493/Pondération!$J$92</f>
        <v>0.13184713375796178</v>
      </c>
      <c r="K493" s="5">
        <v>4.5845410628019323</v>
      </c>
      <c r="L493" s="5">
        <f t="shared" si="26"/>
        <v>0.60445859872611463</v>
      </c>
      <c r="M493" s="5">
        <v>4.5362318840579707</v>
      </c>
      <c r="N493" s="5">
        <f t="shared" si="27"/>
        <v>0.59808917197452227</v>
      </c>
      <c r="O493" s="5">
        <v>4.3671497584541061</v>
      </c>
      <c r="P493" s="15">
        <f t="shared" si="28"/>
        <v>0.57579617834394903</v>
      </c>
    </row>
    <row r="494" spans="1:16" x14ac:dyDescent="0.25">
      <c r="A494" s="2" t="s">
        <v>47</v>
      </c>
      <c r="B494" s="2">
        <v>2013</v>
      </c>
      <c r="C494" s="2" t="s">
        <v>59</v>
      </c>
      <c r="D494" s="2" t="s">
        <v>40</v>
      </c>
      <c r="E494" s="2" t="s">
        <v>9</v>
      </c>
      <c r="F494" s="2" t="s">
        <v>48</v>
      </c>
      <c r="G494" s="2">
        <f t="shared" si="25"/>
        <v>0.51624203821656056</v>
      </c>
      <c r="H494" s="5">
        <v>4.4048913043478262</v>
      </c>
      <c r="I494" s="2">
        <v>184</v>
      </c>
      <c r="J494" s="57">
        <f>I494/Pondération!$J$92</f>
        <v>0.11719745222929936</v>
      </c>
      <c r="K494" s="5">
        <v>4.4945652173913047</v>
      </c>
      <c r="L494" s="5">
        <f t="shared" si="26"/>
        <v>0.52675159235668789</v>
      </c>
      <c r="M494" s="5">
        <v>4.4130434782608692</v>
      </c>
      <c r="N494" s="5">
        <f t="shared" si="27"/>
        <v>0.51719745222929936</v>
      </c>
      <c r="O494" s="5">
        <v>4.2173913043478262</v>
      </c>
      <c r="P494" s="15">
        <f t="shared" si="28"/>
        <v>0.49426751592356688</v>
      </c>
    </row>
    <row r="495" spans="1:16" x14ac:dyDescent="0.25">
      <c r="A495" s="2" t="s">
        <v>47</v>
      </c>
      <c r="B495" s="2">
        <v>2013</v>
      </c>
      <c r="C495" s="2" t="s">
        <v>60</v>
      </c>
      <c r="D495" s="2" t="s">
        <v>40</v>
      </c>
      <c r="E495" s="2" t="s">
        <v>9</v>
      </c>
      <c r="F495" s="2" t="s">
        <v>48</v>
      </c>
      <c r="G495" s="2">
        <f t="shared" si="25"/>
        <v>0.51719745222929936</v>
      </c>
      <c r="H495" s="5">
        <v>4.5363128491620115</v>
      </c>
      <c r="I495" s="2">
        <v>179</v>
      </c>
      <c r="J495" s="57">
        <f>I495/Pondération!$J$92</f>
        <v>0.11401273885350319</v>
      </c>
      <c r="K495" s="5">
        <v>4.5642458100558656</v>
      </c>
      <c r="L495" s="5">
        <f t="shared" si="26"/>
        <v>0.52038216560509554</v>
      </c>
      <c r="M495" s="5">
        <v>4.6145251396648046</v>
      </c>
      <c r="N495" s="5">
        <f t="shared" si="27"/>
        <v>0.52611464968152866</v>
      </c>
      <c r="O495" s="5">
        <v>4.4022346368715084</v>
      </c>
      <c r="P495" s="15">
        <f t="shared" si="28"/>
        <v>0.50191082802547771</v>
      </c>
    </row>
    <row r="496" spans="1:16" x14ac:dyDescent="0.25">
      <c r="A496" s="2" t="s">
        <v>47</v>
      </c>
      <c r="B496" s="2">
        <v>2014</v>
      </c>
      <c r="C496" s="2" t="s">
        <v>61</v>
      </c>
      <c r="D496" s="2" t="s">
        <v>40</v>
      </c>
      <c r="E496" s="2" t="s">
        <v>9</v>
      </c>
      <c r="F496" s="2" t="s">
        <v>48</v>
      </c>
      <c r="G496" s="2">
        <f t="shared" si="25"/>
        <v>0.2845008389261745</v>
      </c>
      <c r="H496" s="5">
        <v>4.6139455782312924</v>
      </c>
      <c r="I496" s="2">
        <v>147</v>
      </c>
      <c r="J496" s="57">
        <f>I496/Pondération!$I$92</f>
        <v>6.1661073825503357E-2</v>
      </c>
      <c r="K496" s="5">
        <v>4.6598639455782314</v>
      </c>
      <c r="L496" s="5">
        <f t="shared" si="26"/>
        <v>0.28733221476510068</v>
      </c>
      <c r="M496" s="5">
        <v>4.6870748299319729</v>
      </c>
      <c r="N496" s="5">
        <f t="shared" si="27"/>
        <v>0.28901006711409399</v>
      </c>
      <c r="O496" s="5">
        <v>4.4489795918367347</v>
      </c>
      <c r="P496" s="15">
        <f t="shared" si="28"/>
        <v>0.27432885906040272</v>
      </c>
    </row>
    <row r="497" spans="1:16" x14ac:dyDescent="0.25">
      <c r="A497" s="2" t="s">
        <v>47</v>
      </c>
      <c r="B497" s="2">
        <v>2014</v>
      </c>
      <c r="C497" s="2" t="s">
        <v>62</v>
      </c>
      <c r="D497" s="2" t="s">
        <v>40</v>
      </c>
      <c r="E497" s="2" t="s">
        <v>9</v>
      </c>
      <c r="F497" s="2" t="s">
        <v>48</v>
      </c>
      <c r="G497" s="2">
        <f t="shared" si="25"/>
        <v>0.41652684563758391</v>
      </c>
      <c r="H497" s="5">
        <v>4.5342465753424657</v>
      </c>
      <c r="I497" s="2">
        <v>219</v>
      </c>
      <c r="J497" s="57">
        <f>I497/Pondération!$I$92</f>
        <v>9.186241610738255E-2</v>
      </c>
      <c r="K497" s="5">
        <v>4.5662100456621006</v>
      </c>
      <c r="L497" s="5">
        <f t="shared" si="26"/>
        <v>0.41946308724832215</v>
      </c>
      <c r="M497" s="5">
        <v>4.5799086757990866</v>
      </c>
      <c r="N497" s="5">
        <f t="shared" si="27"/>
        <v>0.42072147651006708</v>
      </c>
      <c r="O497" s="5">
        <v>4.4246575342465757</v>
      </c>
      <c r="P497" s="15">
        <f t="shared" si="28"/>
        <v>0.40645973154362419</v>
      </c>
    </row>
    <row r="498" spans="1:16" x14ac:dyDescent="0.25">
      <c r="A498" s="2" t="s">
        <v>47</v>
      </c>
      <c r="B498" s="2">
        <v>2014</v>
      </c>
      <c r="C498" s="2" t="s">
        <v>63</v>
      </c>
      <c r="D498" s="2" t="s">
        <v>40</v>
      </c>
      <c r="E498" s="2" t="s">
        <v>9</v>
      </c>
      <c r="F498" s="2" t="s">
        <v>48</v>
      </c>
      <c r="G498" s="2">
        <f t="shared" si="25"/>
        <v>0.29572147651006714</v>
      </c>
      <c r="H498" s="5">
        <v>4.2727272727272725</v>
      </c>
      <c r="I498" s="2">
        <v>165</v>
      </c>
      <c r="J498" s="57">
        <f>I498/Pondération!$I$92</f>
        <v>6.9211409395973159E-2</v>
      </c>
      <c r="K498" s="5">
        <v>4.3515151515151516</v>
      </c>
      <c r="L498" s="5">
        <f t="shared" si="26"/>
        <v>0.3011744966442953</v>
      </c>
      <c r="M498" s="5">
        <v>4.3030303030303028</v>
      </c>
      <c r="N498" s="5">
        <f t="shared" si="27"/>
        <v>0.29781879194630873</v>
      </c>
      <c r="O498" s="5">
        <v>4.084848484848485</v>
      </c>
      <c r="P498" s="15">
        <f t="shared" si="28"/>
        <v>0.28271812080536918</v>
      </c>
    </row>
    <row r="499" spans="1:16" x14ac:dyDescent="0.25">
      <c r="A499" s="2" t="s">
        <v>47</v>
      </c>
      <c r="B499" s="2">
        <v>2014</v>
      </c>
      <c r="C499" s="2" t="s">
        <v>64</v>
      </c>
      <c r="D499" s="2" t="s">
        <v>40</v>
      </c>
      <c r="E499" s="2" t="s">
        <v>9</v>
      </c>
      <c r="F499" s="2" t="s">
        <v>48</v>
      </c>
      <c r="G499" s="2">
        <f t="shared" si="25"/>
        <v>0.39020553691275167</v>
      </c>
      <c r="H499" s="5">
        <v>4.4723557692307692</v>
      </c>
      <c r="I499" s="2">
        <v>208</v>
      </c>
      <c r="J499" s="57">
        <f>I499/Pondération!$I$92</f>
        <v>8.7248322147651006E-2</v>
      </c>
      <c r="K499" s="5">
        <v>4.5384615384615383</v>
      </c>
      <c r="L499" s="5">
        <f t="shared" si="26"/>
        <v>0.39597315436241609</v>
      </c>
      <c r="M499" s="5">
        <v>4.5144230769230766</v>
      </c>
      <c r="N499" s="5">
        <f t="shared" si="27"/>
        <v>0.39387583892617445</v>
      </c>
      <c r="O499" s="5">
        <v>4.2980769230769234</v>
      </c>
      <c r="P499" s="15">
        <f t="shared" si="28"/>
        <v>0.375</v>
      </c>
    </row>
    <row r="500" spans="1:16" x14ac:dyDescent="0.25">
      <c r="A500" s="2" t="s">
        <v>47</v>
      </c>
      <c r="B500" s="2">
        <v>2014</v>
      </c>
      <c r="C500" s="2" t="s">
        <v>65</v>
      </c>
      <c r="D500" s="2" t="s">
        <v>40</v>
      </c>
      <c r="E500" s="2" t="s">
        <v>9</v>
      </c>
      <c r="F500" s="2" t="s">
        <v>48</v>
      </c>
      <c r="G500" s="2">
        <f t="shared" si="25"/>
        <v>0.41789010067114091</v>
      </c>
      <c r="H500" s="5">
        <v>4.5079185520361991</v>
      </c>
      <c r="I500" s="2">
        <v>221</v>
      </c>
      <c r="J500" s="57">
        <f>I500/Pondération!$I$92</f>
        <v>9.2701342281879193E-2</v>
      </c>
      <c r="K500" s="5">
        <v>4.5565610859728505</v>
      </c>
      <c r="L500" s="5">
        <f t="shared" si="26"/>
        <v>0.4223993288590604</v>
      </c>
      <c r="M500" s="5">
        <v>4.5475113122171944</v>
      </c>
      <c r="N500" s="5">
        <f t="shared" si="27"/>
        <v>0.42156040268456374</v>
      </c>
      <c r="O500" s="5">
        <v>4.3710407239819</v>
      </c>
      <c r="P500" s="15">
        <f t="shared" si="28"/>
        <v>0.40520134228187915</v>
      </c>
    </row>
    <row r="501" spans="1:16" x14ac:dyDescent="0.25">
      <c r="A501" s="2" t="s">
        <v>47</v>
      </c>
      <c r="B501" s="2">
        <v>2014</v>
      </c>
      <c r="C501" s="2" t="s">
        <v>66</v>
      </c>
      <c r="D501" s="2" t="s">
        <v>40</v>
      </c>
      <c r="E501" s="2" t="s">
        <v>9</v>
      </c>
      <c r="F501" s="2" t="s">
        <v>48</v>
      </c>
      <c r="G501" s="2">
        <f t="shared" si="25"/>
        <v>0.30673238255033558</v>
      </c>
      <c r="H501" s="5">
        <v>4.5138888888888893</v>
      </c>
      <c r="I501" s="2">
        <v>162</v>
      </c>
      <c r="J501" s="57">
        <f>I501/Pondération!$I$92</f>
        <v>6.7953020134228187E-2</v>
      </c>
      <c r="K501" s="5">
        <v>4.5802469135802468</v>
      </c>
      <c r="L501" s="5">
        <f t="shared" si="26"/>
        <v>0.31124161073825501</v>
      </c>
      <c r="M501" s="5">
        <v>4.5185185185185182</v>
      </c>
      <c r="N501" s="5">
        <f t="shared" si="27"/>
        <v>0.30704697986577179</v>
      </c>
      <c r="O501" s="5">
        <v>4.3765432098765435</v>
      </c>
      <c r="P501" s="15">
        <f t="shared" si="28"/>
        <v>0.2973993288590604</v>
      </c>
    </row>
    <row r="502" spans="1:16" x14ac:dyDescent="0.25">
      <c r="A502" s="2" t="s">
        <v>47</v>
      </c>
      <c r="B502" s="2">
        <v>2014</v>
      </c>
      <c r="C502" s="2" t="s">
        <v>67</v>
      </c>
      <c r="D502" s="2" t="s">
        <v>40</v>
      </c>
      <c r="E502" s="2" t="s">
        <v>9</v>
      </c>
      <c r="F502" s="2" t="s">
        <v>48</v>
      </c>
      <c r="G502" s="2">
        <f t="shared" si="25"/>
        <v>0.38789848993288589</v>
      </c>
      <c r="H502" s="5">
        <v>4.4459134615384617</v>
      </c>
      <c r="I502" s="2">
        <v>208</v>
      </c>
      <c r="J502" s="57">
        <f>I502/Pondération!$I$92</f>
        <v>8.7248322147651006E-2</v>
      </c>
      <c r="K502" s="5">
        <v>4.4615384615384617</v>
      </c>
      <c r="L502" s="5">
        <f t="shared" si="26"/>
        <v>0.38926174496644295</v>
      </c>
      <c r="M502" s="5">
        <v>4.4711538461538458</v>
      </c>
      <c r="N502" s="5">
        <f t="shared" si="27"/>
        <v>0.39010067114093955</v>
      </c>
      <c r="O502" s="5">
        <v>4.3894230769230766</v>
      </c>
      <c r="P502" s="15">
        <f t="shared" si="28"/>
        <v>0.38296979865771807</v>
      </c>
    </row>
    <row r="503" spans="1:16" x14ac:dyDescent="0.25">
      <c r="A503" s="2" t="s">
        <v>47</v>
      </c>
      <c r="B503" s="2">
        <v>2014</v>
      </c>
      <c r="C503" s="2" t="s">
        <v>68</v>
      </c>
      <c r="D503" s="2" t="s">
        <v>40</v>
      </c>
      <c r="E503" s="2" t="s">
        <v>9</v>
      </c>
      <c r="F503" s="2" t="s">
        <v>48</v>
      </c>
      <c r="G503" s="2">
        <f t="shared" si="25"/>
        <v>0.39754614093959734</v>
      </c>
      <c r="H503" s="5">
        <v>4.5346889952153111</v>
      </c>
      <c r="I503" s="2">
        <v>209</v>
      </c>
      <c r="J503" s="57">
        <f>I503/Pondération!$I$92</f>
        <v>8.7667785234899334E-2</v>
      </c>
      <c r="K503" s="5">
        <v>4.5741626794258377</v>
      </c>
      <c r="L503" s="5">
        <f t="shared" si="26"/>
        <v>0.40100671140939603</v>
      </c>
      <c r="M503" s="5">
        <v>4.5598086124401913</v>
      </c>
      <c r="N503" s="5">
        <f t="shared" si="27"/>
        <v>0.39974832214765105</v>
      </c>
      <c r="O503" s="5">
        <v>4.4306220095693778</v>
      </c>
      <c r="P503" s="15">
        <f t="shared" si="28"/>
        <v>0.38842281879194629</v>
      </c>
    </row>
    <row r="504" spans="1:16" x14ac:dyDescent="0.25">
      <c r="A504" s="2" t="s">
        <v>47</v>
      </c>
      <c r="B504" s="2">
        <v>2014</v>
      </c>
      <c r="C504" s="2" t="s">
        <v>69</v>
      </c>
      <c r="D504" s="2" t="s">
        <v>40</v>
      </c>
      <c r="E504" s="2" t="s">
        <v>9</v>
      </c>
      <c r="F504" s="2" t="s">
        <v>48</v>
      </c>
      <c r="G504" s="2">
        <f t="shared" si="25"/>
        <v>0.34563758389261745</v>
      </c>
      <c r="H504" s="5">
        <v>4.5274725274725274</v>
      </c>
      <c r="I504" s="2">
        <v>182</v>
      </c>
      <c r="J504" s="57">
        <f>I504/Pondération!$I$92</f>
        <v>7.6342281879194632E-2</v>
      </c>
      <c r="K504" s="5">
        <v>4.5549450549450547</v>
      </c>
      <c r="L504" s="5">
        <f t="shared" si="26"/>
        <v>0.34773489932885904</v>
      </c>
      <c r="M504" s="5">
        <v>4.6373626373626378</v>
      </c>
      <c r="N504" s="5">
        <f t="shared" si="27"/>
        <v>0.35402684563758391</v>
      </c>
      <c r="O504" s="5">
        <v>4.3626373626373622</v>
      </c>
      <c r="P504" s="15">
        <f t="shared" si="28"/>
        <v>0.33305369127516776</v>
      </c>
    </row>
    <row r="505" spans="1:16" x14ac:dyDescent="0.25">
      <c r="A505" s="2" t="s">
        <v>47</v>
      </c>
      <c r="B505" s="2">
        <v>2014</v>
      </c>
      <c r="C505" s="2" t="s">
        <v>70</v>
      </c>
      <c r="D505" s="2" t="s">
        <v>40</v>
      </c>
      <c r="E505" s="2" t="s">
        <v>9</v>
      </c>
      <c r="F505" s="2" t="s">
        <v>48</v>
      </c>
      <c r="G505" s="2">
        <f t="shared" si="25"/>
        <v>0.46602348993288589</v>
      </c>
      <c r="H505" s="5">
        <v>4.4979757085020244</v>
      </c>
      <c r="I505" s="2">
        <v>247</v>
      </c>
      <c r="J505" s="57">
        <f>I505/Pondération!$I$92</f>
        <v>0.10360738255033557</v>
      </c>
      <c r="K505" s="5">
        <v>4.5587044534412957</v>
      </c>
      <c r="L505" s="5">
        <f t="shared" si="26"/>
        <v>0.47231543624161076</v>
      </c>
      <c r="M505" s="5">
        <v>4.6032388663967607</v>
      </c>
      <c r="N505" s="5">
        <f t="shared" si="27"/>
        <v>0.47692953020134221</v>
      </c>
      <c r="O505" s="5">
        <v>4.2712550607287447</v>
      </c>
      <c r="P505" s="15">
        <f t="shared" si="28"/>
        <v>0.44253355704697983</v>
      </c>
    </row>
    <row r="506" spans="1:16" x14ac:dyDescent="0.25">
      <c r="A506" s="2" t="s">
        <v>47</v>
      </c>
      <c r="B506" s="2">
        <v>2014</v>
      </c>
      <c r="C506" s="2" t="s">
        <v>71</v>
      </c>
      <c r="D506" s="2" t="s">
        <v>40</v>
      </c>
      <c r="E506" s="2" t="s">
        <v>9</v>
      </c>
      <c r="F506" s="2" t="s">
        <v>48</v>
      </c>
      <c r="G506" s="2">
        <f t="shared" si="25"/>
        <v>0.40216023489932884</v>
      </c>
      <c r="H506" s="5">
        <v>4.4386574074074074</v>
      </c>
      <c r="I506" s="2">
        <v>216</v>
      </c>
      <c r="J506" s="57">
        <f>I506/Pondération!$I$92</f>
        <v>9.0604026845637578E-2</v>
      </c>
      <c r="K506" s="5">
        <v>4.4814814814814818</v>
      </c>
      <c r="L506" s="5">
        <f t="shared" si="26"/>
        <v>0.40604026845637586</v>
      </c>
      <c r="M506" s="5">
        <v>4.5231481481481479</v>
      </c>
      <c r="N506" s="5">
        <f t="shared" si="27"/>
        <v>0.40981543624161071</v>
      </c>
      <c r="O506" s="5">
        <v>4.2685185185185182</v>
      </c>
      <c r="P506" s="15">
        <f t="shared" si="28"/>
        <v>0.38674496644295298</v>
      </c>
    </row>
    <row r="507" spans="1:16" x14ac:dyDescent="0.25">
      <c r="A507" s="2" t="s">
        <v>47</v>
      </c>
      <c r="B507" s="2">
        <v>2014</v>
      </c>
      <c r="C507" s="2" t="s">
        <v>72</v>
      </c>
      <c r="D507" s="2" t="s">
        <v>40</v>
      </c>
      <c r="E507" s="2" t="s">
        <v>9</v>
      </c>
      <c r="F507" s="2" t="s">
        <v>48</v>
      </c>
      <c r="G507" s="2">
        <f t="shared" si="25"/>
        <v>0.37332214765100674</v>
      </c>
      <c r="H507" s="5">
        <v>4.45</v>
      </c>
      <c r="I507" s="2">
        <v>200</v>
      </c>
      <c r="J507" s="57">
        <f>I507/Pondération!$I$92</f>
        <v>8.3892617449664433E-2</v>
      </c>
      <c r="K507" s="5">
        <v>4.47</v>
      </c>
      <c r="L507" s="5">
        <f t="shared" si="26"/>
        <v>0.375</v>
      </c>
      <c r="M507" s="5">
        <v>4.5549999999999997</v>
      </c>
      <c r="N507" s="5">
        <f t="shared" si="27"/>
        <v>0.38213087248322147</v>
      </c>
      <c r="O507" s="5">
        <v>4.3049999999999997</v>
      </c>
      <c r="P507" s="15">
        <f t="shared" si="28"/>
        <v>0.36115771812080538</v>
      </c>
    </row>
    <row r="508" spans="1:16" x14ac:dyDescent="0.25">
      <c r="A508" s="2" t="s">
        <v>47</v>
      </c>
      <c r="B508" s="2">
        <v>2015</v>
      </c>
      <c r="C508" s="2" t="s">
        <v>73</v>
      </c>
      <c r="D508" s="2" t="s">
        <v>40</v>
      </c>
      <c r="E508" s="2" t="s">
        <v>9</v>
      </c>
      <c r="F508" s="2" t="s">
        <v>48</v>
      </c>
      <c r="G508" s="2">
        <f t="shared" si="25"/>
        <v>0.20063025210084034</v>
      </c>
      <c r="H508" s="5">
        <v>4.5476190476190474</v>
      </c>
      <c r="I508" s="2">
        <v>147</v>
      </c>
      <c r="J508" s="57">
        <f>I508/Pondération!$H$92</f>
        <v>4.4117647058823532E-2</v>
      </c>
      <c r="K508" s="5">
        <v>4.5646258503401365</v>
      </c>
      <c r="L508" s="5">
        <f t="shared" si="26"/>
        <v>0.20138055222088838</v>
      </c>
      <c r="M508" s="5">
        <v>4.6462585034013602</v>
      </c>
      <c r="N508" s="5">
        <f t="shared" si="27"/>
        <v>0.20498199279711884</v>
      </c>
      <c r="O508" s="5">
        <v>4.4149659863945576</v>
      </c>
      <c r="P508" s="15">
        <f t="shared" si="28"/>
        <v>0.1947779111644658</v>
      </c>
    </row>
    <row r="509" spans="1:16" x14ac:dyDescent="0.25">
      <c r="A509" s="2" t="s">
        <v>47</v>
      </c>
      <c r="B509" s="2">
        <v>2015</v>
      </c>
      <c r="C509" s="2" t="s">
        <v>74</v>
      </c>
      <c r="D509" s="2" t="s">
        <v>40</v>
      </c>
      <c r="E509" s="2" t="s">
        <v>9</v>
      </c>
      <c r="F509" s="2" t="s">
        <v>48</v>
      </c>
      <c r="G509" s="2">
        <f t="shared" si="25"/>
        <v>0.35579231692677071</v>
      </c>
      <c r="H509" s="5">
        <v>4.4070631970260221</v>
      </c>
      <c r="I509" s="2">
        <v>269</v>
      </c>
      <c r="J509" s="57">
        <f>I509/Pondération!$H$92</f>
        <v>8.0732292917166867E-2</v>
      </c>
      <c r="K509" s="5">
        <v>4.4572490706319705</v>
      </c>
      <c r="L509" s="5">
        <f t="shared" si="26"/>
        <v>0.35984393757503003</v>
      </c>
      <c r="M509" s="5">
        <v>4.4832713754646836</v>
      </c>
      <c r="N509" s="5">
        <f t="shared" si="27"/>
        <v>0.36194477791116442</v>
      </c>
      <c r="O509" s="5">
        <v>4.2304832713754648</v>
      </c>
      <c r="P509" s="15">
        <f t="shared" si="28"/>
        <v>0.34153661464585833</v>
      </c>
    </row>
    <row r="510" spans="1:16" x14ac:dyDescent="0.25">
      <c r="A510" s="2" t="s">
        <v>47</v>
      </c>
      <c r="B510" s="2">
        <v>2015</v>
      </c>
      <c r="C510" s="2" t="s">
        <v>75</v>
      </c>
      <c r="D510" s="2" t="s">
        <v>40</v>
      </c>
      <c r="E510" s="2" t="s">
        <v>9</v>
      </c>
      <c r="F510" s="2" t="s">
        <v>48</v>
      </c>
      <c r="G510" s="2">
        <f t="shared" si="25"/>
        <v>0.37454981992797121</v>
      </c>
      <c r="H510" s="5">
        <v>4.4412811387900355</v>
      </c>
      <c r="I510" s="2">
        <v>281</v>
      </c>
      <c r="J510" s="57">
        <f>I510/Pondération!$H$92</f>
        <v>8.4333733493397359E-2</v>
      </c>
      <c r="K510" s="5">
        <v>4.4661921708185055</v>
      </c>
      <c r="L510" s="5">
        <f t="shared" si="26"/>
        <v>0.37665066026410565</v>
      </c>
      <c r="M510" s="5">
        <v>4.5551601423487549</v>
      </c>
      <c r="N510" s="5">
        <f t="shared" si="27"/>
        <v>0.38415366146458585</v>
      </c>
      <c r="O510" s="5">
        <v>4.277580071174377</v>
      </c>
      <c r="P510" s="15">
        <f t="shared" si="28"/>
        <v>0.36074429771908761</v>
      </c>
    </row>
    <row r="511" spans="1:16" x14ac:dyDescent="0.25">
      <c r="A511" s="2" t="s">
        <v>47</v>
      </c>
      <c r="B511" s="2">
        <v>2015</v>
      </c>
      <c r="C511" s="2" t="s">
        <v>76</v>
      </c>
      <c r="D511" s="2" t="s">
        <v>40</v>
      </c>
      <c r="E511" s="2" t="s">
        <v>9</v>
      </c>
      <c r="F511" s="2" t="s">
        <v>48</v>
      </c>
      <c r="G511" s="2">
        <f t="shared" si="25"/>
        <v>0.36231992797118845</v>
      </c>
      <c r="H511" s="5">
        <v>4.3740942028985508</v>
      </c>
      <c r="I511" s="2">
        <v>276</v>
      </c>
      <c r="J511" s="57">
        <f>I511/Pondération!$H$92</f>
        <v>8.2833133253301314E-2</v>
      </c>
      <c r="K511" s="5">
        <v>4.3550724637681162</v>
      </c>
      <c r="L511" s="5">
        <f t="shared" si="26"/>
        <v>0.36074429771908761</v>
      </c>
      <c r="M511" s="5">
        <v>4.5108695652173916</v>
      </c>
      <c r="N511" s="5">
        <f t="shared" si="27"/>
        <v>0.37364945978391356</v>
      </c>
      <c r="O511" s="5">
        <v>4.27536231884058</v>
      </c>
      <c r="P511" s="15">
        <f t="shared" si="28"/>
        <v>0.35414165666266506</v>
      </c>
    </row>
    <row r="512" spans="1:16" x14ac:dyDescent="0.25">
      <c r="A512" s="2" t="s">
        <v>47</v>
      </c>
      <c r="B512" s="2">
        <v>2015</v>
      </c>
      <c r="C512" s="2" t="s">
        <v>7</v>
      </c>
      <c r="D512" s="2" t="s">
        <v>40</v>
      </c>
      <c r="E512" s="2" t="s">
        <v>9</v>
      </c>
      <c r="F512" s="2" t="s">
        <v>48</v>
      </c>
      <c r="G512" s="2">
        <f t="shared" si="25"/>
        <v>0.43562424969988001</v>
      </c>
      <c r="H512" s="5">
        <v>4.3719879518072293</v>
      </c>
      <c r="I512" s="2">
        <v>332</v>
      </c>
      <c r="J512" s="57">
        <f>I512/Pondération!$H$92</f>
        <v>9.9639855942376954E-2</v>
      </c>
      <c r="K512" s="5">
        <v>4.3915662650602414</v>
      </c>
      <c r="L512" s="5">
        <f t="shared" si="26"/>
        <v>0.43757503001200487</v>
      </c>
      <c r="M512" s="5">
        <v>4.4548192771084336</v>
      </c>
      <c r="N512" s="5">
        <f t="shared" si="27"/>
        <v>0.44387755102040816</v>
      </c>
      <c r="O512" s="5">
        <v>4.25</v>
      </c>
      <c r="P512" s="15">
        <f t="shared" si="28"/>
        <v>0.42346938775510207</v>
      </c>
    </row>
    <row r="513" spans="1:16" x14ac:dyDescent="0.25">
      <c r="A513" s="2" t="s">
        <v>47</v>
      </c>
      <c r="B513" s="2">
        <v>2015</v>
      </c>
      <c r="C513" s="2" t="s">
        <v>11</v>
      </c>
      <c r="D513" s="2" t="s">
        <v>40</v>
      </c>
      <c r="E513" s="2" t="s">
        <v>9</v>
      </c>
      <c r="F513" s="2" t="s">
        <v>48</v>
      </c>
      <c r="G513" s="2">
        <f t="shared" si="25"/>
        <v>0.36817226890756305</v>
      </c>
      <c r="H513" s="5">
        <v>4.3969534050179213</v>
      </c>
      <c r="I513" s="2">
        <v>279</v>
      </c>
      <c r="J513" s="57">
        <f>I513/Pondération!$H$92</f>
        <v>8.3733493397358943E-2</v>
      </c>
      <c r="K513" s="5">
        <v>4.4121863799283156</v>
      </c>
      <c r="L513" s="5">
        <f t="shared" si="26"/>
        <v>0.36944777911164467</v>
      </c>
      <c r="M513" s="5">
        <v>4.4336917562724016</v>
      </c>
      <c r="N513" s="5">
        <f t="shared" si="27"/>
        <v>0.3712484993997599</v>
      </c>
      <c r="O513" s="5">
        <v>4.3297491039426523</v>
      </c>
      <c r="P513" s="15">
        <f t="shared" si="28"/>
        <v>0.3625450180072029</v>
      </c>
    </row>
    <row r="514" spans="1:16" x14ac:dyDescent="0.25">
      <c r="A514" s="2" t="s">
        <v>47</v>
      </c>
      <c r="B514" s="2">
        <v>2015</v>
      </c>
      <c r="C514" s="2" t="s">
        <v>12</v>
      </c>
      <c r="D514" s="2" t="s">
        <v>40</v>
      </c>
      <c r="E514" s="2" t="s">
        <v>9</v>
      </c>
      <c r="F514" s="2" t="s">
        <v>48</v>
      </c>
      <c r="G514" s="2">
        <f t="shared" ref="G514:G577" si="29">H514*J514</f>
        <v>0.39233193277310929</v>
      </c>
      <c r="H514" s="5">
        <v>4.3867449664429534</v>
      </c>
      <c r="I514" s="2">
        <v>298</v>
      </c>
      <c r="J514" s="57">
        <f>I514/Pondération!$H$92</f>
        <v>8.9435774309723895E-2</v>
      </c>
      <c r="K514" s="5">
        <v>4.4261744966442951</v>
      </c>
      <c r="L514" s="5">
        <f t="shared" si="26"/>
        <v>0.39585834333733494</v>
      </c>
      <c r="M514" s="5">
        <v>4.4429530201342278</v>
      </c>
      <c r="N514" s="5">
        <f t="shared" si="27"/>
        <v>0.39735894357743096</v>
      </c>
      <c r="O514" s="5">
        <v>4.2516778523489931</v>
      </c>
      <c r="P514" s="15">
        <f t="shared" si="28"/>
        <v>0.38025210084033612</v>
      </c>
    </row>
    <row r="515" spans="1:16" x14ac:dyDescent="0.25">
      <c r="A515" s="2" t="s">
        <v>47</v>
      </c>
      <c r="B515" s="2">
        <v>2015</v>
      </c>
      <c r="C515" s="2" t="s">
        <v>13</v>
      </c>
      <c r="D515" s="2" t="s">
        <v>40</v>
      </c>
      <c r="E515" s="2" t="s">
        <v>9</v>
      </c>
      <c r="F515" s="2" t="s">
        <v>48</v>
      </c>
      <c r="G515" s="2">
        <f t="shared" si="29"/>
        <v>0.38160264105642255</v>
      </c>
      <c r="H515" s="5">
        <v>4.369415807560137</v>
      </c>
      <c r="I515" s="2">
        <v>291</v>
      </c>
      <c r="J515" s="57">
        <f>I515/Pondération!$H$92</f>
        <v>8.7334933973589435E-2</v>
      </c>
      <c r="K515" s="5">
        <v>4.3711340206185563</v>
      </c>
      <c r="L515" s="5">
        <f t="shared" si="26"/>
        <v>0.38175270108043213</v>
      </c>
      <c r="M515" s="5">
        <v>4.4536082474226806</v>
      </c>
      <c r="N515" s="5">
        <f t="shared" si="27"/>
        <v>0.38895558223289317</v>
      </c>
      <c r="O515" s="5">
        <v>4.2817869415807559</v>
      </c>
      <c r="P515" s="15">
        <f t="shared" si="28"/>
        <v>0.37394957983193278</v>
      </c>
    </row>
    <row r="516" spans="1:16" x14ac:dyDescent="0.25">
      <c r="A516" s="2" t="s">
        <v>47</v>
      </c>
      <c r="B516" s="2">
        <v>2015</v>
      </c>
      <c r="C516" s="2" t="s">
        <v>14</v>
      </c>
      <c r="D516" s="2" t="s">
        <v>40</v>
      </c>
      <c r="E516" s="2" t="s">
        <v>9</v>
      </c>
      <c r="F516" s="2" t="s">
        <v>48</v>
      </c>
      <c r="G516" s="2">
        <f t="shared" si="29"/>
        <v>0.35826830732292914</v>
      </c>
      <c r="H516" s="5">
        <v>4.3887867647058822</v>
      </c>
      <c r="I516" s="2">
        <v>272</v>
      </c>
      <c r="J516" s="57">
        <f>I516/Pondération!$H$92</f>
        <v>8.1632653061224483E-2</v>
      </c>
      <c r="K516" s="5">
        <v>4.4080882352941178</v>
      </c>
      <c r="L516" s="5">
        <f t="shared" si="26"/>
        <v>0.35984393757502997</v>
      </c>
      <c r="M516" s="5">
        <v>4.444852941176471</v>
      </c>
      <c r="N516" s="5">
        <f t="shared" si="27"/>
        <v>0.36284513805522212</v>
      </c>
      <c r="O516" s="5">
        <v>4.2941176470588234</v>
      </c>
      <c r="P516" s="15">
        <f t="shared" si="28"/>
        <v>0.35054021608643454</v>
      </c>
    </row>
    <row r="517" spans="1:16" x14ac:dyDescent="0.25">
      <c r="A517" s="2" t="s">
        <v>47</v>
      </c>
      <c r="B517" s="2">
        <v>2015</v>
      </c>
      <c r="C517" s="2" t="s">
        <v>15</v>
      </c>
      <c r="D517" s="2" t="s">
        <v>40</v>
      </c>
      <c r="E517" s="2" t="s">
        <v>9</v>
      </c>
      <c r="F517" s="2" t="s">
        <v>48</v>
      </c>
      <c r="G517" s="2">
        <f t="shared" si="29"/>
        <v>0.42369447779111646</v>
      </c>
      <c r="H517" s="5">
        <v>4.4534700315457414</v>
      </c>
      <c r="I517" s="2">
        <v>317</v>
      </c>
      <c r="J517" s="57">
        <f>I517/Pondération!$H$92</f>
        <v>9.5138055222088833E-2</v>
      </c>
      <c r="K517" s="5">
        <v>4.4763406940063089</v>
      </c>
      <c r="L517" s="5">
        <f t="shared" si="26"/>
        <v>0.42587034813925567</v>
      </c>
      <c r="M517" s="5">
        <v>4.5835962145110409</v>
      </c>
      <c r="N517" s="5">
        <f t="shared" si="27"/>
        <v>0.43607442977190874</v>
      </c>
      <c r="O517" s="5">
        <v>4.277602523659306</v>
      </c>
      <c r="P517" s="15">
        <f t="shared" si="28"/>
        <v>0.4069627851140456</v>
      </c>
    </row>
    <row r="518" spans="1:16" x14ac:dyDescent="0.25">
      <c r="A518" s="2" t="s">
        <v>47</v>
      </c>
      <c r="B518" s="2">
        <v>2015</v>
      </c>
      <c r="C518" s="2" t="s">
        <v>16</v>
      </c>
      <c r="D518" s="2" t="s">
        <v>40</v>
      </c>
      <c r="E518" s="2" t="s">
        <v>9</v>
      </c>
      <c r="F518" s="2" t="s">
        <v>48</v>
      </c>
      <c r="G518" s="2">
        <f t="shared" si="29"/>
        <v>0.33733493397358943</v>
      </c>
      <c r="H518" s="5">
        <v>4.390625</v>
      </c>
      <c r="I518" s="2">
        <v>256</v>
      </c>
      <c r="J518" s="57">
        <f>I518/Pondération!$H$92</f>
        <v>7.6830732292917162E-2</v>
      </c>
      <c r="K518" s="5">
        <v>4.3984375</v>
      </c>
      <c r="L518" s="5">
        <f t="shared" si="26"/>
        <v>0.33793517406962781</v>
      </c>
      <c r="M518" s="5">
        <v>4.48828125</v>
      </c>
      <c r="N518" s="5">
        <f t="shared" si="27"/>
        <v>0.34483793517406958</v>
      </c>
      <c r="O518" s="5">
        <v>4.27734375</v>
      </c>
      <c r="P518" s="15">
        <f t="shared" si="28"/>
        <v>0.32863145258103238</v>
      </c>
    </row>
    <row r="519" spans="1:16" x14ac:dyDescent="0.25">
      <c r="A519" s="2" t="s">
        <v>47</v>
      </c>
      <c r="B519" s="2">
        <v>2015</v>
      </c>
      <c r="C519" s="2" t="s">
        <v>17</v>
      </c>
      <c r="D519" s="2" t="s">
        <v>40</v>
      </c>
      <c r="E519" s="2" t="s">
        <v>9</v>
      </c>
      <c r="F519" s="2" t="s">
        <v>48</v>
      </c>
      <c r="G519" s="2">
        <f t="shared" si="29"/>
        <v>0.41949279711884757</v>
      </c>
      <c r="H519" s="5">
        <v>4.4514331210191083</v>
      </c>
      <c r="I519" s="2">
        <v>314</v>
      </c>
      <c r="J519" s="57">
        <f>I519/Pondération!$H$92</f>
        <v>9.4237695078031217E-2</v>
      </c>
      <c r="K519" s="5">
        <v>4.515923566878981</v>
      </c>
      <c r="L519" s="5">
        <f t="shared" si="26"/>
        <v>0.42557022809123651</v>
      </c>
      <c r="M519" s="5">
        <v>4.5509554140127388</v>
      </c>
      <c r="N519" s="5">
        <f t="shared" si="27"/>
        <v>0.42887154861944782</v>
      </c>
      <c r="O519" s="5">
        <v>4.2229299363057322</v>
      </c>
      <c r="P519" s="15">
        <f t="shared" si="28"/>
        <v>0.39795918367346939</v>
      </c>
    </row>
    <row r="520" spans="1:16" x14ac:dyDescent="0.25">
      <c r="A520" s="2" t="s">
        <v>47</v>
      </c>
      <c r="B520" s="2">
        <v>2016</v>
      </c>
      <c r="C520" s="2" t="s">
        <v>18</v>
      </c>
      <c r="D520" s="2" t="s">
        <v>40</v>
      </c>
      <c r="E520" s="2" t="s">
        <v>9</v>
      </c>
      <c r="F520" s="2" t="s">
        <v>48</v>
      </c>
      <c r="G520" s="2">
        <f t="shared" si="29"/>
        <v>0.27339716006884685</v>
      </c>
      <c r="H520" s="5">
        <v>4.4431818181818183</v>
      </c>
      <c r="I520" s="2">
        <v>286</v>
      </c>
      <c r="J520" s="57">
        <f>I520/Pondération!$G$92</f>
        <v>6.1531841652323581E-2</v>
      </c>
      <c r="K520" s="5">
        <v>4.465034965034965</v>
      </c>
      <c r="L520" s="5">
        <f t="shared" si="26"/>
        <v>0.27474182444061962</v>
      </c>
      <c r="M520" s="5">
        <v>4.5769230769230766</v>
      </c>
      <c r="N520" s="5">
        <f t="shared" si="27"/>
        <v>0.28162650602409639</v>
      </c>
      <c r="O520" s="5">
        <v>4.2657342657342658</v>
      </c>
      <c r="P520" s="15">
        <f t="shared" si="28"/>
        <v>0.26247848537005164</v>
      </c>
    </row>
    <row r="521" spans="1:16" x14ac:dyDescent="0.25">
      <c r="A521" s="2" t="s">
        <v>47</v>
      </c>
      <c r="B521" s="2">
        <v>2016</v>
      </c>
      <c r="C521" s="2" t="s">
        <v>19</v>
      </c>
      <c r="D521" s="2" t="s">
        <v>40</v>
      </c>
      <c r="E521" s="2" t="s">
        <v>9</v>
      </c>
      <c r="F521" s="2" t="s">
        <v>48</v>
      </c>
      <c r="G521" s="2">
        <f t="shared" si="29"/>
        <v>0.3718265920826162</v>
      </c>
      <c r="H521" s="5">
        <v>4.4428020565552702</v>
      </c>
      <c r="I521" s="2">
        <v>389</v>
      </c>
      <c r="J521" s="57">
        <f>I521/Pondération!$G$92</f>
        <v>8.3691910499139419E-2</v>
      </c>
      <c r="K521" s="5">
        <v>4.4961439588688945</v>
      </c>
      <c r="L521" s="5">
        <f t="shared" si="26"/>
        <v>0.3762908777969019</v>
      </c>
      <c r="M521" s="5">
        <v>4.4858611825192805</v>
      </c>
      <c r="N521" s="5">
        <f t="shared" si="27"/>
        <v>0.37543029259896732</v>
      </c>
      <c r="O521" s="5">
        <v>4.2930591259640103</v>
      </c>
      <c r="P521" s="15">
        <f t="shared" si="28"/>
        <v>0.35929432013769363</v>
      </c>
    </row>
    <row r="522" spans="1:16" x14ac:dyDescent="0.25">
      <c r="A522" s="2" t="s">
        <v>47</v>
      </c>
      <c r="B522" s="2">
        <v>2016</v>
      </c>
      <c r="C522" s="2" t="s">
        <v>20</v>
      </c>
      <c r="D522" s="2" t="s">
        <v>40</v>
      </c>
      <c r="E522" s="2" t="s">
        <v>9</v>
      </c>
      <c r="F522" s="2" t="s">
        <v>48</v>
      </c>
      <c r="G522" s="2">
        <f t="shared" si="29"/>
        <v>0.34487951807228917</v>
      </c>
      <c r="H522" s="5">
        <v>4.3797814207650276</v>
      </c>
      <c r="I522" s="2">
        <v>366</v>
      </c>
      <c r="J522" s="57">
        <f>I522/Pondération!$G$92</f>
        <v>7.8743545611015486E-2</v>
      </c>
      <c r="K522" s="5">
        <v>4.3879781420765029</v>
      </c>
      <c r="L522" s="5">
        <f t="shared" si="26"/>
        <v>0.34552495697074009</v>
      </c>
      <c r="M522" s="5">
        <v>4.5</v>
      </c>
      <c r="N522" s="5">
        <f t="shared" si="27"/>
        <v>0.35434595524956969</v>
      </c>
      <c r="O522" s="5">
        <v>4.2431693989071038</v>
      </c>
      <c r="P522" s="15">
        <f t="shared" si="28"/>
        <v>0.3341222030981067</v>
      </c>
    </row>
    <row r="523" spans="1:16" x14ac:dyDescent="0.25">
      <c r="A523" s="2" t="s">
        <v>47</v>
      </c>
      <c r="B523" s="2">
        <v>2016</v>
      </c>
      <c r="C523" s="2" t="s">
        <v>21</v>
      </c>
      <c r="D523" s="2" t="s">
        <v>40</v>
      </c>
      <c r="E523" s="2" t="s">
        <v>9</v>
      </c>
      <c r="F523" s="2" t="s">
        <v>48</v>
      </c>
      <c r="G523" s="2">
        <f t="shared" si="29"/>
        <v>0.33896299483648884</v>
      </c>
      <c r="H523" s="5">
        <v>4.4131652661064429</v>
      </c>
      <c r="I523" s="2">
        <v>357</v>
      </c>
      <c r="J523" s="57">
        <f>I523/Pondération!$G$92</f>
        <v>7.6807228915662648E-2</v>
      </c>
      <c r="K523" s="5">
        <v>4.4705882352941178</v>
      </c>
      <c r="L523" s="5">
        <f t="shared" si="26"/>
        <v>0.34337349397590361</v>
      </c>
      <c r="M523" s="5">
        <v>4.5014005602240896</v>
      </c>
      <c r="N523" s="5">
        <f t="shared" si="27"/>
        <v>0.34574010327022375</v>
      </c>
      <c r="O523" s="5">
        <v>4.2100840336134455</v>
      </c>
      <c r="P523" s="15">
        <f t="shared" si="28"/>
        <v>0.32336488812392428</v>
      </c>
    </row>
    <row r="524" spans="1:16" x14ac:dyDescent="0.25">
      <c r="A524" s="2" t="s">
        <v>47</v>
      </c>
      <c r="B524" s="2">
        <v>2016</v>
      </c>
      <c r="C524" s="2" t="s">
        <v>22</v>
      </c>
      <c r="D524" s="2" t="s">
        <v>40</v>
      </c>
      <c r="E524" s="2" t="s">
        <v>9</v>
      </c>
      <c r="F524" s="2" t="s">
        <v>48</v>
      </c>
      <c r="G524" s="2">
        <f t="shared" si="29"/>
        <v>0.29819277108433734</v>
      </c>
      <c r="H524" s="5">
        <v>4.4000000000000004</v>
      </c>
      <c r="I524" s="2">
        <v>315</v>
      </c>
      <c r="J524" s="57">
        <f>I524/Pondération!$G$92</f>
        <v>6.7771084337349394E-2</v>
      </c>
      <c r="K524" s="5">
        <v>4.4349206349206352</v>
      </c>
      <c r="L524" s="5">
        <f t="shared" si="26"/>
        <v>0.30055938037865748</v>
      </c>
      <c r="M524" s="5">
        <v>4.4380952380952383</v>
      </c>
      <c r="N524" s="5">
        <f t="shared" si="27"/>
        <v>0.30077452667814114</v>
      </c>
      <c r="O524" s="5">
        <v>4.2920634920634919</v>
      </c>
      <c r="P524" s="15">
        <f t="shared" si="28"/>
        <v>0.29087779690189325</v>
      </c>
    </row>
    <row r="525" spans="1:16" x14ac:dyDescent="0.25">
      <c r="A525" s="2" t="s">
        <v>47</v>
      </c>
      <c r="B525" s="2">
        <v>2016</v>
      </c>
      <c r="C525" s="2" t="s">
        <v>23</v>
      </c>
      <c r="D525" s="2" t="s">
        <v>40</v>
      </c>
      <c r="E525" s="2" t="s">
        <v>9</v>
      </c>
      <c r="F525" s="2" t="s">
        <v>48</v>
      </c>
      <c r="G525" s="2">
        <f t="shared" si="29"/>
        <v>0.32772160068846817</v>
      </c>
      <c r="H525" s="5">
        <v>4.4280523255813957</v>
      </c>
      <c r="I525" s="2">
        <v>344</v>
      </c>
      <c r="J525" s="57">
        <f>I525/Pondération!$G$92</f>
        <v>7.4010327022375214E-2</v>
      </c>
      <c r="K525" s="5">
        <v>4.4883720930232558</v>
      </c>
      <c r="L525" s="5">
        <f t="shared" si="26"/>
        <v>0.33218588640275387</v>
      </c>
      <c r="M525" s="5">
        <v>4.5145348837209305</v>
      </c>
      <c r="N525" s="5">
        <f t="shared" si="27"/>
        <v>0.3341222030981067</v>
      </c>
      <c r="O525" s="5">
        <v>4.2209302325581399</v>
      </c>
      <c r="P525" s="15">
        <f t="shared" si="28"/>
        <v>0.3123924268502582</v>
      </c>
    </row>
    <row r="526" spans="1:16" x14ac:dyDescent="0.25">
      <c r="A526" s="2" t="s">
        <v>47</v>
      </c>
      <c r="B526" s="2">
        <v>2016</v>
      </c>
      <c r="C526" s="2" t="s">
        <v>24</v>
      </c>
      <c r="D526" s="2" t="s">
        <v>40</v>
      </c>
      <c r="E526" s="2" t="s">
        <v>9</v>
      </c>
      <c r="F526" s="2" t="s">
        <v>48</v>
      </c>
      <c r="G526" s="2">
        <f t="shared" si="29"/>
        <v>0.36198364888123924</v>
      </c>
      <c r="H526" s="5">
        <v>4.4160104986876636</v>
      </c>
      <c r="I526" s="2">
        <v>381</v>
      </c>
      <c r="J526" s="57">
        <f>I526/Pondération!$G$92</f>
        <v>8.1970740103270226E-2</v>
      </c>
      <c r="K526" s="5">
        <v>4.4461942257217846</v>
      </c>
      <c r="L526" s="5">
        <f t="shared" si="26"/>
        <v>0.36445783132530118</v>
      </c>
      <c r="M526" s="5">
        <v>4.4881889763779528</v>
      </c>
      <c r="N526" s="5">
        <f t="shared" si="27"/>
        <v>0.36790017211703963</v>
      </c>
      <c r="O526" s="5">
        <v>4.2834645669291342</v>
      </c>
      <c r="P526" s="15">
        <f t="shared" si="28"/>
        <v>0.35111876075731502</v>
      </c>
    </row>
    <row r="527" spans="1:16" x14ac:dyDescent="0.25">
      <c r="A527" s="2" t="s">
        <v>47</v>
      </c>
      <c r="B527" s="2">
        <v>2016</v>
      </c>
      <c r="C527" s="2" t="s">
        <v>25</v>
      </c>
      <c r="D527" s="2" t="s">
        <v>40</v>
      </c>
      <c r="E527" s="2" t="s">
        <v>9</v>
      </c>
      <c r="F527" s="2" t="s">
        <v>48</v>
      </c>
      <c r="G527" s="2">
        <f t="shared" si="29"/>
        <v>0.2882960413080895</v>
      </c>
      <c r="H527" s="5">
        <v>4.3790849673202619</v>
      </c>
      <c r="I527" s="2">
        <v>306</v>
      </c>
      <c r="J527" s="57">
        <f>I527/Pondération!$G$92</f>
        <v>6.5834767641996556E-2</v>
      </c>
      <c r="K527" s="5">
        <v>4.3954248366013076</v>
      </c>
      <c r="L527" s="5">
        <f t="shared" si="26"/>
        <v>0.28937177280550774</v>
      </c>
      <c r="M527" s="5">
        <v>4.4215686274509807</v>
      </c>
      <c r="N527" s="5">
        <f t="shared" si="27"/>
        <v>0.29109294320137696</v>
      </c>
      <c r="O527" s="5">
        <v>4.3039215686274508</v>
      </c>
      <c r="P527" s="15">
        <f t="shared" si="28"/>
        <v>0.28334767641996556</v>
      </c>
    </row>
    <row r="528" spans="1:16" x14ac:dyDescent="0.25">
      <c r="A528" s="2" t="s">
        <v>47</v>
      </c>
      <c r="B528" s="2">
        <v>2016</v>
      </c>
      <c r="C528" s="2" t="s">
        <v>26</v>
      </c>
      <c r="D528" s="2" t="s">
        <v>40</v>
      </c>
      <c r="E528" s="2" t="s">
        <v>9</v>
      </c>
      <c r="F528" s="2" t="s">
        <v>48</v>
      </c>
      <c r="G528" s="2">
        <f t="shared" si="29"/>
        <v>0.27759251290877796</v>
      </c>
      <c r="H528" s="5">
        <v>4.4186643835616435</v>
      </c>
      <c r="I528" s="2">
        <v>292</v>
      </c>
      <c r="J528" s="57">
        <f>I528/Pondération!$G$92</f>
        <v>6.2822719449225475E-2</v>
      </c>
      <c r="K528" s="5">
        <v>4.4178082191780819</v>
      </c>
      <c r="L528" s="5">
        <f t="shared" si="26"/>
        <v>0.27753872633390703</v>
      </c>
      <c r="M528" s="5">
        <v>4.5410958904109586</v>
      </c>
      <c r="N528" s="5">
        <f t="shared" si="27"/>
        <v>0.28528399311531843</v>
      </c>
      <c r="O528" s="5">
        <v>4.2979452054794525</v>
      </c>
      <c r="P528" s="15">
        <f t="shared" si="28"/>
        <v>0.27000860585197939</v>
      </c>
    </row>
    <row r="529" spans="1:16" x14ac:dyDescent="0.25">
      <c r="A529" s="2" t="s">
        <v>47</v>
      </c>
      <c r="B529" s="2">
        <v>2016</v>
      </c>
      <c r="C529" s="2" t="s">
        <v>27</v>
      </c>
      <c r="D529" s="2" t="s">
        <v>40</v>
      </c>
      <c r="E529" s="2" t="s">
        <v>9</v>
      </c>
      <c r="F529" s="2" t="s">
        <v>48</v>
      </c>
      <c r="G529" s="2">
        <f t="shared" si="29"/>
        <v>0.47047117039586916</v>
      </c>
      <c r="H529" s="5">
        <v>4.3998993963782693</v>
      </c>
      <c r="I529" s="2">
        <v>497</v>
      </c>
      <c r="J529" s="57">
        <f>I529/Pondération!$G$92</f>
        <v>0.10692771084337349</v>
      </c>
      <c r="K529" s="5">
        <v>4.4446680080482901</v>
      </c>
      <c r="L529" s="5">
        <f t="shared" si="26"/>
        <v>0.47525817555938038</v>
      </c>
      <c r="M529" s="5">
        <v>4.4969818913480886</v>
      </c>
      <c r="N529" s="5">
        <f t="shared" si="27"/>
        <v>0.48085197934595525</v>
      </c>
      <c r="O529" s="5">
        <v>4.2132796780684103</v>
      </c>
      <c r="P529" s="15">
        <f t="shared" si="28"/>
        <v>0.45051635111876071</v>
      </c>
    </row>
    <row r="530" spans="1:16" x14ac:dyDescent="0.25">
      <c r="A530" s="2" t="s">
        <v>47</v>
      </c>
      <c r="B530" s="2">
        <v>2016</v>
      </c>
      <c r="C530" s="2" t="s">
        <v>28</v>
      </c>
      <c r="D530" s="2" t="s">
        <v>40</v>
      </c>
      <c r="E530" s="2" t="s">
        <v>9</v>
      </c>
      <c r="F530" s="2" t="s">
        <v>48</v>
      </c>
      <c r="G530" s="2">
        <f t="shared" si="29"/>
        <v>0.44653614457831325</v>
      </c>
      <c r="H530" s="5">
        <v>4.4730603448275863</v>
      </c>
      <c r="I530" s="2">
        <v>464</v>
      </c>
      <c r="J530" s="57">
        <f>I530/Pondération!$G$92</f>
        <v>9.9827882960413075E-2</v>
      </c>
      <c r="K530" s="5">
        <v>4.5280172413793105</v>
      </c>
      <c r="L530" s="5">
        <f t="shared" si="26"/>
        <v>0.45202237521514627</v>
      </c>
      <c r="M530" s="5">
        <v>4.5711206896551726</v>
      </c>
      <c r="N530" s="5">
        <f t="shared" si="27"/>
        <v>0.45632530120481929</v>
      </c>
      <c r="O530" s="5">
        <v>4.2650862068965516</v>
      </c>
      <c r="P530" s="15">
        <f t="shared" si="28"/>
        <v>0.42577452667814109</v>
      </c>
    </row>
    <row r="531" spans="1:16" x14ac:dyDescent="0.25">
      <c r="A531" s="2" t="s">
        <v>47</v>
      </c>
      <c r="B531" s="2">
        <v>2016</v>
      </c>
      <c r="C531" s="2" t="s">
        <v>29</v>
      </c>
      <c r="D531" s="2" t="s">
        <v>40</v>
      </c>
      <c r="E531" s="2" t="s">
        <v>9</v>
      </c>
      <c r="F531" s="2" t="s">
        <v>48</v>
      </c>
      <c r="G531" s="2">
        <f t="shared" si="29"/>
        <v>0.61983648881239239</v>
      </c>
      <c r="H531" s="5">
        <v>4.4254992319508446</v>
      </c>
      <c r="I531" s="2">
        <v>651</v>
      </c>
      <c r="J531" s="57">
        <f>I531/Pondération!$G$92</f>
        <v>0.14006024096385541</v>
      </c>
      <c r="K531" s="5">
        <v>4.4761904761904763</v>
      </c>
      <c r="L531" s="5">
        <f t="shared" si="26"/>
        <v>0.62693631669535277</v>
      </c>
      <c r="M531" s="5">
        <v>4.5176651305683562</v>
      </c>
      <c r="N531" s="5">
        <f t="shared" si="27"/>
        <v>0.6327452667814113</v>
      </c>
      <c r="O531" s="5">
        <v>4.2319508448540706</v>
      </c>
      <c r="P531" s="15">
        <f t="shared" si="28"/>
        <v>0.59272805507745263</v>
      </c>
    </row>
    <row r="532" spans="1:16" x14ac:dyDescent="0.25">
      <c r="A532" s="2" t="s">
        <v>47</v>
      </c>
      <c r="B532" s="2">
        <v>2017</v>
      </c>
      <c r="C532" s="2" t="s">
        <v>30</v>
      </c>
      <c r="D532" s="2" t="s">
        <v>40</v>
      </c>
      <c r="E532" s="2" t="s">
        <v>9</v>
      </c>
      <c r="F532" s="2" t="s">
        <v>48</v>
      </c>
      <c r="G532" s="2">
        <f t="shared" si="29"/>
        <v>0.89233652644731365</v>
      </c>
      <c r="H532" s="5">
        <v>4.4916142557651995</v>
      </c>
      <c r="I532" s="2">
        <v>477</v>
      </c>
      <c r="J532" s="57">
        <f>I532/Pondération!$F$92</f>
        <v>0.19866722199083714</v>
      </c>
      <c r="K532" s="5">
        <v>4.5387840670859543</v>
      </c>
      <c r="L532" s="5">
        <f t="shared" si="26"/>
        <v>0.90170762182423991</v>
      </c>
      <c r="M532" s="5">
        <v>4.5932914046121596</v>
      </c>
      <c r="N532" s="5">
        <f t="shared" si="27"/>
        <v>0.91253644314868809</v>
      </c>
      <c r="O532" s="5">
        <v>4.2955974842767297</v>
      </c>
      <c r="P532" s="15">
        <f t="shared" si="28"/>
        <v>0.85339441899208657</v>
      </c>
    </row>
    <row r="533" spans="1:16" x14ac:dyDescent="0.25">
      <c r="A533" s="2" t="s">
        <v>47</v>
      </c>
      <c r="B533" s="2">
        <v>2017</v>
      </c>
      <c r="C533" s="2" t="s">
        <v>31</v>
      </c>
      <c r="D533" s="2" t="s">
        <v>40</v>
      </c>
      <c r="E533" s="2" t="s">
        <v>9</v>
      </c>
      <c r="F533" s="2" t="s">
        <v>48</v>
      </c>
      <c r="G533" s="2">
        <f t="shared" si="29"/>
        <v>1.2120991253644315</v>
      </c>
      <c r="H533" s="5">
        <v>4.4431297709923667</v>
      </c>
      <c r="I533" s="2">
        <v>655</v>
      </c>
      <c r="J533" s="57">
        <f>I533/Pondération!$F$92</f>
        <v>0.27280299875052061</v>
      </c>
      <c r="K533" s="5">
        <v>4.4992366412213745</v>
      </c>
      <c r="L533" s="5">
        <f t="shared" si="26"/>
        <v>1.2274052478134112</v>
      </c>
      <c r="M533" s="5">
        <v>4.4931297709923665</v>
      </c>
      <c r="N533" s="5">
        <f t="shared" si="27"/>
        <v>1.2257392753019576</v>
      </c>
      <c r="O533" s="5">
        <v>4.2809160305343514</v>
      </c>
      <c r="P533" s="15">
        <f t="shared" si="28"/>
        <v>1.1678467305289464</v>
      </c>
    </row>
    <row r="534" spans="1:16" x14ac:dyDescent="0.25">
      <c r="A534" s="2" t="s">
        <v>47</v>
      </c>
      <c r="B534" s="2">
        <v>2017</v>
      </c>
      <c r="C534" s="2" t="s">
        <v>32</v>
      </c>
      <c r="D534" s="2" t="s">
        <v>40</v>
      </c>
      <c r="E534" s="2" t="s">
        <v>9</v>
      </c>
      <c r="F534" s="2" t="s">
        <v>48</v>
      </c>
      <c r="G534" s="2">
        <f t="shared" si="29"/>
        <v>1.0338400666389005</v>
      </c>
      <c r="H534" s="5">
        <v>4.4405187835420392</v>
      </c>
      <c r="I534" s="2">
        <v>559</v>
      </c>
      <c r="J534" s="57">
        <f>I534/Pondération!$F$92</f>
        <v>0.23281965847563516</v>
      </c>
      <c r="K534" s="5">
        <v>4.4651162790697674</v>
      </c>
      <c r="L534" s="5">
        <f t="shared" si="26"/>
        <v>1.0395668471470221</v>
      </c>
      <c r="M534" s="5">
        <v>4.5563506261180677</v>
      </c>
      <c r="N534" s="5">
        <f t="shared" si="27"/>
        <v>1.060807996668055</v>
      </c>
      <c r="O534" s="5">
        <v>4.2754919499105544</v>
      </c>
      <c r="P534" s="15">
        <f t="shared" si="28"/>
        <v>0.99541857559350266</v>
      </c>
    </row>
    <row r="535" spans="1:16" x14ac:dyDescent="0.25">
      <c r="A535" s="2" t="s">
        <v>47</v>
      </c>
      <c r="B535" s="2">
        <v>2017</v>
      </c>
      <c r="C535" s="2" t="s">
        <v>33</v>
      </c>
      <c r="D535" s="2" t="s">
        <v>40</v>
      </c>
      <c r="E535" s="2" t="s">
        <v>9</v>
      </c>
      <c r="F535" s="2" t="s">
        <v>48</v>
      </c>
      <c r="G535" s="2">
        <f t="shared" si="29"/>
        <v>1.0395668471470221</v>
      </c>
      <c r="H535" s="5">
        <v>4.4176991150442477</v>
      </c>
      <c r="I535" s="2">
        <v>565</v>
      </c>
      <c r="J535" s="57">
        <f>I535/Pondération!$F$92</f>
        <v>0.2353186172428155</v>
      </c>
      <c r="K535" s="5">
        <v>4.4300884955752213</v>
      </c>
      <c r="L535" s="5">
        <f t="shared" si="26"/>
        <v>1.0424822990420659</v>
      </c>
      <c r="M535" s="5">
        <v>4.5486725663716818</v>
      </c>
      <c r="N535" s="5">
        <f t="shared" si="27"/>
        <v>1.0703873386089131</v>
      </c>
      <c r="O535" s="5">
        <v>4.2619469026548673</v>
      </c>
      <c r="P535" s="15">
        <f t="shared" si="28"/>
        <v>1.0029154518950438</v>
      </c>
    </row>
    <row r="536" spans="1:16" x14ac:dyDescent="0.25">
      <c r="A536" s="2" t="s">
        <v>47</v>
      </c>
      <c r="B536" s="2">
        <v>2017</v>
      </c>
      <c r="C536" s="2" t="s">
        <v>34</v>
      </c>
      <c r="D536" s="2" t="s">
        <v>40</v>
      </c>
      <c r="E536" s="2" t="s">
        <v>9</v>
      </c>
      <c r="F536" s="2" t="s">
        <v>48</v>
      </c>
      <c r="G536" s="2">
        <f t="shared" si="29"/>
        <v>0.26634735526863806</v>
      </c>
      <c r="H536" s="5">
        <v>4.4103448275862069</v>
      </c>
      <c r="I536" s="2">
        <v>145</v>
      </c>
      <c r="J536" s="57">
        <f>I536/Pondération!$F$92</f>
        <v>6.0391503540191585E-2</v>
      </c>
      <c r="K536" s="5">
        <v>4.4896551724137934</v>
      </c>
      <c r="L536" s="5">
        <f t="shared" si="26"/>
        <v>0.27113702623906705</v>
      </c>
      <c r="M536" s="5">
        <v>4.5034482758620689</v>
      </c>
      <c r="N536" s="5">
        <f t="shared" si="27"/>
        <v>0.2719700124947938</v>
      </c>
      <c r="O536" s="5">
        <v>4.1586206896551721</v>
      </c>
      <c r="P536" s="15">
        <f t="shared" si="28"/>
        <v>0.25114535610162431</v>
      </c>
    </row>
    <row r="537" spans="1:16" x14ac:dyDescent="0.25">
      <c r="A537" s="2" t="s">
        <v>6</v>
      </c>
      <c r="B537" s="2">
        <v>2015</v>
      </c>
      <c r="C537" s="2" t="s">
        <v>7</v>
      </c>
      <c r="D537" s="2" t="s">
        <v>41</v>
      </c>
      <c r="E537" s="2" t="s">
        <v>9</v>
      </c>
      <c r="F537" s="2" t="s">
        <v>10</v>
      </c>
      <c r="G537" s="2">
        <f t="shared" si="29"/>
        <v>0.12713922764227539</v>
      </c>
      <c r="H537" s="5">
        <v>3.7796072507552565</v>
      </c>
      <c r="I537" s="2">
        <v>331</v>
      </c>
      <c r="J537" s="57">
        <f>I537/Pondération!$H$104</f>
        <v>3.3638211382113821E-2</v>
      </c>
      <c r="K537" s="2"/>
      <c r="L537" s="2"/>
      <c r="M537" s="2"/>
      <c r="N537" s="2"/>
      <c r="O537" s="2"/>
      <c r="P537"/>
    </row>
    <row r="538" spans="1:16" x14ac:dyDescent="0.25">
      <c r="A538" s="2" t="s">
        <v>6</v>
      </c>
      <c r="B538" s="2">
        <v>2015</v>
      </c>
      <c r="C538" s="2" t="s">
        <v>11</v>
      </c>
      <c r="D538" s="2" t="s">
        <v>41</v>
      </c>
      <c r="E538" s="2" t="s">
        <v>9</v>
      </c>
      <c r="F538" s="2" t="s">
        <v>10</v>
      </c>
      <c r="G538" s="2">
        <f t="shared" si="29"/>
        <v>0.41335873983739935</v>
      </c>
      <c r="H538" s="5">
        <v>3.8590607210626278</v>
      </c>
      <c r="I538" s="2">
        <v>1054</v>
      </c>
      <c r="J538" s="57">
        <f>I538/Pondération!$H$104</f>
        <v>0.10711382113821138</v>
      </c>
      <c r="K538" s="2"/>
      <c r="L538" s="2"/>
      <c r="M538" s="2"/>
      <c r="N538" s="2"/>
      <c r="O538" s="2"/>
      <c r="P538"/>
    </row>
    <row r="539" spans="1:16" x14ac:dyDescent="0.25">
      <c r="A539" s="2" t="s">
        <v>6</v>
      </c>
      <c r="B539" s="2">
        <v>2015</v>
      </c>
      <c r="C539" s="2" t="s">
        <v>12</v>
      </c>
      <c r="D539" s="2" t="s">
        <v>41</v>
      </c>
      <c r="E539" s="2" t="s">
        <v>9</v>
      </c>
      <c r="F539" s="2" t="s">
        <v>10</v>
      </c>
      <c r="G539" s="2">
        <f t="shared" si="29"/>
        <v>0.34575711382113922</v>
      </c>
      <c r="H539" s="5">
        <v>3.9241637831603344</v>
      </c>
      <c r="I539" s="2">
        <v>867</v>
      </c>
      <c r="J539" s="57">
        <f>I539/Pondération!$H$104</f>
        <v>8.8109756097560971E-2</v>
      </c>
      <c r="K539" s="2"/>
      <c r="L539" s="2"/>
      <c r="M539" s="2"/>
      <c r="N539" s="2"/>
      <c r="O539" s="2"/>
      <c r="P539"/>
    </row>
    <row r="540" spans="1:16" x14ac:dyDescent="0.25">
      <c r="A540" s="2" t="s">
        <v>6</v>
      </c>
      <c r="B540" s="2">
        <v>2015</v>
      </c>
      <c r="C540" s="2" t="s">
        <v>13</v>
      </c>
      <c r="D540" s="2" t="s">
        <v>41</v>
      </c>
      <c r="E540" s="2" t="s">
        <v>9</v>
      </c>
      <c r="F540" s="2" t="s">
        <v>10</v>
      </c>
      <c r="G540" s="2">
        <f t="shared" si="29"/>
        <v>0.3760772357723588</v>
      </c>
      <c r="H540" s="5">
        <v>4.0399563318777405</v>
      </c>
      <c r="I540" s="2">
        <v>916</v>
      </c>
      <c r="J540" s="57">
        <f>I540/Pondération!$H$104</f>
        <v>9.3089430894308947E-2</v>
      </c>
      <c r="K540" s="2"/>
      <c r="L540" s="2"/>
      <c r="M540" s="2"/>
      <c r="N540" s="2"/>
      <c r="O540" s="2"/>
      <c r="P540"/>
    </row>
    <row r="541" spans="1:16" x14ac:dyDescent="0.25">
      <c r="A541" s="2" t="s">
        <v>6</v>
      </c>
      <c r="B541" s="2">
        <v>2015</v>
      </c>
      <c r="C541" s="2" t="s">
        <v>14</v>
      </c>
      <c r="D541" s="2" t="s">
        <v>41</v>
      </c>
      <c r="E541" s="2" t="s">
        <v>9</v>
      </c>
      <c r="F541" s="2" t="s">
        <v>10</v>
      </c>
      <c r="G541" s="2">
        <f t="shared" si="29"/>
        <v>0.40924288617886284</v>
      </c>
      <c r="H541" s="5">
        <v>3.8206356736242979</v>
      </c>
      <c r="I541" s="2">
        <v>1054</v>
      </c>
      <c r="J541" s="57">
        <f>I541/Pondération!$H$104</f>
        <v>0.10711382113821138</v>
      </c>
      <c r="K541" s="2"/>
      <c r="L541" s="2"/>
      <c r="M541" s="2"/>
      <c r="N541" s="2"/>
      <c r="O541" s="2"/>
      <c r="P541"/>
    </row>
    <row r="542" spans="1:16" x14ac:dyDescent="0.25">
      <c r="A542" s="2" t="s">
        <v>6</v>
      </c>
      <c r="B542" s="2">
        <v>2015</v>
      </c>
      <c r="C542" s="2" t="s">
        <v>15</v>
      </c>
      <c r="D542" s="2" t="s">
        <v>41</v>
      </c>
      <c r="E542" s="2" t="s">
        <v>9</v>
      </c>
      <c r="F542" s="2" t="s">
        <v>10</v>
      </c>
      <c r="G542" s="2">
        <f t="shared" si="29"/>
        <v>0.59971036585365856</v>
      </c>
      <c r="H542" s="5">
        <v>3.8418945312499999</v>
      </c>
      <c r="I542" s="2">
        <v>1536</v>
      </c>
      <c r="J542" s="57">
        <f>I542/Pondération!$H$104</f>
        <v>0.15609756097560976</v>
      </c>
      <c r="K542" s="2"/>
      <c r="L542" s="2"/>
      <c r="M542" s="2"/>
      <c r="N542" s="2"/>
      <c r="O542" s="2"/>
      <c r="P542"/>
    </row>
    <row r="543" spans="1:16" x14ac:dyDescent="0.25">
      <c r="A543" s="2" t="s">
        <v>6</v>
      </c>
      <c r="B543" s="2">
        <v>2015</v>
      </c>
      <c r="C543" s="2" t="s">
        <v>16</v>
      </c>
      <c r="D543" s="2" t="s">
        <v>41</v>
      </c>
      <c r="E543" s="2" t="s">
        <v>9</v>
      </c>
      <c r="F543" s="2" t="s">
        <v>10</v>
      </c>
      <c r="G543" s="2">
        <f t="shared" si="29"/>
        <v>0.74099593495934857</v>
      </c>
      <c r="H543" s="5">
        <v>3.9627173913043423</v>
      </c>
      <c r="I543" s="2">
        <v>1840</v>
      </c>
      <c r="J543" s="57">
        <f>I543/Pondération!$H$104</f>
        <v>0.18699186991869918</v>
      </c>
      <c r="K543" s="2"/>
      <c r="L543" s="2"/>
      <c r="M543" s="2"/>
      <c r="N543" s="2"/>
      <c r="O543" s="2"/>
      <c r="P543"/>
    </row>
    <row r="544" spans="1:16" x14ac:dyDescent="0.25">
      <c r="A544" s="2" t="s">
        <v>6</v>
      </c>
      <c r="B544" s="2">
        <v>2015</v>
      </c>
      <c r="C544" s="2" t="s">
        <v>17</v>
      </c>
      <c r="D544" s="2" t="s">
        <v>41</v>
      </c>
      <c r="E544" s="2" t="s">
        <v>9</v>
      </c>
      <c r="F544" s="2" t="s">
        <v>10</v>
      </c>
      <c r="G544" s="2">
        <f t="shared" si="29"/>
        <v>0.91934959349593082</v>
      </c>
      <c r="H544" s="5">
        <v>4.0349687778768777</v>
      </c>
      <c r="I544" s="2">
        <v>2242</v>
      </c>
      <c r="J544" s="57">
        <f>I544/Pondération!$H$104</f>
        <v>0.22784552845528455</v>
      </c>
      <c r="K544" s="2"/>
      <c r="L544" s="2"/>
      <c r="M544" s="2"/>
      <c r="N544" s="2"/>
      <c r="O544" s="2"/>
      <c r="P544"/>
    </row>
    <row r="545" spans="1:15" customFormat="1" x14ac:dyDescent="0.25">
      <c r="A545" s="2" t="s">
        <v>6</v>
      </c>
      <c r="B545" s="2">
        <v>2016</v>
      </c>
      <c r="C545" s="2" t="s">
        <v>18</v>
      </c>
      <c r="D545" s="2" t="s">
        <v>41</v>
      </c>
      <c r="E545" s="2" t="s">
        <v>9</v>
      </c>
      <c r="F545" s="2" t="s">
        <v>10</v>
      </c>
      <c r="G545" s="2">
        <f t="shared" si="29"/>
        <v>0.25333880099476058</v>
      </c>
      <c r="H545" s="5">
        <v>4.0489217758985037</v>
      </c>
      <c r="I545" s="2">
        <v>2365</v>
      </c>
      <c r="J545" s="57">
        <f>I545/Pondération!$G$104</f>
        <v>6.2569448118948087E-2</v>
      </c>
      <c r="K545" s="2"/>
      <c r="L545" s="2"/>
      <c r="M545" s="2"/>
      <c r="N545" s="2"/>
      <c r="O545" s="2"/>
    </row>
    <row r="546" spans="1:15" customFormat="1" x14ac:dyDescent="0.25">
      <c r="A546" s="2" t="s">
        <v>6</v>
      </c>
      <c r="B546" s="2">
        <v>2016</v>
      </c>
      <c r="C546" s="2" t="s">
        <v>19</v>
      </c>
      <c r="D546" s="2" t="s">
        <v>41</v>
      </c>
      <c r="E546" s="2" t="s">
        <v>9</v>
      </c>
      <c r="F546" s="2" t="s">
        <v>10</v>
      </c>
      <c r="G546" s="2">
        <f t="shared" si="29"/>
        <v>0.27604899730144195</v>
      </c>
      <c r="H546" s="5">
        <v>4.0758203124999612</v>
      </c>
      <c r="I546" s="2">
        <v>2560</v>
      </c>
      <c r="J546" s="57">
        <f>I546/Pondération!$G$104</f>
        <v>6.7728451240806398E-2</v>
      </c>
      <c r="K546" s="2"/>
      <c r="L546" s="2"/>
      <c r="M546" s="2"/>
      <c r="N546" s="2"/>
      <c r="O546" s="2"/>
    </row>
    <row r="547" spans="1:15" customFormat="1" x14ac:dyDescent="0.25">
      <c r="A547" s="2" t="s">
        <v>6</v>
      </c>
      <c r="B547" s="2">
        <v>2016</v>
      </c>
      <c r="C547" s="2" t="s">
        <v>20</v>
      </c>
      <c r="D547" s="2" t="s">
        <v>41</v>
      </c>
      <c r="E547" s="2" t="s">
        <v>9</v>
      </c>
      <c r="F547" s="2" t="s">
        <v>10</v>
      </c>
      <c r="G547" s="2">
        <f t="shared" si="29"/>
        <v>0.31106407746441084</v>
      </c>
      <c r="H547" s="5">
        <v>4.030716489543984</v>
      </c>
      <c r="I547" s="2">
        <v>2917</v>
      </c>
      <c r="J547" s="57">
        <f>I547/Pondération!$G$104</f>
        <v>7.7173395417746968E-2</v>
      </c>
      <c r="K547" s="2"/>
      <c r="L547" s="2"/>
      <c r="M547" s="2"/>
      <c r="N547" s="2"/>
      <c r="O547" s="2"/>
    </row>
    <row r="548" spans="1:15" customFormat="1" x14ac:dyDescent="0.25">
      <c r="A548" s="2" t="s">
        <v>6</v>
      </c>
      <c r="B548" s="2">
        <v>2016</v>
      </c>
      <c r="C548" s="2" t="s">
        <v>21</v>
      </c>
      <c r="D548" s="2" t="s">
        <v>41</v>
      </c>
      <c r="E548" s="2" t="s">
        <v>9</v>
      </c>
      <c r="F548" s="2" t="s">
        <v>10</v>
      </c>
      <c r="G548" s="2">
        <f t="shared" si="29"/>
        <v>0.29625377004074022</v>
      </c>
      <c r="H548" s="5">
        <v>4.0236435501257271</v>
      </c>
      <c r="I548" s="2">
        <v>2783</v>
      </c>
      <c r="J548" s="57">
        <f>I548/Pondération!$G$104</f>
        <v>7.3628234298111009E-2</v>
      </c>
      <c r="K548" s="2"/>
      <c r="L548" s="2"/>
      <c r="M548" s="2"/>
      <c r="N548" s="2"/>
      <c r="O548" s="2"/>
    </row>
    <row r="549" spans="1:15" customFormat="1" x14ac:dyDescent="0.25">
      <c r="A549" s="2" t="s">
        <v>6</v>
      </c>
      <c r="B549" s="2">
        <v>2016</v>
      </c>
      <c r="C549" s="2" t="s">
        <v>22</v>
      </c>
      <c r="D549" s="2" t="s">
        <v>41</v>
      </c>
      <c r="E549" s="2" t="s">
        <v>9</v>
      </c>
      <c r="F549" s="2" t="s">
        <v>10</v>
      </c>
      <c r="G549" s="2">
        <f t="shared" si="29"/>
        <v>0.30044314513994919</v>
      </c>
      <c r="H549" s="5">
        <v>3.9986443661971127</v>
      </c>
      <c r="I549" s="2">
        <v>2840</v>
      </c>
      <c r="J549" s="57">
        <f>I549/Pondération!$G$104</f>
        <v>7.5136250595269585E-2</v>
      </c>
      <c r="K549" s="2"/>
      <c r="L549" s="2"/>
      <c r="M549" s="2"/>
      <c r="N549" s="2"/>
      <c r="O549" s="2"/>
    </row>
    <row r="550" spans="1:15" customFormat="1" x14ac:dyDescent="0.25">
      <c r="A550" s="2" t="s">
        <v>6</v>
      </c>
      <c r="B550" s="2">
        <v>2016</v>
      </c>
      <c r="C550" s="2" t="s">
        <v>23</v>
      </c>
      <c r="D550" s="2" t="s">
        <v>41</v>
      </c>
      <c r="E550" s="2" t="s">
        <v>9</v>
      </c>
      <c r="F550" s="2" t="s">
        <v>10</v>
      </c>
      <c r="G550" s="2">
        <f t="shared" si="29"/>
        <v>0.24865865918831553</v>
      </c>
      <c r="H550" s="5">
        <v>3.8503891847603238</v>
      </c>
      <c r="I550" s="2">
        <v>2441</v>
      </c>
      <c r="J550" s="57">
        <f>I550/Pondération!$G$104</f>
        <v>6.4580136515159536E-2</v>
      </c>
      <c r="K550" s="2"/>
      <c r="L550" s="2"/>
      <c r="M550" s="2"/>
      <c r="N550" s="2"/>
      <c r="O550" s="2"/>
    </row>
    <row r="551" spans="1:15" customFormat="1" x14ac:dyDescent="0.25">
      <c r="A551" s="2" t="s">
        <v>6</v>
      </c>
      <c r="B551" s="2">
        <v>2016</v>
      </c>
      <c r="C551" s="2" t="s">
        <v>24</v>
      </c>
      <c r="D551" s="2" t="s">
        <v>41</v>
      </c>
      <c r="E551" s="2" t="s">
        <v>9</v>
      </c>
      <c r="F551" s="2" t="s">
        <v>10</v>
      </c>
      <c r="G551" s="2">
        <f t="shared" si="29"/>
        <v>0.27267580295253452</v>
      </c>
      <c r="H551" s="5">
        <v>3.9917118512780405</v>
      </c>
      <c r="I551" s="2">
        <v>2582</v>
      </c>
      <c r="J551" s="57">
        <f>I551/Pondération!$G$104</f>
        <v>6.831049261865707E-2</v>
      </c>
      <c r="K551" s="2"/>
      <c r="L551" s="2"/>
      <c r="M551" s="2"/>
      <c r="N551" s="2"/>
      <c r="O551" s="2"/>
    </row>
    <row r="552" spans="1:15" customFormat="1" x14ac:dyDescent="0.25">
      <c r="A552" s="2" t="s">
        <v>6</v>
      </c>
      <c r="B552" s="2">
        <v>2016</v>
      </c>
      <c r="C552" s="2" t="s">
        <v>25</v>
      </c>
      <c r="D552" s="2" t="s">
        <v>41</v>
      </c>
      <c r="E552" s="2" t="s">
        <v>9</v>
      </c>
      <c r="F552" s="2" t="s">
        <v>10</v>
      </c>
      <c r="G552" s="2">
        <f t="shared" si="29"/>
        <v>0.27688105190750567</v>
      </c>
      <c r="H552" s="5">
        <v>4.0833203277408892</v>
      </c>
      <c r="I552" s="2">
        <v>2563</v>
      </c>
      <c r="J552" s="57">
        <f>I552/Pondération!$G$104</f>
        <v>6.7807820519604212E-2</v>
      </c>
      <c r="K552" s="2"/>
      <c r="L552" s="2"/>
      <c r="M552" s="2"/>
      <c r="N552" s="2"/>
      <c r="O552" s="2"/>
    </row>
    <row r="553" spans="1:15" customFormat="1" x14ac:dyDescent="0.25">
      <c r="A553" s="2" t="s">
        <v>6</v>
      </c>
      <c r="B553" s="2">
        <v>2016</v>
      </c>
      <c r="C553" s="2" t="s">
        <v>26</v>
      </c>
      <c r="D553" s="2" t="s">
        <v>41</v>
      </c>
      <c r="E553" s="2" t="s">
        <v>9</v>
      </c>
      <c r="F553" s="2" t="s">
        <v>10</v>
      </c>
      <c r="G553" s="2">
        <f t="shared" si="29"/>
        <v>0.28231784750515632</v>
      </c>
      <c r="H553" s="5">
        <v>3.8959656809054031</v>
      </c>
      <c r="I553" s="2">
        <v>2739</v>
      </c>
      <c r="J553" s="57">
        <f>I553/Pondération!$G$104</f>
        <v>7.2464151542409649E-2</v>
      </c>
      <c r="K553" s="2"/>
      <c r="L553" s="2"/>
      <c r="M553" s="2"/>
      <c r="N553" s="2"/>
      <c r="O553" s="2"/>
    </row>
    <row r="554" spans="1:15" customFormat="1" x14ac:dyDescent="0.25">
      <c r="A554" s="2" t="s">
        <v>6</v>
      </c>
      <c r="B554" s="2">
        <v>2016</v>
      </c>
      <c r="C554" s="2" t="s">
        <v>27</v>
      </c>
      <c r="D554" s="2" t="s">
        <v>41</v>
      </c>
      <c r="E554" s="2" t="s">
        <v>9</v>
      </c>
      <c r="F554" s="2" t="s">
        <v>10</v>
      </c>
      <c r="G554" s="2">
        <f t="shared" si="29"/>
        <v>0.43918593576378911</v>
      </c>
      <c r="H554" s="5">
        <v>3.8713502798506765</v>
      </c>
      <c r="I554" s="2">
        <v>4288</v>
      </c>
      <c r="J554" s="57">
        <f>I554/Pondération!$G$104</f>
        <v>0.11344515582835071</v>
      </c>
      <c r="K554" s="2"/>
      <c r="L554" s="2"/>
      <c r="M554" s="2"/>
      <c r="N554" s="2"/>
      <c r="O554" s="2"/>
    </row>
    <row r="555" spans="1:15" customFormat="1" x14ac:dyDescent="0.25">
      <c r="A555" s="2" t="s">
        <v>6</v>
      </c>
      <c r="B555" s="2">
        <v>2016</v>
      </c>
      <c r="C555" s="2" t="s">
        <v>28</v>
      </c>
      <c r="D555" s="2" t="s">
        <v>41</v>
      </c>
      <c r="E555" s="2" t="s">
        <v>9</v>
      </c>
      <c r="F555" s="2" t="s">
        <v>10</v>
      </c>
      <c r="G555" s="2">
        <f t="shared" si="29"/>
        <v>0.43275305571722578</v>
      </c>
      <c r="H555" s="5">
        <v>3.996384070363963</v>
      </c>
      <c r="I555" s="2">
        <v>4093</v>
      </c>
      <c r="J555" s="57">
        <f>I555/Pondération!$G$104</f>
        <v>0.1082861527064924</v>
      </c>
      <c r="K555" s="2"/>
      <c r="L555" s="2"/>
      <c r="M555" s="2"/>
      <c r="N555" s="2"/>
      <c r="O555" s="2"/>
    </row>
    <row r="556" spans="1:15" customFormat="1" x14ac:dyDescent="0.25">
      <c r="A556" s="2" t="s">
        <v>6</v>
      </c>
      <c r="B556" s="2">
        <v>2016</v>
      </c>
      <c r="C556" s="2" t="s">
        <v>29</v>
      </c>
      <c r="D556" s="2" t="s">
        <v>41</v>
      </c>
      <c r="E556" s="2" t="s">
        <v>9</v>
      </c>
      <c r="F556" s="2" t="s">
        <v>10</v>
      </c>
      <c r="G556" s="2">
        <f t="shared" si="29"/>
        <v>0.60018916344779882</v>
      </c>
      <c r="H556" s="5">
        <v>4.0316243113559445</v>
      </c>
      <c r="I556" s="2">
        <v>5627</v>
      </c>
      <c r="J556" s="57">
        <f>I556/Pondération!$G$104</f>
        <v>0.14887031059844436</v>
      </c>
      <c r="K556" s="2"/>
      <c r="L556" s="2"/>
      <c r="M556" s="2"/>
      <c r="N556" s="2"/>
      <c r="O556" s="2"/>
    </row>
    <row r="557" spans="1:15" customFormat="1" x14ac:dyDescent="0.25">
      <c r="A557" s="2" t="s">
        <v>6</v>
      </c>
      <c r="B557" s="2">
        <v>2017</v>
      </c>
      <c r="C557" s="2" t="s">
        <v>30</v>
      </c>
      <c r="D557" s="2" t="s">
        <v>41</v>
      </c>
      <c r="E557" s="2" t="s">
        <v>9</v>
      </c>
      <c r="F557" s="2" t="s">
        <v>10</v>
      </c>
      <c r="G557" s="2">
        <f t="shared" si="29"/>
        <v>0.95577786088257299</v>
      </c>
      <c r="H557" s="5">
        <v>3.9733546381067542</v>
      </c>
      <c r="I557" s="2">
        <v>5789</v>
      </c>
      <c r="J557" s="57">
        <f>I557/Pondération!$F$104</f>
        <v>0.24054682955206516</v>
      </c>
      <c r="K557" s="2"/>
      <c r="L557" s="2"/>
      <c r="M557" s="2"/>
      <c r="N557" s="2"/>
      <c r="O557" s="2"/>
    </row>
    <row r="558" spans="1:15" customFormat="1" x14ac:dyDescent="0.25">
      <c r="A558" s="2" t="s">
        <v>6</v>
      </c>
      <c r="B558" s="2">
        <v>2017</v>
      </c>
      <c r="C558" s="2" t="s">
        <v>31</v>
      </c>
      <c r="D558" s="2" t="s">
        <v>41</v>
      </c>
      <c r="E558" s="2" t="s">
        <v>9</v>
      </c>
      <c r="F558" s="2" t="s">
        <v>10</v>
      </c>
      <c r="G558" s="2">
        <f t="shared" si="29"/>
        <v>0.80607703814509257</v>
      </c>
      <c r="H558" s="5">
        <v>4.0322282269797958</v>
      </c>
      <c r="I558" s="2">
        <v>4811</v>
      </c>
      <c r="J558" s="57">
        <f>I558/Pondération!$F$104</f>
        <v>0.19990858472533865</v>
      </c>
      <c r="K558" s="2"/>
      <c r="L558" s="2"/>
      <c r="M558" s="2"/>
      <c r="N558" s="2"/>
      <c r="O558" s="2"/>
    </row>
    <row r="559" spans="1:15" customFormat="1" x14ac:dyDescent="0.25">
      <c r="A559" s="2" t="s">
        <v>6</v>
      </c>
      <c r="B559" s="2">
        <v>2017</v>
      </c>
      <c r="C559" s="2" t="s">
        <v>32</v>
      </c>
      <c r="D559" s="2" t="s">
        <v>41</v>
      </c>
      <c r="E559" s="2" t="s">
        <v>9</v>
      </c>
      <c r="F559" s="2" t="s">
        <v>10</v>
      </c>
      <c r="G559" s="2">
        <f t="shared" si="29"/>
        <v>0.86971037978890964</v>
      </c>
      <c r="H559" s="5">
        <v>3.9379962370648918</v>
      </c>
      <c r="I559" s="2">
        <v>5315</v>
      </c>
      <c r="J559" s="57">
        <f>I559/Pondération!$F$104</f>
        <v>0.220850993102302</v>
      </c>
      <c r="K559" s="2"/>
      <c r="L559" s="2"/>
      <c r="M559" s="2"/>
      <c r="N559" s="2"/>
      <c r="O559" s="2"/>
    </row>
    <row r="560" spans="1:15" customFormat="1" x14ac:dyDescent="0.25">
      <c r="A560" s="2" t="s">
        <v>6</v>
      </c>
      <c r="B560" s="2">
        <v>2017</v>
      </c>
      <c r="C560" s="2" t="s">
        <v>33</v>
      </c>
      <c r="D560" s="2" t="s">
        <v>41</v>
      </c>
      <c r="E560" s="2" t="s">
        <v>9</v>
      </c>
      <c r="F560" s="2" t="s">
        <v>10</v>
      </c>
      <c r="G560" s="2">
        <f t="shared" si="29"/>
        <v>0.76628230698910482</v>
      </c>
      <c r="H560" s="5">
        <v>3.9480518090344248</v>
      </c>
      <c r="I560" s="2">
        <v>4671</v>
      </c>
      <c r="J560" s="57">
        <f>I560/Pondération!$F$104</f>
        <v>0.19409124906507105</v>
      </c>
      <c r="K560" s="2"/>
      <c r="L560" s="2"/>
      <c r="M560" s="2"/>
      <c r="N560" s="2"/>
      <c r="O560" s="2"/>
    </row>
    <row r="561" spans="1:16" x14ac:dyDescent="0.25">
      <c r="A561" s="2" t="s">
        <v>6</v>
      </c>
      <c r="B561" s="2">
        <v>2017</v>
      </c>
      <c r="C561" s="2" t="s">
        <v>34</v>
      </c>
      <c r="D561" s="2" t="s">
        <v>41</v>
      </c>
      <c r="E561" s="2" t="s">
        <v>9</v>
      </c>
      <c r="F561" s="2" t="s">
        <v>10</v>
      </c>
      <c r="G561" s="2">
        <f t="shared" si="29"/>
        <v>0.56679340147925705</v>
      </c>
      <c r="H561" s="5">
        <v>3.9196695402298278</v>
      </c>
      <c r="I561" s="2">
        <v>3480</v>
      </c>
      <c r="J561" s="57">
        <f>I561/Pondération!$F$104</f>
        <v>0.14460234355522314</v>
      </c>
      <c r="K561" s="2"/>
      <c r="L561" s="2"/>
      <c r="M561" s="2"/>
      <c r="N561" s="2"/>
      <c r="O561" s="2"/>
      <c r="P561"/>
    </row>
    <row r="562" spans="1:16" x14ac:dyDescent="0.25">
      <c r="A562" s="2" t="s">
        <v>47</v>
      </c>
      <c r="B562" s="2">
        <v>2013</v>
      </c>
      <c r="C562" s="2" t="s">
        <v>49</v>
      </c>
      <c r="D562" s="2" t="s">
        <v>41</v>
      </c>
      <c r="E562" s="2" t="s">
        <v>9</v>
      </c>
      <c r="F562" s="2" t="s">
        <v>48</v>
      </c>
      <c r="G562" s="2">
        <f t="shared" si="29"/>
        <v>0.25331719562488791</v>
      </c>
      <c r="H562" s="5">
        <v>4.4286833855799372</v>
      </c>
      <c r="I562" s="2">
        <v>319</v>
      </c>
      <c r="J562" s="57">
        <f>I562/Pondération!$J$105</f>
        <v>5.7199211045364892E-2</v>
      </c>
      <c r="K562" s="5">
        <v>4.4043887147335425</v>
      </c>
      <c r="L562" s="5">
        <f t="shared" ref="L562:L614" si="30">K562*$J562</f>
        <v>0.25192755961986735</v>
      </c>
      <c r="M562" s="5">
        <v>4.6144200626959249</v>
      </c>
      <c r="N562" s="5">
        <f t="shared" ref="N562:N614" si="31">M562*$J562</f>
        <v>0.26394118701811009</v>
      </c>
      <c r="O562" s="5">
        <v>4.2915360501567399</v>
      </c>
      <c r="P562" s="15">
        <f t="shared" ref="P562:P614" si="32">O562*$J562</f>
        <v>0.24547247624170701</v>
      </c>
    </row>
    <row r="563" spans="1:16" x14ac:dyDescent="0.25">
      <c r="A563" s="2" t="s">
        <v>47</v>
      </c>
      <c r="B563" s="2">
        <v>2013</v>
      </c>
      <c r="C563" s="2" t="s">
        <v>50</v>
      </c>
      <c r="D563" s="2" t="s">
        <v>41</v>
      </c>
      <c r="E563" s="2" t="s">
        <v>9</v>
      </c>
      <c r="F563" s="2" t="s">
        <v>48</v>
      </c>
      <c r="G563" s="2">
        <f t="shared" si="29"/>
        <v>0.37345346960731579</v>
      </c>
      <c r="H563" s="5">
        <v>4.4313829787234047</v>
      </c>
      <c r="I563" s="2">
        <v>470</v>
      </c>
      <c r="J563" s="57">
        <f>I563/Pondération!$J$105</f>
        <v>8.4274699659315042E-2</v>
      </c>
      <c r="K563" s="5">
        <v>4.4702127659574469</v>
      </c>
      <c r="L563" s="5">
        <f t="shared" si="30"/>
        <v>0.37672583826429978</v>
      </c>
      <c r="M563" s="5">
        <v>4.5446808510638297</v>
      </c>
      <c r="N563" s="5">
        <f t="shared" si="31"/>
        <v>0.38300161377084452</v>
      </c>
      <c r="O563" s="5">
        <v>4.2404255319148936</v>
      </c>
      <c r="P563" s="15">
        <f t="shared" si="32"/>
        <v>0.35736058812981891</v>
      </c>
    </row>
    <row r="564" spans="1:16" x14ac:dyDescent="0.25">
      <c r="A564" s="2" t="s">
        <v>47</v>
      </c>
      <c r="B564" s="2">
        <v>2013</v>
      </c>
      <c r="C564" s="2" t="s">
        <v>51</v>
      </c>
      <c r="D564" s="2" t="s">
        <v>41</v>
      </c>
      <c r="E564" s="2" t="s">
        <v>9</v>
      </c>
      <c r="F564" s="2" t="s">
        <v>48</v>
      </c>
      <c r="G564" s="2">
        <f t="shared" si="29"/>
        <v>0.30930607853684777</v>
      </c>
      <c r="H564" s="5">
        <v>4.4573643410852712</v>
      </c>
      <c r="I564" s="2">
        <v>387</v>
      </c>
      <c r="J564" s="57">
        <f>I564/Pondération!$J$105</f>
        <v>6.9392146315223238E-2</v>
      </c>
      <c r="K564" s="5">
        <v>4.4677002583979331</v>
      </c>
      <c r="L564" s="5">
        <f t="shared" si="30"/>
        <v>0.31002331002331002</v>
      </c>
      <c r="M564" s="5">
        <v>4.5968992248062017</v>
      </c>
      <c r="N564" s="5">
        <f t="shared" si="31"/>
        <v>0.31898870360408821</v>
      </c>
      <c r="O564" s="5">
        <v>4.297157622739018</v>
      </c>
      <c r="P564" s="15">
        <f t="shared" si="32"/>
        <v>0.29818899049668279</v>
      </c>
    </row>
    <row r="565" spans="1:16" x14ac:dyDescent="0.25">
      <c r="A565" s="2" t="s">
        <v>47</v>
      </c>
      <c r="B565" s="2">
        <v>2013</v>
      </c>
      <c r="C565" s="2" t="s">
        <v>52</v>
      </c>
      <c r="D565" s="2" t="s">
        <v>41</v>
      </c>
      <c r="E565" s="2" t="s">
        <v>9</v>
      </c>
      <c r="F565" s="2" t="s">
        <v>48</v>
      </c>
      <c r="G565" s="2">
        <f t="shared" si="29"/>
        <v>0.36776044468352165</v>
      </c>
      <c r="H565" s="5">
        <v>4.4684095860566453</v>
      </c>
      <c r="I565" s="2">
        <v>459</v>
      </c>
      <c r="J565" s="57">
        <f>I565/Pondération!$J$105</f>
        <v>8.2302313071543842E-2</v>
      </c>
      <c r="K565" s="5">
        <v>4.4488017429193896</v>
      </c>
      <c r="L565" s="5">
        <f t="shared" si="30"/>
        <v>0.36614667383898153</v>
      </c>
      <c r="M565" s="5">
        <v>4.5664488017429194</v>
      </c>
      <c r="N565" s="5">
        <f t="shared" si="31"/>
        <v>0.37582929890622202</v>
      </c>
      <c r="O565" s="5">
        <v>4.4095860566448799</v>
      </c>
      <c r="P565" s="15">
        <f t="shared" si="32"/>
        <v>0.36291913214990135</v>
      </c>
    </row>
    <row r="566" spans="1:16" x14ac:dyDescent="0.25">
      <c r="A566" s="2" t="s">
        <v>47</v>
      </c>
      <c r="B566" s="2">
        <v>2013</v>
      </c>
      <c r="C566" s="2" t="s">
        <v>53</v>
      </c>
      <c r="D566" s="2" t="s">
        <v>41</v>
      </c>
      <c r="E566" s="2" t="s">
        <v>9</v>
      </c>
      <c r="F566" s="2" t="s">
        <v>48</v>
      </c>
      <c r="G566" s="2">
        <f t="shared" si="29"/>
        <v>0.45472476241707011</v>
      </c>
      <c r="H566" s="5">
        <v>4.4569420035149383</v>
      </c>
      <c r="I566" s="2">
        <v>569</v>
      </c>
      <c r="J566" s="57">
        <f>I566/Pondération!$J$105</f>
        <v>0.10202617894925588</v>
      </c>
      <c r="K566" s="5">
        <v>4.4463971880492092</v>
      </c>
      <c r="L566" s="5">
        <f t="shared" si="30"/>
        <v>0.45364891518737677</v>
      </c>
      <c r="M566" s="5">
        <v>4.6080843585237261</v>
      </c>
      <c r="N566" s="5">
        <f t="shared" si="31"/>
        <v>0.47014523937600866</v>
      </c>
      <c r="O566" s="5">
        <v>4.3268892794376095</v>
      </c>
      <c r="P566" s="15">
        <f t="shared" si="32"/>
        <v>0.44145597991751834</v>
      </c>
    </row>
    <row r="567" spans="1:16" x14ac:dyDescent="0.25">
      <c r="A567" s="2" t="s">
        <v>47</v>
      </c>
      <c r="B567" s="2">
        <v>2013</v>
      </c>
      <c r="C567" s="2" t="s">
        <v>54</v>
      </c>
      <c r="D567" s="2" t="s">
        <v>41</v>
      </c>
      <c r="E567" s="2" t="s">
        <v>9</v>
      </c>
      <c r="F567" s="2" t="s">
        <v>48</v>
      </c>
      <c r="G567" s="2">
        <f t="shared" si="29"/>
        <v>0.43015958400573784</v>
      </c>
      <c r="H567" s="5">
        <v>4.5093984962406015</v>
      </c>
      <c r="I567" s="2">
        <v>532</v>
      </c>
      <c r="J567" s="57">
        <f>I567/Pondération!$J$105</f>
        <v>9.5391787699480007E-2</v>
      </c>
      <c r="K567" s="5">
        <v>4.5394736842105265</v>
      </c>
      <c r="L567" s="5">
        <f t="shared" si="30"/>
        <v>0.43302850995158687</v>
      </c>
      <c r="M567" s="5">
        <v>4.5488721804511281</v>
      </c>
      <c r="N567" s="5">
        <f t="shared" si="31"/>
        <v>0.43392504930966475</v>
      </c>
      <c r="O567" s="5">
        <v>4.4097744360902258</v>
      </c>
      <c r="P567" s="15">
        <f t="shared" si="32"/>
        <v>0.42065626681011298</v>
      </c>
    </row>
    <row r="568" spans="1:16" x14ac:dyDescent="0.25">
      <c r="A568" s="2" t="s">
        <v>47</v>
      </c>
      <c r="B568" s="2">
        <v>2013</v>
      </c>
      <c r="C568" s="2" t="s">
        <v>55</v>
      </c>
      <c r="D568" s="2" t="s">
        <v>41</v>
      </c>
      <c r="E568" s="2" t="s">
        <v>9</v>
      </c>
      <c r="F568" s="2" t="s">
        <v>48</v>
      </c>
      <c r="G568" s="2">
        <f t="shared" si="29"/>
        <v>0.38295678680294071</v>
      </c>
      <c r="H568" s="5">
        <v>4.5058016877637135</v>
      </c>
      <c r="I568" s="2">
        <v>474</v>
      </c>
      <c r="J568" s="57">
        <f>I568/Pondération!$J$105</f>
        <v>8.49919311457773E-2</v>
      </c>
      <c r="K568" s="5">
        <v>4.5232067510548521</v>
      </c>
      <c r="L568" s="5">
        <f t="shared" si="30"/>
        <v>0.38443607674376906</v>
      </c>
      <c r="M568" s="5">
        <v>4.5843881856540083</v>
      </c>
      <c r="N568" s="5">
        <f t="shared" si="31"/>
        <v>0.3896360050206204</v>
      </c>
      <c r="O568" s="5">
        <v>4.3924050632911396</v>
      </c>
      <c r="P568" s="15">
        <f t="shared" si="32"/>
        <v>0.37331898870360414</v>
      </c>
    </row>
    <row r="569" spans="1:16" x14ac:dyDescent="0.25">
      <c r="A569" s="2" t="s">
        <v>47</v>
      </c>
      <c r="B569" s="2">
        <v>2013</v>
      </c>
      <c r="C569" s="2" t="s">
        <v>56</v>
      </c>
      <c r="D569" s="2" t="s">
        <v>41</v>
      </c>
      <c r="E569" s="2" t="s">
        <v>9</v>
      </c>
      <c r="F569" s="2" t="s">
        <v>48</v>
      </c>
      <c r="G569" s="2">
        <f t="shared" si="29"/>
        <v>0.43015958400573789</v>
      </c>
      <c r="H569" s="5">
        <v>4.4343807763401113</v>
      </c>
      <c r="I569" s="2">
        <v>541</v>
      </c>
      <c r="J569" s="57">
        <f>I569/Pondération!$J$105</f>
        <v>9.7005558544020085E-2</v>
      </c>
      <c r="K569" s="5">
        <v>4.4510166358595198</v>
      </c>
      <c r="L569" s="5">
        <f t="shared" si="30"/>
        <v>0.43177335485027796</v>
      </c>
      <c r="M569" s="5">
        <v>4.5674676524953792</v>
      </c>
      <c r="N569" s="5">
        <f t="shared" si="31"/>
        <v>0.44306975076205851</v>
      </c>
      <c r="O569" s="5">
        <v>4.2680221811460255</v>
      </c>
      <c r="P569" s="15">
        <f t="shared" si="32"/>
        <v>0.41402187556033709</v>
      </c>
    </row>
    <row r="570" spans="1:16" x14ac:dyDescent="0.25">
      <c r="A570" s="2" t="s">
        <v>47</v>
      </c>
      <c r="B570" s="2">
        <v>2013</v>
      </c>
      <c r="C570" s="2" t="s">
        <v>57</v>
      </c>
      <c r="D570" s="2" t="s">
        <v>41</v>
      </c>
      <c r="E570" s="2" t="s">
        <v>9</v>
      </c>
      <c r="F570" s="2" t="s">
        <v>48</v>
      </c>
      <c r="G570" s="2">
        <f t="shared" si="29"/>
        <v>0.33436435359512279</v>
      </c>
      <c r="H570" s="5">
        <v>4.482572115384615</v>
      </c>
      <c r="I570" s="2">
        <v>416</v>
      </c>
      <c r="J570" s="57">
        <f>I570/Pondération!$J$105</f>
        <v>7.4592074592074592E-2</v>
      </c>
      <c r="K570" s="5">
        <v>4.478365384615385</v>
      </c>
      <c r="L570" s="5">
        <f t="shared" si="30"/>
        <v>0.33405056481979561</v>
      </c>
      <c r="M570" s="5">
        <v>4.6057692307692308</v>
      </c>
      <c r="N570" s="5">
        <f t="shared" si="31"/>
        <v>0.34355388201542048</v>
      </c>
      <c r="O570" s="5">
        <v>4.3677884615384617</v>
      </c>
      <c r="P570" s="15">
        <f t="shared" si="32"/>
        <v>0.32580240272547967</v>
      </c>
    </row>
    <row r="571" spans="1:16" x14ac:dyDescent="0.25">
      <c r="A571" s="2" t="s">
        <v>47</v>
      </c>
      <c r="B571" s="2">
        <v>2013</v>
      </c>
      <c r="C571" s="2" t="s">
        <v>58</v>
      </c>
      <c r="D571" s="2" t="s">
        <v>41</v>
      </c>
      <c r="E571" s="2" t="s">
        <v>9</v>
      </c>
      <c r="F571" s="2" t="s">
        <v>48</v>
      </c>
      <c r="G571" s="2">
        <f t="shared" si="29"/>
        <v>0.41653218576295498</v>
      </c>
      <c r="H571" s="5">
        <v>4.4416826003824088</v>
      </c>
      <c r="I571" s="2">
        <v>523</v>
      </c>
      <c r="J571" s="57">
        <f>I571/Pondération!$J$105</f>
        <v>9.377801685493993E-2</v>
      </c>
      <c r="K571" s="5">
        <v>4.4665391969407269</v>
      </c>
      <c r="L571" s="5">
        <f t="shared" si="30"/>
        <v>0.41886318809395734</v>
      </c>
      <c r="M571" s="5">
        <v>4.5850860420650097</v>
      </c>
      <c r="N571" s="5">
        <f t="shared" si="31"/>
        <v>0.42998027613412232</v>
      </c>
      <c r="O571" s="5">
        <v>4.2485659655831736</v>
      </c>
      <c r="P571" s="15">
        <f t="shared" si="32"/>
        <v>0.39842209072978296</v>
      </c>
    </row>
    <row r="572" spans="1:16" x14ac:dyDescent="0.25">
      <c r="A572" s="2" t="s">
        <v>47</v>
      </c>
      <c r="B572" s="2">
        <v>2013</v>
      </c>
      <c r="C572" s="2" t="s">
        <v>59</v>
      </c>
      <c r="D572" s="2" t="s">
        <v>41</v>
      </c>
      <c r="E572" s="2" t="s">
        <v>9</v>
      </c>
      <c r="F572" s="2" t="s">
        <v>48</v>
      </c>
      <c r="G572" s="2">
        <f t="shared" si="29"/>
        <v>0.3880670611439842</v>
      </c>
      <c r="H572" s="5">
        <v>4.4623711340206187</v>
      </c>
      <c r="I572" s="2">
        <v>485</v>
      </c>
      <c r="J572" s="57">
        <f>I572/Pondération!$J$105</f>
        <v>8.6964317733548499E-2</v>
      </c>
      <c r="K572" s="5">
        <v>4.463917525773196</v>
      </c>
      <c r="L572" s="5">
        <f t="shared" si="30"/>
        <v>0.38820154204769591</v>
      </c>
      <c r="M572" s="5">
        <v>4.6123711340206182</v>
      </c>
      <c r="N572" s="5">
        <f t="shared" si="31"/>
        <v>0.40111170880401642</v>
      </c>
      <c r="O572" s="5">
        <v>4.3092783505154637</v>
      </c>
      <c r="P572" s="15">
        <f t="shared" si="32"/>
        <v>0.37475345167652857</v>
      </c>
    </row>
    <row r="573" spans="1:16" x14ac:dyDescent="0.25">
      <c r="A573" s="2" t="s">
        <v>47</v>
      </c>
      <c r="B573" s="2">
        <v>2013</v>
      </c>
      <c r="C573" s="2" t="s">
        <v>60</v>
      </c>
      <c r="D573" s="2" t="s">
        <v>41</v>
      </c>
      <c r="E573" s="2" t="s">
        <v>9</v>
      </c>
      <c r="F573" s="2" t="s">
        <v>48</v>
      </c>
      <c r="G573" s="2">
        <f t="shared" si="29"/>
        <v>0.3202886856733011</v>
      </c>
      <c r="H573" s="5">
        <v>4.4434079601990053</v>
      </c>
      <c r="I573" s="2">
        <v>402</v>
      </c>
      <c r="J573" s="57">
        <f>I573/Pondération!$J$105</f>
        <v>7.2081764389456696E-2</v>
      </c>
      <c r="K573" s="5">
        <v>4.4875621890547261</v>
      </c>
      <c r="L573" s="5">
        <f t="shared" si="30"/>
        <v>0.3234714003944773</v>
      </c>
      <c r="M573" s="5">
        <v>4.5597014925373136</v>
      </c>
      <c r="N573" s="5">
        <f t="shared" si="31"/>
        <v>0.3286713286713287</v>
      </c>
      <c r="O573" s="5">
        <v>4.2388059701492535</v>
      </c>
      <c r="P573" s="15">
        <f t="shared" si="32"/>
        <v>0.30554061323292092</v>
      </c>
    </row>
    <row r="574" spans="1:16" x14ac:dyDescent="0.25">
      <c r="A574" s="2" t="s">
        <v>47</v>
      </c>
      <c r="B574" s="2">
        <v>2014</v>
      </c>
      <c r="C574" s="2" t="s">
        <v>61</v>
      </c>
      <c r="D574" s="2" t="s">
        <v>41</v>
      </c>
      <c r="E574" s="2" t="s">
        <v>9</v>
      </c>
      <c r="F574" s="2" t="s">
        <v>48</v>
      </c>
      <c r="G574" s="2">
        <f t="shared" si="29"/>
        <v>0.30741693312943141</v>
      </c>
      <c r="H574" s="5">
        <v>4.4671717171717171</v>
      </c>
      <c r="I574" s="2">
        <v>495</v>
      </c>
      <c r="J574" s="57">
        <f>I574/Pondération!$I$105</f>
        <v>6.8816905324621161E-2</v>
      </c>
      <c r="K574" s="5">
        <v>4.4747474747474749</v>
      </c>
      <c r="L574" s="5">
        <f t="shared" si="30"/>
        <v>0.30793827332128459</v>
      </c>
      <c r="M574" s="5">
        <v>4.6040404040404042</v>
      </c>
      <c r="N574" s="5">
        <f t="shared" si="31"/>
        <v>0.31683581259557902</v>
      </c>
      <c r="O574" s="5">
        <v>4.3151515151515154</v>
      </c>
      <c r="P574" s="15">
        <f t="shared" si="32"/>
        <v>0.29695537327957738</v>
      </c>
    </row>
    <row r="575" spans="1:16" x14ac:dyDescent="0.25">
      <c r="A575" s="2" t="s">
        <v>47</v>
      </c>
      <c r="B575" s="2">
        <v>2014</v>
      </c>
      <c r="C575" s="2" t="s">
        <v>62</v>
      </c>
      <c r="D575" s="2" t="s">
        <v>41</v>
      </c>
      <c r="E575" s="2" t="s">
        <v>9</v>
      </c>
      <c r="F575" s="2" t="s">
        <v>48</v>
      </c>
      <c r="G575" s="2">
        <f t="shared" si="29"/>
        <v>0.3942026970665925</v>
      </c>
      <c r="H575" s="5">
        <v>4.486550632911392</v>
      </c>
      <c r="I575" s="2">
        <v>632</v>
      </c>
      <c r="J575" s="57">
        <f>I575/Pondération!$I$105</f>
        <v>8.7863200333657729E-2</v>
      </c>
      <c r="K575" s="5">
        <v>4.4968354430379751</v>
      </c>
      <c r="L575" s="5">
        <f t="shared" si="30"/>
        <v>0.39510635339913813</v>
      </c>
      <c r="M575" s="5">
        <v>4.6139240506329111</v>
      </c>
      <c r="N575" s="5">
        <f t="shared" si="31"/>
        <v>0.40539413318504103</v>
      </c>
      <c r="O575" s="5">
        <v>4.3386075949367084</v>
      </c>
      <c r="P575" s="15">
        <f t="shared" si="32"/>
        <v>0.38120394828305298</v>
      </c>
    </row>
    <row r="576" spans="1:16" x14ac:dyDescent="0.25">
      <c r="A576" s="2" t="s">
        <v>47</v>
      </c>
      <c r="B576" s="2">
        <v>2014</v>
      </c>
      <c r="C576" s="2" t="s">
        <v>63</v>
      </c>
      <c r="D576" s="2" t="s">
        <v>41</v>
      </c>
      <c r="E576" s="2" t="s">
        <v>9</v>
      </c>
      <c r="F576" s="2" t="s">
        <v>48</v>
      </c>
      <c r="G576" s="2">
        <f t="shared" si="29"/>
        <v>0.32166689837341855</v>
      </c>
      <c r="H576" s="5">
        <v>4.3821022727272725</v>
      </c>
      <c r="I576" s="2">
        <v>528</v>
      </c>
      <c r="J576" s="57">
        <f>I576/Pondération!$I$105</f>
        <v>7.3404699012929231E-2</v>
      </c>
      <c r="K576" s="5">
        <v>4.4147727272727275</v>
      </c>
      <c r="L576" s="5">
        <f t="shared" si="30"/>
        <v>0.32406506325594325</v>
      </c>
      <c r="M576" s="5">
        <v>4.5113636363636367</v>
      </c>
      <c r="N576" s="5">
        <f t="shared" si="31"/>
        <v>0.33115528986514664</v>
      </c>
      <c r="O576" s="5">
        <v>4.1875</v>
      </c>
      <c r="P576" s="15">
        <f t="shared" si="32"/>
        <v>0.30738217711664118</v>
      </c>
    </row>
    <row r="577" spans="1:16" x14ac:dyDescent="0.25">
      <c r="A577" s="2" t="s">
        <v>47</v>
      </c>
      <c r="B577" s="2">
        <v>2014</v>
      </c>
      <c r="C577" s="2" t="s">
        <v>64</v>
      </c>
      <c r="D577" s="2" t="s">
        <v>41</v>
      </c>
      <c r="E577" s="2" t="s">
        <v>9</v>
      </c>
      <c r="F577" s="2" t="s">
        <v>48</v>
      </c>
      <c r="G577" s="2">
        <f t="shared" si="29"/>
        <v>0.3300430974558598</v>
      </c>
      <c r="H577" s="5">
        <v>4.4291044776119399</v>
      </c>
      <c r="I577" s="2">
        <v>536</v>
      </c>
      <c r="J577" s="57">
        <f>I577/Pondération!$I$105</f>
        <v>7.4516891422216042E-2</v>
      </c>
      <c r="K577" s="5">
        <v>4.4421641791044779</v>
      </c>
      <c r="L577" s="5">
        <f t="shared" si="30"/>
        <v>0.33101626581398585</v>
      </c>
      <c r="M577" s="5">
        <v>4.5261194029850742</v>
      </c>
      <c r="N577" s="5">
        <f t="shared" si="31"/>
        <v>0.33727234811622409</v>
      </c>
      <c r="O577" s="5">
        <v>4.3059701492537314</v>
      </c>
      <c r="P577" s="15">
        <f t="shared" si="32"/>
        <v>0.32086751007924369</v>
      </c>
    </row>
    <row r="578" spans="1:16" x14ac:dyDescent="0.25">
      <c r="A578" s="2" t="s">
        <v>47</v>
      </c>
      <c r="B578" s="2">
        <v>2014</v>
      </c>
      <c r="C578" s="2" t="s">
        <v>65</v>
      </c>
      <c r="D578" s="2" t="s">
        <v>41</v>
      </c>
      <c r="E578" s="2" t="s">
        <v>9</v>
      </c>
      <c r="F578" s="2" t="s">
        <v>48</v>
      </c>
      <c r="G578" s="2">
        <f t="shared" ref="G578:G641" si="33">H578*J578</f>
        <v>0.40737522591408315</v>
      </c>
      <c r="H578" s="5">
        <v>4.4532674772036476</v>
      </c>
      <c r="I578" s="2">
        <v>658</v>
      </c>
      <c r="J578" s="57">
        <f>I578/Pondération!$I$105</f>
        <v>9.1477825663839843E-2</v>
      </c>
      <c r="K578" s="5">
        <v>4.4589665653495443</v>
      </c>
      <c r="L578" s="5">
        <f t="shared" si="30"/>
        <v>0.40789656610593633</v>
      </c>
      <c r="M578" s="5">
        <v>4.6079027355623099</v>
      </c>
      <c r="N578" s="5">
        <f t="shared" si="31"/>
        <v>0.42152092311969969</v>
      </c>
      <c r="O578" s="5">
        <v>4.2872340425531918</v>
      </c>
      <c r="P578" s="15">
        <f t="shared" si="32"/>
        <v>0.3921868483247602</v>
      </c>
    </row>
    <row r="579" spans="1:16" x14ac:dyDescent="0.25">
      <c r="A579" s="2" t="s">
        <v>47</v>
      </c>
      <c r="B579" s="2">
        <v>2014</v>
      </c>
      <c r="C579" s="2" t="s">
        <v>66</v>
      </c>
      <c r="D579" s="2" t="s">
        <v>41</v>
      </c>
      <c r="E579" s="2" t="s">
        <v>9</v>
      </c>
      <c r="F579" s="2" t="s">
        <v>48</v>
      </c>
      <c r="G579" s="2">
        <f t="shared" si="33"/>
        <v>0.31110107048519392</v>
      </c>
      <c r="H579" s="5">
        <v>4.41370808678501</v>
      </c>
      <c r="I579" s="2">
        <v>507</v>
      </c>
      <c r="J579" s="57">
        <f>I579/Pondération!$I$105</f>
        <v>7.0485193938551363E-2</v>
      </c>
      <c r="K579" s="5">
        <v>4.4082840236686387</v>
      </c>
      <c r="L579" s="5">
        <f t="shared" si="30"/>
        <v>0.31071875434450152</v>
      </c>
      <c r="M579" s="5">
        <v>4.5424063116370812</v>
      </c>
      <c r="N579" s="5">
        <f t="shared" si="31"/>
        <v>0.32017238982343943</v>
      </c>
      <c r="O579" s="5">
        <v>4.2958579881656807</v>
      </c>
      <c r="P579" s="15">
        <f t="shared" si="32"/>
        <v>0.30279438342833309</v>
      </c>
    </row>
    <row r="580" spans="1:16" x14ac:dyDescent="0.25">
      <c r="A580" s="2" t="s">
        <v>47</v>
      </c>
      <c r="B580" s="2">
        <v>2014</v>
      </c>
      <c r="C580" s="2" t="s">
        <v>67</v>
      </c>
      <c r="D580" s="2" t="s">
        <v>41</v>
      </c>
      <c r="E580" s="2" t="s">
        <v>9</v>
      </c>
      <c r="F580" s="2" t="s">
        <v>48</v>
      </c>
      <c r="G580" s="2">
        <f t="shared" si="33"/>
        <v>0.36646739886000279</v>
      </c>
      <c r="H580" s="5">
        <v>4.408026755852843</v>
      </c>
      <c r="I580" s="2">
        <v>598</v>
      </c>
      <c r="J580" s="57">
        <f>I580/Pondération!$I$105</f>
        <v>8.313638259418879E-2</v>
      </c>
      <c r="K580" s="5">
        <v>4.4331103678929766</v>
      </c>
      <c r="L580" s="5">
        <f t="shared" si="30"/>
        <v>0.36855275962741552</v>
      </c>
      <c r="M580" s="5">
        <v>4.5100334448160533</v>
      </c>
      <c r="N580" s="5">
        <f t="shared" si="31"/>
        <v>0.37494786598081464</v>
      </c>
      <c r="O580" s="5">
        <v>4.2558528428093645</v>
      </c>
      <c r="P580" s="15">
        <f t="shared" si="32"/>
        <v>0.35381621020436532</v>
      </c>
    </row>
    <row r="581" spans="1:16" x14ac:dyDescent="0.25">
      <c r="A581" s="2" t="s">
        <v>47</v>
      </c>
      <c r="B581" s="2">
        <v>2014</v>
      </c>
      <c r="C581" s="2" t="s">
        <v>68</v>
      </c>
      <c r="D581" s="2" t="s">
        <v>41</v>
      </c>
      <c r="E581" s="2" t="s">
        <v>9</v>
      </c>
      <c r="F581" s="2" t="s">
        <v>48</v>
      </c>
      <c r="G581" s="2">
        <f t="shared" si="33"/>
        <v>0.36518142638676482</v>
      </c>
      <c r="H581" s="5">
        <v>4.4221380471380467</v>
      </c>
      <c r="I581" s="2">
        <v>594</v>
      </c>
      <c r="J581" s="57">
        <f>I581/Pondération!$I$105</f>
        <v>8.2580286389545385E-2</v>
      </c>
      <c r="K581" s="5">
        <v>4.4343434343434343</v>
      </c>
      <c r="L581" s="5">
        <f t="shared" si="30"/>
        <v>0.36618935075768105</v>
      </c>
      <c r="M581" s="5">
        <v>4.5420875420875424</v>
      </c>
      <c r="N581" s="5">
        <f t="shared" si="31"/>
        <v>0.37508689003197554</v>
      </c>
      <c r="O581" s="5">
        <v>4.2777777777777777</v>
      </c>
      <c r="P581" s="15">
        <f t="shared" si="32"/>
        <v>0.3532601139997219</v>
      </c>
    </row>
    <row r="582" spans="1:16" x14ac:dyDescent="0.25">
      <c r="A582" s="2" t="s">
        <v>47</v>
      </c>
      <c r="B582" s="2">
        <v>2014</v>
      </c>
      <c r="C582" s="2" t="s">
        <v>69</v>
      </c>
      <c r="D582" s="2" t="s">
        <v>41</v>
      </c>
      <c r="E582" s="2" t="s">
        <v>9</v>
      </c>
      <c r="F582" s="2" t="s">
        <v>48</v>
      </c>
      <c r="G582" s="2">
        <f t="shared" si="33"/>
        <v>0.36441679410538025</v>
      </c>
      <c r="H582" s="5">
        <v>4.4807692307692308</v>
      </c>
      <c r="I582" s="2">
        <v>585</v>
      </c>
      <c r="J582" s="57">
        <f>I582/Pondération!$I$105</f>
        <v>8.1329069929097733E-2</v>
      </c>
      <c r="K582" s="5">
        <v>4.4854700854700855</v>
      </c>
      <c r="L582" s="5">
        <f t="shared" si="30"/>
        <v>0.36479911024607259</v>
      </c>
      <c r="M582" s="5">
        <v>4.6051282051282048</v>
      </c>
      <c r="N582" s="5">
        <f t="shared" si="31"/>
        <v>0.37453079382733212</v>
      </c>
      <c r="O582" s="5">
        <v>4.3470085470085467</v>
      </c>
      <c r="P582" s="15">
        <f t="shared" si="32"/>
        <v>0.35353816210204364</v>
      </c>
    </row>
    <row r="583" spans="1:16" x14ac:dyDescent="0.25">
      <c r="A583" s="2" t="s">
        <v>47</v>
      </c>
      <c r="B583" s="2">
        <v>2014</v>
      </c>
      <c r="C583" s="2" t="s">
        <v>70</v>
      </c>
      <c r="D583" s="2" t="s">
        <v>41</v>
      </c>
      <c r="E583" s="2" t="s">
        <v>9</v>
      </c>
      <c r="F583" s="2" t="s">
        <v>48</v>
      </c>
      <c r="G583" s="2">
        <f t="shared" si="33"/>
        <v>0.46246350618657028</v>
      </c>
      <c r="H583" s="5">
        <v>4.4294274300932095</v>
      </c>
      <c r="I583" s="2">
        <v>751</v>
      </c>
      <c r="J583" s="57">
        <f>I583/Pondération!$I$105</f>
        <v>0.10440706242179897</v>
      </c>
      <c r="K583" s="5">
        <v>4.4647137150466047</v>
      </c>
      <c r="L583" s="5">
        <f t="shared" si="30"/>
        <v>0.46614764354233285</v>
      </c>
      <c r="M583" s="5">
        <v>4.5672436750998671</v>
      </c>
      <c r="N583" s="5">
        <f t="shared" si="31"/>
        <v>0.47685249548171832</v>
      </c>
      <c r="O583" s="5">
        <v>4.2210386151797605</v>
      </c>
      <c r="P583" s="15">
        <f t="shared" si="32"/>
        <v>0.44070624217989712</v>
      </c>
    </row>
    <row r="584" spans="1:16" x14ac:dyDescent="0.25">
      <c r="A584" s="2" t="s">
        <v>47</v>
      </c>
      <c r="B584" s="2">
        <v>2014</v>
      </c>
      <c r="C584" s="2" t="s">
        <v>71</v>
      </c>
      <c r="D584" s="2" t="s">
        <v>41</v>
      </c>
      <c r="E584" s="2" t="s">
        <v>9</v>
      </c>
      <c r="F584" s="2" t="s">
        <v>48</v>
      </c>
      <c r="G584" s="2">
        <f t="shared" si="33"/>
        <v>0.43424162380091758</v>
      </c>
      <c r="H584" s="5">
        <v>4.481348637015782</v>
      </c>
      <c r="I584" s="2">
        <v>697</v>
      </c>
      <c r="J584" s="57">
        <f>I584/Pondération!$I$105</f>
        <v>9.6899763659113028E-2</v>
      </c>
      <c r="K584" s="5">
        <v>4.5064562410329989</v>
      </c>
      <c r="L584" s="5">
        <f t="shared" si="30"/>
        <v>0.43667454469623251</v>
      </c>
      <c r="M584" s="5">
        <v>4.6025824964131994</v>
      </c>
      <c r="N584" s="5">
        <f t="shared" si="31"/>
        <v>0.44598915612400947</v>
      </c>
      <c r="O584" s="5">
        <v>4.3098995695839308</v>
      </c>
      <c r="P584" s="15">
        <f t="shared" si="32"/>
        <v>0.41762824968719586</v>
      </c>
    </row>
    <row r="585" spans="1:16" x14ac:dyDescent="0.25">
      <c r="A585" s="2" t="s">
        <v>47</v>
      </c>
      <c r="B585" s="2">
        <v>2014</v>
      </c>
      <c r="C585" s="2" t="s">
        <v>72</v>
      </c>
      <c r="D585" s="2" t="s">
        <v>41</v>
      </c>
      <c r="E585" s="2" t="s">
        <v>9</v>
      </c>
      <c r="F585" s="2" t="s">
        <v>48</v>
      </c>
      <c r="G585" s="2">
        <f t="shared" si="33"/>
        <v>0.38103016821910185</v>
      </c>
      <c r="H585" s="5">
        <v>4.4783496732026142</v>
      </c>
      <c r="I585" s="2">
        <v>612</v>
      </c>
      <c r="J585" s="57">
        <f>I585/Pondération!$I$105</f>
        <v>8.5082719310440702E-2</v>
      </c>
      <c r="K585" s="5">
        <v>4.5163398692810457</v>
      </c>
      <c r="L585" s="5">
        <f t="shared" si="30"/>
        <v>0.38426247740859165</v>
      </c>
      <c r="M585" s="5">
        <v>4.583333333333333</v>
      </c>
      <c r="N585" s="5">
        <f t="shared" si="31"/>
        <v>0.38996246350618652</v>
      </c>
      <c r="O585" s="5">
        <v>4.2973856209150325</v>
      </c>
      <c r="P585" s="15">
        <f t="shared" si="32"/>
        <v>0.36563325455303763</v>
      </c>
    </row>
    <row r="586" spans="1:16" x14ac:dyDescent="0.25">
      <c r="A586" s="2" t="s">
        <v>47</v>
      </c>
      <c r="B586" s="2">
        <v>2015</v>
      </c>
      <c r="C586" s="2" t="s">
        <v>73</v>
      </c>
      <c r="D586" s="2" t="s">
        <v>41</v>
      </c>
      <c r="E586" s="2" t="s">
        <v>9</v>
      </c>
      <c r="F586" s="2" t="s">
        <v>48</v>
      </c>
      <c r="G586" s="2">
        <f t="shared" si="33"/>
        <v>0.25421867776236706</v>
      </c>
      <c r="H586" s="5">
        <v>4.4078156312625252</v>
      </c>
      <c r="I586" s="2">
        <v>499</v>
      </c>
      <c r="J586" s="57">
        <f>I586/Pondération!$H$105</f>
        <v>5.7674526121128063E-2</v>
      </c>
      <c r="K586" s="5">
        <v>4.4228456913827658</v>
      </c>
      <c r="L586" s="5">
        <f t="shared" si="30"/>
        <v>0.25508552935737405</v>
      </c>
      <c r="M586" s="5">
        <v>4.5290581162324646</v>
      </c>
      <c r="N586" s="5">
        <f t="shared" si="31"/>
        <v>0.26121128062875631</v>
      </c>
      <c r="O586" s="5">
        <v>4.2565130260521045</v>
      </c>
      <c r="P586" s="15">
        <f t="shared" si="32"/>
        <v>0.24549237170596394</v>
      </c>
    </row>
    <row r="587" spans="1:16" x14ac:dyDescent="0.25">
      <c r="A587" s="2" t="s">
        <v>47</v>
      </c>
      <c r="B587" s="2">
        <v>2015</v>
      </c>
      <c r="C587" s="2" t="s">
        <v>74</v>
      </c>
      <c r="D587" s="2" t="s">
        <v>41</v>
      </c>
      <c r="E587" s="2" t="s">
        <v>9</v>
      </c>
      <c r="F587" s="2" t="s">
        <v>48</v>
      </c>
      <c r="G587" s="2">
        <f t="shared" si="33"/>
        <v>0.36084142394822005</v>
      </c>
      <c r="H587" s="5">
        <v>4.453637660485021</v>
      </c>
      <c r="I587" s="2">
        <v>701</v>
      </c>
      <c r="J587" s="57">
        <f>I587/Pondération!$H$105</f>
        <v>8.1021729079981508E-2</v>
      </c>
      <c r="K587" s="5">
        <v>4.497860199714693</v>
      </c>
      <c r="L587" s="5">
        <f t="shared" si="30"/>
        <v>0.3644244105409154</v>
      </c>
      <c r="M587" s="5">
        <v>4.5791726105563484</v>
      </c>
      <c r="N587" s="5">
        <f t="shared" si="31"/>
        <v>0.37101248266296816</v>
      </c>
      <c r="O587" s="5">
        <v>4.2396576319543513</v>
      </c>
      <c r="P587" s="15">
        <f t="shared" si="32"/>
        <v>0.34350439204808142</v>
      </c>
    </row>
    <row r="588" spans="1:16" x14ac:dyDescent="0.25">
      <c r="A588" s="2" t="s">
        <v>47</v>
      </c>
      <c r="B588" s="2">
        <v>2015</v>
      </c>
      <c r="C588" s="2" t="s">
        <v>75</v>
      </c>
      <c r="D588" s="2" t="s">
        <v>41</v>
      </c>
      <c r="E588" s="2" t="s">
        <v>9</v>
      </c>
      <c r="F588" s="2" t="s">
        <v>48</v>
      </c>
      <c r="G588" s="2">
        <f t="shared" si="33"/>
        <v>0.35679611650485438</v>
      </c>
      <c r="H588" s="5">
        <v>4.4417266187050357</v>
      </c>
      <c r="I588" s="2">
        <v>695</v>
      </c>
      <c r="J588" s="57">
        <f>I588/Pondération!$H$105</f>
        <v>8.0328247803975961E-2</v>
      </c>
      <c r="K588" s="5">
        <v>4.4820143884892083</v>
      </c>
      <c r="L588" s="5">
        <f t="shared" si="30"/>
        <v>0.3600323624595469</v>
      </c>
      <c r="M588" s="5">
        <v>4.5510791366906478</v>
      </c>
      <c r="N588" s="5">
        <f t="shared" si="31"/>
        <v>0.36558021266759133</v>
      </c>
      <c r="O588" s="5">
        <v>4.2517985611510793</v>
      </c>
      <c r="P588" s="15">
        <f t="shared" si="32"/>
        <v>0.34153952843273233</v>
      </c>
    </row>
    <row r="589" spans="1:16" x14ac:dyDescent="0.25">
      <c r="A589" s="2" t="s">
        <v>47</v>
      </c>
      <c r="B589" s="2">
        <v>2015</v>
      </c>
      <c r="C589" s="2" t="s">
        <v>76</v>
      </c>
      <c r="D589" s="2" t="s">
        <v>41</v>
      </c>
      <c r="E589" s="2" t="s">
        <v>9</v>
      </c>
      <c r="F589" s="2" t="s">
        <v>48</v>
      </c>
      <c r="G589" s="2">
        <f t="shared" si="33"/>
        <v>0.39496648173832644</v>
      </c>
      <c r="H589" s="5">
        <v>4.4437581274382314</v>
      </c>
      <c r="I589" s="2">
        <v>769</v>
      </c>
      <c r="J589" s="57">
        <f>I589/Pondération!$H$105</f>
        <v>8.8881183541377723E-2</v>
      </c>
      <c r="K589" s="5">
        <v>4.4850455136540965</v>
      </c>
      <c r="L589" s="5">
        <f t="shared" si="30"/>
        <v>0.3986361534905225</v>
      </c>
      <c r="M589" s="5">
        <v>4.5292587776332898</v>
      </c>
      <c r="N589" s="5">
        <f t="shared" si="31"/>
        <v>0.40256588072122051</v>
      </c>
      <c r="O589" s="5">
        <v>4.2756827048114436</v>
      </c>
      <c r="P589" s="15">
        <f t="shared" si="32"/>
        <v>0.38002773925104028</v>
      </c>
    </row>
    <row r="590" spans="1:16" x14ac:dyDescent="0.25">
      <c r="A590" s="2" t="s">
        <v>47</v>
      </c>
      <c r="B590" s="2">
        <v>2015</v>
      </c>
      <c r="C590" s="2" t="s">
        <v>7</v>
      </c>
      <c r="D590" s="2" t="s">
        <v>41</v>
      </c>
      <c r="E590" s="2" t="s">
        <v>9</v>
      </c>
      <c r="F590" s="2" t="s">
        <v>48</v>
      </c>
      <c r="G590" s="2">
        <f t="shared" si="33"/>
        <v>0.41195677300046235</v>
      </c>
      <c r="H590" s="5">
        <v>4.4331467661691546</v>
      </c>
      <c r="I590" s="2">
        <v>804</v>
      </c>
      <c r="J590" s="57">
        <f>I590/Pondération!$H$105</f>
        <v>9.2926490984743412E-2</v>
      </c>
      <c r="K590" s="5">
        <v>4.4365671641791042</v>
      </c>
      <c r="L590" s="5">
        <f t="shared" si="30"/>
        <v>0.41227461858529818</v>
      </c>
      <c r="M590" s="5">
        <v>4.5659203980099505</v>
      </c>
      <c r="N590" s="5">
        <f t="shared" si="31"/>
        <v>0.42429496070272771</v>
      </c>
      <c r="O590" s="5">
        <v>4.2935323383084576</v>
      </c>
      <c r="P590" s="15">
        <f t="shared" si="32"/>
        <v>0.39898289412852517</v>
      </c>
    </row>
    <row r="591" spans="1:16" x14ac:dyDescent="0.25">
      <c r="A591" s="2" t="s">
        <v>47</v>
      </c>
      <c r="B591" s="2">
        <v>2015</v>
      </c>
      <c r="C591" s="2" t="s">
        <v>11</v>
      </c>
      <c r="D591" s="2" t="s">
        <v>41</v>
      </c>
      <c r="E591" s="2" t="s">
        <v>9</v>
      </c>
      <c r="F591" s="2" t="s">
        <v>48</v>
      </c>
      <c r="G591" s="2">
        <f t="shared" si="33"/>
        <v>0.356044845122515</v>
      </c>
      <c r="H591" s="5">
        <v>4.4323741007194242</v>
      </c>
      <c r="I591" s="2">
        <v>695</v>
      </c>
      <c r="J591" s="57">
        <f>I591/Pondération!$H$105</f>
        <v>8.0328247803975961E-2</v>
      </c>
      <c r="K591" s="5">
        <v>4.4805755395683455</v>
      </c>
      <c r="L591" s="5">
        <f t="shared" si="30"/>
        <v>0.35991678224687934</v>
      </c>
      <c r="M591" s="5">
        <v>4.5151079136690644</v>
      </c>
      <c r="N591" s="5">
        <f t="shared" si="31"/>
        <v>0.36269070735090148</v>
      </c>
      <c r="O591" s="5">
        <v>4.2532374100719421</v>
      </c>
      <c r="P591" s="15">
        <f t="shared" si="32"/>
        <v>0.34165510864539989</v>
      </c>
    </row>
    <row r="592" spans="1:16" x14ac:dyDescent="0.25">
      <c r="A592" s="2" t="s">
        <v>47</v>
      </c>
      <c r="B592" s="2">
        <v>2015</v>
      </c>
      <c r="C592" s="2" t="s">
        <v>12</v>
      </c>
      <c r="D592" s="2" t="s">
        <v>41</v>
      </c>
      <c r="E592" s="2" t="s">
        <v>9</v>
      </c>
      <c r="F592" s="2" t="s">
        <v>48</v>
      </c>
      <c r="G592" s="2">
        <f t="shared" si="33"/>
        <v>0.4222434119278779</v>
      </c>
      <c r="H592" s="5">
        <v>4.41213768115942</v>
      </c>
      <c r="I592" s="2">
        <v>828</v>
      </c>
      <c r="J592" s="57">
        <f>I592/Pondération!$H$105</f>
        <v>9.5700416088765602E-2</v>
      </c>
      <c r="K592" s="5">
        <v>4.4734299516908216</v>
      </c>
      <c r="L592" s="5">
        <f t="shared" si="30"/>
        <v>0.42810910772075822</v>
      </c>
      <c r="M592" s="5">
        <v>4.4504830917874392</v>
      </c>
      <c r="N592" s="5">
        <f t="shared" si="31"/>
        <v>0.42591308368007391</v>
      </c>
      <c r="O592" s="5">
        <v>4.2512077294685993</v>
      </c>
      <c r="P592" s="15">
        <f t="shared" si="32"/>
        <v>0.40684234858992141</v>
      </c>
    </row>
    <row r="593" spans="1:16" x14ac:dyDescent="0.25">
      <c r="A593" s="2" t="s">
        <v>47</v>
      </c>
      <c r="B593" s="2">
        <v>2015</v>
      </c>
      <c r="C593" s="2" t="s">
        <v>13</v>
      </c>
      <c r="D593" s="2" t="s">
        <v>41</v>
      </c>
      <c r="E593" s="2" t="s">
        <v>9</v>
      </c>
      <c r="F593" s="2" t="s">
        <v>48</v>
      </c>
      <c r="G593" s="2">
        <f t="shared" si="33"/>
        <v>0.35150832177531205</v>
      </c>
      <c r="H593" s="5">
        <v>4.3758992805755392</v>
      </c>
      <c r="I593" s="2">
        <v>695</v>
      </c>
      <c r="J593" s="57">
        <f>I593/Pondération!$H$105</f>
        <v>8.0328247803975961E-2</v>
      </c>
      <c r="K593" s="5">
        <v>4.3985611510791367</v>
      </c>
      <c r="L593" s="5">
        <f t="shared" si="30"/>
        <v>0.35332871012482664</v>
      </c>
      <c r="M593" s="5">
        <v>4.473381294964029</v>
      </c>
      <c r="N593" s="5">
        <f t="shared" si="31"/>
        <v>0.3593388811835414</v>
      </c>
      <c r="O593" s="5">
        <v>4.2330935251798563</v>
      </c>
      <c r="P593" s="15">
        <f t="shared" si="32"/>
        <v>0.34003698566805363</v>
      </c>
    </row>
    <row r="594" spans="1:16" x14ac:dyDescent="0.25">
      <c r="A594" s="2" t="s">
        <v>47</v>
      </c>
      <c r="B594" s="2">
        <v>2015</v>
      </c>
      <c r="C594" s="2" t="s">
        <v>14</v>
      </c>
      <c r="D594" s="2" t="s">
        <v>41</v>
      </c>
      <c r="E594" s="2" t="s">
        <v>9</v>
      </c>
      <c r="F594" s="2" t="s">
        <v>48</v>
      </c>
      <c r="G594" s="2">
        <f t="shared" si="33"/>
        <v>0.38069232547387888</v>
      </c>
      <c r="H594" s="5">
        <v>4.4450067476383266</v>
      </c>
      <c r="I594" s="2">
        <v>741</v>
      </c>
      <c r="J594" s="57">
        <f>I594/Pondération!$H$105</f>
        <v>8.5644937586685163E-2</v>
      </c>
      <c r="K594" s="5">
        <v>4.47638326585695</v>
      </c>
      <c r="L594" s="5">
        <f t="shared" si="30"/>
        <v>0.3833795654184004</v>
      </c>
      <c r="M594" s="5">
        <v>4.5465587044534415</v>
      </c>
      <c r="N594" s="5">
        <f t="shared" si="31"/>
        <v>0.38938973647711517</v>
      </c>
      <c r="O594" s="5">
        <v>4.2807017543859649</v>
      </c>
      <c r="P594" s="15">
        <f t="shared" si="32"/>
        <v>0.36662043458159965</v>
      </c>
    </row>
    <row r="595" spans="1:16" x14ac:dyDescent="0.25">
      <c r="A595" s="2" t="s">
        <v>47</v>
      </c>
      <c r="B595" s="2">
        <v>2015</v>
      </c>
      <c r="C595" s="2" t="s">
        <v>15</v>
      </c>
      <c r="D595" s="2" t="s">
        <v>41</v>
      </c>
      <c r="E595" s="2" t="s">
        <v>9</v>
      </c>
      <c r="F595" s="2" t="s">
        <v>48</v>
      </c>
      <c r="G595" s="2">
        <f t="shared" si="33"/>
        <v>0.40048543689320382</v>
      </c>
      <c r="H595" s="5">
        <v>4.46520618556701</v>
      </c>
      <c r="I595" s="2">
        <v>776</v>
      </c>
      <c r="J595" s="57">
        <f>I595/Pondération!$H$105</f>
        <v>8.9690245030050852E-2</v>
      </c>
      <c r="K595" s="5">
        <v>4.4987113402061851</v>
      </c>
      <c r="L595" s="5">
        <f t="shared" si="30"/>
        <v>0.40349052242256123</v>
      </c>
      <c r="M595" s="5">
        <v>4.5438144329896906</v>
      </c>
      <c r="N595" s="5">
        <f t="shared" si="31"/>
        <v>0.4075358298659269</v>
      </c>
      <c r="O595" s="5">
        <v>4.3195876288659791</v>
      </c>
      <c r="P595" s="15">
        <f t="shared" si="32"/>
        <v>0.38742487286176602</v>
      </c>
    </row>
    <row r="596" spans="1:16" x14ac:dyDescent="0.25">
      <c r="A596" s="2" t="s">
        <v>47</v>
      </c>
      <c r="B596" s="2">
        <v>2015</v>
      </c>
      <c r="C596" s="2" t="s">
        <v>16</v>
      </c>
      <c r="D596" s="2" t="s">
        <v>41</v>
      </c>
      <c r="E596" s="2" t="s">
        <v>9</v>
      </c>
      <c r="F596" s="2" t="s">
        <v>48</v>
      </c>
      <c r="G596" s="2">
        <f t="shared" si="33"/>
        <v>0.34827207582061959</v>
      </c>
      <c r="H596" s="5">
        <v>4.4443215339233042</v>
      </c>
      <c r="I596" s="2">
        <v>678</v>
      </c>
      <c r="J596" s="57">
        <f>I596/Pondération!$H$105</f>
        <v>7.8363384188626914E-2</v>
      </c>
      <c r="K596" s="5">
        <v>4.4690265486725664</v>
      </c>
      <c r="L596" s="5">
        <f t="shared" si="30"/>
        <v>0.35020804438280168</v>
      </c>
      <c r="M596" s="5">
        <v>4.5634218289085542</v>
      </c>
      <c r="N596" s="5">
        <f t="shared" si="31"/>
        <v>0.35760517799352753</v>
      </c>
      <c r="O596" s="5">
        <v>4.275811209439528</v>
      </c>
      <c r="P596" s="15">
        <f t="shared" si="32"/>
        <v>0.33506703652334724</v>
      </c>
    </row>
    <row r="597" spans="1:16" x14ac:dyDescent="0.25">
      <c r="A597" s="2" t="s">
        <v>47</v>
      </c>
      <c r="B597" s="2">
        <v>2015</v>
      </c>
      <c r="C597" s="2" t="s">
        <v>17</v>
      </c>
      <c r="D597" s="2" t="s">
        <v>41</v>
      </c>
      <c r="E597" s="2" t="s">
        <v>9</v>
      </c>
      <c r="F597" s="2" t="s">
        <v>48</v>
      </c>
      <c r="G597" s="2">
        <f t="shared" si="33"/>
        <v>0.3980871474803514</v>
      </c>
      <c r="H597" s="5">
        <v>4.4672503242542154</v>
      </c>
      <c r="I597" s="2">
        <v>771</v>
      </c>
      <c r="J597" s="57">
        <f>I597/Pondération!$H$105</f>
        <v>8.9112343966712901E-2</v>
      </c>
      <c r="K597" s="5">
        <v>4.5097276264591439</v>
      </c>
      <c r="L597" s="5">
        <f t="shared" si="30"/>
        <v>0.40187239944521497</v>
      </c>
      <c r="M597" s="5">
        <v>4.5706874189364459</v>
      </c>
      <c r="N597" s="5">
        <f t="shared" si="31"/>
        <v>0.40730466944059174</v>
      </c>
      <c r="O597" s="5">
        <v>4.278858625162127</v>
      </c>
      <c r="P597" s="15">
        <f t="shared" si="32"/>
        <v>0.38129912159038371</v>
      </c>
    </row>
    <row r="598" spans="1:16" x14ac:dyDescent="0.25">
      <c r="A598" s="2" t="s">
        <v>47</v>
      </c>
      <c r="B598" s="2">
        <v>2016</v>
      </c>
      <c r="C598" s="2" t="s">
        <v>18</v>
      </c>
      <c r="D598" s="2" t="s">
        <v>41</v>
      </c>
      <c r="E598" s="2" t="s">
        <v>9</v>
      </c>
      <c r="F598" s="2" t="s">
        <v>48</v>
      </c>
      <c r="G598" s="2">
        <f t="shared" si="33"/>
        <v>0.32226319318072982</v>
      </c>
      <c r="H598" s="5">
        <v>4.3926240208877285</v>
      </c>
      <c r="I598" s="2">
        <v>766</v>
      </c>
      <c r="J598" s="57">
        <f>I598/Pondération!$G$105</f>
        <v>7.3364620247102774E-2</v>
      </c>
      <c r="K598" s="5">
        <v>4.4073107049608353</v>
      </c>
      <c r="L598" s="5">
        <f t="shared" si="30"/>
        <v>0.32334067618044249</v>
      </c>
      <c r="M598" s="5">
        <v>4.5182767624020892</v>
      </c>
      <c r="N598" s="5">
        <f t="shared" si="31"/>
        <v>0.3314816588449383</v>
      </c>
      <c r="O598" s="5">
        <v>4.2375979112271542</v>
      </c>
      <c r="P598" s="15">
        <f t="shared" si="32"/>
        <v>0.31088976151709613</v>
      </c>
    </row>
    <row r="599" spans="1:16" x14ac:dyDescent="0.25">
      <c r="A599" s="2" t="s">
        <v>47</v>
      </c>
      <c r="B599" s="2">
        <v>2016</v>
      </c>
      <c r="C599" s="2" t="s">
        <v>19</v>
      </c>
      <c r="D599" s="2" t="s">
        <v>41</v>
      </c>
      <c r="E599" s="2" t="s">
        <v>9</v>
      </c>
      <c r="F599" s="2" t="s">
        <v>48</v>
      </c>
      <c r="G599" s="2">
        <f t="shared" si="33"/>
        <v>0.34445934297481084</v>
      </c>
      <c r="H599" s="5">
        <v>4.3859756097560973</v>
      </c>
      <c r="I599" s="2">
        <v>820</v>
      </c>
      <c r="J599" s="57">
        <f>I599/Pondération!$G$105</f>
        <v>7.8536538645723589E-2</v>
      </c>
      <c r="K599" s="5">
        <v>4.4475609756097558</v>
      </c>
      <c r="L599" s="5">
        <f t="shared" si="30"/>
        <v>0.34929604444018769</v>
      </c>
      <c r="M599" s="5">
        <v>4.4646341463414636</v>
      </c>
      <c r="N599" s="5">
        <f t="shared" si="31"/>
        <v>0.35063691217316351</v>
      </c>
      <c r="O599" s="5">
        <v>4.184146341463415</v>
      </c>
      <c r="P599" s="15">
        <f t="shared" si="32"/>
        <v>0.32860837084570443</v>
      </c>
    </row>
    <row r="600" spans="1:16" x14ac:dyDescent="0.25">
      <c r="A600" s="2" t="s">
        <v>47</v>
      </c>
      <c r="B600" s="2">
        <v>2016</v>
      </c>
      <c r="C600" s="2" t="s">
        <v>20</v>
      </c>
      <c r="D600" s="2" t="s">
        <v>41</v>
      </c>
      <c r="E600" s="2" t="s">
        <v>9</v>
      </c>
      <c r="F600" s="2" t="s">
        <v>48</v>
      </c>
      <c r="G600" s="2">
        <f t="shared" si="33"/>
        <v>0.32616607604635572</v>
      </c>
      <c r="H600" s="5">
        <v>4.4284785435630694</v>
      </c>
      <c r="I600" s="2">
        <v>769</v>
      </c>
      <c r="J600" s="57">
        <f>I600/Pondération!$G$105</f>
        <v>7.3651949047026141E-2</v>
      </c>
      <c r="K600" s="5">
        <v>4.4811443433029909</v>
      </c>
      <c r="L600" s="5">
        <f t="shared" si="30"/>
        <v>0.33004501484532128</v>
      </c>
      <c r="M600" s="5">
        <v>4.5448634590377113</v>
      </c>
      <c r="N600" s="5">
        <f t="shared" si="31"/>
        <v>0.33473805191073647</v>
      </c>
      <c r="O600" s="5">
        <v>4.2067620286085825</v>
      </c>
      <c r="P600" s="15">
        <f t="shared" si="32"/>
        <v>0.30983622258404364</v>
      </c>
    </row>
    <row r="601" spans="1:16" x14ac:dyDescent="0.25">
      <c r="A601" s="2" t="s">
        <v>47</v>
      </c>
      <c r="B601" s="2">
        <v>2016</v>
      </c>
      <c r="C601" s="2" t="s">
        <v>21</v>
      </c>
      <c r="D601" s="2" t="s">
        <v>41</v>
      </c>
      <c r="E601" s="2" t="s">
        <v>9</v>
      </c>
      <c r="F601" s="2" t="s">
        <v>48</v>
      </c>
      <c r="G601" s="2">
        <f t="shared" si="33"/>
        <v>0.37036682310123553</v>
      </c>
      <c r="H601" s="5">
        <v>4.409350057012543</v>
      </c>
      <c r="I601" s="2">
        <v>877</v>
      </c>
      <c r="J601" s="57">
        <f>I601/Pondération!$G$105</f>
        <v>8.3995785844267784E-2</v>
      </c>
      <c r="K601" s="5">
        <v>4.4754846066134553</v>
      </c>
      <c r="L601" s="5">
        <f t="shared" si="30"/>
        <v>0.37592184656642086</v>
      </c>
      <c r="M601" s="5">
        <v>4.4823261117445838</v>
      </c>
      <c r="N601" s="5">
        <f t="shared" si="31"/>
        <v>0.37649650416626756</v>
      </c>
      <c r="O601" s="5">
        <v>4.2041049030786777</v>
      </c>
      <c r="P601" s="15">
        <f t="shared" si="32"/>
        <v>0.35312709510583279</v>
      </c>
    </row>
    <row r="602" spans="1:16" x14ac:dyDescent="0.25">
      <c r="A602" s="2" t="s">
        <v>47</v>
      </c>
      <c r="B602" s="2">
        <v>2016</v>
      </c>
      <c r="C602" s="2" t="s">
        <v>22</v>
      </c>
      <c r="D602" s="2" t="s">
        <v>41</v>
      </c>
      <c r="E602" s="2" t="s">
        <v>9</v>
      </c>
      <c r="F602" s="2" t="s">
        <v>48</v>
      </c>
      <c r="G602" s="2">
        <f t="shared" si="33"/>
        <v>0.36691887750215496</v>
      </c>
      <c r="H602" s="5">
        <v>4.4034482758620692</v>
      </c>
      <c r="I602" s="2">
        <v>870</v>
      </c>
      <c r="J602" s="57">
        <f>I602/Pondération!$G$105</f>
        <v>8.3325351977779905E-2</v>
      </c>
      <c r="K602" s="5">
        <v>4.4344827586206899</v>
      </c>
      <c r="L602" s="5">
        <f t="shared" si="30"/>
        <v>0.36950483670146539</v>
      </c>
      <c r="M602" s="5">
        <v>4.5275862068965518</v>
      </c>
      <c r="N602" s="5">
        <f t="shared" si="31"/>
        <v>0.37726271429939662</v>
      </c>
      <c r="O602" s="5">
        <v>4.2172413793103445</v>
      </c>
      <c r="P602" s="15">
        <f t="shared" si="32"/>
        <v>0.35140312230629245</v>
      </c>
    </row>
    <row r="603" spans="1:16" x14ac:dyDescent="0.25">
      <c r="A603" s="2" t="s">
        <v>47</v>
      </c>
      <c r="B603" s="2">
        <v>2016</v>
      </c>
      <c r="C603" s="2" t="s">
        <v>23</v>
      </c>
      <c r="D603" s="2" t="s">
        <v>41</v>
      </c>
      <c r="E603" s="2" t="s">
        <v>9</v>
      </c>
      <c r="F603" s="2" t="s">
        <v>48</v>
      </c>
      <c r="G603" s="2">
        <f t="shared" si="33"/>
        <v>0.31601379178239636</v>
      </c>
      <c r="H603" s="5">
        <v>4.4648173207036539</v>
      </c>
      <c r="I603" s="2">
        <v>739</v>
      </c>
      <c r="J603" s="57">
        <f>I603/Pondération!$G$105</f>
        <v>7.077866104779236E-2</v>
      </c>
      <c r="K603" s="5">
        <v>4.508795669824087</v>
      </c>
      <c r="L603" s="5">
        <f t="shared" si="30"/>
        <v>0.31912652044823298</v>
      </c>
      <c r="M603" s="5">
        <v>4.5412719891745601</v>
      </c>
      <c r="N603" s="5">
        <f t="shared" si="31"/>
        <v>0.32142515084761997</v>
      </c>
      <c r="O603" s="5">
        <v>4.3004059539918806</v>
      </c>
      <c r="P603" s="15">
        <f t="shared" si="32"/>
        <v>0.30437697538549946</v>
      </c>
    </row>
    <row r="604" spans="1:16" x14ac:dyDescent="0.25">
      <c r="A604" s="2" t="s">
        <v>47</v>
      </c>
      <c r="B604" s="2">
        <v>2016</v>
      </c>
      <c r="C604" s="2" t="s">
        <v>24</v>
      </c>
      <c r="D604" s="2" t="s">
        <v>41</v>
      </c>
      <c r="E604" s="2" t="s">
        <v>9</v>
      </c>
      <c r="F604" s="2" t="s">
        <v>48</v>
      </c>
      <c r="G604" s="2">
        <f t="shared" si="33"/>
        <v>0.33454649937745423</v>
      </c>
      <c r="H604" s="5">
        <v>4.4047919293820934</v>
      </c>
      <c r="I604" s="2">
        <v>793</v>
      </c>
      <c r="J604" s="57">
        <f>I604/Pondération!$G$105</f>
        <v>7.5950579446413174E-2</v>
      </c>
      <c r="K604" s="5">
        <v>4.4464060529634297</v>
      </c>
      <c r="L604" s="5">
        <f t="shared" si="30"/>
        <v>0.33770711617661142</v>
      </c>
      <c r="M604" s="5">
        <v>4.4627994955863812</v>
      </c>
      <c r="N604" s="5">
        <f t="shared" si="31"/>
        <v>0.33895220764294609</v>
      </c>
      <c r="O604" s="5">
        <v>4.2635561160151321</v>
      </c>
      <c r="P604" s="15">
        <f t="shared" si="32"/>
        <v>0.32381955751364805</v>
      </c>
    </row>
    <row r="605" spans="1:16" x14ac:dyDescent="0.25">
      <c r="A605" s="2" t="s">
        <v>47</v>
      </c>
      <c r="B605" s="2">
        <v>2016</v>
      </c>
      <c r="C605" s="2" t="s">
        <v>25</v>
      </c>
      <c r="D605" s="2" t="s">
        <v>41</v>
      </c>
      <c r="E605" s="2" t="s">
        <v>9</v>
      </c>
      <c r="F605" s="2" t="s">
        <v>48</v>
      </c>
      <c r="G605" s="2">
        <f t="shared" si="33"/>
        <v>0.32192797624748587</v>
      </c>
      <c r="H605" s="5">
        <v>4.3995418848167542</v>
      </c>
      <c r="I605" s="2">
        <v>764</v>
      </c>
      <c r="J605" s="57">
        <f>I605/Pondération!$G$105</f>
        <v>7.3173067713820511E-2</v>
      </c>
      <c r="K605" s="5">
        <v>4.4083769633507854</v>
      </c>
      <c r="L605" s="5">
        <f t="shared" si="30"/>
        <v>0.32257446604731349</v>
      </c>
      <c r="M605" s="5">
        <v>4.4764397905759159</v>
      </c>
      <c r="N605" s="5">
        <f t="shared" si="31"/>
        <v>0.327554831912652</v>
      </c>
      <c r="O605" s="5">
        <v>4.3049738219895284</v>
      </c>
      <c r="P605" s="15">
        <f t="shared" si="32"/>
        <v>0.31500814098266444</v>
      </c>
    </row>
    <row r="606" spans="1:16" x14ac:dyDescent="0.25">
      <c r="A606" s="2" t="s">
        <v>47</v>
      </c>
      <c r="B606" s="2">
        <v>2016</v>
      </c>
      <c r="C606" s="2" t="s">
        <v>26</v>
      </c>
      <c r="D606" s="2" t="s">
        <v>41</v>
      </c>
      <c r="E606" s="2" t="s">
        <v>9</v>
      </c>
      <c r="F606" s="2" t="s">
        <v>48</v>
      </c>
      <c r="G606" s="2">
        <f t="shared" si="33"/>
        <v>0.34031701944258208</v>
      </c>
      <c r="H606" s="5">
        <v>4.4751259445843825</v>
      </c>
      <c r="I606" s="2">
        <v>794</v>
      </c>
      <c r="J606" s="57">
        <f>I606/Pondération!$G$105</f>
        <v>7.6046355713054306E-2</v>
      </c>
      <c r="K606" s="5">
        <v>4.5289672544080606</v>
      </c>
      <c r="L606" s="5">
        <f t="shared" si="30"/>
        <v>0.34441145484149027</v>
      </c>
      <c r="M606" s="5">
        <v>4.5717884130982371</v>
      </c>
      <c r="N606" s="5">
        <f t="shared" si="31"/>
        <v>0.34766784790728861</v>
      </c>
      <c r="O606" s="5">
        <v>4.2707808564231735</v>
      </c>
      <c r="P606" s="15">
        <f t="shared" si="32"/>
        <v>0.32477732018005934</v>
      </c>
    </row>
    <row r="607" spans="1:16" x14ac:dyDescent="0.25">
      <c r="A607" s="2" t="s">
        <v>47</v>
      </c>
      <c r="B607" s="2">
        <v>2016</v>
      </c>
      <c r="C607" s="2" t="s">
        <v>27</v>
      </c>
      <c r="D607" s="2" t="s">
        <v>41</v>
      </c>
      <c r="E607" s="2" t="s">
        <v>9</v>
      </c>
      <c r="F607" s="2" t="s">
        <v>48</v>
      </c>
      <c r="G607" s="2">
        <f t="shared" si="33"/>
        <v>0.46329374580978833</v>
      </c>
      <c r="H607" s="5">
        <v>4.4460018382352944</v>
      </c>
      <c r="I607" s="2">
        <v>1088</v>
      </c>
      <c r="J607" s="57">
        <f>I607/Pondération!$G$105</f>
        <v>0.10420457810554544</v>
      </c>
      <c r="K607" s="5">
        <v>4.4705882352941178</v>
      </c>
      <c r="L607" s="5">
        <f t="shared" si="30"/>
        <v>0.46585576094243847</v>
      </c>
      <c r="M607" s="5">
        <v>4.5689338235294121</v>
      </c>
      <c r="N607" s="5">
        <f t="shared" si="31"/>
        <v>0.47610382147303898</v>
      </c>
      <c r="O607" s="5">
        <v>4.273897058823529</v>
      </c>
      <c r="P607" s="15">
        <f t="shared" si="32"/>
        <v>0.44535963988123733</v>
      </c>
    </row>
    <row r="608" spans="1:16" x14ac:dyDescent="0.25">
      <c r="A608" s="2" t="s">
        <v>47</v>
      </c>
      <c r="B608" s="2">
        <v>2016</v>
      </c>
      <c r="C608" s="2" t="s">
        <v>28</v>
      </c>
      <c r="D608" s="2" t="s">
        <v>41</v>
      </c>
      <c r="E608" s="2" t="s">
        <v>9</v>
      </c>
      <c r="F608" s="2" t="s">
        <v>48</v>
      </c>
      <c r="G608" s="2">
        <f t="shared" si="33"/>
        <v>0.43968489608275069</v>
      </c>
      <c r="H608" s="5">
        <v>4.4963271302644463</v>
      </c>
      <c r="I608" s="2">
        <v>1021</v>
      </c>
      <c r="J608" s="57">
        <f>I608/Pondération!$G$105</f>
        <v>9.7787568240589984E-2</v>
      </c>
      <c r="K608" s="5">
        <v>4.5396669931439764</v>
      </c>
      <c r="L608" s="5">
        <f t="shared" si="30"/>
        <v>0.44392299588162054</v>
      </c>
      <c r="M608" s="5">
        <v>4.6180215475024484</v>
      </c>
      <c r="N608" s="5">
        <f t="shared" si="31"/>
        <v>0.45158509721291062</v>
      </c>
      <c r="O608" s="5">
        <v>4.2879529872673849</v>
      </c>
      <c r="P608" s="15">
        <f t="shared" si="32"/>
        <v>0.4193084953548511</v>
      </c>
    </row>
    <row r="609" spans="1:16" x14ac:dyDescent="0.25">
      <c r="A609" s="2" t="s">
        <v>47</v>
      </c>
      <c r="B609" s="2">
        <v>2016</v>
      </c>
      <c r="C609" s="2" t="s">
        <v>29</v>
      </c>
      <c r="D609" s="2" t="s">
        <v>41</v>
      </c>
      <c r="E609" s="2" t="s">
        <v>9</v>
      </c>
      <c r="F609" s="2" t="s">
        <v>48</v>
      </c>
      <c r="G609" s="2">
        <f t="shared" si="33"/>
        <v>0.4893927784694953</v>
      </c>
      <c r="H609" s="5">
        <v>4.4822368421052632</v>
      </c>
      <c r="I609" s="2">
        <v>1140</v>
      </c>
      <c r="J609" s="57">
        <f>I609/Pondération!$G$105</f>
        <v>0.10918494397088402</v>
      </c>
      <c r="K609" s="5">
        <v>4.5438596491228074</v>
      </c>
      <c r="L609" s="5">
        <f t="shared" si="30"/>
        <v>0.49612106120103444</v>
      </c>
      <c r="M609" s="5">
        <v>4.5754385964912281</v>
      </c>
      <c r="N609" s="5">
        <f t="shared" si="31"/>
        <v>0.49956900680011496</v>
      </c>
      <c r="O609" s="5">
        <v>4.2657894736842108</v>
      </c>
      <c r="P609" s="15">
        <f t="shared" si="32"/>
        <v>0.46575998467579738</v>
      </c>
    </row>
    <row r="610" spans="1:16" x14ac:dyDescent="0.25">
      <c r="A610" s="2" t="s">
        <v>47</v>
      </c>
      <c r="B610" s="2">
        <v>2017</v>
      </c>
      <c r="C610" s="2" t="s">
        <v>30</v>
      </c>
      <c r="D610" s="2" t="s">
        <v>41</v>
      </c>
      <c r="E610" s="2" t="s">
        <v>9</v>
      </c>
      <c r="F610" s="2" t="s">
        <v>48</v>
      </c>
      <c r="G610" s="2">
        <f t="shared" si="33"/>
        <v>0.78607733705401628</v>
      </c>
      <c r="H610" s="5">
        <v>4.4815340909090908</v>
      </c>
      <c r="I610" s="2">
        <v>880</v>
      </c>
      <c r="J610" s="57">
        <f>I610/Pondération!$F$105</f>
        <v>0.17540362766593581</v>
      </c>
      <c r="K610" s="5">
        <v>4.5261363636363638</v>
      </c>
      <c r="L610" s="5">
        <f t="shared" si="30"/>
        <v>0.79390073749252543</v>
      </c>
      <c r="M610" s="5">
        <v>4.5988636363636362</v>
      </c>
      <c r="N610" s="5">
        <f t="shared" si="31"/>
        <v>0.80665736495913887</v>
      </c>
      <c r="O610" s="5">
        <v>4.2750000000000004</v>
      </c>
      <c r="P610" s="15">
        <f t="shared" si="32"/>
        <v>0.74985050827187572</v>
      </c>
    </row>
    <row r="611" spans="1:16" x14ac:dyDescent="0.25">
      <c r="A611" s="2" t="s">
        <v>47</v>
      </c>
      <c r="B611" s="2">
        <v>2017</v>
      </c>
      <c r="C611" s="2" t="s">
        <v>31</v>
      </c>
      <c r="D611" s="2" t="s">
        <v>41</v>
      </c>
      <c r="E611" s="2" t="s">
        <v>9</v>
      </c>
      <c r="F611" s="2" t="s">
        <v>48</v>
      </c>
      <c r="G611" s="2">
        <f t="shared" si="33"/>
        <v>1.1585110623878812</v>
      </c>
      <c r="H611" s="5">
        <v>4.4606676899462778</v>
      </c>
      <c r="I611" s="2">
        <v>1303</v>
      </c>
      <c r="J611" s="57">
        <f>I611/Pondération!$F$105</f>
        <v>0.2597169623280845</v>
      </c>
      <c r="K611" s="5">
        <v>4.5226400613967765</v>
      </c>
      <c r="L611" s="5">
        <f t="shared" si="30"/>
        <v>1.1746063384492724</v>
      </c>
      <c r="M611" s="5">
        <v>4.5433614735226397</v>
      </c>
      <c r="N611" s="5">
        <f t="shared" si="31"/>
        <v>1.17998804066175</v>
      </c>
      <c r="O611" s="5">
        <v>4.2540291634689176</v>
      </c>
      <c r="P611" s="15">
        <f t="shared" si="32"/>
        <v>1.1048435319912298</v>
      </c>
    </row>
    <row r="612" spans="1:16" x14ac:dyDescent="0.25">
      <c r="A612" s="2" t="s">
        <v>47</v>
      </c>
      <c r="B612" s="2">
        <v>2017</v>
      </c>
      <c r="C612" s="2" t="s">
        <v>32</v>
      </c>
      <c r="D612" s="2" t="s">
        <v>41</v>
      </c>
      <c r="E612" s="2" t="s">
        <v>9</v>
      </c>
      <c r="F612" s="2" t="s">
        <v>48</v>
      </c>
      <c r="G612" s="2">
        <f t="shared" si="33"/>
        <v>1.091738090492326</v>
      </c>
      <c r="H612" s="5">
        <v>4.5229149463253506</v>
      </c>
      <c r="I612" s="2">
        <v>1211</v>
      </c>
      <c r="J612" s="57">
        <f>I612/Pondération!$F$105</f>
        <v>0.2413793103448276</v>
      </c>
      <c r="K612" s="5">
        <v>4.5689512799339385</v>
      </c>
      <c r="L612" s="5">
        <f t="shared" si="30"/>
        <v>1.1028503089495714</v>
      </c>
      <c r="M612" s="5">
        <v>4.6399669694467383</v>
      </c>
      <c r="N612" s="5">
        <f t="shared" si="31"/>
        <v>1.1199920271078334</v>
      </c>
      <c r="O612" s="5">
        <v>4.3137902559867873</v>
      </c>
      <c r="P612" s="15">
        <f t="shared" si="32"/>
        <v>1.0412597169623281</v>
      </c>
    </row>
    <row r="613" spans="1:16" x14ac:dyDescent="0.25">
      <c r="A613" s="2" t="s">
        <v>47</v>
      </c>
      <c r="B613" s="2">
        <v>2017</v>
      </c>
      <c r="C613" s="2" t="s">
        <v>33</v>
      </c>
      <c r="D613" s="2" t="s">
        <v>41</v>
      </c>
      <c r="E613" s="2" t="s">
        <v>9</v>
      </c>
      <c r="F613" s="2" t="s">
        <v>48</v>
      </c>
      <c r="G613" s="2">
        <f t="shared" si="33"/>
        <v>1.1280645804265497</v>
      </c>
      <c r="H613" s="5">
        <v>4.5095617529880476</v>
      </c>
      <c r="I613" s="2">
        <v>1255</v>
      </c>
      <c r="J613" s="57">
        <f>I613/Pondération!$F$105</f>
        <v>0.2501494917281244</v>
      </c>
      <c r="K613" s="5">
        <v>4.5625498007968126</v>
      </c>
      <c r="L613" s="5">
        <f t="shared" si="30"/>
        <v>1.1413195136535779</v>
      </c>
      <c r="M613" s="5">
        <v>4.6254980079681278</v>
      </c>
      <c r="N613" s="5">
        <f t="shared" si="31"/>
        <v>1.1570659756826791</v>
      </c>
      <c r="O613" s="5">
        <v>4.2876494023904383</v>
      </c>
      <c r="P613" s="15">
        <f t="shared" si="32"/>
        <v>1.0725533187163645</v>
      </c>
    </row>
    <row r="614" spans="1:16" x14ac:dyDescent="0.25">
      <c r="A614" s="2" t="s">
        <v>47</v>
      </c>
      <c r="B614" s="2">
        <v>2017</v>
      </c>
      <c r="C614" s="2" t="s">
        <v>34</v>
      </c>
      <c r="D614" s="2" t="s">
        <v>41</v>
      </c>
      <c r="E614" s="2" t="s">
        <v>9</v>
      </c>
      <c r="F614" s="2" t="s">
        <v>48</v>
      </c>
      <c r="G614" s="2">
        <f t="shared" si="33"/>
        <v>0.33590791309547541</v>
      </c>
      <c r="H614" s="5">
        <v>4.5794836956521738</v>
      </c>
      <c r="I614" s="2">
        <v>368</v>
      </c>
      <c r="J614" s="57">
        <f>I614/Pondération!$F$105</f>
        <v>7.3350607933027709E-2</v>
      </c>
      <c r="K614" s="5">
        <v>4.6331521739130439</v>
      </c>
      <c r="L614" s="5">
        <f t="shared" si="30"/>
        <v>0.33984452860275072</v>
      </c>
      <c r="M614" s="5">
        <v>4.7010869565217392</v>
      </c>
      <c r="N614" s="5">
        <f t="shared" si="31"/>
        <v>0.34482758620689657</v>
      </c>
      <c r="O614" s="5">
        <v>4.3505434782608692</v>
      </c>
      <c r="P614" s="15">
        <f t="shared" si="32"/>
        <v>0.31911500896950368</v>
      </c>
    </row>
    <row r="615" spans="1:16" x14ac:dyDescent="0.25">
      <c r="A615" s="2" t="s">
        <v>6</v>
      </c>
      <c r="B615" s="2">
        <v>2015</v>
      </c>
      <c r="C615" s="2" t="s">
        <v>7</v>
      </c>
      <c r="D615" s="2" t="s">
        <v>42</v>
      </c>
      <c r="E615" s="2" t="s">
        <v>9</v>
      </c>
      <c r="F615" s="2" t="s">
        <v>10</v>
      </c>
      <c r="G615" s="2">
        <f t="shared" si="33"/>
        <v>0.20504189108318341</v>
      </c>
      <c r="H615" s="5">
        <v>3.9382183908045918</v>
      </c>
      <c r="I615" s="2">
        <v>174</v>
      </c>
      <c r="J615" s="57">
        <f>I615/Pondération!$H$117</f>
        <v>5.2064631956912029E-2</v>
      </c>
      <c r="K615" s="2"/>
      <c r="L615" s="2"/>
      <c r="M615" s="2"/>
      <c r="N615" s="2"/>
      <c r="O615" s="2"/>
      <c r="P615"/>
    </row>
    <row r="616" spans="1:16" x14ac:dyDescent="0.25">
      <c r="A616" s="2" t="s">
        <v>6</v>
      </c>
      <c r="B616" s="2">
        <v>2015</v>
      </c>
      <c r="C616" s="2" t="s">
        <v>11</v>
      </c>
      <c r="D616" s="2" t="s">
        <v>42</v>
      </c>
      <c r="E616" s="2" t="s">
        <v>9</v>
      </c>
      <c r="F616" s="2" t="s">
        <v>10</v>
      </c>
      <c r="G616" s="2">
        <f t="shared" si="33"/>
        <v>0.44736684619988026</v>
      </c>
      <c r="H616" s="5">
        <v>4.1415512465373956</v>
      </c>
      <c r="I616" s="2">
        <v>361</v>
      </c>
      <c r="J616" s="57">
        <f>I616/Pondération!$H$117</f>
        <v>0.10801915020945542</v>
      </c>
      <c r="K616" s="2"/>
      <c r="L616" s="2"/>
      <c r="M616" s="2"/>
      <c r="N616" s="2"/>
      <c r="O616" s="2"/>
      <c r="P616"/>
    </row>
    <row r="617" spans="1:16" x14ac:dyDescent="0.25">
      <c r="A617" s="2" t="s">
        <v>6</v>
      </c>
      <c r="B617" s="2">
        <v>2015</v>
      </c>
      <c r="C617" s="2" t="s">
        <v>12</v>
      </c>
      <c r="D617" s="2" t="s">
        <v>42</v>
      </c>
      <c r="E617" s="2" t="s">
        <v>9</v>
      </c>
      <c r="F617" s="2" t="s">
        <v>10</v>
      </c>
      <c r="G617" s="2">
        <f t="shared" si="33"/>
        <v>0.58070017953321362</v>
      </c>
      <c r="H617" s="5">
        <v>3.9606122448979595</v>
      </c>
      <c r="I617" s="2">
        <v>490</v>
      </c>
      <c r="J617" s="57">
        <f>I617/Pondération!$H$117</f>
        <v>0.14661879114302812</v>
      </c>
      <c r="K617" s="2"/>
      <c r="L617" s="2"/>
      <c r="M617" s="2"/>
      <c r="N617" s="2"/>
      <c r="O617" s="2"/>
      <c r="P617"/>
    </row>
    <row r="618" spans="1:16" x14ac:dyDescent="0.25">
      <c r="A618" s="2" t="s">
        <v>6</v>
      </c>
      <c r="B618" s="2">
        <v>2015</v>
      </c>
      <c r="C618" s="2" t="s">
        <v>13</v>
      </c>
      <c r="D618" s="2" t="s">
        <v>42</v>
      </c>
      <c r="E618" s="2" t="s">
        <v>9</v>
      </c>
      <c r="F618" s="2" t="s">
        <v>10</v>
      </c>
      <c r="G618" s="2">
        <f t="shared" si="33"/>
        <v>0.74989527229204078</v>
      </c>
      <c r="H618" s="5">
        <v>3.9717115689381934</v>
      </c>
      <c r="I618" s="2">
        <v>631</v>
      </c>
      <c r="J618" s="57">
        <f>I618/Pondération!$H$117</f>
        <v>0.18880909634949133</v>
      </c>
      <c r="K618" s="2"/>
      <c r="L618" s="2"/>
      <c r="M618" s="2"/>
      <c r="N618" s="2"/>
      <c r="O618" s="2"/>
      <c r="P618"/>
    </row>
    <row r="619" spans="1:16" x14ac:dyDescent="0.25">
      <c r="A619" s="2" t="s">
        <v>6</v>
      </c>
      <c r="B619" s="2">
        <v>2015</v>
      </c>
      <c r="C619" s="2" t="s">
        <v>14</v>
      </c>
      <c r="D619" s="2" t="s">
        <v>42</v>
      </c>
      <c r="E619" s="2" t="s">
        <v>9</v>
      </c>
      <c r="F619" s="2" t="s">
        <v>10</v>
      </c>
      <c r="G619" s="2">
        <f t="shared" si="33"/>
        <v>0.54112806702573313</v>
      </c>
      <c r="H619" s="5">
        <v>4.0098669623059866</v>
      </c>
      <c r="I619" s="2">
        <v>451</v>
      </c>
      <c r="J619" s="57">
        <f>I619/Pondération!$H$117</f>
        <v>0.13494913225613406</v>
      </c>
      <c r="K619" s="2"/>
      <c r="L619" s="2"/>
      <c r="M619" s="2"/>
      <c r="N619" s="2"/>
      <c r="O619" s="2"/>
      <c r="P619"/>
    </row>
    <row r="620" spans="1:16" x14ac:dyDescent="0.25">
      <c r="A620" s="2" t="s">
        <v>6</v>
      </c>
      <c r="B620" s="2">
        <v>2015</v>
      </c>
      <c r="C620" s="2" t="s">
        <v>15</v>
      </c>
      <c r="D620" s="2" t="s">
        <v>42</v>
      </c>
      <c r="E620" s="2" t="s">
        <v>9</v>
      </c>
      <c r="F620" s="2" t="s">
        <v>10</v>
      </c>
      <c r="G620" s="2">
        <f t="shared" si="33"/>
        <v>0.58641532016756426</v>
      </c>
      <c r="H620" s="5">
        <v>4.1697872340425528</v>
      </c>
      <c r="I620" s="2">
        <v>470</v>
      </c>
      <c r="J620" s="57">
        <f>I620/Pondération!$H$117</f>
        <v>0.14063435068821065</v>
      </c>
      <c r="K620" s="2"/>
      <c r="L620" s="2"/>
      <c r="M620" s="2"/>
      <c r="N620" s="2"/>
      <c r="O620" s="2"/>
      <c r="P620"/>
    </row>
    <row r="621" spans="1:16" x14ac:dyDescent="0.25">
      <c r="A621" s="2" t="s">
        <v>6</v>
      </c>
      <c r="B621" s="2">
        <v>2015</v>
      </c>
      <c r="C621" s="2" t="s">
        <v>16</v>
      </c>
      <c r="D621" s="2" t="s">
        <v>42</v>
      </c>
      <c r="E621" s="2" t="s">
        <v>9</v>
      </c>
      <c r="F621" s="2" t="s">
        <v>10</v>
      </c>
      <c r="G621" s="2">
        <f t="shared" si="33"/>
        <v>0.54600538599640924</v>
      </c>
      <c r="H621" s="5">
        <v>4.2142032332563506</v>
      </c>
      <c r="I621" s="2">
        <v>433</v>
      </c>
      <c r="J621" s="57">
        <f>I621/Pondération!$H$117</f>
        <v>0.12956313584679832</v>
      </c>
      <c r="K621" s="2"/>
      <c r="L621" s="2"/>
      <c r="M621" s="2"/>
      <c r="N621" s="2"/>
      <c r="O621" s="2"/>
      <c r="P621"/>
    </row>
    <row r="622" spans="1:16" x14ac:dyDescent="0.25">
      <c r="A622" s="2" t="s">
        <v>6</v>
      </c>
      <c r="B622" s="2">
        <v>2015</v>
      </c>
      <c r="C622" s="2" t="s">
        <v>17</v>
      </c>
      <c r="D622" s="2" t="s">
        <v>42</v>
      </c>
      <c r="E622" s="2" t="s">
        <v>9</v>
      </c>
      <c r="F622" s="2" t="s">
        <v>10</v>
      </c>
      <c r="G622" s="2">
        <f t="shared" si="33"/>
        <v>0.41542489527228899</v>
      </c>
      <c r="H622" s="5">
        <v>4.1817771084337041</v>
      </c>
      <c r="I622" s="2">
        <v>332</v>
      </c>
      <c r="J622" s="57">
        <f>I622/Pondération!$H$117</f>
        <v>9.9341711549970083E-2</v>
      </c>
      <c r="K622" s="2"/>
      <c r="L622" s="2"/>
      <c r="M622" s="2"/>
      <c r="N622" s="2"/>
      <c r="O622" s="2"/>
      <c r="P622"/>
    </row>
    <row r="623" spans="1:16" x14ac:dyDescent="0.25">
      <c r="A623" s="2" t="s">
        <v>6</v>
      </c>
      <c r="B623" s="2">
        <v>2016</v>
      </c>
      <c r="C623" s="2" t="s">
        <v>18</v>
      </c>
      <c r="D623" s="2" t="s">
        <v>42</v>
      </c>
      <c r="E623" s="2" t="s">
        <v>9</v>
      </c>
      <c r="F623" s="2" t="s">
        <v>10</v>
      </c>
      <c r="G623" s="2">
        <f t="shared" si="33"/>
        <v>0.13214838341884519</v>
      </c>
      <c r="H623" s="5">
        <v>4.1184010152284269</v>
      </c>
      <c r="I623" s="2">
        <v>394</v>
      </c>
      <c r="J623" s="57">
        <f>I623/Pondération!$G$117</f>
        <v>3.2087303526345791E-2</v>
      </c>
      <c r="K623" s="2"/>
      <c r="L623" s="2"/>
      <c r="M623" s="2"/>
      <c r="N623" s="2"/>
      <c r="O623" s="2"/>
      <c r="P623"/>
    </row>
    <row r="624" spans="1:16" x14ac:dyDescent="0.25">
      <c r="A624" s="2" t="s">
        <v>6</v>
      </c>
      <c r="B624" s="2">
        <v>2016</v>
      </c>
      <c r="C624" s="2" t="s">
        <v>19</v>
      </c>
      <c r="D624" s="2" t="s">
        <v>42</v>
      </c>
      <c r="E624" s="2" t="s">
        <v>9</v>
      </c>
      <c r="F624" s="2" t="s">
        <v>10</v>
      </c>
      <c r="G624" s="2">
        <f t="shared" si="33"/>
        <v>0.14914895349784185</v>
      </c>
      <c r="H624" s="5">
        <v>4.152834467120182</v>
      </c>
      <c r="I624" s="2">
        <v>441</v>
      </c>
      <c r="J624" s="57">
        <f>I624/Pondération!$G$117</f>
        <v>3.5914976789640847E-2</v>
      </c>
      <c r="K624" s="2"/>
      <c r="L624" s="2"/>
      <c r="M624" s="2"/>
      <c r="N624" s="2"/>
      <c r="O624" s="2"/>
      <c r="P624"/>
    </row>
    <row r="625" spans="1:16" x14ac:dyDescent="0.25">
      <c r="A625" s="2" t="s">
        <v>6</v>
      </c>
      <c r="B625" s="2">
        <v>2016</v>
      </c>
      <c r="C625" s="2" t="s">
        <v>20</v>
      </c>
      <c r="D625" s="2" t="s">
        <v>42</v>
      </c>
      <c r="E625" s="2" t="s">
        <v>9</v>
      </c>
      <c r="F625" s="2" t="s">
        <v>10</v>
      </c>
      <c r="G625" s="2">
        <f t="shared" si="33"/>
        <v>0.21259467383337402</v>
      </c>
      <c r="H625" s="5">
        <v>4.1174290220820184</v>
      </c>
      <c r="I625" s="2">
        <v>634</v>
      </c>
      <c r="J625" s="57">
        <f>I625/Pondération!$G$117</f>
        <v>5.1632869126150338E-2</v>
      </c>
      <c r="K625" s="2"/>
      <c r="L625" s="2"/>
      <c r="M625" s="2"/>
      <c r="N625" s="2"/>
      <c r="O625" s="2"/>
      <c r="P625"/>
    </row>
    <row r="626" spans="1:16" x14ac:dyDescent="0.25">
      <c r="A626" s="2" t="s">
        <v>6</v>
      </c>
      <c r="B626" s="2">
        <v>2016</v>
      </c>
      <c r="C626" s="2" t="s">
        <v>21</v>
      </c>
      <c r="D626" s="2" t="s">
        <v>42</v>
      </c>
      <c r="E626" s="2" t="s">
        <v>9</v>
      </c>
      <c r="F626" s="2" t="s">
        <v>10</v>
      </c>
      <c r="G626" s="2">
        <f t="shared" si="33"/>
        <v>0.2515066373483183</v>
      </c>
      <c r="H626" s="5">
        <v>4.1397453083109923</v>
      </c>
      <c r="I626" s="2">
        <v>746</v>
      </c>
      <c r="J626" s="57">
        <f>I626/Pondération!$G$117</f>
        <v>6.0754133072725792E-2</v>
      </c>
      <c r="K626" s="2"/>
      <c r="L626" s="2"/>
      <c r="M626" s="2"/>
      <c r="N626" s="2"/>
      <c r="O626" s="2"/>
      <c r="P626"/>
    </row>
    <row r="627" spans="1:16" x14ac:dyDescent="0.25">
      <c r="A627" s="2" t="s">
        <v>6</v>
      </c>
      <c r="B627" s="2">
        <v>2016</v>
      </c>
      <c r="C627" s="2" t="s">
        <v>22</v>
      </c>
      <c r="D627" s="2" t="s">
        <v>42</v>
      </c>
      <c r="E627" s="2" t="s">
        <v>9</v>
      </c>
      <c r="F627" s="2" t="s">
        <v>10</v>
      </c>
      <c r="G627" s="2">
        <f t="shared" si="33"/>
        <v>0.38860656405244642</v>
      </c>
      <c r="H627" s="5">
        <v>3.9930543933054308</v>
      </c>
      <c r="I627" s="2">
        <v>1195</v>
      </c>
      <c r="J627" s="57">
        <f>I627/Pondération!$G$117</f>
        <v>9.7320628715693455E-2</v>
      </c>
      <c r="K627" s="2"/>
      <c r="L627" s="2"/>
      <c r="M627" s="2"/>
      <c r="N627" s="2"/>
      <c r="O627" s="2"/>
      <c r="P627"/>
    </row>
    <row r="628" spans="1:16" x14ac:dyDescent="0.25">
      <c r="A628" s="2" t="s">
        <v>6</v>
      </c>
      <c r="B628" s="2">
        <v>2016</v>
      </c>
      <c r="C628" s="2" t="s">
        <v>23</v>
      </c>
      <c r="D628" s="2" t="s">
        <v>42</v>
      </c>
      <c r="E628" s="2" t="s">
        <v>9</v>
      </c>
      <c r="F628" s="2" t="s">
        <v>10</v>
      </c>
      <c r="G628" s="2">
        <f t="shared" si="33"/>
        <v>0.25348155387246518</v>
      </c>
      <c r="H628" s="5">
        <v>4.0109536082474229</v>
      </c>
      <c r="I628" s="2">
        <v>776</v>
      </c>
      <c r="J628" s="57">
        <f>I628/Pondération!$G$117</f>
        <v>6.3197328772701358E-2</v>
      </c>
      <c r="K628" s="2"/>
      <c r="L628" s="2"/>
      <c r="M628" s="2"/>
      <c r="N628" s="2"/>
      <c r="O628" s="2"/>
      <c r="P628"/>
    </row>
    <row r="629" spans="1:16" x14ac:dyDescent="0.25">
      <c r="A629" s="2" t="s">
        <v>6</v>
      </c>
      <c r="B629" s="2">
        <v>2016</v>
      </c>
      <c r="C629" s="2" t="s">
        <v>24</v>
      </c>
      <c r="D629" s="2" t="s">
        <v>42</v>
      </c>
      <c r="E629" s="2" t="s">
        <v>9</v>
      </c>
      <c r="F629" s="2" t="s">
        <v>10</v>
      </c>
      <c r="G629" s="2">
        <f t="shared" si="33"/>
        <v>0.40524472676928008</v>
      </c>
      <c r="H629" s="5">
        <v>3.9150275373721399</v>
      </c>
      <c r="I629" s="2">
        <v>1271</v>
      </c>
      <c r="J629" s="57">
        <f>I629/Pondération!$G$117</f>
        <v>0.10351005782229823</v>
      </c>
      <c r="K629" s="2"/>
      <c r="L629" s="2"/>
      <c r="M629" s="2"/>
      <c r="N629" s="2"/>
      <c r="O629" s="2"/>
      <c r="P629"/>
    </row>
    <row r="630" spans="1:16" x14ac:dyDescent="0.25">
      <c r="A630" s="2" t="s">
        <v>6</v>
      </c>
      <c r="B630" s="2">
        <v>2016</v>
      </c>
      <c r="C630" s="2" t="s">
        <v>25</v>
      </c>
      <c r="D630" s="2" t="s">
        <v>42</v>
      </c>
      <c r="E630" s="2" t="s">
        <v>9</v>
      </c>
      <c r="F630" s="2" t="s">
        <v>10</v>
      </c>
      <c r="G630" s="2">
        <f t="shared" si="33"/>
        <v>0.64971903249450114</v>
      </c>
      <c r="H630" s="5">
        <v>3.8916585365853558</v>
      </c>
      <c r="I630" s="2">
        <v>2050</v>
      </c>
      <c r="J630" s="57">
        <f>I630/Pondération!$G$117</f>
        <v>0.16695170616499716</v>
      </c>
      <c r="K630" s="2"/>
      <c r="L630" s="2"/>
      <c r="M630" s="2"/>
      <c r="N630" s="2"/>
      <c r="O630" s="2"/>
      <c r="P630"/>
    </row>
    <row r="631" spans="1:16" x14ac:dyDescent="0.25">
      <c r="A631" s="2" t="s">
        <v>6</v>
      </c>
      <c r="B631" s="2">
        <v>2016</v>
      </c>
      <c r="C631" s="2" t="s">
        <v>26</v>
      </c>
      <c r="D631" s="2" t="s">
        <v>42</v>
      </c>
      <c r="E631" s="2" t="s">
        <v>9</v>
      </c>
      <c r="F631" s="2" t="s">
        <v>10</v>
      </c>
      <c r="G631" s="2">
        <f t="shared" si="33"/>
        <v>0.41940711784347179</v>
      </c>
      <c r="H631" s="5">
        <v>3.817568569310593</v>
      </c>
      <c r="I631" s="2">
        <v>1349</v>
      </c>
      <c r="J631" s="57">
        <f>I631/Pondération!$G$117</f>
        <v>0.10986236664223471</v>
      </c>
      <c r="K631" s="2"/>
      <c r="L631" s="2"/>
      <c r="M631" s="2"/>
      <c r="N631" s="2"/>
      <c r="O631" s="2"/>
      <c r="P631"/>
    </row>
    <row r="632" spans="1:16" x14ac:dyDescent="0.25">
      <c r="A632" s="2" t="s">
        <v>6</v>
      </c>
      <c r="B632" s="2">
        <v>2016</v>
      </c>
      <c r="C632" s="2" t="s">
        <v>27</v>
      </c>
      <c r="D632" s="2" t="s">
        <v>42</v>
      </c>
      <c r="E632" s="2" t="s">
        <v>9</v>
      </c>
      <c r="F632" s="2" t="s">
        <v>10</v>
      </c>
      <c r="G632" s="2">
        <f t="shared" si="33"/>
        <v>0.42439938105708935</v>
      </c>
      <c r="H632" s="5">
        <v>3.8889552238805969</v>
      </c>
      <c r="I632" s="2">
        <v>1340</v>
      </c>
      <c r="J632" s="57">
        <f>I632/Pondération!$G$117</f>
        <v>0.10912940793224205</v>
      </c>
      <c r="K632" s="2"/>
      <c r="L632" s="2"/>
      <c r="M632" s="2"/>
      <c r="N632" s="2"/>
      <c r="O632" s="2"/>
      <c r="P632"/>
    </row>
    <row r="633" spans="1:16" x14ac:dyDescent="0.25">
      <c r="A633" s="2" t="s">
        <v>6</v>
      </c>
      <c r="B633" s="2">
        <v>2016</v>
      </c>
      <c r="C633" s="2" t="s">
        <v>28</v>
      </c>
      <c r="D633" s="2" t="s">
        <v>42</v>
      </c>
      <c r="E633" s="2" t="s">
        <v>9</v>
      </c>
      <c r="F633" s="2" t="s">
        <v>10</v>
      </c>
      <c r="G633" s="2">
        <f t="shared" si="33"/>
        <v>0.38712843065396291</v>
      </c>
      <c r="H633" s="5">
        <v>3.9514131338320948</v>
      </c>
      <c r="I633" s="2">
        <v>1203</v>
      </c>
      <c r="J633" s="57">
        <f>I633/Pondération!$G$117</f>
        <v>9.7972147569020285E-2</v>
      </c>
      <c r="K633" s="2"/>
      <c r="L633" s="2"/>
      <c r="M633" s="2"/>
      <c r="N633" s="2"/>
      <c r="O633" s="2"/>
      <c r="P633"/>
    </row>
    <row r="634" spans="1:16" x14ac:dyDescent="0.25">
      <c r="A634" s="2" t="s">
        <v>6</v>
      </c>
      <c r="B634" s="2">
        <v>2016</v>
      </c>
      <c r="C634" s="2" t="s">
        <v>29</v>
      </c>
      <c r="D634" s="2" t="s">
        <v>42</v>
      </c>
      <c r="E634" s="2" t="s">
        <v>9</v>
      </c>
      <c r="F634" s="2" t="s">
        <v>10</v>
      </c>
      <c r="G634" s="2">
        <f t="shared" si="33"/>
        <v>0.28785324537828894</v>
      </c>
      <c r="H634" s="5">
        <v>4.0165340909091025</v>
      </c>
      <c r="I634" s="2">
        <v>880</v>
      </c>
      <c r="J634" s="57">
        <f>I634/Pondération!$G$117</f>
        <v>7.166707386594999E-2</v>
      </c>
      <c r="K634" s="2"/>
      <c r="L634" s="2"/>
      <c r="M634" s="2"/>
      <c r="N634" s="2"/>
      <c r="O634" s="2"/>
      <c r="P634"/>
    </row>
    <row r="635" spans="1:16" x14ac:dyDescent="0.25">
      <c r="A635" s="2" t="s">
        <v>6</v>
      </c>
      <c r="B635" s="2">
        <v>2017</v>
      </c>
      <c r="C635" s="2" t="s">
        <v>30</v>
      </c>
      <c r="D635" s="2" t="s">
        <v>42</v>
      </c>
      <c r="E635" s="2" t="s">
        <v>9</v>
      </c>
      <c r="F635" s="2" t="s">
        <v>10</v>
      </c>
      <c r="G635" s="2">
        <f t="shared" si="33"/>
        <v>0.63076630103595388</v>
      </c>
      <c r="H635" s="5">
        <v>4.0197572815533986</v>
      </c>
      <c r="I635" s="2">
        <v>1030</v>
      </c>
      <c r="J635" s="57">
        <f>I635/Pondération!$F$117</f>
        <v>0.15691651432053627</v>
      </c>
      <c r="K635" s="2"/>
      <c r="L635" s="2"/>
      <c r="M635" s="2"/>
      <c r="N635" s="2"/>
      <c r="O635" s="2"/>
      <c r="P635"/>
    </row>
    <row r="636" spans="1:16" x14ac:dyDescent="0.25">
      <c r="A636" s="2" t="s">
        <v>6</v>
      </c>
      <c r="B636" s="2">
        <v>2017</v>
      </c>
      <c r="C636" s="2" t="s">
        <v>31</v>
      </c>
      <c r="D636" s="2" t="s">
        <v>42</v>
      </c>
      <c r="E636" s="2" t="s">
        <v>9</v>
      </c>
      <c r="F636" s="2" t="s">
        <v>10</v>
      </c>
      <c r="G636" s="2">
        <f t="shared" si="33"/>
        <v>0.7638406459475946</v>
      </c>
      <c r="H636" s="5">
        <v>4.1232319078947457</v>
      </c>
      <c r="I636" s="2">
        <v>1216</v>
      </c>
      <c r="J636" s="57">
        <f>I636/Pondération!$F$117</f>
        <v>0.18525289457647776</v>
      </c>
      <c r="K636" s="2"/>
      <c r="L636" s="2"/>
      <c r="M636" s="2"/>
      <c r="N636" s="2"/>
      <c r="O636" s="2"/>
      <c r="P636"/>
    </row>
    <row r="637" spans="1:16" x14ac:dyDescent="0.25">
      <c r="A637" s="2" t="s">
        <v>6</v>
      </c>
      <c r="B637" s="2">
        <v>2017</v>
      </c>
      <c r="C637" s="2" t="s">
        <v>32</v>
      </c>
      <c r="D637" s="2" t="s">
        <v>42</v>
      </c>
      <c r="E637" s="2" t="s">
        <v>9</v>
      </c>
      <c r="F637" s="2" t="s">
        <v>10</v>
      </c>
      <c r="G637" s="2">
        <f t="shared" si="33"/>
        <v>0.72575411334551965</v>
      </c>
      <c r="H637" s="5">
        <v>4.0303299492385705</v>
      </c>
      <c r="I637" s="2">
        <v>1182</v>
      </c>
      <c r="J637" s="57">
        <f>I637/Pondération!$F$117</f>
        <v>0.18007312614259599</v>
      </c>
      <c r="K637" s="2"/>
      <c r="L637" s="2"/>
      <c r="M637" s="2"/>
      <c r="N637" s="2"/>
      <c r="O637" s="2"/>
      <c r="P637"/>
    </row>
    <row r="638" spans="1:16" x14ac:dyDescent="0.25">
      <c r="A638" s="2" t="s">
        <v>6</v>
      </c>
      <c r="B638" s="2">
        <v>2017</v>
      </c>
      <c r="C638" s="2" t="s">
        <v>33</v>
      </c>
      <c r="D638" s="2" t="s">
        <v>42</v>
      </c>
      <c r="E638" s="2" t="s">
        <v>9</v>
      </c>
      <c r="F638" s="2" t="s">
        <v>10</v>
      </c>
      <c r="G638" s="2">
        <f t="shared" si="33"/>
        <v>1.1791133455210208</v>
      </c>
      <c r="H638" s="5">
        <v>4.0019131334022644</v>
      </c>
      <c r="I638" s="2">
        <v>1934</v>
      </c>
      <c r="J638" s="57">
        <f>I638/Pondération!$F$117</f>
        <v>0.2946374162096283</v>
      </c>
      <c r="K638" s="2"/>
      <c r="L638" s="2"/>
      <c r="M638" s="2"/>
      <c r="N638" s="2"/>
      <c r="O638" s="2"/>
      <c r="P638"/>
    </row>
    <row r="639" spans="1:16" x14ac:dyDescent="0.25">
      <c r="A639" s="2" t="s">
        <v>6</v>
      </c>
      <c r="B639" s="2">
        <v>2017</v>
      </c>
      <c r="C639" s="2" t="s">
        <v>34</v>
      </c>
      <c r="D639" s="2" t="s">
        <v>42</v>
      </c>
      <c r="E639" s="2" t="s">
        <v>9</v>
      </c>
      <c r="F639" s="2" t="s">
        <v>10</v>
      </c>
      <c r="G639" s="2">
        <f t="shared" si="33"/>
        <v>0.72921237050578924</v>
      </c>
      <c r="H639" s="5">
        <v>3.982154742096506</v>
      </c>
      <c r="I639" s="2">
        <v>1202</v>
      </c>
      <c r="J639" s="57">
        <f>I639/Pondération!$F$117</f>
        <v>0.18312004875076174</v>
      </c>
      <c r="K639" s="2"/>
      <c r="L639" s="2"/>
      <c r="M639" s="2"/>
      <c r="N639" s="2"/>
      <c r="O639" s="2"/>
      <c r="P639"/>
    </row>
    <row r="640" spans="1:16" x14ac:dyDescent="0.25">
      <c r="A640" s="2" t="s">
        <v>47</v>
      </c>
      <c r="B640" s="2">
        <v>2013</v>
      </c>
      <c r="C640" s="2" t="s">
        <v>49</v>
      </c>
      <c r="D640" s="2" t="s">
        <v>42</v>
      </c>
      <c r="E640" s="2" t="s">
        <v>9</v>
      </c>
      <c r="F640" s="2" t="s">
        <v>48</v>
      </c>
      <c r="G640" s="2">
        <f t="shared" si="33"/>
        <v>0.25051299589603282</v>
      </c>
      <c r="H640" s="5">
        <v>4.4126506024096388</v>
      </c>
      <c r="I640" s="2">
        <v>83</v>
      </c>
      <c r="J640" s="57">
        <f>I640/Pondération!$J$118</f>
        <v>5.6771545827633378E-2</v>
      </c>
      <c r="K640" s="5">
        <v>4.4939759036144578</v>
      </c>
      <c r="L640" s="5">
        <f t="shared" ref="L640:L692" si="34">K640*$J640</f>
        <v>0.25512995896032831</v>
      </c>
      <c r="M640" s="5">
        <v>4.4457831325301207</v>
      </c>
      <c r="N640" s="5">
        <f t="shared" ref="N640:N692" si="35">M640*$J640</f>
        <v>0.25239398084815323</v>
      </c>
      <c r="O640" s="5">
        <v>4.2168674698795181</v>
      </c>
      <c r="P640" s="15">
        <f t="shared" ref="P640:P692" si="36">O640*$J640</f>
        <v>0.23939808481532149</v>
      </c>
    </row>
    <row r="641" spans="1:16" x14ac:dyDescent="0.25">
      <c r="A641" s="2" t="s">
        <v>47</v>
      </c>
      <c r="B641" s="2">
        <v>2013</v>
      </c>
      <c r="C641" s="2" t="s">
        <v>50</v>
      </c>
      <c r="D641" s="2" t="s">
        <v>42</v>
      </c>
      <c r="E641" s="2" t="s">
        <v>9</v>
      </c>
      <c r="F641" s="2" t="s">
        <v>48</v>
      </c>
      <c r="G641" s="2">
        <f t="shared" si="33"/>
        <v>0.44733242134062928</v>
      </c>
      <c r="H641" s="5">
        <v>4.4489795918367347</v>
      </c>
      <c r="I641" s="2">
        <v>147</v>
      </c>
      <c r="J641" s="57">
        <f>I641/Pondération!$J$118</f>
        <v>0.10054719562243503</v>
      </c>
      <c r="K641" s="5">
        <v>4.4897959183673466</v>
      </c>
      <c r="L641" s="5">
        <f t="shared" si="34"/>
        <v>0.45143638850889189</v>
      </c>
      <c r="M641" s="5">
        <v>4.5102040816326534</v>
      </c>
      <c r="N641" s="5">
        <f t="shared" si="35"/>
        <v>0.45348837209302334</v>
      </c>
      <c r="O641" s="5">
        <v>4.3061224489795915</v>
      </c>
      <c r="P641" s="15">
        <f t="shared" si="36"/>
        <v>0.43296853625171</v>
      </c>
    </row>
    <row r="642" spans="1:16" x14ac:dyDescent="0.25">
      <c r="A642" s="2" t="s">
        <v>47</v>
      </c>
      <c r="B642" s="2">
        <v>2013</v>
      </c>
      <c r="C642" s="2" t="s">
        <v>51</v>
      </c>
      <c r="D642" s="2" t="s">
        <v>42</v>
      </c>
      <c r="E642" s="2" t="s">
        <v>9</v>
      </c>
      <c r="F642" s="2" t="s">
        <v>48</v>
      </c>
      <c r="G642" s="2">
        <f t="shared" ref="G642:G705" si="37">H642*J642</f>
        <v>0.338406292749658</v>
      </c>
      <c r="H642" s="5">
        <v>4.3399122807017543</v>
      </c>
      <c r="I642" s="2">
        <v>114</v>
      </c>
      <c r="J642" s="57">
        <f>I642/Pondération!$J$118</f>
        <v>7.7975376196990423E-2</v>
      </c>
      <c r="K642" s="5">
        <v>4.3684210526315788</v>
      </c>
      <c r="L642" s="5">
        <f t="shared" si="34"/>
        <v>0.34062927496580025</v>
      </c>
      <c r="M642" s="5">
        <v>4.4210526315789478</v>
      </c>
      <c r="N642" s="5">
        <f t="shared" si="35"/>
        <v>0.34473324213406298</v>
      </c>
      <c r="O642" s="5">
        <v>4.2017543859649127</v>
      </c>
      <c r="P642" s="15">
        <f t="shared" si="36"/>
        <v>0.32763337893296857</v>
      </c>
    </row>
    <row r="643" spans="1:16" x14ac:dyDescent="0.25">
      <c r="A643" s="2" t="s">
        <v>47</v>
      </c>
      <c r="B643" s="2">
        <v>2013</v>
      </c>
      <c r="C643" s="2" t="s">
        <v>52</v>
      </c>
      <c r="D643" s="2" t="s">
        <v>42</v>
      </c>
      <c r="E643" s="2" t="s">
        <v>9</v>
      </c>
      <c r="F643" s="2" t="s">
        <v>48</v>
      </c>
      <c r="G643" s="2">
        <f t="shared" si="37"/>
        <v>0.32233242134062928</v>
      </c>
      <c r="H643" s="5">
        <v>4.4457547169811322</v>
      </c>
      <c r="I643" s="2">
        <v>106</v>
      </c>
      <c r="J643" s="57">
        <f>I643/Pondération!$J$118</f>
        <v>7.2503419972640218E-2</v>
      </c>
      <c r="K643" s="5">
        <v>4.4622641509433958</v>
      </c>
      <c r="L643" s="5">
        <f t="shared" si="34"/>
        <v>0.32352941176470584</v>
      </c>
      <c r="M643" s="5">
        <v>4.5377358490566042</v>
      </c>
      <c r="N643" s="5">
        <f t="shared" si="35"/>
        <v>0.3290013679890561</v>
      </c>
      <c r="O643" s="5">
        <v>4.3207547169811322</v>
      </c>
      <c r="P643" s="15">
        <f t="shared" si="36"/>
        <v>0.31326949384404923</v>
      </c>
    </row>
    <row r="644" spans="1:16" x14ac:dyDescent="0.25">
      <c r="A644" s="2" t="s">
        <v>47</v>
      </c>
      <c r="B644" s="2">
        <v>2013</v>
      </c>
      <c r="C644" s="2" t="s">
        <v>53</v>
      </c>
      <c r="D644" s="2" t="s">
        <v>42</v>
      </c>
      <c r="E644" s="2" t="s">
        <v>9</v>
      </c>
      <c r="F644" s="2" t="s">
        <v>48</v>
      </c>
      <c r="G644" s="2">
        <f t="shared" si="37"/>
        <v>0.48067715458276339</v>
      </c>
      <c r="H644" s="5">
        <v>4.4761146496815289</v>
      </c>
      <c r="I644" s="2">
        <v>157</v>
      </c>
      <c r="J644" s="57">
        <f>I644/Pondération!$J$118</f>
        <v>0.10738714090287278</v>
      </c>
      <c r="K644" s="5">
        <v>4.5031847133757958</v>
      </c>
      <c r="L644" s="5">
        <f t="shared" si="34"/>
        <v>0.48358413132694938</v>
      </c>
      <c r="M644" s="5">
        <v>4.5923566878980893</v>
      </c>
      <c r="N644" s="5">
        <f t="shared" si="35"/>
        <v>0.49316005471956226</v>
      </c>
      <c r="O644" s="5">
        <v>4.3057324840764331</v>
      </c>
      <c r="P644" s="15">
        <f t="shared" si="36"/>
        <v>0.46238030095759236</v>
      </c>
    </row>
    <row r="645" spans="1:16" x14ac:dyDescent="0.25">
      <c r="A645" s="2" t="s">
        <v>47</v>
      </c>
      <c r="B645" s="2">
        <v>2013</v>
      </c>
      <c r="C645" s="2" t="s">
        <v>54</v>
      </c>
      <c r="D645" s="2" t="s">
        <v>42</v>
      </c>
      <c r="E645" s="2" t="s">
        <v>9</v>
      </c>
      <c r="F645" s="2" t="s">
        <v>48</v>
      </c>
      <c r="G645" s="2">
        <f t="shared" si="37"/>
        <v>0.43108755129958964</v>
      </c>
      <c r="H645" s="5">
        <v>4.4073426573426575</v>
      </c>
      <c r="I645" s="2">
        <v>143</v>
      </c>
      <c r="J645" s="57">
        <f>I645/Pondération!$J$118</f>
        <v>9.7811217510259924E-2</v>
      </c>
      <c r="K645" s="5">
        <v>4.4685314685314683</v>
      </c>
      <c r="L645" s="5">
        <f t="shared" si="34"/>
        <v>0.43707250341997267</v>
      </c>
      <c r="M645" s="5">
        <v>4.4755244755244759</v>
      </c>
      <c r="N645" s="5">
        <f t="shared" si="35"/>
        <v>0.43775649794801647</v>
      </c>
      <c r="O645" s="5">
        <v>4.2167832167832167</v>
      </c>
      <c r="P645" s="15">
        <f t="shared" si="36"/>
        <v>0.41244870041039672</v>
      </c>
    </row>
    <row r="646" spans="1:16" x14ac:dyDescent="0.25">
      <c r="A646" s="2" t="s">
        <v>47</v>
      </c>
      <c r="B646" s="2">
        <v>2013</v>
      </c>
      <c r="C646" s="2" t="s">
        <v>55</v>
      </c>
      <c r="D646" s="2" t="s">
        <v>42</v>
      </c>
      <c r="E646" s="2" t="s">
        <v>9</v>
      </c>
      <c r="F646" s="2" t="s">
        <v>48</v>
      </c>
      <c r="G646" s="2">
        <f t="shared" si="37"/>
        <v>0.33105335157318744</v>
      </c>
      <c r="H646" s="5">
        <v>4.4000000000000004</v>
      </c>
      <c r="I646" s="2">
        <v>110</v>
      </c>
      <c r="J646" s="57">
        <f>I646/Pondération!$J$118</f>
        <v>7.523939808481532E-2</v>
      </c>
      <c r="K646" s="5">
        <v>4.3272727272727272</v>
      </c>
      <c r="L646" s="5">
        <f t="shared" si="34"/>
        <v>0.32558139534883718</v>
      </c>
      <c r="M646" s="5">
        <v>4.5272727272727273</v>
      </c>
      <c r="N646" s="5">
        <f t="shared" si="35"/>
        <v>0.34062927496580025</v>
      </c>
      <c r="O646" s="5">
        <v>4.418181818181818</v>
      </c>
      <c r="P646" s="15">
        <f t="shared" si="36"/>
        <v>0.33242134062927492</v>
      </c>
    </row>
    <row r="647" spans="1:16" x14ac:dyDescent="0.25">
      <c r="A647" s="2" t="s">
        <v>47</v>
      </c>
      <c r="B647" s="2">
        <v>2013</v>
      </c>
      <c r="C647" s="2" t="s">
        <v>56</v>
      </c>
      <c r="D647" s="2" t="s">
        <v>42</v>
      </c>
      <c r="E647" s="2" t="s">
        <v>9</v>
      </c>
      <c r="F647" s="2" t="s">
        <v>48</v>
      </c>
      <c r="G647" s="2">
        <f t="shared" si="37"/>
        <v>0.57130642954856359</v>
      </c>
      <c r="H647" s="5">
        <v>4.3730366492146597</v>
      </c>
      <c r="I647" s="2">
        <v>191</v>
      </c>
      <c r="J647" s="57">
        <f>I647/Pondération!$J$118</f>
        <v>0.13064295485636115</v>
      </c>
      <c r="K647" s="5">
        <v>4.3664921465968582</v>
      </c>
      <c r="L647" s="5">
        <f t="shared" si="34"/>
        <v>0.57045143638850881</v>
      </c>
      <c r="M647" s="5">
        <v>4.4136125654450264</v>
      </c>
      <c r="N647" s="5">
        <f t="shared" si="35"/>
        <v>0.57660738714090298</v>
      </c>
      <c r="O647" s="5">
        <v>4.3455497382198951</v>
      </c>
      <c r="P647" s="15">
        <f t="shared" si="36"/>
        <v>0.56771545827633374</v>
      </c>
    </row>
    <row r="648" spans="1:16" x14ac:dyDescent="0.25">
      <c r="A648" s="2" t="s">
        <v>47</v>
      </c>
      <c r="B648" s="2">
        <v>2013</v>
      </c>
      <c r="C648" s="2" t="s">
        <v>57</v>
      </c>
      <c r="D648" s="2" t="s">
        <v>42</v>
      </c>
      <c r="E648" s="2" t="s">
        <v>9</v>
      </c>
      <c r="F648" s="2" t="s">
        <v>48</v>
      </c>
      <c r="G648" s="2">
        <f t="shared" si="37"/>
        <v>0.29189466484268128</v>
      </c>
      <c r="H648" s="5">
        <v>4.492105263157895</v>
      </c>
      <c r="I648" s="2">
        <v>95</v>
      </c>
      <c r="J648" s="57">
        <f>I648/Pondération!$J$118</f>
        <v>6.4979480164158693E-2</v>
      </c>
      <c r="K648" s="5">
        <v>4.5157894736842108</v>
      </c>
      <c r="L648" s="5">
        <f t="shared" si="34"/>
        <v>0.2934336525307798</v>
      </c>
      <c r="M648" s="5">
        <v>4.6105263157894738</v>
      </c>
      <c r="N648" s="5">
        <f t="shared" si="35"/>
        <v>0.29958960328317374</v>
      </c>
      <c r="O648" s="5">
        <v>4.3263157894736839</v>
      </c>
      <c r="P648" s="15">
        <f t="shared" si="36"/>
        <v>0.2811217510259918</v>
      </c>
    </row>
    <row r="649" spans="1:16" x14ac:dyDescent="0.25">
      <c r="A649" s="2" t="s">
        <v>47</v>
      </c>
      <c r="B649" s="2">
        <v>2013</v>
      </c>
      <c r="C649" s="2" t="s">
        <v>58</v>
      </c>
      <c r="D649" s="2" t="s">
        <v>42</v>
      </c>
      <c r="E649" s="2" t="s">
        <v>9</v>
      </c>
      <c r="F649" s="2" t="s">
        <v>48</v>
      </c>
      <c r="G649" s="2">
        <f t="shared" si="37"/>
        <v>0.28505471956224354</v>
      </c>
      <c r="H649" s="5">
        <v>4.3868421052631579</v>
      </c>
      <c r="I649" s="2">
        <v>95</v>
      </c>
      <c r="J649" s="57">
        <f>I649/Pondération!$J$118</f>
        <v>6.4979480164158693E-2</v>
      </c>
      <c r="K649" s="5">
        <v>4.4315789473684211</v>
      </c>
      <c r="L649" s="5">
        <f t="shared" si="34"/>
        <v>0.28796169630642959</v>
      </c>
      <c r="M649" s="5">
        <v>4.4315789473684211</v>
      </c>
      <c r="N649" s="5">
        <f t="shared" si="35"/>
        <v>0.28796169630642959</v>
      </c>
      <c r="O649" s="5">
        <v>4.2526315789473683</v>
      </c>
      <c r="P649" s="15">
        <f t="shared" si="36"/>
        <v>0.27633378932968539</v>
      </c>
    </row>
    <row r="650" spans="1:16" x14ac:dyDescent="0.25">
      <c r="A650" s="2" t="s">
        <v>47</v>
      </c>
      <c r="B650" s="2">
        <v>2013</v>
      </c>
      <c r="C650" s="2" t="s">
        <v>59</v>
      </c>
      <c r="D650" s="2" t="s">
        <v>42</v>
      </c>
      <c r="E650" s="2" t="s">
        <v>9</v>
      </c>
      <c r="F650" s="2" t="s">
        <v>48</v>
      </c>
      <c r="G650" s="2">
        <f t="shared" si="37"/>
        <v>0.35567715458276333</v>
      </c>
      <c r="H650" s="5">
        <v>4.3697478991596634</v>
      </c>
      <c r="I650" s="2">
        <v>119</v>
      </c>
      <c r="J650" s="57">
        <f>I650/Pondération!$J$118</f>
        <v>8.1395348837209308E-2</v>
      </c>
      <c r="K650" s="5">
        <v>4.3781512605042021</v>
      </c>
      <c r="L650" s="5">
        <f t="shared" si="34"/>
        <v>0.35636114911080718</v>
      </c>
      <c r="M650" s="5">
        <v>4.4453781512605044</v>
      </c>
      <c r="N650" s="5">
        <f t="shared" si="35"/>
        <v>0.36183310533515733</v>
      </c>
      <c r="O650" s="5">
        <v>4.2773109243697478</v>
      </c>
      <c r="P650" s="15">
        <f t="shared" si="36"/>
        <v>0.34815321477428185</v>
      </c>
    </row>
    <row r="651" spans="1:16" x14ac:dyDescent="0.25">
      <c r="A651" s="2" t="s">
        <v>47</v>
      </c>
      <c r="B651" s="2">
        <v>2013</v>
      </c>
      <c r="C651" s="2" t="s">
        <v>60</v>
      </c>
      <c r="D651" s="2" t="s">
        <v>42</v>
      </c>
      <c r="E651" s="2" t="s">
        <v>9</v>
      </c>
      <c r="F651" s="2" t="s">
        <v>48</v>
      </c>
      <c r="G651" s="2">
        <f t="shared" si="37"/>
        <v>0.31908344733242133</v>
      </c>
      <c r="H651" s="5">
        <v>4.5735294117647056</v>
      </c>
      <c r="I651" s="2">
        <v>102</v>
      </c>
      <c r="J651" s="57">
        <f>I651/Pondération!$J$118</f>
        <v>6.9767441860465115E-2</v>
      </c>
      <c r="K651" s="5">
        <v>4.6078431372549016</v>
      </c>
      <c r="L651" s="5">
        <f t="shared" si="34"/>
        <v>0.32147742818057451</v>
      </c>
      <c r="M651" s="5">
        <v>4.6274509803921573</v>
      </c>
      <c r="N651" s="5">
        <f t="shared" si="35"/>
        <v>0.32284541723666216</v>
      </c>
      <c r="O651" s="5">
        <v>4.4509803921568629</v>
      </c>
      <c r="P651" s="15">
        <f t="shared" si="36"/>
        <v>0.31053351573187415</v>
      </c>
    </row>
    <row r="652" spans="1:16" x14ac:dyDescent="0.25">
      <c r="A652" s="2" t="s">
        <v>47</v>
      </c>
      <c r="B652" s="2">
        <v>2014</v>
      </c>
      <c r="C652" s="2" t="s">
        <v>61</v>
      </c>
      <c r="D652" s="2" t="s">
        <v>42</v>
      </c>
      <c r="E652" s="2" t="s">
        <v>9</v>
      </c>
      <c r="F652" s="2" t="s">
        <v>48</v>
      </c>
      <c r="G652" s="2">
        <f t="shared" si="37"/>
        <v>0.15766503000545554</v>
      </c>
      <c r="H652" s="5">
        <v>4.515625</v>
      </c>
      <c r="I652" s="2">
        <v>64</v>
      </c>
      <c r="J652" s="57">
        <f>I652/Pondération!$I$118</f>
        <v>3.4915439170758317E-2</v>
      </c>
      <c r="K652" s="5">
        <v>4.578125</v>
      </c>
      <c r="L652" s="5">
        <f t="shared" si="34"/>
        <v>0.15984724495362793</v>
      </c>
      <c r="M652" s="5">
        <v>4.515625</v>
      </c>
      <c r="N652" s="5">
        <f t="shared" si="35"/>
        <v>0.15766503000545554</v>
      </c>
      <c r="O652" s="5">
        <v>4.390625</v>
      </c>
      <c r="P652" s="15">
        <f t="shared" si="36"/>
        <v>0.15330060010911073</v>
      </c>
    </row>
    <row r="653" spans="1:16" x14ac:dyDescent="0.25">
      <c r="A653" s="2" t="s">
        <v>47</v>
      </c>
      <c r="B653" s="2">
        <v>2014</v>
      </c>
      <c r="C653" s="2" t="s">
        <v>62</v>
      </c>
      <c r="D653" s="2" t="s">
        <v>42</v>
      </c>
      <c r="E653" s="2" t="s">
        <v>9</v>
      </c>
      <c r="F653" s="2" t="s">
        <v>48</v>
      </c>
      <c r="G653" s="2">
        <f t="shared" si="37"/>
        <v>0.33878887070376429</v>
      </c>
      <c r="H653" s="5">
        <v>4.4676258992805753</v>
      </c>
      <c r="I653" s="2">
        <v>139</v>
      </c>
      <c r="J653" s="57">
        <f>I653/Pondération!$I$118</f>
        <v>7.5831969448990719E-2</v>
      </c>
      <c r="K653" s="5">
        <v>4.4820143884892083</v>
      </c>
      <c r="L653" s="5">
        <f t="shared" si="34"/>
        <v>0.33987997817785048</v>
      </c>
      <c r="M653" s="5">
        <v>4.5899280575539567</v>
      </c>
      <c r="N653" s="5">
        <f t="shared" si="35"/>
        <v>0.34806328423349697</v>
      </c>
      <c r="O653" s="5">
        <v>4.3165467625899279</v>
      </c>
      <c r="P653" s="15">
        <f t="shared" si="36"/>
        <v>0.32733224222585922</v>
      </c>
    </row>
    <row r="654" spans="1:16" x14ac:dyDescent="0.25">
      <c r="A654" s="2" t="s">
        <v>47</v>
      </c>
      <c r="B654" s="2">
        <v>2014</v>
      </c>
      <c r="C654" s="2" t="s">
        <v>63</v>
      </c>
      <c r="D654" s="2" t="s">
        <v>42</v>
      </c>
      <c r="E654" s="2" t="s">
        <v>9</v>
      </c>
      <c r="F654" s="2" t="s">
        <v>48</v>
      </c>
      <c r="G654" s="2">
        <f t="shared" si="37"/>
        <v>0.29555373704309879</v>
      </c>
      <c r="H654" s="5">
        <v>4.4405737704918034</v>
      </c>
      <c r="I654" s="2">
        <v>122</v>
      </c>
      <c r="J654" s="57">
        <f>I654/Pondération!$I$118</f>
        <v>6.6557555919258049E-2</v>
      </c>
      <c r="K654" s="5">
        <v>4.4754098360655741</v>
      </c>
      <c r="L654" s="5">
        <f t="shared" si="34"/>
        <v>0.29787234042553196</v>
      </c>
      <c r="M654" s="5">
        <v>4.4590163934426226</v>
      </c>
      <c r="N654" s="5">
        <f t="shared" si="35"/>
        <v>0.29678123295144571</v>
      </c>
      <c r="O654" s="5">
        <v>4.3524590163934427</v>
      </c>
      <c r="P654" s="15">
        <f t="shared" si="36"/>
        <v>0.28968903436988547</v>
      </c>
    </row>
    <row r="655" spans="1:16" x14ac:dyDescent="0.25">
      <c r="A655" s="2" t="s">
        <v>47</v>
      </c>
      <c r="B655" s="2">
        <v>2014</v>
      </c>
      <c r="C655" s="2" t="s">
        <v>64</v>
      </c>
      <c r="D655" s="2" t="s">
        <v>42</v>
      </c>
      <c r="E655" s="2" t="s">
        <v>9</v>
      </c>
      <c r="F655" s="2" t="s">
        <v>48</v>
      </c>
      <c r="G655" s="2">
        <f t="shared" si="37"/>
        <v>0.3953900709219858</v>
      </c>
      <c r="H655" s="5">
        <v>4.4192073170731705</v>
      </c>
      <c r="I655" s="2">
        <v>164</v>
      </c>
      <c r="J655" s="57">
        <f>I655/Pondération!$I$118</f>
        <v>8.9470812875068195E-2</v>
      </c>
      <c r="K655" s="5">
        <v>4.4451219512195124</v>
      </c>
      <c r="L655" s="5">
        <f t="shared" si="34"/>
        <v>0.39770867430441903</v>
      </c>
      <c r="M655" s="5">
        <v>4.4634146341463419</v>
      </c>
      <c r="N655" s="5">
        <f t="shared" si="35"/>
        <v>0.39934533551554835</v>
      </c>
      <c r="O655" s="5">
        <v>4.3231707317073171</v>
      </c>
      <c r="P655" s="15">
        <f t="shared" si="36"/>
        <v>0.38679759956355703</v>
      </c>
    </row>
    <row r="656" spans="1:16" x14ac:dyDescent="0.25">
      <c r="A656" s="2" t="s">
        <v>47</v>
      </c>
      <c r="B656" s="2">
        <v>2014</v>
      </c>
      <c r="C656" s="2" t="s">
        <v>65</v>
      </c>
      <c r="D656" s="2" t="s">
        <v>42</v>
      </c>
      <c r="E656" s="2" t="s">
        <v>9</v>
      </c>
      <c r="F656" s="2" t="s">
        <v>48</v>
      </c>
      <c r="G656" s="2">
        <f t="shared" si="37"/>
        <v>0.43848881614839064</v>
      </c>
      <c r="H656" s="5">
        <v>4.3682065217391308</v>
      </c>
      <c r="I656" s="2">
        <v>184</v>
      </c>
      <c r="J656" s="57">
        <f>I656/Pondération!$I$118</f>
        <v>0.10038188761593017</v>
      </c>
      <c r="K656" s="5">
        <v>4.4347826086956523</v>
      </c>
      <c r="L656" s="5">
        <f t="shared" si="34"/>
        <v>0.44517184942716859</v>
      </c>
      <c r="M656" s="5">
        <v>4.3695652173913047</v>
      </c>
      <c r="N656" s="5">
        <f t="shared" si="35"/>
        <v>0.43862520458265142</v>
      </c>
      <c r="O656" s="5">
        <v>4.2336956521739131</v>
      </c>
      <c r="P656" s="15">
        <f t="shared" si="36"/>
        <v>0.42498636115657396</v>
      </c>
    </row>
    <row r="657" spans="1:16" x14ac:dyDescent="0.25">
      <c r="A657" s="2" t="s">
        <v>47</v>
      </c>
      <c r="B657" s="2">
        <v>2014</v>
      </c>
      <c r="C657" s="2" t="s">
        <v>66</v>
      </c>
      <c r="D657" s="2" t="s">
        <v>42</v>
      </c>
      <c r="E657" s="2" t="s">
        <v>9</v>
      </c>
      <c r="F657" s="2" t="s">
        <v>48</v>
      </c>
      <c r="G657" s="2">
        <f t="shared" si="37"/>
        <v>0.30632842334969995</v>
      </c>
      <c r="H657" s="5">
        <v>4.4212598425196852</v>
      </c>
      <c r="I657" s="2">
        <v>127</v>
      </c>
      <c r="J657" s="57">
        <f>I657/Pondération!$I$118</f>
        <v>6.9285324604473536E-2</v>
      </c>
      <c r="K657" s="5">
        <v>4.4488188976377954</v>
      </c>
      <c r="L657" s="5">
        <f t="shared" si="34"/>
        <v>0.30823786142935078</v>
      </c>
      <c r="M657" s="5">
        <v>4.4960629921259843</v>
      </c>
      <c r="N657" s="5">
        <f t="shared" si="35"/>
        <v>0.31151118385160936</v>
      </c>
      <c r="O657" s="5">
        <v>4.2913385826771657</v>
      </c>
      <c r="P657" s="15">
        <f t="shared" si="36"/>
        <v>0.29732678668848883</v>
      </c>
    </row>
    <row r="658" spans="1:16" x14ac:dyDescent="0.25">
      <c r="A658" s="2" t="s">
        <v>47</v>
      </c>
      <c r="B658" s="2">
        <v>2014</v>
      </c>
      <c r="C658" s="2" t="s">
        <v>67</v>
      </c>
      <c r="D658" s="2" t="s">
        <v>42</v>
      </c>
      <c r="E658" s="2" t="s">
        <v>9</v>
      </c>
      <c r="F658" s="2" t="s">
        <v>48</v>
      </c>
      <c r="G658" s="2">
        <f t="shared" si="37"/>
        <v>0.4056192034915439</v>
      </c>
      <c r="H658" s="5">
        <v>4.4789156626506026</v>
      </c>
      <c r="I658" s="2">
        <v>166</v>
      </c>
      <c r="J658" s="57">
        <f>I658/Pondération!$I$118</f>
        <v>9.056192034915439E-2</v>
      </c>
      <c r="K658" s="5">
        <v>4.5120481927710845</v>
      </c>
      <c r="L658" s="5">
        <f t="shared" si="34"/>
        <v>0.40861974904528098</v>
      </c>
      <c r="M658" s="5">
        <v>4.5361445783132526</v>
      </c>
      <c r="N658" s="5">
        <f t="shared" si="35"/>
        <v>0.41080196399345331</v>
      </c>
      <c r="O658" s="5">
        <v>4.3554216867469879</v>
      </c>
      <c r="P658" s="15">
        <f t="shared" si="36"/>
        <v>0.39443535188216039</v>
      </c>
    </row>
    <row r="659" spans="1:16" x14ac:dyDescent="0.25">
      <c r="A659" s="2" t="s">
        <v>47</v>
      </c>
      <c r="B659" s="2">
        <v>2014</v>
      </c>
      <c r="C659" s="2" t="s">
        <v>68</v>
      </c>
      <c r="D659" s="2" t="s">
        <v>42</v>
      </c>
      <c r="E659" s="2" t="s">
        <v>9</v>
      </c>
      <c r="F659" s="2" t="s">
        <v>48</v>
      </c>
      <c r="G659" s="2">
        <f t="shared" si="37"/>
        <v>0.52154937261320233</v>
      </c>
      <c r="H659" s="5">
        <v>4.4259259259259256</v>
      </c>
      <c r="I659" s="2">
        <v>216</v>
      </c>
      <c r="J659" s="57">
        <f>I659/Pondération!$I$118</f>
        <v>0.11783960720130933</v>
      </c>
      <c r="K659" s="5">
        <v>4.5231481481481479</v>
      </c>
      <c r="L659" s="5">
        <f t="shared" si="34"/>
        <v>0.53300600109110741</v>
      </c>
      <c r="M659" s="5">
        <v>4.3888888888888893</v>
      </c>
      <c r="N659" s="5">
        <f t="shared" si="35"/>
        <v>0.51718494271685767</v>
      </c>
      <c r="O659" s="5">
        <v>4.2685185185185182</v>
      </c>
      <c r="P659" s="15">
        <f t="shared" si="36"/>
        <v>0.50300054555373697</v>
      </c>
    </row>
    <row r="660" spans="1:16" x14ac:dyDescent="0.25">
      <c r="A660" s="2" t="s">
        <v>47</v>
      </c>
      <c r="B660" s="2">
        <v>2014</v>
      </c>
      <c r="C660" s="2" t="s">
        <v>69</v>
      </c>
      <c r="D660" s="2" t="s">
        <v>42</v>
      </c>
      <c r="E660" s="2" t="s">
        <v>9</v>
      </c>
      <c r="F660" s="2" t="s">
        <v>48</v>
      </c>
      <c r="G660" s="2">
        <f t="shared" si="37"/>
        <v>0.35215493726132019</v>
      </c>
      <c r="H660" s="5">
        <v>4.4212328767123283</v>
      </c>
      <c r="I660" s="2">
        <v>146</v>
      </c>
      <c r="J660" s="57">
        <f>I660/Pondération!$I$118</f>
        <v>7.9650845608292414E-2</v>
      </c>
      <c r="K660" s="5">
        <v>4.5</v>
      </c>
      <c r="L660" s="5">
        <f t="shared" si="34"/>
        <v>0.35842880523731585</v>
      </c>
      <c r="M660" s="5">
        <v>4.404109589041096</v>
      </c>
      <c r="N660" s="5">
        <f t="shared" si="35"/>
        <v>0.35079105291871249</v>
      </c>
      <c r="O660" s="5">
        <v>4.2808219178082192</v>
      </c>
      <c r="P660" s="15">
        <f t="shared" si="36"/>
        <v>0.34097108565193673</v>
      </c>
    </row>
    <row r="661" spans="1:16" x14ac:dyDescent="0.25">
      <c r="A661" s="2" t="s">
        <v>47</v>
      </c>
      <c r="B661" s="2">
        <v>2014</v>
      </c>
      <c r="C661" s="2" t="s">
        <v>70</v>
      </c>
      <c r="D661" s="2" t="s">
        <v>42</v>
      </c>
      <c r="E661" s="2" t="s">
        <v>9</v>
      </c>
      <c r="F661" s="2" t="s">
        <v>48</v>
      </c>
      <c r="G661" s="2">
        <f t="shared" si="37"/>
        <v>0.4834969994544463</v>
      </c>
      <c r="H661" s="5">
        <v>4.4312500000000004</v>
      </c>
      <c r="I661" s="2">
        <v>200</v>
      </c>
      <c r="J661" s="57">
        <f>I661/Pondération!$I$118</f>
        <v>0.10911074740861974</v>
      </c>
      <c r="K661" s="5">
        <v>4.4800000000000004</v>
      </c>
      <c r="L661" s="5">
        <f t="shared" si="34"/>
        <v>0.48881614839061649</v>
      </c>
      <c r="M661" s="5">
        <v>4.5</v>
      </c>
      <c r="N661" s="5">
        <f t="shared" si="35"/>
        <v>0.49099836333878882</v>
      </c>
      <c r="O661" s="5">
        <v>4.2649999999999997</v>
      </c>
      <c r="P661" s="15">
        <f t="shared" si="36"/>
        <v>0.46535733769776316</v>
      </c>
    </row>
    <row r="662" spans="1:16" x14ac:dyDescent="0.25">
      <c r="A662" s="2" t="s">
        <v>47</v>
      </c>
      <c r="B662" s="2">
        <v>2014</v>
      </c>
      <c r="C662" s="2" t="s">
        <v>71</v>
      </c>
      <c r="D662" s="2" t="s">
        <v>42</v>
      </c>
      <c r="E662" s="2" t="s">
        <v>9</v>
      </c>
      <c r="F662" s="2" t="s">
        <v>48</v>
      </c>
      <c r="G662" s="2">
        <f t="shared" si="37"/>
        <v>0.38597926895799239</v>
      </c>
      <c r="H662" s="5">
        <v>4.421875</v>
      </c>
      <c r="I662" s="2">
        <v>160</v>
      </c>
      <c r="J662" s="57">
        <f>I662/Pondération!$I$118</f>
        <v>8.7288597926895806E-2</v>
      </c>
      <c r="K662" s="5">
        <v>4.4874999999999998</v>
      </c>
      <c r="L662" s="5">
        <f t="shared" si="34"/>
        <v>0.39170758319694493</v>
      </c>
      <c r="M662" s="5">
        <v>4.4312500000000004</v>
      </c>
      <c r="N662" s="5">
        <f t="shared" si="35"/>
        <v>0.38679759956355708</v>
      </c>
      <c r="O662" s="5">
        <v>4.28125</v>
      </c>
      <c r="P662" s="15">
        <f t="shared" si="36"/>
        <v>0.37370430987452269</v>
      </c>
    </row>
    <row r="663" spans="1:16" x14ac:dyDescent="0.25">
      <c r="A663" s="2" t="s">
        <v>47</v>
      </c>
      <c r="B663" s="2">
        <v>2014</v>
      </c>
      <c r="C663" s="2" t="s">
        <v>72</v>
      </c>
      <c r="D663" s="2" t="s">
        <v>42</v>
      </c>
      <c r="E663" s="2" t="s">
        <v>9</v>
      </c>
      <c r="F663" s="2" t="s">
        <v>48</v>
      </c>
      <c r="G663" s="2">
        <f t="shared" si="37"/>
        <v>0.34833606110201859</v>
      </c>
      <c r="H663" s="5">
        <v>4.4034482758620692</v>
      </c>
      <c r="I663" s="2">
        <v>145</v>
      </c>
      <c r="J663" s="57">
        <f>I663/Pondération!$I$118</f>
        <v>7.9105291871249317E-2</v>
      </c>
      <c r="K663" s="5">
        <v>4.4068965517241381</v>
      </c>
      <c r="L663" s="5">
        <f t="shared" si="34"/>
        <v>0.3486088379705401</v>
      </c>
      <c r="M663" s="5">
        <v>4.5034482758620689</v>
      </c>
      <c r="N663" s="5">
        <f t="shared" si="35"/>
        <v>0.35624659028914346</v>
      </c>
      <c r="O663" s="5">
        <v>4.296551724137931</v>
      </c>
      <c r="P663" s="15">
        <f t="shared" si="36"/>
        <v>0.33987997817785048</v>
      </c>
    </row>
    <row r="664" spans="1:16" x14ac:dyDescent="0.25">
      <c r="A664" s="2" t="s">
        <v>47</v>
      </c>
      <c r="B664" s="2">
        <v>2015</v>
      </c>
      <c r="C664" s="2" t="s">
        <v>73</v>
      </c>
      <c r="D664" s="2" t="s">
        <v>42</v>
      </c>
      <c r="E664" s="2" t="s">
        <v>9</v>
      </c>
      <c r="F664" s="2" t="s">
        <v>48</v>
      </c>
      <c r="G664" s="2">
        <f t="shared" si="37"/>
        <v>0.18742514970059879</v>
      </c>
      <c r="H664" s="5">
        <v>4.5144230769230766</v>
      </c>
      <c r="I664" s="2">
        <v>104</v>
      </c>
      <c r="J664" s="57">
        <f>I664/Pondération!$H$118</f>
        <v>4.1516966067864272E-2</v>
      </c>
      <c r="K664" s="5">
        <v>4.5288461538461542</v>
      </c>
      <c r="L664" s="5">
        <f t="shared" si="34"/>
        <v>0.18802395209580841</v>
      </c>
      <c r="M664" s="5">
        <v>4.6730769230769234</v>
      </c>
      <c r="N664" s="5">
        <f t="shared" si="35"/>
        <v>0.19401197604790421</v>
      </c>
      <c r="O664" s="5">
        <v>4.3269230769230766</v>
      </c>
      <c r="P664" s="15">
        <f t="shared" si="36"/>
        <v>0.17964071856287425</v>
      </c>
    </row>
    <row r="665" spans="1:16" x14ac:dyDescent="0.25">
      <c r="A665" s="2" t="s">
        <v>47</v>
      </c>
      <c r="B665" s="2">
        <v>2015</v>
      </c>
      <c r="C665" s="2" t="s">
        <v>74</v>
      </c>
      <c r="D665" s="2" t="s">
        <v>42</v>
      </c>
      <c r="E665" s="2" t="s">
        <v>9</v>
      </c>
      <c r="F665" s="2" t="s">
        <v>48</v>
      </c>
      <c r="G665" s="2">
        <f t="shared" si="37"/>
        <v>0.38033932135728538</v>
      </c>
      <c r="H665" s="5">
        <v>4.4521028037383177</v>
      </c>
      <c r="I665" s="2">
        <v>214</v>
      </c>
      <c r="J665" s="57">
        <f>I665/Pondération!$H$118</f>
        <v>8.5429141716566862E-2</v>
      </c>
      <c r="K665" s="5">
        <v>4.4392523364485985</v>
      </c>
      <c r="L665" s="5">
        <f t="shared" si="34"/>
        <v>0.37924151696606789</v>
      </c>
      <c r="M665" s="5">
        <v>4.5747663551401869</v>
      </c>
      <c r="N665" s="5">
        <f t="shared" si="35"/>
        <v>0.3908183632734531</v>
      </c>
      <c r="O665" s="5">
        <v>4.3551401869158877</v>
      </c>
      <c r="P665" s="15">
        <f t="shared" si="36"/>
        <v>0.37205588822355284</v>
      </c>
    </row>
    <row r="666" spans="1:16" x14ac:dyDescent="0.25">
      <c r="A666" s="2" t="s">
        <v>47</v>
      </c>
      <c r="B666" s="2">
        <v>2015</v>
      </c>
      <c r="C666" s="2" t="s">
        <v>75</v>
      </c>
      <c r="D666" s="2" t="s">
        <v>42</v>
      </c>
      <c r="E666" s="2" t="s">
        <v>9</v>
      </c>
      <c r="F666" s="2" t="s">
        <v>48</v>
      </c>
      <c r="G666" s="2">
        <f t="shared" si="37"/>
        <v>0.40648702594810376</v>
      </c>
      <c r="H666" s="5">
        <v>4.4465065502183405</v>
      </c>
      <c r="I666" s="2">
        <v>229</v>
      </c>
      <c r="J666" s="57">
        <f>I666/Pondération!$H$118</f>
        <v>9.1417165668662675E-2</v>
      </c>
      <c r="K666" s="5">
        <v>4.4585152838427948</v>
      </c>
      <c r="L666" s="5">
        <f t="shared" si="34"/>
        <v>0.40758483033932136</v>
      </c>
      <c r="M666" s="5">
        <v>4.5283842794759828</v>
      </c>
      <c r="N666" s="5">
        <f t="shared" si="35"/>
        <v>0.41397205588822356</v>
      </c>
      <c r="O666" s="5">
        <v>4.3406113537117905</v>
      </c>
      <c r="P666" s="15">
        <f t="shared" si="36"/>
        <v>0.3968063872255489</v>
      </c>
    </row>
    <row r="667" spans="1:16" x14ac:dyDescent="0.25">
      <c r="A667" s="2" t="s">
        <v>47</v>
      </c>
      <c r="B667" s="2">
        <v>2015</v>
      </c>
      <c r="C667" s="2" t="s">
        <v>76</v>
      </c>
      <c r="D667" s="2" t="s">
        <v>42</v>
      </c>
      <c r="E667" s="2" t="s">
        <v>9</v>
      </c>
      <c r="F667" s="2" t="s">
        <v>48</v>
      </c>
      <c r="G667" s="2">
        <f t="shared" si="37"/>
        <v>0.4452095808383234</v>
      </c>
      <c r="H667" s="5">
        <v>4.4610000000000003</v>
      </c>
      <c r="I667" s="2">
        <v>250</v>
      </c>
      <c r="J667" s="57">
        <f>I667/Pondération!$H$118</f>
        <v>9.9800399201596807E-2</v>
      </c>
      <c r="K667" s="5">
        <v>4.468</v>
      </c>
      <c r="L667" s="5">
        <f t="shared" si="34"/>
        <v>0.44590818363273454</v>
      </c>
      <c r="M667" s="5">
        <v>4.5640000000000001</v>
      </c>
      <c r="N667" s="5">
        <f t="shared" si="35"/>
        <v>0.45548902195608781</v>
      </c>
      <c r="O667" s="5">
        <v>4.3440000000000003</v>
      </c>
      <c r="P667" s="15">
        <f t="shared" si="36"/>
        <v>0.43353293413173655</v>
      </c>
    </row>
    <row r="668" spans="1:16" x14ac:dyDescent="0.25">
      <c r="A668" s="2" t="s">
        <v>47</v>
      </c>
      <c r="B668" s="2">
        <v>2015</v>
      </c>
      <c r="C668" s="2" t="s">
        <v>7</v>
      </c>
      <c r="D668" s="2" t="s">
        <v>42</v>
      </c>
      <c r="E668" s="2" t="s">
        <v>9</v>
      </c>
      <c r="F668" s="2" t="s">
        <v>48</v>
      </c>
      <c r="G668" s="2">
        <f t="shared" si="37"/>
        <v>0.5062874251497006</v>
      </c>
      <c r="H668" s="5">
        <v>4.465669014084507</v>
      </c>
      <c r="I668" s="2">
        <v>284</v>
      </c>
      <c r="J668" s="57">
        <f>I668/Pondération!$H$118</f>
        <v>0.11337325349301397</v>
      </c>
      <c r="K668" s="5">
        <v>4.48943661971831</v>
      </c>
      <c r="L668" s="5">
        <f t="shared" si="34"/>
        <v>0.50898203592814373</v>
      </c>
      <c r="M668" s="5">
        <v>4.503521126760563</v>
      </c>
      <c r="N668" s="5">
        <f t="shared" si="35"/>
        <v>0.51057884231536921</v>
      </c>
      <c r="O668" s="5">
        <v>4.380281690140845</v>
      </c>
      <c r="P668" s="15">
        <f t="shared" si="36"/>
        <v>0.49660678642714567</v>
      </c>
    </row>
    <row r="669" spans="1:16" x14ac:dyDescent="0.25">
      <c r="A669" s="2" t="s">
        <v>47</v>
      </c>
      <c r="B669" s="2">
        <v>2015</v>
      </c>
      <c r="C669" s="2" t="s">
        <v>11</v>
      </c>
      <c r="D669" s="2" t="s">
        <v>42</v>
      </c>
      <c r="E669" s="2" t="s">
        <v>9</v>
      </c>
      <c r="F669" s="2" t="s">
        <v>48</v>
      </c>
      <c r="G669" s="2">
        <f t="shared" si="37"/>
        <v>0.36377245508982037</v>
      </c>
      <c r="H669" s="5">
        <v>4.4451219512195124</v>
      </c>
      <c r="I669" s="2">
        <v>205</v>
      </c>
      <c r="J669" s="57">
        <f>I669/Pondération!$H$118</f>
        <v>8.1836327345309379E-2</v>
      </c>
      <c r="K669" s="5">
        <v>4.5073170731707313</v>
      </c>
      <c r="L669" s="5">
        <f t="shared" si="34"/>
        <v>0.36886227544910177</v>
      </c>
      <c r="M669" s="5">
        <v>4.4780487804878053</v>
      </c>
      <c r="N669" s="5">
        <f t="shared" si="35"/>
        <v>0.3664670658682635</v>
      </c>
      <c r="O669" s="5">
        <v>4.2878048780487807</v>
      </c>
      <c r="P669" s="15">
        <f t="shared" si="36"/>
        <v>0.35089820359281437</v>
      </c>
    </row>
    <row r="670" spans="1:16" x14ac:dyDescent="0.25">
      <c r="A670" s="2" t="s">
        <v>47</v>
      </c>
      <c r="B670" s="2">
        <v>2015</v>
      </c>
      <c r="C670" s="2" t="s">
        <v>12</v>
      </c>
      <c r="D670" s="2" t="s">
        <v>42</v>
      </c>
      <c r="E670" s="2" t="s">
        <v>9</v>
      </c>
      <c r="F670" s="2" t="s">
        <v>48</v>
      </c>
      <c r="G670" s="2">
        <f t="shared" si="37"/>
        <v>0.40858283433133735</v>
      </c>
      <c r="H670" s="5">
        <v>4.3927038626609445</v>
      </c>
      <c r="I670" s="2">
        <v>233</v>
      </c>
      <c r="J670" s="57">
        <f>I670/Pondération!$H$118</f>
        <v>9.3013972055888225E-2</v>
      </c>
      <c r="K670" s="5">
        <v>4.3948497854077253</v>
      </c>
      <c r="L670" s="5">
        <f t="shared" si="34"/>
        <v>0.40878243512974055</v>
      </c>
      <c r="M670" s="5">
        <v>4.4763948497854074</v>
      </c>
      <c r="N670" s="5">
        <f t="shared" si="35"/>
        <v>0.41636726546906183</v>
      </c>
      <c r="O670" s="5">
        <v>4.3047210300429182</v>
      </c>
      <c r="P670" s="15">
        <f t="shared" si="36"/>
        <v>0.40039920159680636</v>
      </c>
    </row>
    <row r="671" spans="1:16" x14ac:dyDescent="0.25">
      <c r="A671" s="2" t="s">
        <v>47</v>
      </c>
      <c r="B671" s="2">
        <v>2015</v>
      </c>
      <c r="C671" s="2" t="s">
        <v>13</v>
      </c>
      <c r="D671" s="2" t="s">
        <v>42</v>
      </c>
      <c r="E671" s="2" t="s">
        <v>9</v>
      </c>
      <c r="F671" s="2" t="s">
        <v>48</v>
      </c>
      <c r="G671" s="2">
        <f t="shared" si="37"/>
        <v>0.43253493013972061</v>
      </c>
      <c r="H671" s="5">
        <v>4.4405737704918034</v>
      </c>
      <c r="I671" s="2">
        <v>244</v>
      </c>
      <c r="J671" s="57">
        <f>I671/Pondération!$H$118</f>
        <v>9.7405189620758489E-2</v>
      </c>
      <c r="K671" s="5">
        <v>4.5409836065573774</v>
      </c>
      <c r="L671" s="5">
        <f t="shared" si="34"/>
        <v>0.44231536926147713</v>
      </c>
      <c r="M671" s="5">
        <v>4.4139344262295079</v>
      </c>
      <c r="N671" s="5">
        <f t="shared" si="35"/>
        <v>0.42994011976047902</v>
      </c>
      <c r="O671" s="5">
        <v>4.2663934426229506</v>
      </c>
      <c r="P671" s="15">
        <f t="shared" si="36"/>
        <v>0.41556886227544909</v>
      </c>
    </row>
    <row r="672" spans="1:16" x14ac:dyDescent="0.25">
      <c r="A672" s="2" t="s">
        <v>47</v>
      </c>
      <c r="B672" s="2">
        <v>2015</v>
      </c>
      <c r="C672" s="2" t="s">
        <v>14</v>
      </c>
      <c r="D672" s="2" t="s">
        <v>42</v>
      </c>
      <c r="E672" s="2" t="s">
        <v>9</v>
      </c>
      <c r="F672" s="2" t="s">
        <v>48</v>
      </c>
      <c r="G672" s="2">
        <f t="shared" si="37"/>
        <v>0.30469061876247505</v>
      </c>
      <c r="H672" s="5">
        <v>4.3864942528735629</v>
      </c>
      <c r="I672" s="2">
        <v>174</v>
      </c>
      <c r="J672" s="57">
        <f>I672/Pondération!$H$118</f>
        <v>6.9461077844311381E-2</v>
      </c>
      <c r="K672" s="5">
        <v>4.4597701149425291</v>
      </c>
      <c r="L672" s="5">
        <f t="shared" si="34"/>
        <v>0.30978043912175651</v>
      </c>
      <c r="M672" s="5">
        <v>4.3793103448275863</v>
      </c>
      <c r="N672" s="5">
        <f t="shared" si="35"/>
        <v>0.30419161676646711</v>
      </c>
      <c r="O672" s="5">
        <v>4.2471264367816088</v>
      </c>
      <c r="P672" s="15">
        <f t="shared" si="36"/>
        <v>0.29500998003992013</v>
      </c>
    </row>
    <row r="673" spans="1:16" x14ac:dyDescent="0.25">
      <c r="A673" s="2" t="s">
        <v>47</v>
      </c>
      <c r="B673" s="2">
        <v>2015</v>
      </c>
      <c r="C673" s="2" t="s">
        <v>15</v>
      </c>
      <c r="D673" s="2" t="s">
        <v>42</v>
      </c>
      <c r="E673" s="2" t="s">
        <v>9</v>
      </c>
      <c r="F673" s="2" t="s">
        <v>48</v>
      </c>
      <c r="G673" s="2">
        <f t="shared" si="37"/>
        <v>0.3908183632734531</v>
      </c>
      <c r="H673" s="5">
        <v>4.45</v>
      </c>
      <c r="I673" s="2">
        <v>220</v>
      </c>
      <c r="J673" s="57">
        <f>I673/Pondération!$H$118</f>
        <v>8.7824351297405193E-2</v>
      </c>
      <c r="K673" s="5">
        <v>4.4772727272727275</v>
      </c>
      <c r="L673" s="5">
        <f t="shared" si="34"/>
        <v>0.39321357285429143</v>
      </c>
      <c r="M673" s="5">
        <v>4.5590909090909095</v>
      </c>
      <c r="N673" s="5">
        <f t="shared" si="35"/>
        <v>0.40039920159680642</v>
      </c>
      <c r="O673" s="5">
        <v>4.2863636363636362</v>
      </c>
      <c r="P673" s="15">
        <f t="shared" si="36"/>
        <v>0.37644710578842316</v>
      </c>
    </row>
    <row r="674" spans="1:16" x14ac:dyDescent="0.25">
      <c r="A674" s="2" t="s">
        <v>47</v>
      </c>
      <c r="B674" s="2">
        <v>2015</v>
      </c>
      <c r="C674" s="2" t="s">
        <v>16</v>
      </c>
      <c r="D674" s="2" t="s">
        <v>42</v>
      </c>
      <c r="E674" s="2" t="s">
        <v>9</v>
      </c>
      <c r="F674" s="2" t="s">
        <v>48</v>
      </c>
      <c r="G674" s="2">
        <f t="shared" si="37"/>
        <v>0.28962075848303392</v>
      </c>
      <c r="H674" s="5">
        <v>4.3704819277108431</v>
      </c>
      <c r="I674" s="2">
        <v>166</v>
      </c>
      <c r="J674" s="57">
        <f>I674/Pondération!$H$118</f>
        <v>6.6267465069860282E-2</v>
      </c>
      <c r="K674" s="5">
        <v>4.3674698795180724</v>
      </c>
      <c r="L674" s="5">
        <f t="shared" si="34"/>
        <v>0.28942115768463078</v>
      </c>
      <c r="M674" s="5">
        <v>4.4638554216867474</v>
      </c>
      <c r="N674" s="5">
        <f t="shared" si="35"/>
        <v>0.29580838323353298</v>
      </c>
      <c r="O674" s="5">
        <v>4.2831325301204819</v>
      </c>
      <c r="P674" s="15">
        <f t="shared" si="36"/>
        <v>0.28383233532934132</v>
      </c>
    </row>
    <row r="675" spans="1:16" x14ac:dyDescent="0.25">
      <c r="A675" s="2" t="s">
        <v>47</v>
      </c>
      <c r="B675" s="2">
        <v>2015</v>
      </c>
      <c r="C675" s="2" t="s">
        <v>17</v>
      </c>
      <c r="D675" s="2" t="s">
        <v>42</v>
      </c>
      <c r="E675" s="2" t="s">
        <v>9</v>
      </c>
      <c r="F675" s="2" t="s">
        <v>48</v>
      </c>
      <c r="G675" s="2">
        <f t="shared" si="37"/>
        <v>0.33213572854291418</v>
      </c>
      <c r="H675" s="5">
        <v>4.5714285714285712</v>
      </c>
      <c r="I675" s="2">
        <v>182</v>
      </c>
      <c r="J675" s="57">
        <f>I675/Pondération!$H$118</f>
        <v>7.265469061876248E-2</v>
      </c>
      <c r="K675" s="5">
        <v>4.6208791208791204</v>
      </c>
      <c r="L675" s="5">
        <f t="shared" si="34"/>
        <v>0.33572854291417165</v>
      </c>
      <c r="M675" s="5">
        <v>4.6483516483516487</v>
      </c>
      <c r="N675" s="5">
        <f t="shared" si="35"/>
        <v>0.33772455089820363</v>
      </c>
      <c r="O675" s="5">
        <v>4.395604395604396</v>
      </c>
      <c r="P675" s="15">
        <f t="shared" si="36"/>
        <v>0.31936127744510984</v>
      </c>
    </row>
    <row r="676" spans="1:16" x14ac:dyDescent="0.25">
      <c r="A676" s="2" t="s">
        <v>47</v>
      </c>
      <c r="B676" s="2">
        <v>2016</v>
      </c>
      <c r="C676" s="2" t="s">
        <v>18</v>
      </c>
      <c r="D676" s="2" t="s">
        <v>42</v>
      </c>
      <c r="E676" s="2" t="s">
        <v>9</v>
      </c>
      <c r="F676" s="2" t="s">
        <v>48</v>
      </c>
      <c r="G676" s="2">
        <f t="shared" si="37"/>
        <v>0.20482105885832594</v>
      </c>
      <c r="H676" s="5">
        <v>4.4967532467532472</v>
      </c>
      <c r="I676" s="2">
        <v>154</v>
      </c>
      <c r="J676" s="57">
        <f>I676/Pondération!$G$118</f>
        <v>4.5548654244306416E-2</v>
      </c>
      <c r="K676" s="5">
        <v>4.5259740259740262</v>
      </c>
      <c r="L676" s="5">
        <f t="shared" si="34"/>
        <v>0.20615202602780242</v>
      </c>
      <c r="M676" s="5">
        <v>4.5584415584415581</v>
      </c>
      <c r="N676" s="5">
        <f t="shared" si="35"/>
        <v>0.20763087843833183</v>
      </c>
      <c r="O676" s="5">
        <v>4.3766233766233764</v>
      </c>
      <c r="P676" s="15">
        <f t="shared" si="36"/>
        <v>0.19934930493936703</v>
      </c>
    </row>
    <row r="677" spans="1:16" x14ac:dyDescent="0.25">
      <c r="A677" s="2" t="s">
        <v>47</v>
      </c>
      <c r="B677" s="2">
        <v>2016</v>
      </c>
      <c r="C677" s="2" t="s">
        <v>19</v>
      </c>
      <c r="D677" s="2" t="s">
        <v>42</v>
      </c>
      <c r="E677" s="2" t="s">
        <v>9</v>
      </c>
      <c r="F677" s="2" t="s">
        <v>48</v>
      </c>
      <c r="G677" s="2">
        <f t="shared" si="37"/>
        <v>0.32593907128068617</v>
      </c>
      <c r="H677" s="5">
        <v>4.4615384615384617</v>
      </c>
      <c r="I677" s="2">
        <v>247</v>
      </c>
      <c r="J677" s="57">
        <f>I677/Pondération!$G$118</f>
        <v>7.3055309080153799E-2</v>
      </c>
      <c r="K677" s="5">
        <v>4.5060728744939267</v>
      </c>
      <c r="L677" s="5">
        <f t="shared" si="34"/>
        <v>0.32919254658385089</v>
      </c>
      <c r="M677" s="5">
        <v>4.5506072874493926</v>
      </c>
      <c r="N677" s="5">
        <f t="shared" si="35"/>
        <v>0.33244602188701566</v>
      </c>
      <c r="O677" s="5">
        <v>4.283400809716599</v>
      </c>
      <c r="P677" s="15">
        <f t="shared" si="36"/>
        <v>0.31292517006802717</v>
      </c>
    </row>
    <row r="678" spans="1:16" x14ac:dyDescent="0.25">
      <c r="A678" s="2" t="s">
        <v>47</v>
      </c>
      <c r="B678" s="2">
        <v>2016</v>
      </c>
      <c r="C678" s="2" t="s">
        <v>20</v>
      </c>
      <c r="D678" s="2" t="s">
        <v>42</v>
      </c>
      <c r="E678" s="2" t="s">
        <v>9</v>
      </c>
      <c r="F678" s="2" t="s">
        <v>48</v>
      </c>
      <c r="G678" s="2">
        <f t="shared" si="37"/>
        <v>0.35255841467021587</v>
      </c>
      <c r="H678" s="5">
        <v>4.5496183206106871</v>
      </c>
      <c r="I678" s="2">
        <v>262</v>
      </c>
      <c r="J678" s="57">
        <f>I678/Pondération!$G$118</f>
        <v>7.7491866311742083E-2</v>
      </c>
      <c r="K678" s="5">
        <v>4.5877862595419847</v>
      </c>
      <c r="L678" s="5">
        <f t="shared" si="34"/>
        <v>0.35551611949127476</v>
      </c>
      <c r="M678" s="5">
        <v>4.614503816793893</v>
      </c>
      <c r="N678" s="5">
        <f t="shared" si="35"/>
        <v>0.35758651286601595</v>
      </c>
      <c r="O678" s="5">
        <v>4.4083969465648858</v>
      </c>
      <c r="P678" s="15">
        <f t="shared" si="36"/>
        <v>0.34161490683229812</v>
      </c>
    </row>
    <row r="679" spans="1:16" x14ac:dyDescent="0.25">
      <c r="A679" s="2" t="s">
        <v>47</v>
      </c>
      <c r="B679" s="2">
        <v>2016</v>
      </c>
      <c r="C679" s="2" t="s">
        <v>21</v>
      </c>
      <c r="D679" s="2" t="s">
        <v>42</v>
      </c>
      <c r="E679" s="2" t="s">
        <v>9</v>
      </c>
      <c r="F679" s="2" t="s">
        <v>48</v>
      </c>
      <c r="G679" s="2">
        <f t="shared" si="37"/>
        <v>0.34294587400177468</v>
      </c>
      <c r="H679" s="5">
        <v>4.4087452471482891</v>
      </c>
      <c r="I679" s="2">
        <v>263</v>
      </c>
      <c r="J679" s="57">
        <f>I679/Pondération!$G$118</f>
        <v>7.7787636793847981E-2</v>
      </c>
      <c r="K679" s="5">
        <v>4.4258555133079849</v>
      </c>
      <c r="L679" s="5">
        <f t="shared" si="34"/>
        <v>0.34427684117125112</v>
      </c>
      <c r="M679" s="5">
        <v>4.4752851711026613</v>
      </c>
      <c r="N679" s="5">
        <f t="shared" si="35"/>
        <v>0.34812185743862761</v>
      </c>
      <c r="O679" s="5">
        <v>4.3079847908745244</v>
      </c>
      <c r="P679" s="15">
        <f t="shared" si="36"/>
        <v>0.33510795622596867</v>
      </c>
    </row>
    <row r="680" spans="1:16" x14ac:dyDescent="0.25">
      <c r="A680" s="2" t="s">
        <v>47</v>
      </c>
      <c r="B680" s="2">
        <v>2016</v>
      </c>
      <c r="C680" s="2" t="s">
        <v>22</v>
      </c>
      <c r="D680" s="2" t="s">
        <v>42</v>
      </c>
      <c r="E680" s="2" t="s">
        <v>9</v>
      </c>
      <c r="F680" s="2" t="s">
        <v>48</v>
      </c>
      <c r="G680" s="2">
        <f t="shared" si="37"/>
        <v>0.38938183969239865</v>
      </c>
      <c r="H680" s="5">
        <v>4.4627118644067796</v>
      </c>
      <c r="I680" s="2">
        <v>295</v>
      </c>
      <c r="J680" s="57">
        <f>I680/Pondération!$G$118</f>
        <v>8.7252292221236316E-2</v>
      </c>
      <c r="K680" s="5">
        <v>4.477966101694915</v>
      </c>
      <c r="L680" s="5">
        <f t="shared" si="34"/>
        <v>0.39071280686187515</v>
      </c>
      <c r="M680" s="5">
        <v>4.5186440677966102</v>
      </c>
      <c r="N680" s="5">
        <f t="shared" si="35"/>
        <v>0.39426205264714581</v>
      </c>
      <c r="O680" s="5">
        <v>4.376271186440678</v>
      </c>
      <c r="P680" s="15">
        <f t="shared" si="36"/>
        <v>0.38183969239869858</v>
      </c>
    </row>
    <row r="681" spans="1:16" x14ac:dyDescent="0.25">
      <c r="A681" s="2" t="s">
        <v>47</v>
      </c>
      <c r="B681" s="2">
        <v>2016</v>
      </c>
      <c r="C681" s="2" t="s">
        <v>23</v>
      </c>
      <c r="D681" s="2" t="s">
        <v>42</v>
      </c>
      <c r="E681" s="2" t="s">
        <v>9</v>
      </c>
      <c r="F681" s="2" t="s">
        <v>48</v>
      </c>
      <c r="G681" s="2">
        <f t="shared" si="37"/>
        <v>0.30153800650695062</v>
      </c>
      <c r="H681" s="5">
        <v>4.4519650655021836</v>
      </c>
      <c r="I681" s="2">
        <v>229</v>
      </c>
      <c r="J681" s="57">
        <f>I681/Pondération!$G$118</f>
        <v>6.773144040224785E-2</v>
      </c>
      <c r="K681" s="5">
        <v>4.4803493449781655</v>
      </c>
      <c r="L681" s="5">
        <f t="shared" si="34"/>
        <v>0.30346051464063883</v>
      </c>
      <c r="M681" s="5">
        <v>4.5458515283842793</v>
      </c>
      <c r="N681" s="5">
        <f t="shared" si="35"/>
        <v>0.30789707187222709</v>
      </c>
      <c r="O681" s="5">
        <v>4.3013100436681224</v>
      </c>
      <c r="P681" s="15">
        <f t="shared" si="36"/>
        <v>0.29133392487429755</v>
      </c>
    </row>
    <row r="682" spans="1:16" x14ac:dyDescent="0.25">
      <c r="A682" s="2" t="s">
        <v>47</v>
      </c>
      <c r="B682" s="2">
        <v>2016</v>
      </c>
      <c r="C682" s="2" t="s">
        <v>24</v>
      </c>
      <c r="D682" s="2" t="s">
        <v>42</v>
      </c>
      <c r="E682" s="2" t="s">
        <v>9</v>
      </c>
      <c r="F682" s="2" t="s">
        <v>48</v>
      </c>
      <c r="G682" s="2">
        <f t="shared" si="37"/>
        <v>0.39581484767820169</v>
      </c>
      <c r="H682" s="5">
        <v>4.431291390728477</v>
      </c>
      <c r="I682" s="2">
        <v>302</v>
      </c>
      <c r="J682" s="57">
        <f>I682/Pondération!$G$118</f>
        <v>8.9322685595977516E-2</v>
      </c>
      <c r="K682" s="5">
        <v>4.4900662251655632</v>
      </c>
      <c r="L682" s="5">
        <f t="shared" si="34"/>
        <v>0.40106477373558119</v>
      </c>
      <c r="M682" s="5">
        <v>4.4536423841059607</v>
      </c>
      <c r="N682" s="5">
        <f t="shared" si="35"/>
        <v>0.39781129843241647</v>
      </c>
      <c r="O682" s="5">
        <v>4.2913907284768209</v>
      </c>
      <c r="P682" s="15">
        <f t="shared" si="36"/>
        <v>0.383318544809228</v>
      </c>
    </row>
    <row r="683" spans="1:16" x14ac:dyDescent="0.25">
      <c r="A683" s="2" t="s">
        <v>47</v>
      </c>
      <c r="B683" s="2">
        <v>2016</v>
      </c>
      <c r="C683" s="2" t="s">
        <v>25</v>
      </c>
      <c r="D683" s="2" t="s">
        <v>42</v>
      </c>
      <c r="E683" s="2" t="s">
        <v>9</v>
      </c>
      <c r="F683" s="2" t="s">
        <v>48</v>
      </c>
      <c r="G683" s="2">
        <f t="shared" si="37"/>
        <v>0.4376663708961846</v>
      </c>
      <c r="H683" s="5">
        <v>4.4570783132530121</v>
      </c>
      <c r="I683" s="2">
        <v>332</v>
      </c>
      <c r="J683" s="57">
        <f>I683/Pondération!$G$118</f>
        <v>9.8195800059154098E-2</v>
      </c>
      <c r="K683" s="5">
        <v>4.5030120481927707</v>
      </c>
      <c r="L683" s="5">
        <f t="shared" si="34"/>
        <v>0.44217687074829931</v>
      </c>
      <c r="M683" s="5">
        <v>4.524096385542169</v>
      </c>
      <c r="N683" s="5">
        <f t="shared" si="35"/>
        <v>0.44424726412304055</v>
      </c>
      <c r="O683" s="5">
        <v>4.2981927710843371</v>
      </c>
      <c r="P683" s="15">
        <f t="shared" si="36"/>
        <v>0.42206447796509905</v>
      </c>
    </row>
    <row r="684" spans="1:16" x14ac:dyDescent="0.25">
      <c r="A684" s="2" t="s">
        <v>47</v>
      </c>
      <c r="B684" s="2">
        <v>2016</v>
      </c>
      <c r="C684" s="2" t="s">
        <v>26</v>
      </c>
      <c r="D684" s="2" t="s">
        <v>42</v>
      </c>
      <c r="E684" s="2" t="s">
        <v>9</v>
      </c>
      <c r="F684" s="2" t="s">
        <v>48</v>
      </c>
      <c r="G684" s="2">
        <f t="shared" si="37"/>
        <v>0.2834960070984916</v>
      </c>
      <c r="H684" s="5">
        <v>4.4170506912442393</v>
      </c>
      <c r="I684" s="2">
        <v>217</v>
      </c>
      <c r="J684" s="57">
        <f>I684/Pondération!$G$118</f>
        <v>6.4182194616977231E-2</v>
      </c>
      <c r="K684" s="5">
        <v>4.4884792626728114</v>
      </c>
      <c r="L684" s="5">
        <f t="shared" si="34"/>
        <v>0.28808044957113282</v>
      </c>
      <c r="M684" s="5">
        <v>4.4239631336405534</v>
      </c>
      <c r="N684" s="5">
        <f t="shared" si="35"/>
        <v>0.28393966282165045</v>
      </c>
      <c r="O684" s="5">
        <v>4.2672811059907838</v>
      </c>
      <c r="P684" s="15">
        <f t="shared" si="36"/>
        <v>0.27388346643005035</v>
      </c>
    </row>
    <row r="685" spans="1:16" x14ac:dyDescent="0.25">
      <c r="A685" s="2" t="s">
        <v>47</v>
      </c>
      <c r="B685" s="2">
        <v>2016</v>
      </c>
      <c r="C685" s="2" t="s">
        <v>27</v>
      </c>
      <c r="D685" s="2" t="s">
        <v>42</v>
      </c>
      <c r="E685" s="2" t="s">
        <v>9</v>
      </c>
      <c r="F685" s="2" t="s">
        <v>48</v>
      </c>
      <c r="G685" s="2">
        <f t="shared" si="37"/>
        <v>0.50155279503105588</v>
      </c>
      <c r="H685" s="5">
        <v>4.3931347150259068</v>
      </c>
      <c r="I685" s="2">
        <v>386</v>
      </c>
      <c r="J685" s="57">
        <f>I685/Pondération!$G$118</f>
        <v>0.11416740609287193</v>
      </c>
      <c r="K685" s="5">
        <v>4.4481865284974091</v>
      </c>
      <c r="L685" s="5">
        <f t="shared" si="34"/>
        <v>0.507837917775806</v>
      </c>
      <c r="M685" s="5">
        <v>4.4455958549222796</v>
      </c>
      <c r="N685" s="5">
        <f t="shared" si="35"/>
        <v>0.50754214729370006</v>
      </c>
      <c r="O685" s="5">
        <v>4.2305699481865284</v>
      </c>
      <c r="P685" s="15">
        <f t="shared" si="36"/>
        <v>0.48299319727891155</v>
      </c>
    </row>
    <row r="686" spans="1:16" x14ac:dyDescent="0.25">
      <c r="A686" s="2" t="s">
        <v>47</v>
      </c>
      <c r="B686" s="2">
        <v>2016</v>
      </c>
      <c r="C686" s="2" t="s">
        <v>28</v>
      </c>
      <c r="D686" s="2" t="s">
        <v>42</v>
      </c>
      <c r="E686" s="2" t="s">
        <v>9</v>
      </c>
      <c r="F686" s="2" t="s">
        <v>48</v>
      </c>
      <c r="G686" s="2">
        <f t="shared" si="37"/>
        <v>0.41925465838509318</v>
      </c>
      <c r="H686" s="5">
        <v>4.4575471698113205</v>
      </c>
      <c r="I686" s="2">
        <v>318</v>
      </c>
      <c r="J686" s="57">
        <f>I686/Pondération!$G$118</f>
        <v>9.4055013309671698E-2</v>
      </c>
      <c r="K686" s="5">
        <v>4.5062893081761004</v>
      </c>
      <c r="L686" s="5">
        <f t="shared" si="34"/>
        <v>0.42383910085773441</v>
      </c>
      <c r="M686" s="5">
        <v>4.5345911949685531</v>
      </c>
      <c r="N686" s="5">
        <f t="shared" si="35"/>
        <v>0.42650103519668736</v>
      </c>
      <c r="O686" s="5">
        <v>4.283018867924528</v>
      </c>
      <c r="P686" s="15">
        <f t="shared" si="36"/>
        <v>0.4028393966282165</v>
      </c>
    </row>
    <row r="687" spans="1:16" x14ac:dyDescent="0.25">
      <c r="A687" s="2" t="s">
        <v>47</v>
      </c>
      <c r="B687" s="2">
        <v>2016</v>
      </c>
      <c r="C687" s="2" t="s">
        <v>29</v>
      </c>
      <c r="D687" s="2" t="s">
        <v>42</v>
      </c>
      <c r="E687" s="2" t="s">
        <v>9</v>
      </c>
      <c r="F687" s="2" t="s">
        <v>48</v>
      </c>
      <c r="G687" s="2">
        <f t="shared" si="37"/>
        <v>0.48646850044365564</v>
      </c>
      <c r="H687" s="5">
        <v>4.3743351063829783</v>
      </c>
      <c r="I687" s="2">
        <v>376</v>
      </c>
      <c r="J687" s="57">
        <f>I687/Pondération!$G$118</f>
        <v>0.11120970127181307</v>
      </c>
      <c r="K687" s="5">
        <v>4.4228723404255321</v>
      </c>
      <c r="L687" s="5">
        <f t="shared" si="34"/>
        <v>0.49186631174208811</v>
      </c>
      <c r="M687" s="5">
        <v>4.4015957446808507</v>
      </c>
      <c r="N687" s="5">
        <f t="shared" si="35"/>
        <v>0.48950014788524099</v>
      </c>
      <c r="O687" s="5">
        <v>4.25</v>
      </c>
      <c r="P687" s="15">
        <f t="shared" si="36"/>
        <v>0.47264123040520556</v>
      </c>
    </row>
    <row r="688" spans="1:16" x14ac:dyDescent="0.25">
      <c r="A688" s="2" t="s">
        <v>47</v>
      </c>
      <c r="B688" s="2">
        <v>2017</v>
      </c>
      <c r="C688" s="2" t="s">
        <v>30</v>
      </c>
      <c r="D688" s="2" t="s">
        <v>42</v>
      </c>
      <c r="E688" s="2" t="s">
        <v>9</v>
      </c>
      <c r="F688" s="2" t="s">
        <v>48</v>
      </c>
      <c r="G688" s="2">
        <f t="shared" si="37"/>
        <v>0.58775327771156138</v>
      </c>
      <c r="H688" s="5">
        <v>4.4626696832579187</v>
      </c>
      <c r="I688" s="2">
        <v>221</v>
      </c>
      <c r="J688" s="57">
        <f>I688/Pondération!$F$118</f>
        <v>0.13170441001191896</v>
      </c>
      <c r="K688" s="5">
        <v>4.5113122171945701</v>
      </c>
      <c r="L688" s="5">
        <f t="shared" si="34"/>
        <v>0.59415971394517286</v>
      </c>
      <c r="M688" s="5">
        <v>4.5067873303167421</v>
      </c>
      <c r="N688" s="5">
        <f t="shared" si="35"/>
        <v>0.59356376638855779</v>
      </c>
      <c r="O688" s="5">
        <v>4.3212669683257916</v>
      </c>
      <c r="P688" s="15">
        <f t="shared" si="36"/>
        <v>0.56912991656734213</v>
      </c>
    </row>
    <row r="689" spans="1:16" x14ac:dyDescent="0.25">
      <c r="A689" s="2" t="s">
        <v>47</v>
      </c>
      <c r="B689" s="2">
        <v>2017</v>
      </c>
      <c r="C689" s="2" t="s">
        <v>31</v>
      </c>
      <c r="D689" s="2" t="s">
        <v>42</v>
      </c>
      <c r="E689" s="2" t="s">
        <v>9</v>
      </c>
      <c r="F689" s="2" t="s">
        <v>48</v>
      </c>
      <c r="G689" s="2">
        <f t="shared" si="37"/>
        <v>1.1971096543504172</v>
      </c>
      <c r="H689" s="5">
        <v>4.4245594713656384</v>
      </c>
      <c r="I689" s="2">
        <v>454</v>
      </c>
      <c r="J689" s="57">
        <f>I689/Pondération!$F$118</f>
        <v>0.27056019070321813</v>
      </c>
      <c r="K689" s="5">
        <v>4.4735682819383262</v>
      </c>
      <c r="L689" s="5">
        <f t="shared" si="34"/>
        <v>1.2103694874851014</v>
      </c>
      <c r="M689" s="5">
        <v>4.4273127753303969</v>
      </c>
      <c r="N689" s="5">
        <f t="shared" si="35"/>
        <v>1.197854588796186</v>
      </c>
      <c r="O689" s="5">
        <v>4.323788546255507</v>
      </c>
      <c r="P689" s="15">
        <f t="shared" si="36"/>
        <v>1.1698450536352802</v>
      </c>
    </row>
    <row r="690" spans="1:16" x14ac:dyDescent="0.25">
      <c r="A690" s="2" t="s">
        <v>47</v>
      </c>
      <c r="B690" s="2">
        <v>2017</v>
      </c>
      <c r="C690" s="2" t="s">
        <v>32</v>
      </c>
      <c r="D690" s="2" t="s">
        <v>42</v>
      </c>
      <c r="E690" s="2" t="s">
        <v>9</v>
      </c>
      <c r="F690" s="2" t="s">
        <v>48</v>
      </c>
      <c r="G690" s="2">
        <f t="shared" si="37"/>
        <v>0.90494636471990475</v>
      </c>
      <c r="H690" s="5">
        <v>4.5193452380952381</v>
      </c>
      <c r="I690" s="2">
        <v>336</v>
      </c>
      <c r="J690" s="57">
        <f>I690/Pondération!$F$118</f>
        <v>0.20023837902264602</v>
      </c>
      <c r="K690" s="5">
        <v>4.5476190476190474</v>
      </c>
      <c r="L690" s="5">
        <f t="shared" si="34"/>
        <v>0.91060786650774739</v>
      </c>
      <c r="M690" s="5">
        <v>4.5982142857142856</v>
      </c>
      <c r="N690" s="5">
        <f t="shared" si="35"/>
        <v>0.92073897497020263</v>
      </c>
      <c r="O690" s="5">
        <v>4.3839285714285712</v>
      </c>
      <c r="P690" s="15">
        <f t="shared" si="36"/>
        <v>0.87783075089392137</v>
      </c>
    </row>
    <row r="691" spans="1:16" x14ac:dyDescent="0.25">
      <c r="A691" s="2" t="s">
        <v>47</v>
      </c>
      <c r="B691" s="2">
        <v>2017</v>
      </c>
      <c r="C691" s="2" t="s">
        <v>33</v>
      </c>
      <c r="D691" s="2" t="s">
        <v>42</v>
      </c>
      <c r="E691" s="2" t="s">
        <v>9</v>
      </c>
      <c r="F691" s="2" t="s">
        <v>48</v>
      </c>
      <c r="G691" s="2">
        <f t="shared" si="37"/>
        <v>1.4097139451728247</v>
      </c>
      <c r="H691" s="5">
        <v>4.4464285714285712</v>
      </c>
      <c r="I691" s="2">
        <v>532</v>
      </c>
      <c r="J691" s="57">
        <f>I691/Pondération!$F$118</f>
        <v>0.31704410011918949</v>
      </c>
      <c r="K691" s="5">
        <v>4.4661654135338349</v>
      </c>
      <c r="L691" s="5">
        <f t="shared" si="34"/>
        <v>1.4159713945172825</v>
      </c>
      <c r="M691" s="5">
        <v>4.4868421052631575</v>
      </c>
      <c r="N691" s="5">
        <f t="shared" si="35"/>
        <v>1.4225268176400474</v>
      </c>
      <c r="O691" s="5">
        <v>4.3665413533834583</v>
      </c>
      <c r="P691" s="15">
        <f t="shared" si="36"/>
        <v>1.3843861740166863</v>
      </c>
    </row>
    <row r="692" spans="1:16" x14ac:dyDescent="0.25">
      <c r="A692" s="2" t="s">
        <v>47</v>
      </c>
      <c r="B692" s="2">
        <v>2017</v>
      </c>
      <c r="C692" s="2" t="s">
        <v>34</v>
      </c>
      <c r="D692" s="2" t="s">
        <v>42</v>
      </c>
      <c r="E692" s="2" t="s">
        <v>9</v>
      </c>
      <c r="F692" s="2" t="s">
        <v>48</v>
      </c>
      <c r="G692" s="2">
        <f t="shared" si="37"/>
        <v>0.36010131108462462</v>
      </c>
      <c r="H692" s="5">
        <v>4.4759259259259263</v>
      </c>
      <c r="I692" s="2">
        <v>135</v>
      </c>
      <c r="J692" s="57">
        <f>I692/Pondération!$F$118</f>
        <v>8.045292014302742E-2</v>
      </c>
      <c r="K692" s="5">
        <v>4.5407407407407403</v>
      </c>
      <c r="L692" s="5">
        <f t="shared" si="34"/>
        <v>0.36531585220500595</v>
      </c>
      <c r="M692" s="5">
        <v>4.5333333333333332</v>
      </c>
      <c r="N692" s="5">
        <f t="shared" si="35"/>
        <v>0.36471990464839094</v>
      </c>
      <c r="O692" s="5">
        <v>4.2888888888888888</v>
      </c>
      <c r="P692" s="15">
        <f t="shared" si="36"/>
        <v>0.34505363528009536</v>
      </c>
    </row>
    <row r="693" spans="1:16" x14ac:dyDescent="0.25">
      <c r="A693" s="2" t="s">
        <v>6</v>
      </c>
      <c r="B693" s="2">
        <v>2015</v>
      </c>
      <c r="C693" s="2" t="s">
        <v>7</v>
      </c>
      <c r="D693" s="2" t="s">
        <v>43</v>
      </c>
      <c r="E693" s="2" t="s">
        <v>9</v>
      </c>
      <c r="F693" s="2" t="s">
        <v>10</v>
      </c>
      <c r="G693" s="2">
        <f t="shared" si="37"/>
        <v>0.15664062499999976</v>
      </c>
      <c r="H693" s="5">
        <v>4.2865517241379241</v>
      </c>
      <c r="I693" s="2">
        <v>145</v>
      </c>
      <c r="J693" s="57">
        <f>I693/Pondération!$H$130</f>
        <v>3.6542338709677422E-2</v>
      </c>
      <c r="K693" s="2"/>
      <c r="L693" s="2"/>
      <c r="M693" s="2"/>
      <c r="N693" s="2"/>
      <c r="O693" s="2"/>
      <c r="P693"/>
    </row>
    <row r="694" spans="1:16" x14ac:dyDescent="0.25">
      <c r="A694" s="2" t="s">
        <v>6</v>
      </c>
      <c r="B694" s="2">
        <v>2015</v>
      </c>
      <c r="C694" s="2" t="s">
        <v>11</v>
      </c>
      <c r="D694" s="2" t="s">
        <v>43</v>
      </c>
      <c r="E694" s="2" t="s">
        <v>9</v>
      </c>
      <c r="F694" s="2" t="s">
        <v>10</v>
      </c>
      <c r="G694" s="2">
        <f t="shared" si="37"/>
        <v>0.38151461693548383</v>
      </c>
      <c r="H694" s="5">
        <v>4.2051388888888885</v>
      </c>
      <c r="I694" s="2">
        <v>360</v>
      </c>
      <c r="J694" s="57">
        <f>I694/Pondération!$H$130</f>
        <v>9.0725806451612906E-2</v>
      </c>
      <c r="K694" s="2"/>
      <c r="L694" s="2"/>
      <c r="M694" s="2"/>
      <c r="N694" s="2"/>
      <c r="O694" s="2"/>
      <c r="P694"/>
    </row>
    <row r="695" spans="1:16" x14ac:dyDescent="0.25">
      <c r="A695" s="2" t="s">
        <v>6</v>
      </c>
      <c r="B695" s="2">
        <v>2015</v>
      </c>
      <c r="C695" s="2" t="s">
        <v>12</v>
      </c>
      <c r="D695" s="2" t="s">
        <v>43</v>
      </c>
      <c r="E695" s="2" t="s">
        <v>9</v>
      </c>
      <c r="F695" s="2" t="s">
        <v>10</v>
      </c>
      <c r="G695" s="2">
        <f t="shared" si="37"/>
        <v>0.52677671370967494</v>
      </c>
      <c r="H695" s="5">
        <v>4.1721556886227349</v>
      </c>
      <c r="I695" s="2">
        <v>501</v>
      </c>
      <c r="J695" s="57">
        <f>I695/Pondération!$H$130</f>
        <v>0.12626008064516128</v>
      </c>
      <c r="K695" s="2"/>
      <c r="L695" s="2"/>
      <c r="M695" s="2"/>
      <c r="N695" s="2"/>
      <c r="O695" s="2"/>
      <c r="P695"/>
    </row>
    <row r="696" spans="1:16" x14ac:dyDescent="0.25">
      <c r="A696" s="2" t="s">
        <v>6</v>
      </c>
      <c r="B696" s="2">
        <v>2015</v>
      </c>
      <c r="C696" s="2" t="s">
        <v>13</v>
      </c>
      <c r="D696" s="2" t="s">
        <v>43</v>
      </c>
      <c r="E696" s="2" t="s">
        <v>9</v>
      </c>
      <c r="F696" s="2" t="s">
        <v>10</v>
      </c>
      <c r="G696" s="2">
        <f t="shared" si="37"/>
        <v>0.88651713709677415</v>
      </c>
      <c r="H696" s="5">
        <v>3.9391937290033594</v>
      </c>
      <c r="I696" s="2">
        <v>893</v>
      </c>
      <c r="J696" s="57">
        <f>I696/Pondération!$H$130</f>
        <v>0.22505040322580644</v>
      </c>
      <c r="K696" s="2"/>
      <c r="L696" s="2"/>
      <c r="M696" s="2"/>
      <c r="N696" s="2"/>
      <c r="O696" s="2"/>
      <c r="P696"/>
    </row>
    <row r="697" spans="1:16" x14ac:dyDescent="0.25">
      <c r="A697" s="2" t="s">
        <v>6</v>
      </c>
      <c r="B697" s="2">
        <v>2015</v>
      </c>
      <c r="C697" s="2" t="s">
        <v>14</v>
      </c>
      <c r="D697" s="2" t="s">
        <v>43</v>
      </c>
      <c r="E697" s="2" t="s">
        <v>9</v>
      </c>
      <c r="F697" s="2" t="s">
        <v>10</v>
      </c>
      <c r="G697" s="2">
        <f t="shared" si="37"/>
        <v>0.60221774193548394</v>
      </c>
      <c r="H697" s="5">
        <v>4.0364864864864867</v>
      </c>
      <c r="I697" s="2">
        <v>592</v>
      </c>
      <c r="J697" s="57">
        <f>I697/Pondération!$H$130</f>
        <v>0.14919354838709678</v>
      </c>
      <c r="K697" s="2"/>
      <c r="L697" s="2"/>
      <c r="M697" s="2"/>
      <c r="N697" s="2"/>
      <c r="O697" s="2"/>
      <c r="P697"/>
    </row>
    <row r="698" spans="1:16" x14ac:dyDescent="0.25">
      <c r="A698" s="2" t="s">
        <v>6</v>
      </c>
      <c r="B698" s="2">
        <v>2015</v>
      </c>
      <c r="C698" s="2" t="s">
        <v>15</v>
      </c>
      <c r="D698" s="2" t="s">
        <v>43</v>
      </c>
      <c r="E698" s="2" t="s">
        <v>9</v>
      </c>
      <c r="F698" s="2" t="s">
        <v>10</v>
      </c>
      <c r="G698" s="2">
        <f t="shared" si="37"/>
        <v>0.55545614919354847</v>
      </c>
      <c r="H698" s="5">
        <v>4.0590239410681406</v>
      </c>
      <c r="I698" s="2">
        <v>543</v>
      </c>
      <c r="J698" s="57">
        <f>I698/Pondération!$H$130</f>
        <v>0.13684475806451613</v>
      </c>
      <c r="K698" s="2"/>
      <c r="L698" s="2"/>
      <c r="M698" s="2"/>
      <c r="N698" s="2"/>
      <c r="O698" s="2"/>
      <c r="P698"/>
    </row>
    <row r="699" spans="1:16" x14ac:dyDescent="0.25">
      <c r="A699" s="2" t="s">
        <v>6</v>
      </c>
      <c r="B699" s="2">
        <v>2015</v>
      </c>
      <c r="C699" s="2" t="s">
        <v>16</v>
      </c>
      <c r="D699" s="2" t="s">
        <v>43</v>
      </c>
      <c r="E699" s="2" t="s">
        <v>9</v>
      </c>
      <c r="F699" s="2" t="s">
        <v>10</v>
      </c>
      <c r="G699" s="2">
        <f t="shared" si="37"/>
        <v>0.53809223790322325</v>
      </c>
      <c r="H699" s="5">
        <v>4.1702148437499806</v>
      </c>
      <c r="I699" s="2">
        <v>512</v>
      </c>
      <c r="J699" s="57">
        <f>I699/Pondération!$H$130</f>
        <v>0.12903225806451613</v>
      </c>
      <c r="K699" s="2"/>
      <c r="L699" s="2"/>
      <c r="M699" s="2"/>
      <c r="N699" s="2"/>
      <c r="O699" s="2"/>
      <c r="P699"/>
    </row>
    <row r="700" spans="1:16" x14ac:dyDescent="0.25">
      <c r="A700" s="2" t="s">
        <v>6</v>
      </c>
      <c r="B700" s="2">
        <v>2015</v>
      </c>
      <c r="C700" s="2" t="s">
        <v>17</v>
      </c>
      <c r="D700" s="2" t="s">
        <v>43</v>
      </c>
      <c r="E700" s="2" t="s">
        <v>9</v>
      </c>
      <c r="F700" s="2" t="s">
        <v>10</v>
      </c>
      <c r="G700" s="2">
        <f t="shared" si="37"/>
        <v>0.45134828629032009</v>
      </c>
      <c r="H700" s="5">
        <v>4.2439573459715403</v>
      </c>
      <c r="I700" s="2">
        <v>422</v>
      </c>
      <c r="J700" s="57">
        <f>I700/Pondération!$H$130</f>
        <v>0.10635080645161291</v>
      </c>
      <c r="K700" s="2"/>
      <c r="L700" s="2"/>
      <c r="M700" s="2"/>
      <c r="N700" s="2"/>
      <c r="O700" s="2"/>
      <c r="P700"/>
    </row>
    <row r="701" spans="1:16" x14ac:dyDescent="0.25">
      <c r="A701" s="2" t="s">
        <v>6</v>
      </c>
      <c r="B701" s="2">
        <v>2016</v>
      </c>
      <c r="C701" s="2" t="s">
        <v>18</v>
      </c>
      <c r="D701" s="2" t="s">
        <v>43</v>
      </c>
      <c r="E701" s="2" t="s">
        <v>9</v>
      </c>
      <c r="F701" s="2" t="s">
        <v>10</v>
      </c>
      <c r="G701" s="2">
        <f t="shared" si="37"/>
        <v>0.14293785310734397</v>
      </c>
      <c r="H701" s="5">
        <v>4.2942740286298369</v>
      </c>
      <c r="I701" s="2">
        <v>489</v>
      </c>
      <c r="J701" s="57">
        <f>I701/Pondération!$G$130</f>
        <v>3.3285685113334698E-2</v>
      </c>
      <c r="K701" s="2"/>
      <c r="L701" s="2"/>
      <c r="M701" s="2"/>
      <c r="N701" s="2"/>
      <c r="O701" s="2"/>
      <c r="P701"/>
    </row>
    <row r="702" spans="1:16" x14ac:dyDescent="0.25">
      <c r="A702" s="2" t="s">
        <v>6</v>
      </c>
      <c r="B702" s="2">
        <v>2016</v>
      </c>
      <c r="C702" s="2" t="s">
        <v>19</v>
      </c>
      <c r="D702" s="2" t="s">
        <v>43</v>
      </c>
      <c r="E702" s="2" t="s">
        <v>9</v>
      </c>
      <c r="F702" s="2" t="s">
        <v>10</v>
      </c>
      <c r="G702" s="2">
        <f t="shared" si="37"/>
        <v>0.15980872643114832</v>
      </c>
      <c r="H702" s="5">
        <v>4.2842153284671536</v>
      </c>
      <c r="I702" s="2">
        <v>548</v>
      </c>
      <c r="J702" s="57">
        <f>I702/Pondération!$G$130</f>
        <v>3.7301749370362805E-2</v>
      </c>
      <c r="K702" s="2"/>
      <c r="L702" s="2"/>
      <c r="M702" s="2"/>
      <c r="N702" s="2"/>
      <c r="O702" s="2"/>
      <c r="P702"/>
    </row>
    <row r="703" spans="1:16" x14ac:dyDescent="0.25">
      <c r="A703" s="2" t="s">
        <v>6</v>
      </c>
      <c r="B703" s="2">
        <v>2016</v>
      </c>
      <c r="C703" s="2" t="s">
        <v>20</v>
      </c>
      <c r="D703" s="2" t="s">
        <v>43</v>
      </c>
      <c r="E703" s="2" t="s">
        <v>9</v>
      </c>
      <c r="F703" s="2" t="s">
        <v>10</v>
      </c>
      <c r="G703" s="2">
        <f t="shared" si="37"/>
        <v>0.20170172214280849</v>
      </c>
      <c r="H703" s="5">
        <v>4.1559607293127625</v>
      </c>
      <c r="I703" s="2">
        <v>713</v>
      </c>
      <c r="J703" s="57">
        <f>I703/Pondération!$G$130</f>
        <v>4.8533115512899051E-2</v>
      </c>
      <c r="K703" s="2"/>
      <c r="L703" s="2"/>
      <c r="M703" s="2"/>
      <c r="N703" s="2"/>
      <c r="O703" s="2"/>
      <c r="P703"/>
    </row>
    <row r="704" spans="1:16" x14ac:dyDescent="0.25">
      <c r="A704" s="2" t="s">
        <v>6</v>
      </c>
      <c r="B704" s="2">
        <v>2016</v>
      </c>
      <c r="C704" s="2" t="s">
        <v>21</v>
      </c>
      <c r="D704" s="2" t="s">
        <v>43</v>
      </c>
      <c r="E704" s="2" t="s">
        <v>9</v>
      </c>
      <c r="F704" s="2" t="s">
        <v>10</v>
      </c>
      <c r="G704" s="2">
        <f t="shared" si="37"/>
        <v>0.24630045606153494</v>
      </c>
      <c r="H704" s="5">
        <v>4.1211845102505809</v>
      </c>
      <c r="I704" s="2">
        <v>878</v>
      </c>
      <c r="J704" s="57">
        <f>I704/Pondération!$G$130</f>
        <v>5.9764481655435298E-2</v>
      </c>
      <c r="K704" s="2"/>
      <c r="L704" s="2"/>
      <c r="M704" s="2"/>
      <c r="N704" s="2"/>
      <c r="O704" s="2"/>
      <c r="P704"/>
    </row>
    <row r="705" spans="1:16" x14ac:dyDescent="0.25">
      <c r="A705" s="2" t="s">
        <v>6</v>
      </c>
      <c r="B705" s="2">
        <v>2016</v>
      </c>
      <c r="C705" s="2" t="s">
        <v>22</v>
      </c>
      <c r="D705" s="2" t="s">
        <v>43</v>
      </c>
      <c r="E705" s="2" t="s">
        <v>9</v>
      </c>
      <c r="F705" s="2" t="s">
        <v>10</v>
      </c>
      <c r="G705" s="2">
        <f t="shared" si="37"/>
        <v>0.31964127697229672</v>
      </c>
      <c r="H705" s="5">
        <v>4.0691941074523488</v>
      </c>
      <c r="I705" s="2">
        <v>1154</v>
      </c>
      <c r="J705" s="57">
        <f>I705/Pondération!$G$130</f>
        <v>7.855149411204139E-2</v>
      </c>
      <c r="K705" s="2"/>
      <c r="L705" s="2"/>
      <c r="M705" s="2"/>
      <c r="N705" s="2"/>
      <c r="O705" s="2"/>
      <c r="P705"/>
    </row>
    <row r="706" spans="1:16" x14ac:dyDescent="0.25">
      <c r="A706" s="2" t="s">
        <v>6</v>
      </c>
      <c r="B706" s="2">
        <v>2016</v>
      </c>
      <c r="C706" s="2" t="s">
        <v>23</v>
      </c>
      <c r="D706" s="2" t="s">
        <v>43</v>
      </c>
      <c r="E706" s="2" t="s">
        <v>9</v>
      </c>
      <c r="F706" s="2" t="s">
        <v>10</v>
      </c>
      <c r="G706" s="2">
        <f t="shared" ref="G706:G769" si="38">H706*J706</f>
        <v>0.23115512899053911</v>
      </c>
      <c r="H706" s="5">
        <v>4.0283511269276513</v>
      </c>
      <c r="I706" s="2">
        <v>843</v>
      </c>
      <c r="J706" s="57">
        <f>I706/Pondération!$G$130</f>
        <v>5.7382070655503367E-2</v>
      </c>
      <c r="K706" s="2"/>
      <c r="L706" s="2"/>
      <c r="M706" s="2"/>
      <c r="N706" s="2"/>
      <c r="O706" s="2"/>
      <c r="P706"/>
    </row>
    <row r="707" spans="1:16" x14ac:dyDescent="0.25">
      <c r="A707" s="2" t="s">
        <v>6</v>
      </c>
      <c r="B707" s="2">
        <v>2016</v>
      </c>
      <c r="C707" s="2" t="s">
        <v>24</v>
      </c>
      <c r="D707" s="2" t="s">
        <v>43</v>
      </c>
      <c r="E707" s="2" t="s">
        <v>9</v>
      </c>
      <c r="F707" s="2" t="s">
        <v>10</v>
      </c>
      <c r="G707" s="2">
        <f t="shared" si="38"/>
        <v>0.37398066843645833</v>
      </c>
      <c r="H707" s="5">
        <v>3.9640331890331959</v>
      </c>
      <c r="I707" s="2">
        <v>1386</v>
      </c>
      <c r="J707" s="57">
        <f>I707/Pondération!$G$130</f>
        <v>9.4343475597304466E-2</v>
      </c>
      <c r="K707" s="2"/>
      <c r="L707" s="2"/>
      <c r="M707" s="2"/>
      <c r="N707" s="2"/>
      <c r="O707" s="2"/>
      <c r="P707"/>
    </row>
    <row r="708" spans="1:16" x14ac:dyDescent="0.25">
      <c r="A708" s="2" t="s">
        <v>6</v>
      </c>
      <c r="B708" s="2">
        <v>2016</v>
      </c>
      <c r="C708" s="2" t="s">
        <v>25</v>
      </c>
      <c r="D708" s="2" t="s">
        <v>43</v>
      </c>
      <c r="E708" s="2" t="s">
        <v>9</v>
      </c>
      <c r="F708" s="2" t="s">
        <v>10</v>
      </c>
      <c r="G708" s="2">
        <f t="shared" si="38"/>
        <v>0.69113402763596077</v>
      </c>
      <c r="H708" s="5">
        <v>3.8474611595300874</v>
      </c>
      <c r="I708" s="2">
        <v>2639</v>
      </c>
      <c r="J708" s="57">
        <f>I708/Pondération!$G$130</f>
        <v>0.1796337893948676</v>
      </c>
      <c r="K708" s="2"/>
      <c r="L708" s="2"/>
      <c r="M708" s="2"/>
      <c r="N708" s="2"/>
      <c r="O708" s="2"/>
      <c r="P708"/>
    </row>
    <row r="709" spans="1:16" x14ac:dyDescent="0.25">
      <c r="A709" s="2" t="s">
        <v>6</v>
      </c>
      <c r="B709" s="2">
        <v>2016</v>
      </c>
      <c r="C709" s="2" t="s">
        <v>26</v>
      </c>
      <c r="D709" s="2" t="s">
        <v>43</v>
      </c>
      <c r="E709" s="2" t="s">
        <v>9</v>
      </c>
      <c r="F709" s="2" t="s">
        <v>10</v>
      </c>
      <c r="G709" s="2">
        <f t="shared" si="38"/>
        <v>0.40766455653120892</v>
      </c>
      <c r="H709" s="5">
        <v>3.9169391759319749</v>
      </c>
      <c r="I709" s="2">
        <v>1529</v>
      </c>
      <c r="J709" s="57">
        <f>I709/Pondération!$G$130</f>
        <v>0.10407732625416923</v>
      </c>
      <c r="K709" s="2"/>
      <c r="L709" s="2"/>
      <c r="M709" s="2"/>
      <c r="N709" s="2"/>
      <c r="O709" s="2"/>
      <c r="P709"/>
    </row>
    <row r="710" spans="1:16" x14ac:dyDescent="0.25">
      <c r="A710" s="2" t="s">
        <v>6</v>
      </c>
      <c r="B710" s="2">
        <v>2016</v>
      </c>
      <c r="C710" s="2" t="s">
        <v>27</v>
      </c>
      <c r="D710" s="2" t="s">
        <v>43</v>
      </c>
      <c r="E710" s="2" t="s">
        <v>9</v>
      </c>
      <c r="F710" s="2" t="s">
        <v>10</v>
      </c>
      <c r="G710" s="2">
        <f t="shared" si="38"/>
        <v>0.45709958477979651</v>
      </c>
      <c r="H710" s="5">
        <v>3.9431884908984087</v>
      </c>
      <c r="I710" s="2">
        <v>1703</v>
      </c>
      <c r="J710" s="57">
        <f>I710/Pondération!$G$130</f>
        <v>0.11592131236811654</v>
      </c>
      <c r="K710" s="2"/>
      <c r="L710" s="2"/>
      <c r="M710" s="2"/>
      <c r="N710" s="2"/>
      <c r="O710" s="2"/>
      <c r="P710"/>
    </row>
    <row r="711" spans="1:16" x14ac:dyDescent="0.25">
      <c r="A711" s="2" t="s">
        <v>6</v>
      </c>
      <c r="B711" s="2">
        <v>2016</v>
      </c>
      <c r="C711" s="2" t="s">
        <v>28</v>
      </c>
      <c r="D711" s="2" t="s">
        <v>43</v>
      </c>
      <c r="E711" s="2" t="s">
        <v>9</v>
      </c>
      <c r="F711" s="2" t="s">
        <v>10</v>
      </c>
      <c r="G711" s="2">
        <f t="shared" si="38"/>
        <v>0.39615751140153904</v>
      </c>
      <c r="H711" s="5">
        <v>4.0585425383542608</v>
      </c>
      <c r="I711" s="2">
        <v>1434</v>
      </c>
      <c r="J711" s="57">
        <f>I711/Pondération!$G$130</f>
        <v>9.7610782111496833E-2</v>
      </c>
      <c r="K711" s="2"/>
      <c r="L711" s="2"/>
      <c r="M711" s="2"/>
      <c r="N711" s="2"/>
      <c r="O711" s="2"/>
      <c r="P711"/>
    </row>
    <row r="712" spans="1:16" x14ac:dyDescent="0.25">
      <c r="A712" s="2" t="s">
        <v>6</v>
      </c>
      <c r="B712" s="2">
        <v>2016</v>
      </c>
      <c r="C712" s="2" t="s">
        <v>29</v>
      </c>
      <c r="D712" s="2" t="s">
        <v>43</v>
      </c>
      <c r="E712" s="2" t="s">
        <v>9</v>
      </c>
      <c r="F712" s="2" t="s">
        <v>10</v>
      </c>
      <c r="G712" s="2">
        <f t="shared" si="38"/>
        <v>0.37617929344496637</v>
      </c>
      <c r="H712" s="5">
        <v>4.0192363636363639</v>
      </c>
      <c r="I712" s="2">
        <v>1375</v>
      </c>
      <c r="J712" s="57">
        <f>I712/Pondération!$G$130</f>
        <v>9.3594717854468726E-2</v>
      </c>
      <c r="K712" s="2"/>
      <c r="L712" s="2"/>
      <c r="M712" s="2"/>
      <c r="N712" s="2"/>
      <c r="O712" s="2"/>
      <c r="P712"/>
    </row>
    <row r="713" spans="1:16" x14ac:dyDescent="0.25">
      <c r="A713" s="2" t="s">
        <v>6</v>
      </c>
      <c r="B713" s="2">
        <v>2017</v>
      </c>
      <c r="C713" s="2" t="s">
        <v>30</v>
      </c>
      <c r="D713" s="2" t="s">
        <v>43</v>
      </c>
      <c r="E713" s="2" t="s">
        <v>9</v>
      </c>
      <c r="F713" s="2" t="s">
        <v>10</v>
      </c>
      <c r="G713" s="2">
        <f t="shared" si="38"/>
        <v>0.67905420477358902</v>
      </c>
      <c r="H713" s="5">
        <v>4.0589333333333331</v>
      </c>
      <c r="I713" s="2">
        <v>1500</v>
      </c>
      <c r="J713" s="57">
        <f>I713/Pondération!$F$130</f>
        <v>0.16729868391701985</v>
      </c>
      <c r="K713" s="2"/>
      <c r="L713" s="2"/>
      <c r="M713" s="2"/>
      <c r="N713" s="2"/>
      <c r="O713" s="2"/>
      <c r="P713"/>
    </row>
    <row r="714" spans="1:16" x14ac:dyDescent="0.25">
      <c r="A714" s="2" t="s">
        <v>6</v>
      </c>
      <c r="B714" s="2">
        <v>2017</v>
      </c>
      <c r="C714" s="2" t="s">
        <v>31</v>
      </c>
      <c r="D714" s="2" t="s">
        <v>43</v>
      </c>
      <c r="E714" s="2" t="s">
        <v>9</v>
      </c>
      <c r="F714" s="2" t="s">
        <v>10</v>
      </c>
      <c r="G714" s="2">
        <f t="shared" si="38"/>
        <v>0.67919919696631725</v>
      </c>
      <c r="H714" s="5">
        <v>4.0275793650793652</v>
      </c>
      <c r="I714" s="2">
        <v>1512</v>
      </c>
      <c r="J714" s="57">
        <f>I714/Pondération!$F$130</f>
        <v>0.16863707338835601</v>
      </c>
      <c r="K714" s="2"/>
      <c r="L714" s="2"/>
      <c r="M714" s="2"/>
      <c r="N714" s="2"/>
      <c r="O714" s="2"/>
      <c r="P714"/>
    </row>
    <row r="715" spans="1:16" x14ac:dyDescent="0.25">
      <c r="A715" s="2" t="s">
        <v>6</v>
      </c>
      <c r="B715" s="2">
        <v>2017</v>
      </c>
      <c r="C715" s="2" t="s">
        <v>32</v>
      </c>
      <c r="D715" s="2" t="s">
        <v>43</v>
      </c>
      <c r="E715" s="2" t="s">
        <v>9</v>
      </c>
      <c r="F715" s="2" t="s">
        <v>10</v>
      </c>
      <c r="G715" s="2">
        <f t="shared" si="38"/>
        <v>0.7746319428953804</v>
      </c>
      <c r="H715" s="5">
        <v>3.9915804597701037</v>
      </c>
      <c r="I715" s="2">
        <v>1740</v>
      </c>
      <c r="J715" s="57">
        <f>I715/Pondération!$F$130</f>
        <v>0.19406647334374302</v>
      </c>
      <c r="K715" s="2"/>
      <c r="L715" s="2"/>
      <c r="M715" s="2"/>
      <c r="N715" s="2"/>
      <c r="O715" s="2"/>
      <c r="P715"/>
    </row>
    <row r="716" spans="1:16" x14ac:dyDescent="0.25">
      <c r="A716" s="2" t="s">
        <v>6</v>
      </c>
      <c r="B716" s="2">
        <v>2017</v>
      </c>
      <c r="C716" s="2" t="s">
        <v>33</v>
      </c>
      <c r="D716" s="2" t="s">
        <v>43</v>
      </c>
      <c r="E716" s="2" t="s">
        <v>9</v>
      </c>
      <c r="F716" s="2" t="s">
        <v>10</v>
      </c>
      <c r="G716" s="2">
        <f t="shared" si="38"/>
        <v>1.1002621012714644</v>
      </c>
      <c r="H716" s="5">
        <v>3.9255670513330481</v>
      </c>
      <c r="I716" s="2">
        <v>2513</v>
      </c>
      <c r="J716" s="57">
        <f>I716/Pondération!$F$130</f>
        <v>0.2802810617889806</v>
      </c>
      <c r="K716" s="2"/>
      <c r="L716" s="2"/>
      <c r="M716" s="2"/>
      <c r="N716" s="2"/>
      <c r="O716" s="2"/>
      <c r="P716"/>
    </row>
    <row r="717" spans="1:16" x14ac:dyDescent="0.25">
      <c r="A717" s="2" t="s">
        <v>6</v>
      </c>
      <c r="B717" s="2">
        <v>2017</v>
      </c>
      <c r="C717" s="2" t="s">
        <v>34</v>
      </c>
      <c r="D717" s="2" t="s">
        <v>43</v>
      </c>
      <c r="E717" s="2" t="s">
        <v>9</v>
      </c>
      <c r="F717" s="2" t="s">
        <v>10</v>
      </c>
      <c r="G717" s="2">
        <f t="shared" si="38"/>
        <v>0.74376533571269132</v>
      </c>
      <c r="H717" s="5">
        <v>3.9203997648442037</v>
      </c>
      <c r="I717" s="2">
        <v>1701</v>
      </c>
      <c r="J717" s="57">
        <f>I717/Pondération!$F$130</f>
        <v>0.18971670756190051</v>
      </c>
      <c r="K717" s="2"/>
      <c r="L717" s="2"/>
      <c r="M717" s="2"/>
      <c r="N717" s="2"/>
      <c r="O717" s="2"/>
      <c r="P717"/>
    </row>
    <row r="718" spans="1:16" x14ac:dyDescent="0.25">
      <c r="A718" s="2" t="s">
        <v>47</v>
      </c>
      <c r="B718" s="2">
        <v>2013</v>
      </c>
      <c r="C718" s="2" t="s">
        <v>49</v>
      </c>
      <c r="D718" s="2" t="s">
        <v>43</v>
      </c>
      <c r="E718" s="2" t="s">
        <v>9</v>
      </c>
      <c r="F718" s="2" t="s">
        <v>48</v>
      </c>
      <c r="G718" s="2">
        <f t="shared" si="38"/>
        <v>0.16594202898550722</v>
      </c>
      <c r="H718" s="5">
        <v>4.5197368421052628</v>
      </c>
      <c r="I718" s="2">
        <v>38</v>
      </c>
      <c r="J718" s="57">
        <f>I718/Pondération!$J$131</f>
        <v>3.6714975845410627E-2</v>
      </c>
      <c r="K718" s="5">
        <v>4.5526315789473681</v>
      </c>
      <c r="L718" s="5">
        <f t="shared" ref="L718:L770" si="39">K718*$J718</f>
        <v>0.16714975845410626</v>
      </c>
      <c r="M718" s="5">
        <v>4.5789473684210522</v>
      </c>
      <c r="N718" s="5">
        <f t="shared" ref="N718:N770" si="40">M718*$J718</f>
        <v>0.1681159420289855</v>
      </c>
      <c r="O718" s="5">
        <v>4.3947368421052628</v>
      </c>
      <c r="P718" s="15">
        <f t="shared" ref="P718:P770" si="41">O718*$J718</f>
        <v>0.1613526570048309</v>
      </c>
    </row>
    <row r="719" spans="1:16" x14ac:dyDescent="0.25">
      <c r="A719" s="2" t="s">
        <v>47</v>
      </c>
      <c r="B719" s="2">
        <v>2013</v>
      </c>
      <c r="C719" s="2" t="s">
        <v>50</v>
      </c>
      <c r="D719" s="2" t="s">
        <v>43</v>
      </c>
      <c r="E719" s="2" t="s">
        <v>9</v>
      </c>
      <c r="F719" s="2" t="s">
        <v>48</v>
      </c>
      <c r="G719" s="2">
        <f t="shared" si="38"/>
        <v>0.30072463768115937</v>
      </c>
      <c r="H719" s="5">
        <v>4.2636986301369859</v>
      </c>
      <c r="I719" s="2">
        <v>73</v>
      </c>
      <c r="J719" s="57">
        <f>I719/Pondération!$J$131</f>
        <v>7.0531400966183572E-2</v>
      </c>
      <c r="K719" s="5">
        <v>4.3150684931506849</v>
      </c>
      <c r="L719" s="5">
        <f t="shared" si="39"/>
        <v>0.30434782608695649</v>
      </c>
      <c r="M719" s="5">
        <v>4.2465753424657535</v>
      </c>
      <c r="N719" s="5">
        <f t="shared" si="40"/>
        <v>0.29951690821256038</v>
      </c>
      <c r="O719" s="5">
        <v>4.1780821917808222</v>
      </c>
      <c r="P719" s="15">
        <f t="shared" si="41"/>
        <v>0.29468599033816428</v>
      </c>
    </row>
    <row r="720" spans="1:16" x14ac:dyDescent="0.25">
      <c r="A720" s="2" t="s">
        <v>47</v>
      </c>
      <c r="B720" s="2">
        <v>2013</v>
      </c>
      <c r="C720" s="2" t="s">
        <v>51</v>
      </c>
      <c r="D720" s="2" t="s">
        <v>43</v>
      </c>
      <c r="E720" s="2" t="s">
        <v>9</v>
      </c>
      <c r="F720" s="2" t="s">
        <v>48</v>
      </c>
      <c r="G720" s="2">
        <f t="shared" si="38"/>
        <v>0.27801932367149756</v>
      </c>
      <c r="H720" s="5">
        <v>4.3598484848484844</v>
      </c>
      <c r="I720" s="2">
        <v>66</v>
      </c>
      <c r="J720" s="57">
        <f>I720/Pondération!$J$131</f>
        <v>6.3768115942028983E-2</v>
      </c>
      <c r="K720" s="5">
        <v>4.3484848484848486</v>
      </c>
      <c r="L720" s="5">
        <f t="shared" si="39"/>
        <v>0.27729468599033819</v>
      </c>
      <c r="M720" s="5">
        <v>4.4545454545454541</v>
      </c>
      <c r="N720" s="5">
        <f t="shared" si="40"/>
        <v>0.28405797101449271</v>
      </c>
      <c r="O720" s="5">
        <v>4.2878787878787881</v>
      </c>
      <c r="P720" s="15">
        <f t="shared" si="41"/>
        <v>0.27342995169082124</v>
      </c>
    </row>
    <row r="721" spans="1:16" x14ac:dyDescent="0.25">
      <c r="A721" s="2" t="s">
        <v>47</v>
      </c>
      <c r="B721" s="2">
        <v>2013</v>
      </c>
      <c r="C721" s="2" t="s">
        <v>52</v>
      </c>
      <c r="D721" s="2" t="s">
        <v>43</v>
      </c>
      <c r="E721" s="2" t="s">
        <v>9</v>
      </c>
      <c r="F721" s="2" t="s">
        <v>48</v>
      </c>
      <c r="G721" s="2">
        <f t="shared" si="38"/>
        <v>0.2318840579710145</v>
      </c>
      <c r="H721" s="5">
        <v>4.4444444444444446</v>
      </c>
      <c r="I721" s="2">
        <v>54</v>
      </c>
      <c r="J721" s="57">
        <f>I721/Pondération!$J$131</f>
        <v>5.2173913043478258E-2</v>
      </c>
      <c r="K721" s="5">
        <v>4.4444444444444446</v>
      </c>
      <c r="L721" s="5">
        <f t="shared" si="39"/>
        <v>0.2318840579710145</v>
      </c>
      <c r="M721" s="5">
        <v>4.5</v>
      </c>
      <c r="N721" s="5">
        <f t="shared" si="40"/>
        <v>0.23478260869565215</v>
      </c>
      <c r="O721" s="5">
        <v>4.3888888888888893</v>
      </c>
      <c r="P721" s="15">
        <f t="shared" si="41"/>
        <v>0.22898550724637681</v>
      </c>
    </row>
    <row r="722" spans="1:16" x14ac:dyDescent="0.25">
      <c r="A722" s="2" t="s">
        <v>47</v>
      </c>
      <c r="B722" s="2">
        <v>2013</v>
      </c>
      <c r="C722" s="2" t="s">
        <v>53</v>
      </c>
      <c r="D722" s="2" t="s">
        <v>43</v>
      </c>
      <c r="E722" s="2" t="s">
        <v>9</v>
      </c>
      <c r="F722" s="2" t="s">
        <v>48</v>
      </c>
      <c r="G722" s="2">
        <f t="shared" si="38"/>
        <v>0.52391304347826084</v>
      </c>
      <c r="H722" s="5">
        <v>4.4446721311475406</v>
      </c>
      <c r="I722" s="2">
        <v>122</v>
      </c>
      <c r="J722" s="57">
        <f>I722/Pondération!$J$131</f>
        <v>0.11787439613526569</v>
      </c>
      <c r="K722" s="5">
        <v>4.5163934426229506</v>
      </c>
      <c r="L722" s="5">
        <f t="shared" si="39"/>
        <v>0.53236714975845401</v>
      </c>
      <c r="M722" s="5">
        <v>4.4344262295081966</v>
      </c>
      <c r="N722" s="5">
        <f t="shared" si="40"/>
        <v>0.5227053140096618</v>
      </c>
      <c r="O722" s="5">
        <v>4.3114754098360653</v>
      </c>
      <c r="P722" s="15">
        <f t="shared" si="41"/>
        <v>0.50821256038647333</v>
      </c>
    </row>
    <row r="723" spans="1:16" x14ac:dyDescent="0.25">
      <c r="A723" s="2" t="s">
        <v>47</v>
      </c>
      <c r="B723" s="2">
        <v>2013</v>
      </c>
      <c r="C723" s="2" t="s">
        <v>54</v>
      </c>
      <c r="D723" s="2" t="s">
        <v>43</v>
      </c>
      <c r="E723" s="2" t="s">
        <v>9</v>
      </c>
      <c r="F723" s="2" t="s">
        <v>48</v>
      </c>
      <c r="G723" s="2">
        <f t="shared" si="38"/>
        <v>0.33260869565217388</v>
      </c>
      <c r="H723" s="5">
        <v>4.5296052631578947</v>
      </c>
      <c r="I723" s="2">
        <v>76</v>
      </c>
      <c r="J723" s="57">
        <f>I723/Pondération!$J$131</f>
        <v>7.3429951690821255E-2</v>
      </c>
      <c r="K723" s="5">
        <v>4.5789473684210522</v>
      </c>
      <c r="L723" s="5">
        <f t="shared" si="39"/>
        <v>0.336231884057971</v>
      </c>
      <c r="M723" s="5">
        <v>4.5789473684210522</v>
      </c>
      <c r="N723" s="5">
        <f t="shared" si="40"/>
        <v>0.336231884057971</v>
      </c>
      <c r="O723" s="5">
        <v>4.3815789473684212</v>
      </c>
      <c r="P723" s="15">
        <f t="shared" si="41"/>
        <v>0.32173913043478264</v>
      </c>
    </row>
    <row r="724" spans="1:16" x14ac:dyDescent="0.25">
      <c r="A724" s="2" t="s">
        <v>47</v>
      </c>
      <c r="B724" s="2">
        <v>2013</v>
      </c>
      <c r="C724" s="2" t="s">
        <v>55</v>
      </c>
      <c r="D724" s="2" t="s">
        <v>43</v>
      </c>
      <c r="E724" s="2" t="s">
        <v>9</v>
      </c>
      <c r="F724" s="2" t="s">
        <v>48</v>
      </c>
      <c r="G724" s="2">
        <f t="shared" si="38"/>
        <v>0.3876811594202898</v>
      </c>
      <c r="H724" s="5">
        <v>4.458333333333333</v>
      </c>
      <c r="I724" s="2">
        <v>90</v>
      </c>
      <c r="J724" s="57">
        <f>I724/Pondération!$J$131</f>
        <v>8.6956521739130432E-2</v>
      </c>
      <c r="K724" s="5">
        <v>4.5222222222222221</v>
      </c>
      <c r="L724" s="5">
        <f t="shared" si="39"/>
        <v>0.39323671497584539</v>
      </c>
      <c r="M724" s="5">
        <v>4.4444444444444446</v>
      </c>
      <c r="N724" s="5">
        <f t="shared" si="40"/>
        <v>0.38647342995169082</v>
      </c>
      <c r="O724" s="5">
        <v>4.3444444444444441</v>
      </c>
      <c r="P724" s="15">
        <f t="shared" si="41"/>
        <v>0.37777777777777771</v>
      </c>
    </row>
    <row r="725" spans="1:16" x14ac:dyDescent="0.25">
      <c r="A725" s="2" t="s">
        <v>47</v>
      </c>
      <c r="B725" s="2">
        <v>2013</v>
      </c>
      <c r="C725" s="2" t="s">
        <v>56</v>
      </c>
      <c r="D725" s="2" t="s">
        <v>43</v>
      </c>
      <c r="E725" s="2" t="s">
        <v>9</v>
      </c>
      <c r="F725" s="2" t="s">
        <v>48</v>
      </c>
      <c r="G725" s="2">
        <f t="shared" si="38"/>
        <v>0.67801932367149753</v>
      </c>
      <c r="H725" s="5">
        <v>4.3859374999999998</v>
      </c>
      <c r="I725" s="2">
        <v>160</v>
      </c>
      <c r="J725" s="57">
        <f>I725/Pondération!$J$131</f>
        <v>0.15458937198067632</v>
      </c>
      <c r="K725" s="5">
        <v>4.4249999999999998</v>
      </c>
      <c r="L725" s="5">
        <f t="shared" si="39"/>
        <v>0.68405797101449273</v>
      </c>
      <c r="M725" s="5">
        <v>4.3312499999999998</v>
      </c>
      <c r="N725" s="5">
        <f t="shared" si="40"/>
        <v>0.66956521739130426</v>
      </c>
      <c r="O725" s="5">
        <v>4.3624999999999998</v>
      </c>
      <c r="P725" s="15">
        <f t="shared" si="41"/>
        <v>0.67439613526570041</v>
      </c>
    </row>
    <row r="726" spans="1:16" x14ac:dyDescent="0.25">
      <c r="A726" s="2" t="s">
        <v>47</v>
      </c>
      <c r="B726" s="2">
        <v>2013</v>
      </c>
      <c r="C726" s="2" t="s">
        <v>57</v>
      </c>
      <c r="D726" s="2" t="s">
        <v>43</v>
      </c>
      <c r="E726" s="2" t="s">
        <v>9</v>
      </c>
      <c r="F726" s="2" t="s">
        <v>48</v>
      </c>
      <c r="G726" s="2">
        <f t="shared" si="38"/>
        <v>0.32391304347826089</v>
      </c>
      <c r="H726" s="5">
        <v>4.5304054054054053</v>
      </c>
      <c r="I726" s="2">
        <v>74</v>
      </c>
      <c r="J726" s="57">
        <f>I726/Pondération!$J$131</f>
        <v>7.1497584541062809E-2</v>
      </c>
      <c r="K726" s="5">
        <v>4.6081081081081079</v>
      </c>
      <c r="L726" s="5">
        <f t="shared" si="39"/>
        <v>0.32946859903381642</v>
      </c>
      <c r="M726" s="5">
        <v>4.5405405405405403</v>
      </c>
      <c r="N726" s="5">
        <f t="shared" si="40"/>
        <v>0.32463768115942032</v>
      </c>
      <c r="O726" s="5">
        <v>4.3648648648648649</v>
      </c>
      <c r="P726" s="15">
        <f t="shared" si="41"/>
        <v>0.31207729468599038</v>
      </c>
    </row>
    <row r="727" spans="1:16" x14ac:dyDescent="0.25">
      <c r="A727" s="2" t="s">
        <v>47</v>
      </c>
      <c r="B727" s="2">
        <v>2013</v>
      </c>
      <c r="C727" s="2" t="s">
        <v>58</v>
      </c>
      <c r="D727" s="2" t="s">
        <v>43</v>
      </c>
      <c r="E727" s="2" t="s">
        <v>9</v>
      </c>
      <c r="F727" s="2" t="s">
        <v>48</v>
      </c>
      <c r="G727" s="2">
        <f t="shared" si="38"/>
        <v>0.42608695652173911</v>
      </c>
      <c r="H727" s="5">
        <v>4.3235294117647056</v>
      </c>
      <c r="I727" s="2">
        <v>102</v>
      </c>
      <c r="J727" s="57">
        <f>I727/Pondération!$J$131</f>
        <v>9.8550724637681164E-2</v>
      </c>
      <c r="K727" s="5">
        <v>4.333333333333333</v>
      </c>
      <c r="L727" s="5">
        <f t="shared" si="39"/>
        <v>0.42705314009661832</v>
      </c>
      <c r="M727" s="5">
        <v>4.3431372549019605</v>
      </c>
      <c r="N727" s="5">
        <f t="shared" si="40"/>
        <v>0.42801932367149759</v>
      </c>
      <c r="O727" s="5">
        <v>4.284313725490196</v>
      </c>
      <c r="P727" s="15">
        <f t="shared" si="41"/>
        <v>0.42222222222222222</v>
      </c>
    </row>
    <row r="728" spans="1:16" x14ac:dyDescent="0.25">
      <c r="A728" s="2" t="s">
        <v>47</v>
      </c>
      <c r="B728" s="2">
        <v>2013</v>
      </c>
      <c r="C728" s="2" t="s">
        <v>59</v>
      </c>
      <c r="D728" s="2" t="s">
        <v>43</v>
      </c>
      <c r="E728" s="2" t="s">
        <v>9</v>
      </c>
      <c r="F728" s="2" t="s">
        <v>48</v>
      </c>
      <c r="G728" s="2">
        <f t="shared" si="38"/>
        <v>0.39855072463768115</v>
      </c>
      <c r="H728" s="5">
        <v>4.4836956521739131</v>
      </c>
      <c r="I728" s="2">
        <v>92</v>
      </c>
      <c r="J728" s="57">
        <f>I728/Pondération!$J$131</f>
        <v>8.8888888888888892E-2</v>
      </c>
      <c r="K728" s="5">
        <v>4.5326086956521738</v>
      </c>
      <c r="L728" s="5">
        <f t="shared" si="39"/>
        <v>0.40289855072463771</v>
      </c>
      <c r="M728" s="5">
        <v>4.5543478260869561</v>
      </c>
      <c r="N728" s="5">
        <f t="shared" si="40"/>
        <v>0.40483091787439612</v>
      </c>
      <c r="O728" s="5">
        <v>4.3152173913043477</v>
      </c>
      <c r="P728" s="15">
        <f t="shared" si="41"/>
        <v>0.38357487922705313</v>
      </c>
    </row>
    <row r="729" spans="1:16" x14ac:dyDescent="0.25">
      <c r="A729" s="2" t="s">
        <v>47</v>
      </c>
      <c r="B729" s="2">
        <v>2013</v>
      </c>
      <c r="C729" s="2" t="s">
        <v>60</v>
      </c>
      <c r="D729" s="2" t="s">
        <v>43</v>
      </c>
      <c r="E729" s="2" t="s">
        <v>9</v>
      </c>
      <c r="F729" s="2" t="s">
        <v>48</v>
      </c>
      <c r="G729" s="2">
        <f t="shared" si="38"/>
        <v>0.38043478260869568</v>
      </c>
      <c r="H729" s="5">
        <v>4.4744318181818183</v>
      </c>
      <c r="I729" s="2">
        <v>88</v>
      </c>
      <c r="J729" s="57">
        <f>I729/Pondération!$J$131</f>
        <v>8.5024154589371986E-2</v>
      </c>
      <c r="K729" s="5">
        <v>4.5568181818181817</v>
      </c>
      <c r="L729" s="5">
        <f t="shared" si="39"/>
        <v>0.38743961352657008</v>
      </c>
      <c r="M729" s="5">
        <v>4.4318181818181817</v>
      </c>
      <c r="N729" s="5">
        <f t="shared" si="40"/>
        <v>0.37681159420289856</v>
      </c>
      <c r="O729" s="5">
        <v>4.3522727272727275</v>
      </c>
      <c r="P729" s="15">
        <f t="shared" si="41"/>
        <v>0.37004830917874398</v>
      </c>
    </row>
    <row r="730" spans="1:16" x14ac:dyDescent="0.25">
      <c r="A730" s="2" t="s">
        <v>47</v>
      </c>
      <c r="B730" s="2">
        <v>2014</v>
      </c>
      <c r="C730" s="2" t="s">
        <v>61</v>
      </c>
      <c r="D730" s="2" t="s">
        <v>43</v>
      </c>
      <c r="E730" s="2" t="s">
        <v>9</v>
      </c>
      <c r="F730" s="2" t="s">
        <v>48</v>
      </c>
      <c r="G730" s="2">
        <f t="shared" si="38"/>
        <v>0.17179392142327651</v>
      </c>
      <c r="H730" s="5">
        <v>4.4567307692307692</v>
      </c>
      <c r="I730" s="2">
        <v>52</v>
      </c>
      <c r="J730" s="57">
        <f>I730/Pondération!$I$131</f>
        <v>3.8547071905114902E-2</v>
      </c>
      <c r="K730" s="5">
        <v>4.4230769230769234</v>
      </c>
      <c r="L730" s="5">
        <f t="shared" si="39"/>
        <v>0.17049666419570053</v>
      </c>
      <c r="M730" s="5">
        <v>4.5576923076923075</v>
      </c>
      <c r="N730" s="5">
        <f t="shared" si="40"/>
        <v>0.17568569310600446</v>
      </c>
      <c r="O730" s="5">
        <v>4.4230769230769234</v>
      </c>
      <c r="P730" s="15">
        <f t="shared" si="41"/>
        <v>0.17049666419570053</v>
      </c>
    </row>
    <row r="731" spans="1:16" x14ac:dyDescent="0.25">
      <c r="A731" s="2" t="s">
        <v>47</v>
      </c>
      <c r="B731" s="2">
        <v>2014</v>
      </c>
      <c r="C731" s="2" t="s">
        <v>62</v>
      </c>
      <c r="D731" s="2" t="s">
        <v>43</v>
      </c>
      <c r="E731" s="2" t="s">
        <v>9</v>
      </c>
      <c r="F731" s="2" t="s">
        <v>48</v>
      </c>
      <c r="G731" s="2">
        <f t="shared" si="38"/>
        <v>0.27390659747961454</v>
      </c>
      <c r="H731" s="5">
        <v>4.5617283950617287</v>
      </c>
      <c r="I731" s="2">
        <v>81</v>
      </c>
      <c r="J731" s="57">
        <f>I731/Pondération!$I$131</f>
        <v>6.0044477390659746E-2</v>
      </c>
      <c r="K731" s="5">
        <v>4.666666666666667</v>
      </c>
      <c r="L731" s="5">
        <f t="shared" si="39"/>
        <v>0.28020756115641215</v>
      </c>
      <c r="M731" s="5">
        <v>4.5555555555555554</v>
      </c>
      <c r="N731" s="5">
        <f t="shared" si="40"/>
        <v>0.27353595255744995</v>
      </c>
      <c r="O731" s="5">
        <v>4.3580246913580245</v>
      </c>
      <c r="P731" s="15">
        <f t="shared" si="41"/>
        <v>0.26167531504818381</v>
      </c>
    </row>
    <row r="732" spans="1:16" x14ac:dyDescent="0.25">
      <c r="A732" s="2" t="s">
        <v>47</v>
      </c>
      <c r="B732" s="2">
        <v>2014</v>
      </c>
      <c r="C732" s="2" t="s">
        <v>63</v>
      </c>
      <c r="D732" s="2" t="s">
        <v>43</v>
      </c>
      <c r="E732" s="2" t="s">
        <v>9</v>
      </c>
      <c r="F732" s="2" t="s">
        <v>48</v>
      </c>
      <c r="G732" s="2">
        <f t="shared" si="38"/>
        <v>0.21849518161601189</v>
      </c>
      <c r="H732" s="5">
        <v>4.3345588235294121</v>
      </c>
      <c r="I732" s="2">
        <v>68</v>
      </c>
      <c r="J732" s="57">
        <f>I732/Pondération!$I$131</f>
        <v>5.0407709414381024E-2</v>
      </c>
      <c r="K732" s="5">
        <v>4.367647058823529</v>
      </c>
      <c r="L732" s="5">
        <f t="shared" si="39"/>
        <v>0.22016308376575239</v>
      </c>
      <c r="M732" s="5">
        <v>4.3970588235294121</v>
      </c>
      <c r="N732" s="5">
        <f t="shared" si="40"/>
        <v>0.2216456634544107</v>
      </c>
      <c r="O732" s="5">
        <v>4.2058823529411766</v>
      </c>
      <c r="P732" s="15">
        <f t="shared" si="41"/>
        <v>0.21200889547813195</v>
      </c>
    </row>
    <row r="733" spans="1:16" x14ac:dyDescent="0.25">
      <c r="A733" s="2" t="s">
        <v>47</v>
      </c>
      <c r="B733" s="2">
        <v>2014</v>
      </c>
      <c r="C733" s="2" t="s">
        <v>64</v>
      </c>
      <c r="D733" s="2" t="s">
        <v>43</v>
      </c>
      <c r="E733" s="2" t="s">
        <v>9</v>
      </c>
      <c r="F733" s="2" t="s">
        <v>48</v>
      </c>
      <c r="G733" s="2">
        <f t="shared" si="38"/>
        <v>0.29725722757598222</v>
      </c>
      <c r="H733" s="5">
        <v>4.4555555555555557</v>
      </c>
      <c r="I733" s="2">
        <v>90</v>
      </c>
      <c r="J733" s="57">
        <f>I733/Pondération!$I$131</f>
        <v>6.6716085989621948E-2</v>
      </c>
      <c r="K733" s="5">
        <v>4.4666666666666668</v>
      </c>
      <c r="L733" s="5">
        <f t="shared" si="39"/>
        <v>0.29799851742031136</v>
      </c>
      <c r="M733" s="5">
        <v>4.5888888888888886</v>
      </c>
      <c r="N733" s="5">
        <f t="shared" si="40"/>
        <v>0.30615270570793179</v>
      </c>
      <c r="O733" s="5">
        <v>4.3</v>
      </c>
      <c r="P733" s="15">
        <f t="shared" si="41"/>
        <v>0.28687916975537436</v>
      </c>
    </row>
    <row r="734" spans="1:16" x14ac:dyDescent="0.25">
      <c r="A734" s="2" t="s">
        <v>47</v>
      </c>
      <c r="B734" s="2">
        <v>2014</v>
      </c>
      <c r="C734" s="2" t="s">
        <v>65</v>
      </c>
      <c r="D734" s="2" t="s">
        <v>43</v>
      </c>
      <c r="E734" s="2" t="s">
        <v>9</v>
      </c>
      <c r="F734" s="2" t="s">
        <v>48</v>
      </c>
      <c r="G734" s="2">
        <f t="shared" si="38"/>
        <v>0.46497405485544852</v>
      </c>
      <c r="H734" s="5">
        <v>4.417253521126761</v>
      </c>
      <c r="I734" s="2">
        <v>142</v>
      </c>
      <c r="J734" s="57">
        <f>I734/Pondération!$I$131</f>
        <v>0.10526315789473684</v>
      </c>
      <c r="K734" s="5">
        <v>4.47887323943662</v>
      </c>
      <c r="L734" s="5">
        <f t="shared" si="39"/>
        <v>0.4714603409933284</v>
      </c>
      <c r="M734" s="5">
        <v>4.471830985915493</v>
      </c>
      <c r="N734" s="5">
        <f t="shared" si="40"/>
        <v>0.47071905114899926</v>
      </c>
      <c r="O734" s="5">
        <v>4.23943661971831</v>
      </c>
      <c r="P734" s="15">
        <f t="shared" si="41"/>
        <v>0.44625648628613784</v>
      </c>
    </row>
    <row r="735" spans="1:16" x14ac:dyDescent="0.25">
      <c r="A735" s="2" t="s">
        <v>47</v>
      </c>
      <c r="B735" s="2">
        <v>2014</v>
      </c>
      <c r="C735" s="2" t="s">
        <v>66</v>
      </c>
      <c r="D735" s="2" t="s">
        <v>43</v>
      </c>
      <c r="E735" s="2" t="s">
        <v>9</v>
      </c>
      <c r="F735" s="2" t="s">
        <v>48</v>
      </c>
      <c r="G735" s="2">
        <f t="shared" si="38"/>
        <v>0.29558932542624167</v>
      </c>
      <c r="H735" s="5">
        <v>4.3818681318681323</v>
      </c>
      <c r="I735" s="2">
        <v>91</v>
      </c>
      <c r="J735" s="57">
        <f>I735/Pondération!$I$131</f>
        <v>6.7457375833951075E-2</v>
      </c>
      <c r="K735" s="5">
        <v>4.4065934065934069</v>
      </c>
      <c r="L735" s="5">
        <f t="shared" si="39"/>
        <v>0.29725722757598222</v>
      </c>
      <c r="M735" s="5">
        <v>4.395604395604396</v>
      </c>
      <c r="N735" s="5">
        <f t="shared" si="40"/>
        <v>0.29651593773165308</v>
      </c>
      <c r="O735" s="5">
        <v>4.3186813186813184</v>
      </c>
      <c r="P735" s="15">
        <f t="shared" si="41"/>
        <v>0.29132690882134915</v>
      </c>
    </row>
    <row r="736" spans="1:16" x14ac:dyDescent="0.25">
      <c r="A736" s="2" t="s">
        <v>47</v>
      </c>
      <c r="B736" s="2">
        <v>2014</v>
      </c>
      <c r="C736" s="2" t="s">
        <v>67</v>
      </c>
      <c r="D736" s="2" t="s">
        <v>43</v>
      </c>
      <c r="E736" s="2" t="s">
        <v>9</v>
      </c>
      <c r="F736" s="2" t="s">
        <v>48</v>
      </c>
      <c r="G736" s="2">
        <f t="shared" si="38"/>
        <v>0.48832468495181613</v>
      </c>
      <c r="H736" s="5">
        <v>4.5746527777777777</v>
      </c>
      <c r="I736" s="2">
        <v>144</v>
      </c>
      <c r="J736" s="57">
        <f>I736/Pondération!$I$131</f>
        <v>0.1067457375833951</v>
      </c>
      <c r="K736" s="5">
        <v>4.6527777777777777</v>
      </c>
      <c r="L736" s="5">
        <f t="shared" si="39"/>
        <v>0.4966641957005189</v>
      </c>
      <c r="M736" s="5">
        <v>4.5625</v>
      </c>
      <c r="N736" s="5">
        <f t="shared" si="40"/>
        <v>0.48702742772424018</v>
      </c>
      <c r="O736" s="5">
        <v>4.4305555555555554</v>
      </c>
      <c r="P736" s="15">
        <f t="shared" si="41"/>
        <v>0.47294292068198662</v>
      </c>
    </row>
    <row r="737" spans="1:16" x14ac:dyDescent="0.25">
      <c r="A737" s="2" t="s">
        <v>47</v>
      </c>
      <c r="B737" s="2">
        <v>2014</v>
      </c>
      <c r="C737" s="2" t="s">
        <v>68</v>
      </c>
      <c r="D737" s="2" t="s">
        <v>43</v>
      </c>
      <c r="E737" s="2" t="s">
        <v>9</v>
      </c>
      <c r="F737" s="2" t="s">
        <v>48</v>
      </c>
      <c r="G737" s="2">
        <f t="shared" si="38"/>
        <v>0.68328391401037802</v>
      </c>
      <c r="H737" s="5">
        <v>4.474514563106796</v>
      </c>
      <c r="I737" s="2">
        <v>206</v>
      </c>
      <c r="J737" s="57">
        <f>I737/Pondération!$I$131</f>
        <v>0.15270570793180133</v>
      </c>
      <c r="K737" s="5">
        <v>4.5436893203883493</v>
      </c>
      <c r="L737" s="5">
        <f t="shared" si="39"/>
        <v>0.69384729429206815</v>
      </c>
      <c r="M737" s="5">
        <v>4.4563106796116507</v>
      </c>
      <c r="N737" s="5">
        <f t="shared" si="40"/>
        <v>0.68050407709414384</v>
      </c>
      <c r="O737" s="5">
        <v>4.3543689320388346</v>
      </c>
      <c r="P737" s="15">
        <f t="shared" si="41"/>
        <v>0.66493699036323195</v>
      </c>
    </row>
    <row r="738" spans="1:16" x14ac:dyDescent="0.25">
      <c r="A738" s="2" t="s">
        <v>47</v>
      </c>
      <c r="B738" s="2">
        <v>2014</v>
      </c>
      <c r="C738" s="2" t="s">
        <v>69</v>
      </c>
      <c r="D738" s="2" t="s">
        <v>43</v>
      </c>
      <c r="E738" s="2" t="s">
        <v>9</v>
      </c>
      <c r="F738" s="2" t="s">
        <v>48</v>
      </c>
      <c r="G738" s="2">
        <f t="shared" si="38"/>
        <v>0.3293180133432172</v>
      </c>
      <c r="H738" s="5">
        <v>4.4424999999999999</v>
      </c>
      <c r="I738" s="2">
        <v>100</v>
      </c>
      <c r="J738" s="57">
        <f>I738/Pondération!$I$131</f>
        <v>7.412898443291327E-2</v>
      </c>
      <c r="K738" s="5">
        <v>4.5</v>
      </c>
      <c r="L738" s="5">
        <f t="shared" si="39"/>
        <v>0.33358042994810971</v>
      </c>
      <c r="M738" s="5">
        <v>4.49</v>
      </c>
      <c r="N738" s="5">
        <f t="shared" si="40"/>
        <v>0.33283914010378057</v>
      </c>
      <c r="O738" s="5">
        <v>4.28</v>
      </c>
      <c r="P738" s="15">
        <f t="shared" si="41"/>
        <v>0.31727205337286879</v>
      </c>
    </row>
    <row r="739" spans="1:16" x14ac:dyDescent="0.25">
      <c r="A739" s="2" t="s">
        <v>47</v>
      </c>
      <c r="B739" s="2">
        <v>2014</v>
      </c>
      <c r="C739" s="2" t="s">
        <v>70</v>
      </c>
      <c r="D739" s="2" t="s">
        <v>43</v>
      </c>
      <c r="E739" s="2" t="s">
        <v>9</v>
      </c>
      <c r="F739" s="2" t="s">
        <v>48</v>
      </c>
      <c r="G739" s="2">
        <f t="shared" si="38"/>
        <v>0.47127501853224613</v>
      </c>
      <c r="H739" s="5">
        <v>4.5410714285714286</v>
      </c>
      <c r="I739" s="2">
        <v>140</v>
      </c>
      <c r="J739" s="57">
        <f>I739/Pondération!$I$131</f>
        <v>0.10378057820607858</v>
      </c>
      <c r="K739" s="5">
        <v>4.6071428571428568</v>
      </c>
      <c r="L739" s="5">
        <f t="shared" si="39"/>
        <v>0.47813194959229055</v>
      </c>
      <c r="M739" s="5">
        <v>4.55</v>
      </c>
      <c r="N739" s="5">
        <f t="shared" si="40"/>
        <v>0.47220163083765754</v>
      </c>
      <c r="O739" s="5">
        <v>4.4000000000000004</v>
      </c>
      <c r="P739" s="15">
        <f t="shared" si="41"/>
        <v>0.45663454410674581</v>
      </c>
    </row>
    <row r="740" spans="1:16" x14ac:dyDescent="0.25">
      <c r="A740" s="2" t="s">
        <v>47</v>
      </c>
      <c r="B740" s="2">
        <v>2014</v>
      </c>
      <c r="C740" s="2" t="s">
        <v>71</v>
      </c>
      <c r="D740" s="2" t="s">
        <v>43</v>
      </c>
      <c r="E740" s="2" t="s">
        <v>9</v>
      </c>
      <c r="F740" s="2" t="s">
        <v>48</v>
      </c>
      <c r="G740" s="2">
        <f t="shared" si="38"/>
        <v>0.41475166790214973</v>
      </c>
      <c r="H740" s="5">
        <v>4.476</v>
      </c>
      <c r="I740" s="2">
        <v>125</v>
      </c>
      <c r="J740" s="57">
        <f>I740/Pondération!$I$131</f>
        <v>9.2661230541141587E-2</v>
      </c>
      <c r="K740" s="5">
        <v>4.4480000000000004</v>
      </c>
      <c r="L740" s="5">
        <f t="shared" si="39"/>
        <v>0.41215715344699783</v>
      </c>
      <c r="M740" s="5">
        <v>4.6559999999999997</v>
      </c>
      <c r="N740" s="5">
        <f t="shared" si="40"/>
        <v>0.4314306893995552</v>
      </c>
      <c r="O740" s="5">
        <v>4.3520000000000003</v>
      </c>
      <c r="P740" s="15">
        <f t="shared" si="41"/>
        <v>0.4032616753150482</v>
      </c>
    </row>
    <row r="741" spans="1:16" x14ac:dyDescent="0.25">
      <c r="A741" s="2" t="s">
        <v>47</v>
      </c>
      <c r="B741" s="2">
        <v>2014</v>
      </c>
      <c r="C741" s="2" t="s">
        <v>72</v>
      </c>
      <c r="D741" s="2" t="s">
        <v>43</v>
      </c>
      <c r="E741" s="2" t="s">
        <v>9</v>
      </c>
      <c r="F741" s="2" t="s">
        <v>48</v>
      </c>
      <c r="G741" s="2">
        <f t="shared" si="38"/>
        <v>0.35896960711638248</v>
      </c>
      <c r="H741" s="5">
        <v>4.4022727272727273</v>
      </c>
      <c r="I741" s="2">
        <v>110</v>
      </c>
      <c r="J741" s="57">
        <f>I741/Pondération!$I$131</f>
        <v>8.1541882876204591E-2</v>
      </c>
      <c r="K741" s="5">
        <v>4.418181818181818</v>
      </c>
      <c r="L741" s="5">
        <f t="shared" si="39"/>
        <v>0.36026686434395844</v>
      </c>
      <c r="M741" s="5">
        <v>4.5727272727272723</v>
      </c>
      <c r="N741" s="5">
        <f t="shared" si="40"/>
        <v>0.37286879169755371</v>
      </c>
      <c r="O741" s="5">
        <v>4.2</v>
      </c>
      <c r="P741" s="15">
        <f t="shared" si="41"/>
        <v>0.34247590808005929</v>
      </c>
    </row>
    <row r="742" spans="1:16" x14ac:dyDescent="0.25">
      <c r="A742" s="2" t="s">
        <v>47</v>
      </c>
      <c r="B742" s="2">
        <v>2015</v>
      </c>
      <c r="C742" s="2" t="s">
        <v>73</v>
      </c>
      <c r="D742" s="2" t="s">
        <v>43</v>
      </c>
      <c r="E742" s="2" t="s">
        <v>9</v>
      </c>
      <c r="F742" s="2" t="s">
        <v>48</v>
      </c>
      <c r="G742" s="2">
        <f t="shared" si="38"/>
        <v>0.19029850746268659</v>
      </c>
      <c r="H742" s="5">
        <v>4.4690721649484537</v>
      </c>
      <c r="I742" s="2">
        <v>97</v>
      </c>
      <c r="J742" s="57">
        <f>I742/Pondération!$H$131</f>
        <v>4.2581211589113259E-2</v>
      </c>
      <c r="K742" s="5">
        <v>4.5051546391752577</v>
      </c>
      <c r="L742" s="5">
        <f t="shared" si="39"/>
        <v>0.19183494293239683</v>
      </c>
      <c r="M742" s="5">
        <v>4.5567010309278349</v>
      </c>
      <c r="N742" s="5">
        <f t="shared" si="40"/>
        <v>0.19402985074626866</v>
      </c>
      <c r="O742" s="5">
        <v>4.3092783505154637</v>
      </c>
      <c r="P742" s="15">
        <f t="shared" si="41"/>
        <v>0.18349429323968394</v>
      </c>
    </row>
    <row r="743" spans="1:16" x14ac:dyDescent="0.25">
      <c r="A743" s="2" t="s">
        <v>47</v>
      </c>
      <c r="B743" s="2">
        <v>2015</v>
      </c>
      <c r="C743" s="2" t="s">
        <v>74</v>
      </c>
      <c r="D743" s="2" t="s">
        <v>43</v>
      </c>
      <c r="E743" s="2" t="s">
        <v>9</v>
      </c>
      <c r="F743" s="2" t="s">
        <v>48</v>
      </c>
      <c r="G743" s="2">
        <f t="shared" si="38"/>
        <v>0.3251755926251097</v>
      </c>
      <c r="H743" s="5">
        <v>4.4623493975903612</v>
      </c>
      <c r="I743" s="2">
        <v>166</v>
      </c>
      <c r="J743" s="57">
        <f>I743/Pondération!$H$131</f>
        <v>7.2870939420544331E-2</v>
      </c>
      <c r="K743" s="5">
        <v>4.4939759036144578</v>
      </c>
      <c r="L743" s="5">
        <f t="shared" si="39"/>
        <v>0.32748024582967511</v>
      </c>
      <c r="M743" s="5">
        <v>4.524096385542169</v>
      </c>
      <c r="N743" s="5">
        <f t="shared" si="40"/>
        <v>0.32967515364354699</v>
      </c>
      <c r="O743" s="5">
        <v>4.3373493975903612</v>
      </c>
      <c r="P743" s="15">
        <f t="shared" si="41"/>
        <v>0.31606672519754164</v>
      </c>
    </row>
    <row r="744" spans="1:16" x14ac:dyDescent="0.25">
      <c r="A744" s="2" t="s">
        <v>47</v>
      </c>
      <c r="B744" s="2">
        <v>2015</v>
      </c>
      <c r="C744" s="2" t="s">
        <v>75</v>
      </c>
      <c r="D744" s="2" t="s">
        <v>43</v>
      </c>
      <c r="E744" s="2" t="s">
        <v>9</v>
      </c>
      <c r="F744" s="2" t="s">
        <v>48</v>
      </c>
      <c r="G744" s="2">
        <f t="shared" si="38"/>
        <v>0.22453906935908691</v>
      </c>
      <c r="H744" s="5">
        <v>4.5265486725663715</v>
      </c>
      <c r="I744" s="2">
        <v>113</v>
      </c>
      <c r="J744" s="57">
        <f>I744/Pondération!$H$131</f>
        <v>4.9604916593503072E-2</v>
      </c>
      <c r="K744" s="5">
        <v>4.5663716814159292</v>
      </c>
      <c r="L744" s="5">
        <f t="shared" si="39"/>
        <v>0.22651448639157154</v>
      </c>
      <c r="M744" s="5">
        <v>4.6460176991150446</v>
      </c>
      <c r="N744" s="5">
        <f t="shared" si="40"/>
        <v>0.23046532045654083</v>
      </c>
      <c r="O744" s="5">
        <v>4.3274336283185839</v>
      </c>
      <c r="P744" s="15">
        <f t="shared" si="41"/>
        <v>0.21466198419666374</v>
      </c>
    </row>
    <row r="745" spans="1:16" x14ac:dyDescent="0.25">
      <c r="A745" s="2" t="s">
        <v>47</v>
      </c>
      <c r="B745" s="2">
        <v>2015</v>
      </c>
      <c r="C745" s="2" t="s">
        <v>76</v>
      </c>
      <c r="D745" s="2" t="s">
        <v>43</v>
      </c>
      <c r="E745" s="2" t="s">
        <v>9</v>
      </c>
      <c r="F745" s="2" t="s">
        <v>48</v>
      </c>
      <c r="G745" s="2">
        <f t="shared" si="38"/>
        <v>0.39310798946444248</v>
      </c>
      <c r="H745" s="5">
        <v>4.5227272727272725</v>
      </c>
      <c r="I745" s="2">
        <v>198</v>
      </c>
      <c r="J745" s="57">
        <f>I745/Pondération!$H$131</f>
        <v>8.6918349429323971E-2</v>
      </c>
      <c r="K745" s="5">
        <v>4.595959595959596</v>
      </c>
      <c r="L745" s="5">
        <f t="shared" si="39"/>
        <v>0.39947322212467079</v>
      </c>
      <c r="M745" s="5">
        <v>4.5353535353535355</v>
      </c>
      <c r="N745" s="5">
        <f t="shared" si="40"/>
        <v>0.39420544337137842</v>
      </c>
      <c r="O745" s="5">
        <v>4.3636363636363633</v>
      </c>
      <c r="P745" s="15">
        <f t="shared" si="41"/>
        <v>0.37928007023705002</v>
      </c>
    </row>
    <row r="746" spans="1:16" x14ac:dyDescent="0.25">
      <c r="A746" s="2" t="s">
        <v>47</v>
      </c>
      <c r="B746" s="2">
        <v>2015</v>
      </c>
      <c r="C746" s="2" t="s">
        <v>7</v>
      </c>
      <c r="D746" s="2" t="s">
        <v>43</v>
      </c>
      <c r="E746" s="2" t="s">
        <v>9</v>
      </c>
      <c r="F746" s="2" t="s">
        <v>48</v>
      </c>
      <c r="G746" s="2">
        <f t="shared" si="38"/>
        <v>0.51733977172958734</v>
      </c>
      <c r="H746" s="5">
        <v>4.5856031128404666</v>
      </c>
      <c r="I746" s="2">
        <v>257</v>
      </c>
      <c r="J746" s="57">
        <f>I746/Pondération!$H$131</f>
        <v>0.11281826163301141</v>
      </c>
      <c r="K746" s="5">
        <v>4.618677042801556</v>
      </c>
      <c r="L746" s="5">
        <f t="shared" si="39"/>
        <v>0.52107111501316938</v>
      </c>
      <c r="M746" s="5">
        <v>4.6926070038910508</v>
      </c>
      <c r="N746" s="5">
        <f t="shared" si="40"/>
        <v>0.52941176470588236</v>
      </c>
      <c r="O746" s="5">
        <v>4.4124513618677046</v>
      </c>
      <c r="P746" s="15">
        <f t="shared" si="41"/>
        <v>0.49780509218612823</v>
      </c>
    </row>
    <row r="747" spans="1:16" x14ac:dyDescent="0.25">
      <c r="A747" s="2" t="s">
        <v>47</v>
      </c>
      <c r="B747" s="2">
        <v>2015</v>
      </c>
      <c r="C747" s="2" t="s">
        <v>11</v>
      </c>
      <c r="D747" s="2" t="s">
        <v>43</v>
      </c>
      <c r="E747" s="2" t="s">
        <v>9</v>
      </c>
      <c r="F747" s="2" t="s">
        <v>48</v>
      </c>
      <c r="G747" s="2">
        <f t="shared" si="38"/>
        <v>0.32023705004389813</v>
      </c>
      <c r="H747" s="5">
        <v>4.5030864197530862</v>
      </c>
      <c r="I747" s="2">
        <v>162</v>
      </c>
      <c r="J747" s="57">
        <f>I747/Pondération!$H$131</f>
        <v>7.1115013169446878E-2</v>
      </c>
      <c r="K747" s="5">
        <v>4.5987654320987659</v>
      </c>
      <c r="L747" s="5">
        <f t="shared" si="39"/>
        <v>0.32704126426690078</v>
      </c>
      <c r="M747" s="5">
        <v>4.5246913580246915</v>
      </c>
      <c r="N747" s="5">
        <f t="shared" si="40"/>
        <v>0.3217734855136084</v>
      </c>
      <c r="O747" s="5">
        <v>4.2901234567901234</v>
      </c>
      <c r="P747" s="15">
        <f t="shared" si="41"/>
        <v>0.30509218612818256</v>
      </c>
    </row>
    <row r="748" spans="1:16" x14ac:dyDescent="0.25">
      <c r="A748" s="2" t="s">
        <v>47</v>
      </c>
      <c r="B748" s="2">
        <v>2015</v>
      </c>
      <c r="C748" s="2" t="s">
        <v>12</v>
      </c>
      <c r="D748" s="2" t="s">
        <v>43</v>
      </c>
      <c r="E748" s="2" t="s">
        <v>9</v>
      </c>
      <c r="F748" s="2" t="s">
        <v>48</v>
      </c>
      <c r="G748" s="2">
        <f t="shared" si="38"/>
        <v>0.44435908691834941</v>
      </c>
      <c r="H748" s="5">
        <v>4.4592511013215859</v>
      </c>
      <c r="I748" s="2">
        <v>227</v>
      </c>
      <c r="J748" s="57">
        <f>I748/Pondération!$H$131</f>
        <v>9.9648814749780504E-2</v>
      </c>
      <c r="K748" s="5">
        <v>4.4537444933920707</v>
      </c>
      <c r="L748" s="5">
        <f t="shared" si="39"/>
        <v>0.4438103599648815</v>
      </c>
      <c r="M748" s="5">
        <v>4.5682819383259909</v>
      </c>
      <c r="N748" s="5">
        <f t="shared" si="40"/>
        <v>0.45522388059701485</v>
      </c>
      <c r="O748" s="5">
        <v>4.3612334801762112</v>
      </c>
      <c r="P748" s="15">
        <f t="shared" si="41"/>
        <v>0.4345917471466198</v>
      </c>
    </row>
    <row r="749" spans="1:16" x14ac:dyDescent="0.25">
      <c r="A749" s="2" t="s">
        <v>47</v>
      </c>
      <c r="B749" s="2">
        <v>2015</v>
      </c>
      <c r="C749" s="2" t="s">
        <v>13</v>
      </c>
      <c r="D749" s="2" t="s">
        <v>43</v>
      </c>
      <c r="E749" s="2" t="s">
        <v>9</v>
      </c>
      <c r="F749" s="2" t="s">
        <v>48</v>
      </c>
      <c r="G749" s="2">
        <f t="shared" si="38"/>
        <v>0.48156277436347666</v>
      </c>
      <c r="H749" s="5">
        <v>4.4593495934959346</v>
      </c>
      <c r="I749" s="2">
        <v>246</v>
      </c>
      <c r="J749" s="57">
        <f>I749/Pondération!$H$131</f>
        <v>0.10798946444249341</v>
      </c>
      <c r="K749" s="5">
        <v>4.4918699186991873</v>
      </c>
      <c r="L749" s="5">
        <f t="shared" si="39"/>
        <v>0.48507462686567165</v>
      </c>
      <c r="M749" s="5">
        <v>4.5</v>
      </c>
      <c r="N749" s="5">
        <f t="shared" si="40"/>
        <v>0.48595258999122037</v>
      </c>
      <c r="O749" s="5">
        <v>4.3536585365853657</v>
      </c>
      <c r="P749" s="15">
        <f t="shared" si="41"/>
        <v>0.47014925373134325</v>
      </c>
    </row>
    <row r="750" spans="1:16" x14ac:dyDescent="0.25">
      <c r="A750" s="2" t="s">
        <v>47</v>
      </c>
      <c r="B750" s="2">
        <v>2015</v>
      </c>
      <c r="C750" s="2" t="s">
        <v>14</v>
      </c>
      <c r="D750" s="2" t="s">
        <v>43</v>
      </c>
      <c r="E750" s="2" t="s">
        <v>9</v>
      </c>
      <c r="F750" s="2" t="s">
        <v>48</v>
      </c>
      <c r="G750" s="2">
        <f t="shared" si="38"/>
        <v>0.34866110623353819</v>
      </c>
      <c r="H750" s="5">
        <v>4.4872881355932206</v>
      </c>
      <c r="I750" s="2">
        <v>177</v>
      </c>
      <c r="J750" s="57">
        <f>I750/Pondération!$H$131</f>
        <v>7.7699736611062331E-2</v>
      </c>
      <c r="K750" s="5">
        <v>4.5310734463276834</v>
      </c>
      <c r="L750" s="5">
        <f t="shared" si="39"/>
        <v>0.35206321334503948</v>
      </c>
      <c r="M750" s="5">
        <v>4.5593220338983054</v>
      </c>
      <c r="N750" s="5">
        <f t="shared" si="40"/>
        <v>0.35425812115891131</v>
      </c>
      <c r="O750" s="5">
        <v>4.3276836158192094</v>
      </c>
      <c r="P750" s="15">
        <f t="shared" si="41"/>
        <v>0.33625987708516242</v>
      </c>
    </row>
    <row r="751" spans="1:16" x14ac:dyDescent="0.25">
      <c r="A751" s="2" t="s">
        <v>47</v>
      </c>
      <c r="B751" s="2">
        <v>2015</v>
      </c>
      <c r="C751" s="2" t="s">
        <v>15</v>
      </c>
      <c r="D751" s="2" t="s">
        <v>43</v>
      </c>
      <c r="E751" s="2" t="s">
        <v>9</v>
      </c>
      <c r="F751" s="2" t="s">
        <v>48</v>
      </c>
      <c r="G751" s="2">
        <f t="shared" si="38"/>
        <v>0.35063652326602285</v>
      </c>
      <c r="H751" s="5">
        <v>4.4873595505617976</v>
      </c>
      <c r="I751" s="2">
        <v>178</v>
      </c>
      <c r="J751" s="57">
        <f>I751/Pondération!$H$131</f>
        <v>7.8138718173836705E-2</v>
      </c>
      <c r="K751" s="5">
        <v>4.4943820224719104</v>
      </c>
      <c r="L751" s="5">
        <f t="shared" si="39"/>
        <v>0.35118525021949082</v>
      </c>
      <c r="M751" s="5">
        <v>4.5617977528089888</v>
      </c>
      <c r="N751" s="5">
        <f t="shared" si="40"/>
        <v>0.35645302897278319</v>
      </c>
      <c r="O751" s="5">
        <v>4.3988764044943824</v>
      </c>
      <c r="P751" s="15">
        <f t="shared" si="41"/>
        <v>0.34372256365232667</v>
      </c>
    </row>
    <row r="752" spans="1:16" x14ac:dyDescent="0.25">
      <c r="A752" s="2" t="s">
        <v>47</v>
      </c>
      <c r="B752" s="2">
        <v>2015</v>
      </c>
      <c r="C752" s="2" t="s">
        <v>16</v>
      </c>
      <c r="D752" s="2" t="s">
        <v>43</v>
      </c>
      <c r="E752" s="2" t="s">
        <v>9</v>
      </c>
      <c r="F752" s="2" t="s">
        <v>48</v>
      </c>
      <c r="G752" s="2">
        <f t="shared" si="38"/>
        <v>0.43426251097453911</v>
      </c>
      <c r="H752" s="5">
        <v>4.4762443438914028</v>
      </c>
      <c r="I752" s="2">
        <v>221</v>
      </c>
      <c r="J752" s="57">
        <f>I752/Pondération!$H$131</f>
        <v>9.7014925373134331E-2</v>
      </c>
      <c r="K752" s="5">
        <v>4.5520361990950224</v>
      </c>
      <c r="L752" s="5">
        <f t="shared" si="39"/>
        <v>0.44161545215100967</v>
      </c>
      <c r="M752" s="5">
        <v>4.4705882352941178</v>
      </c>
      <c r="N752" s="5">
        <f t="shared" si="40"/>
        <v>0.43371378402107114</v>
      </c>
      <c r="O752" s="5">
        <v>4.3303167420814477</v>
      </c>
      <c r="P752" s="15">
        <f t="shared" si="41"/>
        <v>0.42010535557506584</v>
      </c>
    </row>
    <row r="753" spans="1:16" x14ac:dyDescent="0.25">
      <c r="A753" s="2" t="s">
        <v>47</v>
      </c>
      <c r="B753" s="2">
        <v>2015</v>
      </c>
      <c r="C753" s="2" t="s">
        <v>17</v>
      </c>
      <c r="D753" s="2" t="s">
        <v>43</v>
      </c>
      <c r="E753" s="2" t="s">
        <v>9</v>
      </c>
      <c r="F753" s="2" t="s">
        <v>48</v>
      </c>
      <c r="G753" s="2">
        <f t="shared" si="38"/>
        <v>0.46125987708516242</v>
      </c>
      <c r="H753" s="5">
        <v>4.4523305084745761</v>
      </c>
      <c r="I753" s="2">
        <v>236</v>
      </c>
      <c r="J753" s="57">
        <f>I753/Pondération!$H$131</f>
        <v>0.10359964881474978</v>
      </c>
      <c r="K753" s="5">
        <v>4.5127118644067794</v>
      </c>
      <c r="L753" s="5">
        <f t="shared" si="39"/>
        <v>0.46751536435469709</v>
      </c>
      <c r="M753" s="5">
        <v>4.5169491525423728</v>
      </c>
      <c r="N753" s="5">
        <f t="shared" si="40"/>
        <v>0.46795434591747148</v>
      </c>
      <c r="O753" s="5">
        <v>4.2669491525423728</v>
      </c>
      <c r="P753" s="15">
        <f t="shared" si="41"/>
        <v>0.44205443371378406</v>
      </c>
    </row>
    <row r="754" spans="1:16" x14ac:dyDescent="0.25">
      <c r="A754" s="2" t="s">
        <v>47</v>
      </c>
      <c r="B754" s="2">
        <v>2016</v>
      </c>
      <c r="C754" s="2" t="s">
        <v>18</v>
      </c>
      <c r="D754" s="2" t="s">
        <v>43</v>
      </c>
      <c r="E754" s="2" t="s">
        <v>9</v>
      </c>
      <c r="F754" s="2" t="s">
        <v>48</v>
      </c>
      <c r="G754" s="2">
        <f t="shared" si="38"/>
        <v>0.20272928448487829</v>
      </c>
      <c r="H754" s="5">
        <v>4.4809782608695654</v>
      </c>
      <c r="I754" s="2">
        <v>184</v>
      </c>
      <c r="J754" s="57">
        <f>I754/Pondération!$G$131</f>
        <v>4.5242193262847306E-2</v>
      </c>
      <c r="K754" s="5">
        <v>4.5489130434782608</v>
      </c>
      <c r="L754" s="5">
        <f t="shared" si="39"/>
        <v>0.20580280304893039</v>
      </c>
      <c r="M754" s="5">
        <v>4.5380434782608692</v>
      </c>
      <c r="N754" s="5">
        <f t="shared" si="40"/>
        <v>0.20531104007868206</v>
      </c>
      <c r="O754" s="5">
        <v>4.2880434782608692</v>
      </c>
      <c r="P754" s="15">
        <f t="shared" si="41"/>
        <v>0.19400049176297021</v>
      </c>
    </row>
    <row r="755" spans="1:16" x14ac:dyDescent="0.25">
      <c r="A755" s="2" t="s">
        <v>47</v>
      </c>
      <c r="B755" s="2">
        <v>2016</v>
      </c>
      <c r="C755" s="2" t="s">
        <v>19</v>
      </c>
      <c r="D755" s="2" t="s">
        <v>43</v>
      </c>
      <c r="E755" s="2" t="s">
        <v>9</v>
      </c>
      <c r="F755" s="2" t="s">
        <v>48</v>
      </c>
      <c r="G755" s="2">
        <f t="shared" si="38"/>
        <v>0.28110400786820749</v>
      </c>
      <c r="H755" s="5">
        <v>4.4140926640926637</v>
      </c>
      <c r="I755" s="2">
        <v>259</v>
      </c>
      <c r="J755" s="57">
        <f>I755/Pondération!$G$131</f>
        <v>6.3683304647160072E-2</v>
      </c>
      <c r="K755" s="5">
        <v>4.4594594594594597</v>
      </c>
      <c r="L755" s="5">
        <f t="shared" si="39"/>
        <v>0.28399311531841653</v>
      </c>
      <c r="M755" s="5">
        <v>4.4671814671814669</v>
      </c>
      <c r="N755" s="5">
        <f t="shared" si="40"/>
        <v>0.28448487828866487</v>
      </c>
      <c r="O755" s="5">
        <v>4.2702702702702702</v>
      </c>
      <c r="P755" s="15">
        <f t="shared" si="41"/>
        <v>0.27194492254733221</v>
      </c>
    </row>
    <row r="756" spans="1:16" x14ac:dyDescent="0.25">
      <c r="A756" s="2" t="s">
        <v>47</v>
      </c>
      <c r="B756" s="2">
        <v>2016</v>
      </c>
      <c r="C756" s="2" t="s">
        <v>20</v>
      </c>
      <c r="D756" s="2" t="s">
        <v>43</v>
      </c>
      <c r="E756" s="2" t="s">
        <v>9</v>
      </c>
      <c r="F756" s="2" t="s">
        <v>48</v>
      </c>
      <c r="G756" s="2">
        <f t="shared" si="38"/>
        <v>0.31478977133021885</v>
      </c>
      <c r="H756" s="5">
        <v>4.5560498220640566</v>
      </c>
      <c r="I756" s="2">
        <v>281</v>
      </c>
      <c r="J756" s="57">
        <f>I756/Pondération!$G$131</f>
        <v>6.9092697319891816E-2</v>
      </c>
      <c r="K756" s="5">
        <v>4.6192170818505334</v>
      </c>
      <c r="L756" s="5">
        <f t="shared" si="39"/>
        <v>0.31915416769117283</v>
      </c>
      <c r="M756" s="5">
        <v>4.629893238434164</v>
      </c>
      <c r="N756" s="5">
        <f t="shared" si="40"/>
        <v>0.31989181214654538</v>
      </c>
      <c r="O756" s="5">
        <v>4.3558718861209966</v>
      </c>
      <c r="P756" s="15">
        <f t="shared" si="41"/>
        <v>0.30095893779198429</v>
      </c>
    </row>
    <row r="757" spans="1:16" x14ac:dyDescent="0.25">
      <c r="A757" s="2" t="s">
        <v>47</v>
      </c>
      <c r="B757" s="2">
        <v>2016</v>
      </c>
      <c r="C757" s="2" t="s">
        <v>21</v>
      </c>
      <c r="D757" s="2" t="s">
        <v>43</v>
      </c>
      <c r="E757" s="2" t="s">
        <v>9</v>
      </c>
      <c r="F757" s="2" t="s">
        <v>48</v>
      </c>
      <c r="G757" s="2">
        <f t="shared" si="38"/>
        <v>0.32763707892795674</v>
      </c>
      <c r="H757" s="5">
        <v>4.3976897689768979</v>
      </c>
      <c r="I757" s="2">
        <v>303</v>
      </c>
      <c r="J757" s="57">
        <f>I757/Pondération!$G$131</f>
        <v>7.450208999262356E-2</v>
      </c>
      <c r="K757" s="5">
        <v>4.4125412541254123</v>
      </c>
      <c r="L757" s="5">
        <f t="shared" si="39"/>
        <v>0.32874354561101549</v>
      </c>
      <c r="M757" s="5">
        <v>4.5016501650165015</v>
      </c>
      <c r="N757" s="5">
        <f t="shared" si="40"/>
        <v>0.33538234570936809</v>
      </c>
      <c r="O757" s="5">
        <v>4.2640264026402637</v>
      </c>
      <c r="P757" s="15">
        <f t="shared" si="41"/>
        <v>0.31767887878042783</v>
      </c>
    </row>
    <row r="758" spans="1:16" x14ac:dyDescent="0.25">
      <c r="A758" s="2" t="s">
        <v>47</v>
      </c>
      <c r="B758" s="2">
        <v>2016</v>
      </c>
      <c r="C758" s="2" t="s">
        <v>22</v>
      </c>
      <c r="D758" s="2" t="s">
        <v>43</v>
      </c>
      <c r="E758" s="2" t="s">
        <v>9</v>
      </c>
      <c r="F758" s="2" t="s">
        <v>48</v>
      </c>
      <c r="G758" s="2">
        <f t="shared" si="38"/>
        <v>0.30077452667814109</v>
      </c>
      <c r="H758" s="5">
        <v>4.4972426470588234</v>
      </c>
      <c r="I758" s="2">
        <v>272</v>
      </c>
      <c r="J758" s="57">
        <f>I758/Pondération!$G$131</f>
        <v>6.6879763953774277E-2</v>
      </c>
      <c r="K758" s="5">
        <v>4.5294117647058822</v>
      </c>
      <c r="L758" s="5">
        <f t="shared" si="39"/>
        <v>0.30292598967297762</v>
      </c>
      <c r="M758" s="5">
        <v>4.555147058823529</v>
      </c>
      <c r="N758" s="5">
        <f t="shared" si="40"/>
        <v>0.30464716006884679</v>
      </c>
      <c r="O758" s="5">
        <v>4.375</v>
      </c>
      <c r="P758" s="15">
        <f t="shared" si="41"/>
        <v>0.29259896729776247</v>
      </c>
    </row>
    <row r="759" spans="1:16" x14ac:dyDescent="0.25">
      <c r="A759" s="2" t="s">
        <v>47</v>
      </c>
      <c r="B759" s="2">
        <v>2016</v>
      </c>
      <c r="C759" s="2" t="s">
        <v>23</v>
      </c>
      <c r="D759" s="2" t="s">
        <v>43</v>
      </c>
      <c r="E759" s="2" t="s">
        <v>9</v>
      </c>
      <c r="F759" s="2" t="s">
        <v>48</v>
      </c>
      <c r="G759" s="2">
        <f t="shared" si="38"/>
        <v>0.28473075977378903</v>
      </c>
      <c r="H759" s="5">
        <v>4.5411764705882351</v>
      </c>
      <c r="I759" s="2">
        <v>255</v>
      </c>
      <c r="J759" s="57">
        <f>I759/Pondération!$G$131</f>
        <v>6.2699778706663392E-2</v>
      </c>
      <c r="K759" s="5">
        <v>4.5803921568627448</v>
      </c>
      <c r="L759" s="5">
        <f t="shared" si="39"/>
        <v>0.28718957462503075</v>
      </c>
      <c r="M759" s="5">
        <v>4.5764705882352938</v>
      </c>
      <c r="N759" s="5">
        <f t="shared" si="40"/>
        <v>0.28694369313990659</v>
      </c>
      <c r="O759" s="5">
        <v>4.4274509803921571</v>
      </c>
      <c r="P759" s="15">
        <f t="shared" si="41"/>
        <v>0.27760019670518815</v>
      </c>
    </row>
    <row r="760" spans="1:16" x14ac:dyDescent="0.25">
      <c r="A760" s="2" t="s">
        <v>47</v>
      </c>
      <c r="B760" s="2">
        <v>2016</v>
      </c>
      <c r="C760" s="2" t="s">
        <v>24</v>
      </c>
      <c r="D760" s="2" t="s">
        <v>43</v>
      </c>
      <c r="E760" s="2" t="s">
        <v>9</v>
      </c>
      <c r="F760" s="2" t="s">
        <v>48</v>
      </c>
      <c r="G760" s="2">
        <f t="shared" si="38"/>
        <v>0.32517826407671502</v>
      </c>
      <c r="H760" s="5">
        <v>4.4379194630872485</v>
      </c>
      <c r="I760" s="2">
        <v>298</v>
      </c>
      <c r="J760" s="57">
        <f>I760/Pondération!$G$131</f>
        <v>7.32726825670027E-2</v>
      </c>
      <c r="K760" s="5">
        <v>4.4899328859060406</v>
      </c>
      <c r="L760" s="5">
        <f t="shared" si="39"/>
        <v>0.32898942709613965</v>
      </c>
      <c r="M760" s="5">
        <v>4.4295302013422821</v>
      </c>
      <c r="N760" s="5">
        <f t="shared" si="40"/>
        <v>0.3245635603639046</v>
      </c>
      <c r="O760" s="5">
        <v>4.3422818791946307</v>
      </c>
      <c r="P760" s="15">
        <f t="shared" si="41"/>
        <v>0.31817064175067616</v>
      </c>
    </row>
    <row r="761" spans="1:16" x14ac:dyDescent="0.25">
      <c r="A761" s="2" t="s">
        <v>47</v>
      </c>
      <c r="B761" s="2">
        <v>2016</v>
      </c>
      <c r="C761" s="2" t="s">
        <v>25</v>
      </c>
      <c r="D761" s="2" t="s">
        <v>43</v>
      </c>
      <c r="E761" s="2" t="s">
        <v>9</v>
      </c>
      <c r="F761" s="2" t="s">
        <v>48</v>
      </c>
      <c r="G761" s="2">
        <f t="shared" si="38"/>
        <v>0.50848291123678391</v>
      </c>
      <c r="H761" s="5">
        <v>4.5054466230936816</v>
      </c>
      <c r="I761" s="2">
        <v>459</v>
      </c>
      <c r="J761" s="57">
        <f>I761/Pondération!$G$131</f>
        <v>0.1128596016719941</v>
      </c>
      <c r="K761" s="5">
        <v>4.538126361655773</v>
      </c>
      <c r="L761" s="5">
        <f t="shared" si="39"/>
        <v>0.5121711335136464</v>
      </c>
      <c r="M761" s="5">
        <v>4.5577342047930287</v>
      </c>
      <c r="N761" s="5">
        <f t="shared" si="40"/>
        <v>0.51438406687976401</v>
      </c>
      <c r="O761" s="5">
        <v>4.3877995642701526</v>
      </c>
      <c r="P761" s="15">
        <f t="shared" si="41"/>
        <v>0.4952053110400787</v>
      </c>
    </row>
    <row r="762" spans="1:16" x14ac:dyDescent="0.25">
      <c r="A762" s="2" t="s">
        <v>47</v>
      </c>
      <c r="B762" s="2">
        <v>2016</v>
      </c>
      <c r="C762" s="2" t="s">
        <v>26</v>
      </c>
      <c r="D762" s="2" t="s">
        <v>43</v>
      </c>
      <c r="E762" s="2" t="s">
        <v>9</v>
      </c>
      <c r="F762" s="2" t="s">
        <v>48</v>
      </c>
      <c r="G762" s="2">
        <f t="shared" si="38"/>
        <v>0.33378411605606095</v>
      </c>
      <c r="H762" s="5">
        <v>4.4950331125827816</v>
      </c>
      <c r="I762" s="2">
        <v>302</v>
      </c>
      <c r="J762" s="57">
        <f>I762/Pondération!$G$131</f>
        <v>7.425620850749938E-2</v>
      </c>
      <c r="K762" s="5">
        <v>4.5264900662251657</v>
      </c>
      <c r="L762" s="5">
        <f t="shared" si="39"/>
        <v>0.33611999016474059</v>
      </c>
      <c r="M762" s="5">
        <v>4.5165562913907289</v>
      </c>
      <c r="N762" s="5">
        <f t="shared" si="40"/>
        <v>0.33538234570936809</v>
      </c>
      <c r="O762" s="5">
        <v>4.4105960264900661</v>
      </c>
      <c r="P762" s="15">
        <f t="shared" si="41"/>
        <v>0.3275141381853946</v>
      </c>
    </row>
    <row r="763" spans="1:16" x14ac:dyDescent="0.25">
      <c r="A763" s="2" t="s">
        <v>47</v>
      </c>
      <c r="B763" s="2">
        <v>2016</v>
      </c>
      <c r="C763" s="2" t="s">
        <v>27</v>
      </c>
      <c r="D763" s="2" t="s">
        <v>43</v>
      </c>
      <c r="E763" s="2" t="s">
        <v>9</v>
      </c>
      <c r="F763" s="2" t="s">
        <v>48</v>
      </c>
      <c r="G763" s="2">
        <f t="shared" si="38"/>
        <v>0.49538972215392191</v>
      </c>
      <c r="H763" s="5">
        <v>4.4672949002217299</v>
      </c>
      <c r="I763" s="2">
        <v>451</v>
      </c>
      <c r="J763" s="57">
        <f>I763/Pondération!$G$131</f>
        <v>0.11089254979100074</v>
      </c>
      <c r="K763" s="5">
        <v>4.5254988913525498</v>
      </c>
      <c r="L763" s="5">
        <f t="shared" si="39"/>
        <v>0.5018441111384313</v>
      </c>
      <c r="M763" s="5">
        <v>4.5144124168514415</v>
      </c>
      <c r="N763" s="5">
        <f t="shared" si="40"/>
        <v>0.50061470371281047</v>
      </c>
      <c r="O763" s="5">
        <v>4.3037694013303769</v>
      </c>
      <c r="P763" s="15">
        <f t="shared" si="41"/>
        <v>0.47725596262601427</v>
      </c>
    </row>
    <row r="764" spans="1:16" x14ac:dyDescent="0.25">
      <c r="A764" s="2" t="s">
        <v>47</v>
      </c>
      <c r="B764" s="2">
        <v>2016</v>
      </c>
      <c r="C764" s="2" t="s">
        <v>28</v>
      </c>
      <c r="D764" s="2" t="s">
        <v>43</v>
      </c>
      <c r="E764" s="2" t="s">
        <v>9</v>
      </c>
      <c r="F764" s="2" t="s">
        <v>48</v>
      </c>
      <c r="G764" s="2">
        <f t="shared" si="38"/>
        <v>0.47283009589377917</v>
      </c>
      <c r="H764" s="5">
        <v>4.4617169373549883</v>
      </c>
      <c r="I764" s="2">
        <v>431</v>
      </c>
      <c r="J764" s="57">
        <f>I764/Pondération!$G$131</f>
        <v>0.10597492008851733</v>
      </c>
      <c r="K764" s="5">
        <v>4.4617169373549883</v>
      </c>
      <c r="L764" s="5">
        <f t="shared" si="39"/>
        <v>0.47283009589377917</v>
      </c>
      <c r="M764" s="5">
        <v>4.5684454756380513</v>
      </c>
      <c r="N764" s="5">
        <f t="shared" si="40"/>
        <v>0.48414064420949104</v>
      </c>
      <c r="O764" s="5">
        <v>4.3549883990719254</v>
      </c>
      <c r="P764" s="15">
        <f t="shared" si="41"/>
        <v>0.46151954757806735</v>
      </c>
    </row>
    <row r="765" spans="1:16" x14ac:dyDescent="0.25">
      <c r="A765" s="2" t="s">
        <v>47</v>
      </c>
      <c r="B765" s="2">
        <v>2016</v>
      </c>
      <c r="C765" s="2" t="s">
        <v>29</v>
      </c>
      <c r="D765" s="2" t="s">
        <v>43</v>
      </c>
      <c r="E765" s="2" t="s">
        <v>9</v>
      </c>
      <c r="F765" s="2" t="s">
        <v>48</v>
      </c>
      <c r="G765" s="2">
        <f t="shared" si="38"/>
        <v>0.62675190558150973</v>
      </c>
      <c r="H765" s="5">
        <v>4.4562937062937067</v>
      </c>
      <c r="I765" s="2">
        <v>572</v>
      </c>
      <c r="J765" s="57">
        <f>I765/Pondération!$G$131</f>
        <v>0.14064420949102532</v>
      </c>
      <c r="K765" s="5">
        <v>4.4685314685314683</v>
      </c>
      <c r="L765" s="5">
        <f t="shared" si="39"/>
        <v>0.62847307597737889</v>
      </c>
      <c r="M765" s="5">
        <v>4.5279720279720284</v>
      </c>
      <c r="N765" s="5">
        <f t="shared" si="40"/>
        <v>0.63683304647160077</v>
      </c>
      <c r="O765" s="5">
        <v>4.36013986013986</v>
      </c>
      <c r="P765" s="15">
        <f t="shared" si="41"/>
        <v>0.61322842389968035</v>
      </c>
    </row>
    <row r="766" spans="1:16" x14ac:dyDescent="0.25">
      <c r="A766" s="2" t="s">
        <v>47</v>
      </c>
      <c r="B766" s="2">
        <v>2017</v>
      </c>
      <c r="C766" s="2" t="s">
        <v>30</v>
      </c>
      <c r="D766" s="2" t="s">
        <v>43</v>
      </c>
      <c r="E766" s="2" t="s">
        <v>9</v>
      </c>
      <c r="F766" s="2" t="s">
        <v>48</v>
      </c>
      <c r="G766" s="2">
        <f t="shared" si="38"/>
        <v>0.73979591836734704</v>
      </c>
      <c r="H766" s="5">
        <v>4.5189701897018972</v>
      </c>
      <c r="I766" s="2">
        <v>369</v>
      </c>
      <c r="J766" s="57">
        <f>I766/Pondération!$F$131</f>
        <v>0.16370896184560782</v>
      </c>
      <c r="K766" s="5">
        <v>4.5121951219512191</v>
      </c>
      <c r="L766" s="5">
        <f t="shared" si="39"/>
        <v>0.73868677905944979</v>
      </c>
      <c r="M766" s="5">
        <v>4.639566395663957</v>
      </c>
      <c r="N766" s="5">
        <f t="shared" si="40"/>
        <v>0.7595385980479149</v>
      </c>
      <c r="O766" s="5">
        <v>4.411924119241192</v>
      </c>
      <c r="P766" s="15">
        <f t="shared" si="41"/>
        <v>0.72227151730257322</v>
      </c>
    </row>
    <row r="767" spans="1:16" x14ac:dyDescent="0.25">
      <c r="A767" s="2" t="s">
        <v>47</v>
      </c>
      <c r="B767" s="2">
        <v>2017</v>
      </c>
      <c r="C767" s="2" t="s">
        <v>31</v>
      </c>
      <c r="D767" s="2" t="s">
        <v>43</v>
      </c>
      <c r="E767" s="2" t="s">
        <v>9</v>
      </c>
      <c r="F767" s="2" t="s">
        <v>48</v>
      </c>
      <c r="G767" s="2">
        <f t="shared" si="38"/>
        <v>1.0931677018633541</v>
      </c>
      <c r="H767" s="5">
        <v>4.4637681159420293</v>
      </c>
      <c r="I767" s="2">
        <v>552</v>
      </c>
      <c r="J767" s="57">
        <f>I767/Pondération!$F$131</f>
        <v>0.24489795918367346</v>
      </c>
      <c r="K767" s="5">
        <v>4.5108695652173916</v>
      </c>
      <c r="L767" s="5">
        <f t="shared" si="39"/>
        <v>1.1047027506654836</v>
      </c>
      <c r="M767" s="5">
        <v>4.541666666666667</v>
      </c>
      <c r="N767" s="5">
        <f t="shared" si="40"/>
        <v>1.1122448979591837</v>
      </c>
      <c r="O767" s="5">
        <v>4.291666666666667</v>
      </c>
      <c r="P767" s="15">
        <f t="shared" si="41"/>
        <v>1.0510204081632653</v>
      </c>
    </row>
    <row r="768" spans="1:16" x14ac:dyDescent="0.25">
      <c r="A768" s="2" t="s">
        <v>47</v>
      </c>
      <c r="B768" s="2">
        <v>2017</v>
      </c>
      <c r="C768" s="2" t="s">
        <v>32</v>
      </c>
      <c r="D768" s="2" t="s">
        <v>43</v>
      </c>
      <c r="E768" s="2" t="s">
        <v>9</v>
      </c>
      <c r="F768" s="2" t="s">
        <v>48</v>
      </c>
      <c r="G768" s="2">
        <f t="shared" si="38"/>
        <v>0.97981366459627339</v>
      </c>
      <c r="H768" s="5">
        <v>4.5630165289256199</v>
      </c>
      <c r="I768" s="2">
        <v>484</v>
      </c>
      <c r="J768" s="57">
        <f>I768/Pondération!$F$131</f>
        <v>0.21472937000887313</v>
      </c>
      <c r="K768" s="5">
        <v>4.5743801652892566</v>
      </c>
      <c r="L768" s="5">
        <f t="shared" si="39"/>
        <v>0.98225377107364698</v>
      </c>
      <c r="M768" s="5">
        <v>4.6921487603305785</v>
      </c>
      <c r="N768" s="5">
        <f t="shared" si="40"/>
        <v>1.0075421472937001</v>
      </c>
      <c r="O768" s="5">
        <v>4.411157024793388</v>
      </c>
      <c r="P768" s="15">
        <f t="shared" si="41"/>
        <v>0.94720496894409933</v>
      </c>
    </row>
    <row r="769" spans="1:16" x14ac:dyDescent="0.25">
      <c r="A769" s="2" t="s">
        <v>47</v>
      </c>
      <c r="B769" s="2">
        <v>2017</v>
      </c>
      <c r="C769" s="2" t="s">
        <v>33</v>
      </c>
      <c r="D769" s="2" t="s">
        <v>43</v>
      </c>
      <c r="E769" s="2" t="s">
        <v>9</v>
      </c>
      <c r="F769" s="2" t="s">
        <v>48</v>
      </c>
      <c r="G769" s="2">
        <f t="shared" si="38"/>
        <v>1.3594720496894412</v>
      </c>
      <c r="H769" s="5">
        <v>4.5396296296296299</v>
      </c>
      <c r="I769" s="2">
        <v>675</v>
      </c>
      <c r="J769" s="57">
        <f>I769/Pondération!$F$131</f>
        <v>0.29946761313220943</v>
      </c>
      <c r="K769" s="5">
        <v>4.5555555555555554</v>
      </c>
      <c r="L769" s="5">
        <f t="shared" si="39"/>
        <v>1.3642413487133984</v>
      </c>
      <c r="M769" s="5">
        <v>4.6607407407407404</v>
      </c>
      <c r="N769" s="5">
        <f t="shared" si="40"/>
        <v>1.3957409050576752</v>
      </c>
      <c r="O769" s="5">
        <v>4.3866666666666667</v>
      </c>
      <c r="P769" s="15">
        <f t="shared" si="41"/>
        <v>1.313664596273292</v>
      </c>
    </row>
    <row r="770" spans="1:16" x14ac:dyDescent="0.25">
      <c r="A770" s="2" t="s">
        <v>47</v>
      </c>
      <c r="B770" s="2">
        <v>2017</v>
      </c>
      <c r="C770" s="2" t="s">
        <v>34</v>
      </c>
      <c r="D770" s="2" t="s">
        <v>43</v>
      </c>
      <c r="E770" s="2" t="s">
        <v>9</v>
      </c>
      <c r="F770" s="2" t="s">
        <v>48</v>
      </c>
      <c r="G770" s="2">
        <f t="shared" ref="G770:G833" si="42">H770*J770</f>
        <v>0.34926796805678789</v>
      </c>
      <c r="H770" s="5">
        <v>4.5244252873563218</v>
      </c>
      <c r="I770" s="2">
        <v>174</v>
      </c>
      <c r="J770" s="57">
        <f>I770/Pondération!$F$131</f>
        <v>7.7196095829636199E-2</v>
      </c>
      <c r="K770" s="5">
        <v>4.5574712643678161</v>
      </c>
      <c r="L770" s="5">
        <f t="shared" si="39"/>
        <v>0.35181898846495119</v>
      </c>
      <c r="M770" s="5">
        <v>4.6034482758620694</v>
      </c>
      <c r="N770" s="5">
        <f t="shared" si="40"/>
        <v>0.35536823425022185</v>
      </c>
      <c r="O770" s="5">
        <v>4.3793103448275863</v>
      </c>
      <c r="P770" s="15">
        <f t="shared" si="41"/>
        <v>0.33806566104702751</v>
      </c>
    </row>
    <row r="771" spans="1:16" x14ac:dyDescent="0.25">
      <c r="A771" s="2" t="s">
        <v>6</v>
      </c>
      <c r="B771" s="2">
        <v>2015</v>
      </c>
      <c r="C771" s="2" t="s">
        <v>7</v>
      </c>
      <c r="D771" s="2" t="s">
        <v>44</v>
      </c>
      <c r="E771" s="2" t="s">
        <v>9</v>
      </c>
      <c r="F771" s="2" t="s">
        <v>10</v>
      </c>
      <c r="G771" s="2">
        <f t="shared" si="42"/>
        <v>0.14490126504165365</v>
      </c>
      <c r="H771" s="5">
        <v>4.0836956521739083</v>
      </c>
      <c r="I771" s="2">
        <v>230</v>
      </c>
      <c r="J771" s="57">
        <f>I771/Pondération!$H$143</f>
        <v>3.5482875655661834E-2</v>
      </c>
      <c r="K771" s="2"/>
      <c r="L771" s="2"/>
      <c r="M771" s="2"/>
      <c r="N771" s="2"/>
      <c r="O771" s="2"/>
      <c r="P771"/>
    </row>
    <row r="772" spans="1:16" x14ac:dyDescent="0.25">
      <c r="A772" s="2" t="s">
        <v>6</v>
      </c>
      <c r="B772" s="2">
        <v>2015</v>
      </c>
      <c r="C772" s="2" t="s">
        <v>11</v>
      </c>
      <c r="D772" s="2" t="s">
        <v>44</v>
      </c>
      <c r="E772" s="2" t="s">
        <v>9</v>
      </c>
      <c r="F772" s="2" t="s">
        <v>10</v>
      </c>
      <c r="G772" s="2">
        <f t="shared" si="42"/>
        <v>0.41636069114470836</v>
      </c>
      <c r="H772" s="5">
        <v>4.1584745762711863</v>
      </c>
      <c r="I772" s="2">
        <v>649</v>
      </c>
      <c r="J772" s="57">
        <f>I772/Pondération!$H$143</f>
        <v>0.10012341869793273</v>
      </c>
      <c r="K772" s="2"/>
      <c r="L772" s="2"/>
      <c r="M772" s="2"/>
      <c r="N772" s="2"/>
      <c r="O772" s="2"/>
      <c r="P772"/>
    </row>
    <row r="773" spans="1:16" x14ac:dyDescent="0.25">
      <c r="A773" s="2" t="s">
        <v>6</v>
      </c>
      <c r="B773" s="2">
        <v>2015</v>
      </c>
      <c r="C773" s="2" t="s">
        <v>12</v>
      </c>
      <c r="D773" s="2" t="s">
        <v>44</v>
      </c>
      <c r="E773" s="2" t="s">
        <v>9</v>
      </c>
      <c r="F773" s="2" t="s">
        <v>10</v>
      </c>
      <c r="G773" s="2">
        <f t="shared" si="42"/>
        <v>0.5869099043505106</v>
      </c>
      <c r="H773" s="5">
        <v>4.0951022604951666</v>
      </c>
      <c r="I773" s="2">
        <v>929</v>
      </c>
      <c r="J773" s="57">
        <f>I773/Pondération!$H$143</f>
        <v>0.14331996297439062</v>
      </c>
      <c r="K773" s="2"/>
      <c r="L773" s="2"/>
      <c r="M773" s="2"/>
      <c r="N773" s="2"/>
      <c r="O773" s="2"/>
      <c r="P773"/>
    </row>
    <row r="774" spans="1:16" x14ac:dyDescent="0.25">
      <c r="A774" s="2" t="s">
        <v>6</v>
      </c>
      <c r="B774" s="2">
        <v>2015</v>
      </c>
      <c r="C774" s="2" t="s">
        <v>13</v>
      </c>
      <c r="D774" s="2" t="s">
        <v>44</v>
      </c>
      <c r="E774" s="2" t="s">
        <v>9</v>
      </c>
      <c r="F774" s="2" t="s">
        <v>10</v>
      </c>
      <c r="G774" s="2">
        <f t="shared" si="42"/>
        <v>1.0011879049676025</v>
      </c>
      <c r="H774" s="5">
        <v>3.9789699570815449</v>
      </c>
      <c r="I774" s="2">
        <v>1631</v>
      </c>
      <c r="J774" s="57">
        <f>I774/Pondération!$H$143</f>
        <v>0.25161987041036715</v>
      </c>
      <c r="K774" s="2"/>
      <c r="L774" s="2"/>
      <c r="M774" s="2"/>
      <c r="N774" s="2"/>
      <c r="O774" s="2"/>
      <c r="P774"/>
    </row>
    <row r="775" spans="1:16" x14ac:dyDescent="0.25">
      <c r="A775" s="2" t="s">
        <v>6</v>
      </c>
      <c r="B775" s="2">
        <v>2015</v>
      </c>
      <c r="C775" s="2" t="s">
        <v>14</v>
      </c>
      <c r="D775" s="2" t="s">
        <v>44</v>
      </c>
      <c r="E775" s="2" t="s">
        <v>9</v>
      </c>
      <c r="F775" s="2" t="s">
        <v>10</v>
      </c>
      <c r="G775" s="2">
        <f t="shared" si="42"/>
        <v>0.60637920394939993</v>
      </c>
      <c r="H775" s="5">
        <v>3.9463353413654723</v>
      </c>
      <c r="I775" s="2">
        <v>996</v>
      </c>
      <c r="J775" s="57">
        <f>I775/Pondération!$H$143</f>
        <v>0.15365627892625733</v>
      </c>
      <c r="K775" s="2"/>
      <c r="L775" s="2"/>
      <c r="M775" s="2"/>
      <c r="N775" s="2"/>
      <c r="O775" s="2"/>
      <c r="P775"/>
    </row>
    <row r="776" spans="1:16" x14ac:dyDescent="0.25">
      <c r="A776" s="2" t="s">
        <v>6</v>
      </c>
      <c r="B776" s="2">
        <v>2015</v>
      </c>
      <c r="C776" s="2" t="s">
        <v>15</v>
      </c>
      <c r="D776" s="2" t="s">
        <v>44</v>
      </c>
      <c r="E776" s="2" t="s">
        <v>9</v>
      </c>
      <c r="F776" s="2" t="s">
        <v>10</v>
      </c>
      <c r="G776" s="2">
        <f t="shared" si="42"/>
        <v>0.53719531008947852</v>
      </c>
      <c r="H776" s="5">
        <v>4.0726315789473686</v>
      </c>
      <c r="I776" s="2">
        <v>855</v>
      </c>
      <c r="J776" s="57">
        <f>I776/Pondération!$H$143</f>
        <v>0.13190373341561246</v>
      </c>
      <c r="K776" s="2"/>
      <c r="L776" s="2"/>
      <c r="M776" s="2"/>
      <c r="N776" s="2"/>
      <c r="O776" s="2"/>
      <c r="P776"/>
    </row>
    <row r="777" spans="1:16" x14ac:dyDescent="0.25">
      <c r="A777" s="2" t="s">
        <v>6</v>
      </c>
      <c r="B777" s="2">
        <v>2015</v>
      </c>
      <c r="C777" s="2" t="s">
        <v>16</v>
      </c>
      <c r="D777" s="2" t="s">
        <v>44</v>
      </c>
      <c r="E777" s="2" t="s">
        <v>9</v>
      </c>
      <c r="F777" s="2" t="s">
        <v>10</v>
      </c>
      <c r="G777" s="2">
        <f t="shared" si="42"/>
        <v>0.39213205800678813</v>
      </c>
      <c r="H777" s="5">
        <v>4.0864951768488753</v>
      </c>
      <c r="I777" s="2">
        <v>622</v>
      </c>
      <c r="J777" s="57">
        <f>I777/Pondération!$H$143</f>
        <v>9.5958037642702873E-2</v>
      </c>
      <c r="K777" s="2"/>
      <c r="L777" s="2"/>
      <c r="M777" s="2"/>
      <c r="N777" s="2"/>
      <c r="O777" s="2"/>
      <c r="P777"/>
    </row>
    <row r="778" spans="1:16" x14ac:dyDescent="0.25">
      <c r="A778" s="2" t="s">
        <v>6</v>
      </c>
      <c r="B778" s="2">
        <v>2015</v>
      </c>
      <c r="C778" s="2" t="s">
        <v>17</v>
      </c>
      <c r="D778" s="2" t="s">
        <v>44</v>
      </c>
      <c r="E778" s="2" t="s">
        <v>9</v>
      </c>
      <c r="F778" s="2" t="s">
        <v>10</v>
      </c>
      <c r="G778" s="2">
        <f t="shared" si="42"/>
        <v>0.35654890465905581</v>
      </c>
      <c r="H778" s="5">
        <v>4.0546491228070174</v>
      </c>
      <c r="I778" s="2">
        <v>570</v>
      </c>
      <c r="J778" s="57">
        <f>I778/Pondération!$H$143</f>
        <v>8.7935822277074971E-2</v>
      </c>
      <c r="K778" s="2"/>
      <c r="L778" s="2"/>
      <c r="M778" s="2"/>
      <c r="N778" s="2"/>
      <c r="O778" s="2"/>
      <c r="P778"/>
    </row>
    <row r="779" spans="1:16" x14ac:dyDescent="0.25">
      <c r="A779" s="2" t="s">
        <v>6</v>
      </c>
      <c r="B779" s="2">
        <v>2016</v>
      </c>
      <c r="C779" s="2" t="s">
        <v>18</v>
      </c>
      <c r="D779" s="2" t="s">
        <v>44</v>
      </c>
      <c r="E779" s="2" t="s">
        <v>9</v>
      </c>
      <c r="F779" s="2" t="s">
        <v>10</v>
      </c>
      <c r="G779" s="2">
        <f t="shared" si="42"/>
        <v>0.10854405779871051</v>
      </c>
      <c r="H779" s="5">
        <v>3.9761306532663316</v>
      </c>
      <c r="I779" s="2">
        <v>597</v>
      </c>
      <c r="J779" s="57">
        <f>I779/Pondération!$G$143</f>
        <v>2.7298916274178062E-2</v>
      </c>
      <c r="K779" s="2"/>
      <c r="L779" s="2"/>
      <c r="M779" s="2"/>
      <c r="N779" s="2"/>
      <c r="O779" s="2"/>
      <c r="P779"/>
    </row>
    <row r="780" spans="1:16" x14ac:dyDescent="0.25">
      <c r="A780" s="2" t="s">
        <v>6</v>
      </c>
      <c r="B780" s="2">
        <v>2016</v>
      </c>
      <c r="C780" s="2" t="s">
        <v>19</v>
      </c>
      <c r="D780" s="2" t="s">
        <v>44</v>
      </c>
      <c r="E780" s="2" t="s">
        <v>9</v>
      </c>
      <c r="F780" s="2" t="s">
        <v>10</v>
      </c>
      <c r="G780" s="2">
        <f t="shared" si="42"/>
        <v>0.1370936028167726</v>
      </c>
      <c r="H780" s="5">
        <v>4.1126200274348426</v>
      </c>
      <c r="I780" s="2">
        <v>729</v>
      </c>
      <c r="J780" s="57">
        <f>I780/Pondération!$G$143</f>
        <v>3.3334857560930999E-2</v>
      </c>
      <c r="K780" s="2"/>
      <c r="L780" s="2"/>
      <c r="M780" s="2"/>
      <c r="N780" s="2"/>
      <c r="O780" s="2"/>
      <c r="P780"/>
    </row>
    <row r="781" spans="1:16" x14ac:dyDescent="0.25">
      <c r="A781" s="2" t="s">
        <v>6</v>
      </c>
      <c r="B781" s="2">
        <v>2016</v>
      </c>
      <c r="C781" s="2" t="s">
        <v>20</v>
      </c>
      <c r="D781" s="2" t="s">
        <v>44</v>
      </c>
      <c r="E781" s="2" t="s">
        <v>9</v>
      </c>
      <c r="F781" s="2" t="s">
        <v>10</v>
      </c>
      <c r="G781" s="2">
        <f t="shared" si="42"/>
        <v>0.17474050025149804</v>
      </c>
      <c r="H781" s="5">
        <v>4.0739872068230385</v>
      </c>
      <c r="I781" s="2">
        <v>938</v>
      </c>
      <c r="J781" s="57">
        <f>I781/Pondération!$G$143</f>
        <v>4.2891764598289819E-2</v>
      </c>
      <c r="K781" s="2"/>
      <c r="L781" s="2"/>
      <c r="M781" s="2"/>
      <c r="N781" s="2"/>
      <c r="O781" s="2"/>
      <c r="P781"/>
    </row>
    <row r="782" spans="1:16" x14ac:dyDescent="0.25">
      <c r="A782" s="2" t="s">
        <v>6</v>
      </c>
      <c r="B782" s="2">
        <v>2016</v>
      </c>
      <c r="C782" s="2" t="s">
        <v>21</v>
      </c>
      <c r="D782" s="2" t="s">
        <v>44</v>
      </c>
      <c r="E782" s="2" t="s">
        <v>9</v>
      </c>
      <c r="F782" s="2" t="s">
        <v>10</v>
      </c>
      <c r="G782" s="2">
        <f t="shared" si="42"/>
        <v>0.23297818830307784</v>
      </c>
      <c r="H782" s="5">
        <v>3.9434984520123915</v>
      </c>
      <c r="I782" s="2">
        <v>1292</v>
      </c>
      <c r="J782" s="57">
        <f>I782/Pondération!$G$143</f>
        <v>5.9079061685490875E-2</v>
      </c>
      <c r="K782" s="2"/>
      <c r="L782" s="2"/>
      <c r="M782" s="2"/>
      <c r="N782" s="2"/>
      <c r="O782" s="2"/>
      <c r="P782"/>
    </row>
    <row r="783" spans="1:16" x14ac:dyDescent="0.25">
      <c r="A783" s="2" t="s">
        <v>6</v>
      </c>
      <c r="B783" s="2">
        <v>2016</v>
      </c>
      <c r="C783" s="2" t="s">
        <v>22</v>
      </c>
      <c r="D783" s="2" t="s">
        <v>44</v>
      </c>
      <c r="E783" s="2" t="s">
        <v>9</v>
      </c>
      <c r="F783" s="2" t="s">
        <v>10</v>
      </c>
      <c r="G783" s="2">
        <f t="shared" si="42"/>
        <v>0.30928483241117516</v>
      </c>
      <c r="H783" s="5">
        <v>3.9716676453317614</v>
      </c>
      <c r="I783" s="2">
        <v>1703</v>
      </c>
      <c r="J783" s="57">
        <f>I783/Pondération!$G$143</f>
        <v>7.7872787964698889E-2</v>
      </c>
      <c r="K783" s="2"/>
      <c r="L783" s="2"/>
      <c r="M783" s="2"/>
      <c r="N783" s="2"/>
      <c r="O783" s="2"/>
      <c r="P783"/>
    </row>
    <row r="784" spans="1:16" x14ac:dyDescent="0.25">
      <c r="A784" s="2" t="s">
        <v>6</v>
      </c>
      <c r="B784" s="2">
        <v>2016</v>
      </c>
      <c r="C784" s="2" t="s">
        <v>23</v>
      </c>
      <c r="D784" s="2" t="s">
        <v>44</v>
      </c>
      <c r="E784" s="2" t="s">
        <v>9</v>
      </c>
      <c r="F784" s="2" t="s">
        <v>10</v>
      </c>
      <c r="G784" s="2">
        <f t="shared" si="42"/>
        <v>0.25193195848004069</v>
      </c>
      <c r="H784" s="5">
        <v>4.0127458120903201</v>
      </c>
      <c r="I784" s="2">
        <v>1373</v>
      </c>
      <c r="J784" s="57">
        <f>I784/Pondération!$G$143</f>
        <v>6.2782934747816543E-2</v>
      </c>
      <c r="K784" s="2"/>
      <c r="L784" s="2"/>
      <c r="M784" s="2"/>
      <c r="N784" s="2"/>
      <c r="O784" s="2"/>
      <c r="P784"/>
    </row>
    <row r="785" spans="1:16" x14ac:dyDescent="0.25">
      <c r="A785" s="2" t="s">
        <v>6</v>
      </c>
      <c r="B785" s="2">
        <v>2016</v>
      </c>
      <c r="C785" s="2" t="s">
        <v>24</v>
      </c>
      <c r="D785" s="2" t="s">
        <v>44</v>
      </c>
      <c r="E785" s="2" t="s">
        <v>9</v>
      </c>
      <c r="F785" s="2" t="s">
        <v>10</v>
      </c>
      <c r="G785" s="2">
        <f t="shared" si="42"/>
        <v>0.44944670538204495</v>
      </c>
      <c r="H785" s="5">
        <v>3.9712929292929053</v>
      </c>
      <c r="I785" s="2">
        <v>2475</v>
      </c>
      <c r="J785" s="57">
        <f>I785/Pondération!$G$143</f>
        <v>0.11317389912661759</v>
      </c>
      <c r="K785" s="2"/>
      <c r="L785" s="2"/>
      <c r="M785" s="2"/>
      <c r="N785" s="2"/>
      <c r="O785" s="2"/>
      <c r="P785"/>
    </row>
    <row r="786" spans="1:16" x14ac:dyDescent="0.25">
      <c r="A786" s="2" t="s">
        <v>6</v>
      </c>
      <c r="B786" s="2">
        <v>2016</v>
      </c>
      <c r="C786" s="2" t="s">
        <v>25</v>
      </c>
      <c r="D786" s="2" t="s">
        <v>44</v>
      </c>
      <c r="E786" s="2" t="s">
        <v>9</v>
      </c>
      <c r="F786" s="2" t="s">
        <v>10</v>
      </c>
      <c r="G786" s="2">
        <f t="shared" si="42"/>
        <v>0.75783986464858022</v>
      </c>
      <c r="H786" s="5">
        <v>3.8257617728531397</v>
      </c>
      <c r="I786" s="2">
        <v>4332</v>
      </c>
      <c r="J786" s="57">
        <f>I786/Pondération!$G$143</f>
        <v>0.19808861859252824</v>
      </c>
      <c r="K786" s="2"/>
      <c r="L786" s="2"/>
      <c r="M786" s="2"/>
      <c r="N786" s="2"/>
      <c r="O786" s="2"/>
      <c r="P786"/>
    </row>
    <row r="787" spans="1:16" x14ac:dyDescent="0.25">
      <c r="A787" s="2" t="s">
        <v>6</v>
      </c>
      <c r="B787" s="2">
        <v>2016</v>
      </c>
      <c r="C787" s="2" t="s">
        <v>26</v>
      </c>
      <c r="D787" s="2" t="s">
        <v>44</v>
      </c>
      <c r="E787" s="2" t="s">
        <v>9</v>
      </c>
      <c r="F787" s="2" t="s">
        <v>10</v>
      </c>
      <c r="G787" s="2">
        <f t="shared" si="42"/>
        <v>0.42429466367917779</v>
      </c>
      <c r="H787" s="5">
        <v>3.9003362757460862</v>
      </c>
      <c r="I787" s="2">
        <v>2379</v>
      </c>
      <c r="J787" s="57">
        <f>I787/Pondération!$G$143</f>
        <v>0.10878412364534272</v>
      </c>
      <c r="K787" s="2"/>
      <c r="L787" s="2"/>
      <c r="M787" s="2"/>
      <c r="N787" s="2"/>
      <c r="O787" s="2"/>
      <c r="P787"/>
    </row>
    <row r="788" spans="1:16" x14ac:dyDescent="0.25">
      <c r="A788" s="2" t="s">
        <v>6</v>
      </c>
      <c r="B788" s="2">
        <v>2016</v>
      </c>
      <c r="C788" s="2" t="s">
        <v>27</v>
      </c>
      <c r="D788" s="2" t="s">
        <v>44</v>
      </c>
      <c r="E788" s="2" t="s">
        <v>9</v>
      </c>
      <c r="F788" s="2" t="s">
        <v>10</v>
      </c>
      <c r="G788" s="2">
        <f t="shared" si="42"/>
        <v>0.42630207142530246</v>
      </c>
      <c r="H788" s="5">
        <v>3.9056556346878675</v>
      </c>
      <c r="I788" s="2">
        <v>2387</v>
      </c>
      <c r="J788" s="57">
        <f>I788/Pondération!$G$143</f>
        <v>0.10914993826878229</v>
      </c>
      <c r="K788" s="2"/>
      <c r="L788" s="2"/>
      <c r="M788" s="2"/>
      <c r="N788" s="2"/>
      <c r="O788" s="2"/>
      <c r="P788"/>
    </row>
    <row r="789" spans="1:16" x14ac:dyDescent="0.25">
      <c r="A789" s="2" t="s">
        <v>6</v>
      </c>
      <c r="B789" s="2">
        <v>2016</v>
      </c>
      <c r="C789" s="2" t="s">
        <v>28</v>
      </c>
      <c r="D789" s="2" t="s">
        <v>44</v>
      </c>
      <c r="E789" s="2" t="s">
        <v>9</v>
      </c>
      <c r="F789" s="2" t="s">
        <v>10</v>
      </c>
      <c r="G789" s="2">
        <f t="shared" si="42"/>
        <v>0.3410741231880744</v>
      </c>
      <c r="H789" s="5">
        <v>3.9402799788695191</v>
      </c>
      <c r="I789" s="2">
        <v>1893</v>
      </c>
      <c r="J789" s="57">
        <f>I789/Pondération!$G$143</f>
        <v>8.6560885271388721E-2</v>
      </c>
      <c r="K789" s="2"/>
      <c r="L789" s="2"/>
      <c r="M789" s="2"/>
      <c r="N789" s="2"/>
      <c r="O789" s="2"/>
      <c r="P789"/>
    </row>
    <row r="790" spans="1:16" x14ac:dyDescent="0.25">
      <c r="A790" s="2" t="s">
        <v>6</v>
      </c>
      <c r="B790" s="2">
        <v>2016</v>
      </c>
      <c r="C790" s="2" t="s">
        <v>29</v>
      </c>
      <c r="D790" s="2" t="s">
        <v>44</v>
      </c>
      <c r="E790" s="2" t="s">
        <v>9</v>
      </c>
      <c r="F790" s="2" t="s">
        <v>10</v>
      </c>
      <c r="G790" s="2">
        <f t="shared" si="42"/>
        <v>0.31854222872559279</v>
      </c>
      <c r="H790" s="5">
        <v>3.933483907396945</v>
      </c>
      <c r="I790" s="2">
        <v>1771</v>
      </c>
      <c r="J790" s="57">
        <f>I790/Pondération!$G$143</f>
        <v>8.0982212263935247E-2</v>
      </c>
      <c r="K790" s="2"/>
      <c r="L790" s="2"/>
      <c r="M790" s="2"/>
      <c r="N790" s="2"/>
      <c r="O790" s="2"/>
      <c r="P790"/>
    </row>
    <row r="791" spans="1:16" x14ac:dyDescent="0.25">
      <c r="A791" s="2" t="s">
        <v>6</v>
      </c>
      <c r="B791" s="2">
        <v>2017</v>
      </c>
      <c r="C791" s="2" t="s">
        <v>30</v>
      </c>
      <c r="D791" s="2" t="s">
        <v>44</v>
      </c>
      <c r="E791" s="2" t="s">
        <v>9</v>
      </c>
      <c r="F791" s="2" t="s">
        <v>10</v>
      </c>
      <c r="G791" s="2">
        <f t="shared" si="42"/>
        <v>0.76887011419552231</v>
      </c>
      <c r="H791" s="5">
        <v>3.9738483685220589</v>
      </c>
      <c r="I791" s="2">
        <v>2084</v>
      </c>
      <c r="J791" s="57">
        <f>I791/Pondération!$F$143</f>
        <v>0.19348249930368583</v>
      </c>
      <c r="K791" s="2"/>
      <c r="L791" s="2"/>
      <c r="M791" s="2"/>
      <c r="N791" s="2"/>
      <c r="O791" s="2"/>
      <c r="P791"/>
    </row>
    <row r="792" spans="1:16" x14ac:dyDescent="0.25">
      <c r="A792" s="2" t="s">
        <v>6</v>
      </c>
      <c r="B792" s="2">
        <v>2017</v>
      </c>
      <c r="C792" s="2" t="s">
        <v>31</v>
      </c>
      <c r="D792" s="2" t="s">
        <v>44</v>
      </c>
      <c r="E792" s="2" t="s">
        <v>9</v>
      </c>
      <c r="F792" s="2" t="s">
        <v>10</v>
      </c>
      <c r="G792" s="2">
        <f t="shared" si="42"/>
        <v>0.67037415281775048</v>
      </c>
      <c r="H792" s="5">
        <v>3.9651839648544702</v>
      </c>
      <c r="I792" s="2">
        <v>1821</v>
      </c>
      <c r="J792" s="57">
        <f>I792/Pondération!$F$143</f>
        <v>0.16906508216507288</v>
      </c>
      <c r="K792" s="2"/>
      <c r="L792" s="2"/>
      <c r="M792" s="2"/>
      <c r="N792" s="2"/>
      <c r="O792" s="2"/>
      <c r="P792"/>
    </row>
    <row r="793" spans="1:16" x14ac:dyDescent="0.25">
      <c r="A793" s="2" t="s">
        <v>6</v>
      </c>
      <c r="B793" s="2">
        <v>2017</v>
      </c>
      <c r="C793" s="2" t="s">
        <v>32</v>
      </c>
      <c r="D793" s="2" t="s">
        <v>44</v>
      </c>
      <c r="E793" s="2" t="s">
        <v>9</v>
      </c>
      <c r="F793" s="2" t="s">
        <v>10</v>
      </c>
      <c r="G793" s="2">
        <f t="shared" si="42"/>
        <v>0.75094234518614511</v>
      </c>
      <c r="H793" s="5">
        <v>4.006141654284284</v>
      </c>
      <c r="I793" s="2">
        <v>2019</v>
      </c>
      <c r="J793" s="57">
        <f>I793/Pondération!$F$143</f>
        <v>0.18744777643672825</v>
      </c>
      <c r="K793" s="2"/>
      <c r="L793" s="2"/>
      <c r="M793" s="2"/>
      <c r="N793" s="2"/>
      <c r="O793" s="2"/>
      <c r="P793"/>
    </row>
    <row r="794" spans="1:16" x14ac:dyDescent="0.25">
      <c r="A794" s="2" t="s">
        <v>6</v>
      </c>
      <c r="B794" s="2">
        <v>2017</v>
      </c>
      <c r="C794" s="2" t="s">
        <v>33</v>
      </c>
      <c r="D794" s="2" t="s">
        <v>44</v>
      </c>
      <c r="E794" s="2" t="s">
        <v>9</v>
      </c>
      <c r="F794" s="2" t="s">
        <v>10</v>
      </c>
      <c r="G794" s="2">
        <f t="shared" si="42"/>
        <v>1.0314362640423267</v>
      </c>
      <c r="H794" s="5">
        <v>3.9578197363733167</v>
      </c>
      <c r="I794" s="2">
        <v>2807</v>
      </c>
      <c r="J794" s="57">
        <f>I794/Pondération!$F$143</f>
        <v>0.2606071859623062</v>
      </c>
      <c r="K794" s="2"/>
      <c r="L794" s="2"/>
      <c r="M794" s="2"/>
      <c r="N794" s="2"/>
      <c r="O794" s="2"/>
      <c r="P794"/>
    </row>
    <row r="795" spans="1:16" x14ac:dyDescent="0.25">
      <c r="A795" s="2" t="s">
        <v>6</v>
      </c>
      <c r="B795" s="2">
        <v>2017</v>
      </c>
      <c r="C795" s="2" t="s">
        <v>34</v>
      </c>
      <c r="D795" s="2" t="s">
        <v>44</v>
      </c>
      <c r="E795" s="2" t="s">
        <v>9</v>
      </c>
      <c r="F795" s="2" t="s">
        <v>10</v>
      </c>
      <c r="G795" s="2">
        <f t="shared" si="42"/>
        <v>0.75054312505802345</v>
      </c>
      <c r="H795" s="5">
        <v>3.9627941176470443</v>
      </c>
      <c r="I795" s="2">
        <v>2040</v>
      </c>
      <c r="J795" s="57">
        <f>I795/Pondération!$F$143</f>
        <v>0.18939745613220685</v>
      </c>
      <c r="K795" s="2"/>
      <c r="L795" s="2"/>
      <c r="M795" s="2"/>
      <c r="N795" s="2"/>
      <c r="O795" s="2"/>
      <c r="P795"/>
    </row>
    <row r="796" spans="1:16" x14ac:dyDescent="0.25">
      <c r="A796" s="2" t="s">
        <v>47</v>
      </c>
      <c r="B796" s="2">
        <v>2013</v>
      </c>
      <c r="C796" s="2" t="s">
        <v>49</v>
      </c>
      <c r="D796" s="2" t="s">
        <v>44</v>
      </c>
      <c r="E796" s="2" t="s">
        <v>9</v>
      </c>
      <c r="F796" s="2" t="s">
        <v>48</v>
      </c>
      <c r="G796" s="2">
        <f t="shared" si="42"/>
        <v>0.22217068645640076</v>
      </c>
      <c r="H796" s="5">
        <v>4.3545454545454545</v>
      </c>
      <c r="I796" s="2">
        <v>55</v>
      </c>
      <c r="J796" s="57">
        <f>I796/Pondération!$J$144</f>
        <v>5.1020408163265307E-2</v>
      </c>
      <c r="K796" s="5">
        <v>4.3454545454545457</v>
      </c>
      <c r="L796" s="5">
        <f t="shared" ref="L796:L848" si="43">K796*$J796</f>
        <v>0.22170686456400743</v>
      </c>
      <c r="M796" s="5">
        <v>4.5454545454545459</v>
      </c>
      <c r="N796" s="5">
        <f t="shared" ref="N796:N848" si="44">M796*$J796</f>
        <v>0.2319109461966605</v>
      </c>
      <c r="O796" s="5">
        <v>4.1818181818181817</v>
      </c>
      <c r="P796" s="15">
        <f t="shared" ref="P796:P848" si="45">O796*$J796</f>
        <v>0.21335807050092764</v>
      </c>
    </row>
    <row r="797" spans="1:16" x14ac:dyDescent="0.25">
      <c r="A797" s="2" t="s">
        <v>47</v>
      </c>
      <c r="B797" s="2">
        <v>2013</v>
      </c>
      <c r="C797" s="2" t="s">
        <v>50</v>
      </c>
      <c r="D797" s="2" t="s">
        <v>44</v>
      </c>
      <c r="E797" s="2" t="s">
        <v>9</v>
      </c>
      <c r="F797" s="2" t="s">
        <v>48</v>
      </c>
      <c r="G797" s="2">
        <f t="shared" si="42"/>
        <v>0.3427643784786642</v>
      </c>
      <c r="H797" s="5">
        <v>4.1516853932584272</v>
      </c>
      <c r="I797" s="2">
        <v>89</v>
      </c>
      <c r="J797" s="57">
        <f>I797/Pondération!$J$144</f>
        <v>8.2560296846011128E-2</v>
      </c>
      <c r="K797" s="5">
        <v>4.1573033707865168</v>
      </c>
      <c r="L797" s="5">
        <f t="shared" si="43"/>
        <v>0.3432282003710575</v>
      </c>
      <c r="M797" s="5">
        <v>4.2359550561797752</v>
      </c>
      <c r="N797" s="5">
        <f t="shared" si="44"/>
        <v>0.349721706864564</v>
      </c>
      <c r="O797" s="5">
        <v>4.0561797752808992</v>
      </c>
      <c r="P797" s="15">
        <f t="shared" si="45"/>
        <v>0.33487940630797774</v>
      </c>
    </row>
    <row r="798" spans="1:16" x14ac:dyDescent="0.25">
      <c r="A798" s="2" t="s">
        <v>47</v>
      </c>
      <c r="B798" s="2">
        <v>2013</v>
      </c>
      <c r="C798" s="2" t="s">
        <v>51</v>
      </c>
      <c r="D798" s="2" t="s">
        <v>44</v>
      </c>
      <c r="E798" s="2" t="s">
        <v>9</v>
      </c>
      <c r="F798" s="2" t="s">
        <v>48</v>
      </c>
      <c r="G798" s="2">
        <f t="shared" si="42"/>
        <v>0.22750463821892394</v>
      </c>
      <c r="H798" s="5">
        <v>4.3794642857142856</v>
      </c>
      <c r="I798" s="2">
        <v>56</v>
      </c>
      <c r="J798" s="57">
        <f>I798/Pondération!$J$144</f>
        <v>5.1948051948051951E-2</v>
      </c>
      <c r="K798" s="5">
        <v>4.3928571428571432</v>
      </c>
      <c r="L798" s="5">
        <f t="shared" si="43"/>
        <v>0.22820037105751395</v>
      </c>
      <c r="M798" s="5">
        <v>4.5357142857142856</v>
      </c>
      <c r="N798" s="5">
        <f t="shared" si="44"/>
        <v>0.23562152133580705</v>
      </c>
      <c r="O798" s="5">
        <v>4.1964285714285712</v>
      </c>
      <c r="P798" s="15">
        <f t="shared" si="45"/>
        <v>0.21799628942486085</v>
      </c>
    </row>
    <row r="799" spans="1:16" x14ac:dyDescent="0.25">
      <c r="A799" s="2" t="s">
        <v>47</v>
      </c>
      <c r="B799" s="2">
        <v>2013</v>
      </c>
      <c r="C799" s="2" t="s">
        <v>52</v>
      </c>
      <c r="D799" s="2" t="s">
        <v>44</v>
      </c>
      <c r="E799" s="2" t="s">
        <v>9</v>
      </c>
      <c r="F799" s="2" t="s">
        <v>48</v>
      </c>
      <c r="G799" s="2">
        <f t="shared" si="42"/>
        <v>0.22379406307977739</v>
      </c>
      <c r="H799" s="5">
        <v>4.3863636363636367</v>
      </c>
      <c r="I799" s="2">
        <v>55</v>
      </c>
      <c r="J799" s="57">
        <f>I799/Pondération!$J$144</f>
        <v>5.1020408163265307E-2</v>
      </c>
      <c r="K799" s="5">
        <v>4.4363636363636365</v>
      </c>
      <c r="L799" s="5">
        <f t="shared" si="43"/>
        <v>0.22634508348794063</v>
      </c>
      <c r="M799" s="5">
        <v>4.4363636363636365</v>
      </c>
      <c r="N799" s="5">
        <f t="shared" si="44"/>
        <v>0.22634508348794063</v>
      </c>
      <c r="O799" s="5">
        <v>4.2363636363636363</v>
      </c>
      <c r="P799" s="15">
        <f t="shared" si="45"/>
        <v>0.21614100185528756</v>
      </c>
    </row>
    <row r="800" spans="1:16" x14ac:dyDescent="0.25">
      <c r="A800" s="2" t="s">
        <v>47</v>
      </c>
      <c r="B800" s="2">
        <v>2013</v>
      </c>
      <c r="C800" s="2" t="s">
        <v>53</v>
      </c>
      <c r="D800" s="2" t="s">
        <v>44</v>
      </c>
      <c r="E800" s="2" t="s">
        <v>9</v>
      </c>
      <c r="F800" s="2" t="s">
        <v>48</v>
      </c>
      <c r="G800" s="2">
        <f t="shared" si="42"/>
        <v>0.38845083487940629</v>
      </c>
      <c r="H800" s="5">
        <v>4.4078947368421053</v>
      </c>
      <c r="I800" s="2">
        <v>95</v>
      </c>
      <c r="J800" s="57">
        <f>I800/Pondération!$J$144</f>
        <v>8.8126159554730979E-2</v>
      </c>
      <c r="K800" s="5">
        <v>4.4000000000000004</v>
      </c>
      <c r="L800" s="5">
        <f t="shared" si="43"/>
        <v>0.38775510204081631</v>
      </c>
      <c r="M800" s="5">
        <v>4.5368421052631582</v>
      </c>
      <c r="N800" s="5">
        <f t="shared" si="44"/>
        <v>0.3998144712430427</v>
      </c>
      <c r="O800" s="5">
        <v>4.2947368421052632</v>
      </c>
      <c r="P800" s="15">
        <f t="shared" si="45"/>
        <v>0.3784786641929499</v>
      </c>
    </row>
    <row r="801" spans="1:16" x14ac:dyDescent="0.25">
      <c r="A801" s="2" t="s">
        <v>47</v>
      </c>
      <c r="B801" s="2">
        <v>2013</v>
      </c>
      <c r="C801" s="2" t="s">
        <v>54</v>
      </c>
      <c r="D801" s="2" t="s">
        <v>44</v>
      </c>
      <c r="E801" s="2" t="s">
        <v>9</v>
      </c>
      <c r="F801" s="2" t="s">
        <v>48</v>
      </c>
      <c r="G801" s="2">
        <f t="shared" si="42"/>
        <v>0.33163265306122441</v>
      </c>
      <c r="H801" s="5">
        <v>4.3597560975609753</v>
      </c>
      <c r="I801" s="2">
        <v>82</v>
      </c>
      <c r="J801" s="57">
        <f>I801/Pondération!$J$144</f>
        <v>7.6066790352504632E-2</v>
      </c>
      <c r="K801" s="5">
        <v>4.3414634146341466</v>
      </c>
      <c r="L801" s="5">
        <f t="shared" si="43"/>
        <v>0.33024118738404451</v>
      </c>
      <c r="M801" s="5">
        <v>4.5121951219512191</v>
      </c>
      <c r="N801" s="5">
        <f t="shared" si="44"/>
        <v>0.34322820037105745</v>
      </c>
      <c r="O801" s="5">
        <v>4.2439024390243905</v>
      </c>
      <c r="P801" s="15">
        <f t="shared" si="45"/>
        <v>0.32282003710575136</v>
      </c>
    </row>
    <row r="802" spans="1:16" x14ac:dyDescent="0.25">
      <c r="A802" s="2" t="s">
        <v>47</v>
      </c>
      <c r="B802" s="2">
        <v>2013</v>
      </c>
      <c r="C802" s="2" t="s">
        <v>55</v>
      </c>
      <c r="D802" s="2" t="s">
        <v>44</v>
      </c>
      <c r="E802" s="2" t="s">
        <v>9</v>
      </c>
      <c r="F802" s="2" t="s">
        <v>48</v>
      </c>
      <c r="G802" s="2">
        <f t="shared" si="42"/>
        <v>0.48910018552875689</v>
      </c>
      <c r="H802" s="5">
        <v>4.5847826086956518</v>
      </c>
      <c r="I802" s="2">
        <v>115</v>
      </c>
      <c r="J802" s="57">
        <f>I802/Pondération!$J$144</f>
        <v>0.10667903525046382</v>
      </c>
      <c r="K802" s="5">
        <v>4.6173913043478265</v>
      </c>
      <c r="L802" s="5">
        <f t="shared" si="43"/>
        <v>0.4925788497217069</v>
      </c>
      <c r="M802" s="5">
        <v>4.5478260869565217</v>
      </c>
      <c r="N802" s="5">
        <f t="shared" si="44"/>
        <v>0.48515769944341375</v>
      </c>
      <c r="O802" s="5">
        <v>4.5565217391304351</v>
      </c>
      <c r="P802" s="15">
        <f t="shared" si="45"/>
        <v>0.48608534322820041</v>
      </c>
    </row>
    <row r="803" spans="1:16" x14ac:dyDescent="0.25">
      <c r="A803" s="2" t="s">
        <v>47</v>
      </c>
      <c r="B803" s="2">
        <v>2013</v>
      </c>
      <c r="C803" s="2" t="s">
        <v>56</v>
      </c>
      <c r="D803" s="2" t="s">
        <v>44</v>
      </c>
      <c r="E803" s="2" t="s">
        <v>9</v>
      </c>
      <c r="F803" s="2" t="s">
        <v>48</v>
      </c>
      <c r="G803" s="2">
        <f t="shared" si="42"/>
        <v>0.51878478664192951</v>
      </c>
      <c r="H803" s="5">
        <v>4.5467479674796749</v>
      </c>
      <c r="I803" s="2">
        <v>123</v>
      </c>
      <c r="J803" s="57">
        <f>I803/Pondération!$J$144</f>
        <v>0.11410018552875696</v>
      </c>
      <c r="K803" s="5">
        <v>4.5365853658536581</v>
      </c>
      <c r="L803" s="5">
        <f t="shared" si="43"/>
        <v>0.51762523191094612</v>
      </c>
      <c r="M803" s="5">
        <v>4.5853658536585362</v>
      </c>
      <c r="N803" s="5">
        <f t="shared" si="44"/>
        <v>0.52319109461966606</v>
      </c>
      <c r="O803" s="5">
        <v>4.5284552845528454</v>
      </c>
      <c r="P803" s="15">
        <f t="shared" si="45"/>
        <v>0.51669758812615951</v>
      </c>
    </row>
    <row r="804" spans="1:16" x14ac:dyDescent="0.25">
      <c r="A804" s="2" t="s">
        <v>47</v>
      </c>
      <c r="B804" s="2">
        <v>2013</v>
      </c>
      <c r="C804" s="2" t="s">
        <v>57</v>
      </c>
      <c r="D804" s="2" t="s">
        <v>44</v>
      </c>
      <c r="E804" s="2" t="s">
        <v>9</v>
      </c>
      <c r="F804" s="2" t="s">
        <v>48</v>
      </c>
      <c r="G804" s="2">
        <f t="shared" si="42"/>
        <v>0.36201298701298701</v>
      </c>
      <c r="H804" s="5">
        <v>4.485632183908046</v>
      </c>
      <c r="I804" s="2">
        <v>87</v>
      </c>
      <c r="J804" s="57">
        <f>I804/Pondération!$J$144</f>
        <v>8.0705009276437853E-2</v>
      </c>
      <c r="K804" s="5">
        <v>4.4942528735632186</v>
      </c>
      <c r="L804" s="5">
        <f t="shared" si="43"/>
        <v>0.36270871985157704</v>
      </c>
      <c r="M804" s="5">
        <v>4.5862068965517242</v>
      </c>
      <c r="N804" s="5">
        <f t="shared" si="44"/>
        <v>0.37012987012987014</v>
      </c>
      <c r="O804" s="5">
        <v>4.3678160919540234</v>
      </c>
      <c r="P804" s="15">
        <f t="shared" si="45"/>
        <v>0.35250463821892397</v>
      </c>
    </row>
    <row r="805" spans="1:16" x14ac:dyDescent="0.25">
      <c r="A805" s="2" t="s">
        <v>47</v>
      </c>
      <c r="B805" s="2">
        <v>2013</v>
      </c>
      <c r="C805" s="2" t="s">
        <v>58</v>
      </c>
      <c r="D805" s="2" t="s">
        <v>44</v>
      </c>
      <c r="E805" s="2" t="s">
        <v>9</v>
      </c>
      <c r="F805" s="2" t="s">
        <v>48</v>
      </c>
      <c r="G805" s="2">
        <f t="shared" si="42"/>
        <v>0.51298701298701299</v>
      </c>
      <c r="H805" s="5">
        <v>4.3888888888888893</v>
      </c>
      <c r="I805" s="2">
        <v>126</v>
      </c>
      <c r="J805" s="57">
        <f>I805/Pondération!$J$144</f>
        <v>0.11688311688311688</v>
      </c>
      <c r="K805" s="5">
        <v>4.4365079365079367</v>
      </c>
      <c r="L805" s="5">
        <f t="shared" si="43"/>
        <v>0.51855287569573283</v>
      </c>
      <c r="M805" s="5">
        <v>4.5079365079365079</v>
      </c>
      <c r="N805" s="5">
        <f t="shared" si="44"/>
        <v>0.52690166975881259</v>
      </c>
      <c r="O805" s="5">
        <v>4.1746031746031749</v>
      </c>
      <c r="P805" s="15">
        <f t="shared" si="45"/>
        <v>0.48794063079777367</v>
      </c>
    </row>
    <row r="806" spans="1:16" x14ac:dyDescent="0.25">
      <c r="A806" s="2" t="s">
        <v>47</v>
      </c>
      <c r="B806" s="2">
        <v>2013</v>
      </c>
      <c r="C806" s="2" t="s">
        <v>59</v>
      </c>
      <c r="D806" s="2" t="s">
        <v>44</v>
      </c>
      <c r="E806" s="2" t="s">
        <v>9</v>
      </c>
      <c r="F806" s="2" t="s">
        <v>48</v>
      </c>
      <c r="G806" s="2">
        <f t="shared" si="42"/>
        <v>0.43761595547309828</v>
      </c>
      <c r="H806" s="5">
        <v>4.3680555555555554</v>
      </c>
      <c r="I806" s="2">
        <v>108</v>
      </c>
      <c r="J806" s="57">
        <f>I806/Pondération!$J$144</f>
        <v>0.10018552875695733</v>
      </c>
      <c r="K806" s="5">
        <v>4.4537037037037033</v>
      </c>
      <c r="L806" s="5">
        <f t="shared" si="43"/>
        <v>0.44619666048237472</v>
      </c>
      <c r="M806" s="5">
        <v>4.416666666666667</v>
      </c>
      <c r="N806" s="5">
        <f t="shared" si="44"/>
        <v>0.4424860853432282</v>
      </c>
      <c r="O806" s="5">
        <v>4.1481481481481479</v>
      </c>
      <c r="P806" s="15">
        <f t="shared" si="45"/>
        <v>0.41558441558441556</v>
      </c>
    </row>
    <row r="807" spans="1:16" x14ac:dyDescent="0.25">
      <c r="A807" s="2" t="s">
        <v>47</v>
      </c>
      <c r="B807" s="2">
        <v>2013</v>
      </c>
      <c r="C807" s="2" t="s">
        <v>60</v>
      </c>
      <c r="D807" s="2" t="s">
        <v>44</v>
      </c>
      <c r="E807" s="2" t="s">
        <v>9</v>
      </c>
      <c r="F807" s="2" t="s">
        <v>48</v>
      </c>
      <c r="G807" s="2">
        <f t="shared" si="42"/>
        <v>0.35482374768089053</v>
      </c>
      <c r="H807" s="5">
        <v>4.3965517241379306</v>
      </c>
      <c r="I807" s="2">
        <v>87</v>
      </c>
      <c r="J807" s="57">
        <f>I807/Pondération!$J$144</f>
        <v>8.0705009276437853E-2</v>
      </c>
      <c r="K807" s="5">
        <v>4.3678160919540234</v>
      </c>
      <c r="L807" s="5">
        <f t="shared" si="43"/>
        <v>0.35250463821892397</v>
      </c>
      <c r="M807" s="5">
        <v>4.5402298850574709</v>
      </c>
      <c r="N807" s="5">
        <f t="shared" si="44"/>
        <v>0.36641929499072357</v>
      </c>
      <c r="O807" s="5">
        <v>4.3103448275862073</v>
      </c>
      <c r="P807" s="15">
        <f t="shared" si="45"/>
        <v>0.34786641929499079</v>
      </c>
    </row>
    <row r="808" spans="1:16" x14ac:dyDescent="0.25">
      <c r="A808" s="2" t="s">
        <v>47</v>
      </c>
      <c r="B808" s="2">
        <v>2014</v>
      </c>
      <c r="C808" s="2" t="s">
        <v>61</v>
      </c>
      <c r="D808" s="2" t="s">
        <v>44</v>
      </c>
      <c r="E808" s="2" t="s">
        <v>9</v>
      </c>
      <c r="F808" s="2" t="s">
        <v>48</v>
      </c>
      <c r="G808" s="2">
        <f t="shared" si="42"/>
        <v>0.32165231010180112</v>
      </c>
      <c r="H808" s="5">
        <v>4.416666666666667</v>
      </c>
      <c r="I808" s="2">
        <v>93</v>
      </c>
      <c r="J808" s="57">
        <f>I808/Pondération!$I$144</f>
        <v>7.2826938136256847E-2</v>
      </c>
      <c r="K808" s="5">
        <v>4.440860215053763</v>
      </c>
      <c r="L808" s="5">
        <f t="shared" si="43"/>
        <v>0.32341425215348468</v>
      </c>
      <c r="M808" s="5">
        <v>4.5268817204301079</v>
      </c>
      <c r="N808" s="5">
        <f t="shared" si="44"/>
        <v>0.32967893500391543</v>
      </c>
      <c r="O808" s="5">
        <v>4.258064516129032</v>
      </c>
      <c r="P808" s="15">
        <f t="shared" si="45"/>
        <v>0.31010180109631946</v>
      </c>
    </row>
    <row r="809" spans="1:16" x14ac:dyDescent="0.25">
      <c r="A809" s="2" t="s">
        <v>47</v>
      </c>
      <c r="B809" s="2">
        <v>2014</v>
      </c>
      <c r="C809" s="2" t="s">
        <v>62</v>
      </c>
      <c r="D809" s="2" t="s">
        <v>44</v>
      </c>
      <c r="E809" s="2" t="s">
        <v>9</v>
      </c>
      <c r="F809" s="2" t="s">
        <v>48</v>
      </c>
      <c r="G809" s="2">
        <f t="shared" si="42"/>
        <v>0.38097102584181675</v>
      </c>
      <c r="H809" s="5">
        <v>4.4633027522935782</v>
      </c>
      <c r="I809" s="2">
        <v>109</v>
      </c>
      <c r="J809" s="57">
        <f>I809/Pondération!$I$144</f>
        <v>8.5356303837118244E-2</v>
      </c>
      <c r="K809" s="5">
        <v>4.4954128440366974</v>
      </c>
      <c r="L809" s="5">
        <f t="shared" si="43"/>
        <v>0.3837118245888802</v>
      </c>
      <c r="M809" s="5">
        <v>4.5321100917431192</v>
      </c>
      <c r="N809" s="5">
        <f t="shared" si="44"/>
        <v>0.38684416601409555</v>
      </c>
      <c r="O809" s="5">
        <v>4.330275229357798</v>
      </c>
      <c r="P809" s="15">
        <f t="shared" si="45"/>
        <v>0.36961628817541109</v>
      </c>
    </row>
    <row r="810" spans="1:16" x14ac:dyDescent="0.25">
      <c r="A810" s="2" t="s">
        <v>47</v>
      </c>
      <c r="B810" s="2">
        <v>2014</v>
      </c>
      <c r="C810" s="2" t="s">
        <v>63</v>
      </c>
      <c r="D810" s="2" t="s">
        <v>44</v>
      </c>
      <c r="E810" s="2" t="s">
        <v>9</v>
      </c>
      <c r="F810" s="2" t="s">
        <v>48</v>
      </c>
      <c r="G810" s="2">
        <f t="shared" si="42"/>
        <v>0.27212216131558342</v>
      </c>
      <c r="H810" s="5">
        <v>4.5129870129870131</v>
      </c>
      <c r="I810" s="2">
        <v>77</v>
      </c>
      <c r="J810" s="57">
        <f>I810/Pondération!$I$144</f>
        <v>6.0297572435395456E-2</v>
      </c>
      <c r="K810" s="5">
        <v>4.5454545454545459</v>
      </c>
      <c r="L810" s="5">
        <f t="shared" si="43"/>
        <v>0.27407987470634299</v>
      </c>
      <c r="M810" s="5">
        <v>4.5324675324675328</v>
      </c>
      <c r="N810" s="5">
        <f t="shared" si="44"/>
        <v>0.27329678935003915</v>
      </c>
      <c r="O810" s="5">
        <v>4.4285714285714288</v>
      </c>
      <c r="P810" s="15">
        <f t="shared" si="45"/>
        <v>0.26703210649960846</v>
      </c>
    </row>
    <row r="811" spans="1:16" x14ac:dyDescent="0.25">
      <c r="A811" s="2" t="s">
        <v>47</v>
      </c>
      <c r="B811" s="2">
        <v>2014</v>
      </c>
      <c r="C811" s="2" t="s">
        <v>64</v>
      </c>
      <c r="D811" s="2" t="s">
        <v>44</v>
      </c>
      <c r="E811" s="2" t="s">
        <v>9</v>
      </c>
      <c r="F811" s="2" t="s">
        <v>48</v>
      </c>
      <c r="G811" s="2">
        <f t="shared" si="42"/>
        <v>0.36237274862960067</v>
      </c>
      <c r="H811" s="5">
        <v>4.4927184466019421</v>
      </c>
      <c r="I811" s="2">
        <v>103</v>
      </c>
      <c r="J811" s="57">
        <f>I811/Pondération!$I$144</f>
        <v>8.0657791699295225E-2</v>
      </c>
      <c r="K811" s="5">
        <v>4.4854368932038833</v>
      </c>
      <c r="L811" s="5">
        <f t="shared" si="43"/>
        <v>0.36178543461237272</v>
      </c>
      <c r="M811" s="5">
        <v>4.6601941747572813</v>
      </c>
      <c r="N811" s="5">
        <f t="shared" si="44"/>
        <v>0.37588097102584178</v>
      </c>
      <c r="O811" s="5">
        <v>4.3398058252427187</v>
      </c>
      <c r="P811" s="15">
        <f t="shared" si="45"/>
        <v>0.35003915426781523</v>
      </c>
    </row>
    <row r="812" spans="1:16" x14ac:dyDescent="0.25">
      <c r="A812" s="2" t="s">
        <v>47</v>
      </c>
      <c r="B812" s="2">
        <v>2014</v>
      </c>
      <c r="C812" s="2" t="s">
        <v>65</v>
      </c>
      <c r="D812" s="2" t="s">
        <v>44</v>
      </c>
      <c r="E812" s="2" t="s">
        <v>9</v>
      </c>
      <c r="F812" s="2" t="s">
        <v>48</v>
      </c>
      <c r="G812" s="2">
        <f t="shared" si="42"/>
        <v>0.34436178543461243</v>
      </c>
      <c r="H812" s="5">
        <v>4.4872448979591839</v>
      </c>
      <c r="I812" s="2">
        <v>98</v>
      </c>
      <c r="J812" s="57">
        <f>I812/Pondération!$I$144</f>
        <v>7.6742364917776043E-2</v>
      </c>
      <c r="K812" s="5">
        <v>4.5408163265306118</v>
      </c>
      <c r="L812" s="5">
        <f t="shared" si="43"/>
        <v>0.34847298355520751</v>
      </c>
      <c r="M812" s="5">
        <v>4.6020408163265305</v>
      </c>
      <c r="N812" s="5">
        <f t="shared" si="44"/>
        <v>0.35317149569303058</v>
      </c>
      <c r="O812" s="5">
        <v>4.2653061224489797</v>
      </c>
      <c r="P812" s="15">
        <f t="shared" si="45"/>
        <v>0.32732967893500392</v>
      </c>
    </row>
    <row r="813" spans="1:16" x14ac:dyDescent="0.25">
      <c r="A813" s="2" t="s">
        <v>47</v>
      </c>
      <c r="B813" s="2">
        <v>2014</v>
      </c>
      <c r="C813" s="2" t="s">
        <v>66</v>
      </c>
      <c r="D813" s="2" t="s">
        <v>44</v>
      </c>
      <c r="E813" s="2" t="s">
        <v>9</v>
      </c>
      <c r="F813" s="2" t="s">
        <v>48</v>
      </c>
      <c r="G813" s="2">
        <f t="shared" si="42"/>
        <v>0.23962411902897415</v>
      </c>
      <c r="H813" s="5">
        <v>4.5</v>
      </c>
      <c r="I813" s="2">
        <v>68</v>
      </c>
      <c r="J813" s="57">
        <f>I813/Pondération!$I$144</f>
        <v>5.3249804228660921E-2</v>
      </c>
      <c r="K813" s="5">
        <v>4.5441176470588234</v>
      </c>
      <c r="L813" s="5">
        <f t="shared" si="43"/>
        <v>0.24197337509788566</v>
      </c>
      <c r="M813" s="5">
        <v>4.5882352941176467</v>
      </c>
      <c r="N813" s="5">
        <f t="shared" si="44"/>
        <v>0.24432263116679714</v>
      </c>
      <c r="O813" s="5">
        <v>4.3235294117647056</v>
      </c>
      <c r="P813" s="15">
        <f t="shared" si="45"/>
        <v>0.23022709475332809</v>
      </c>
    </row>
    <row r="814" spans="1:16" x14ac:dyDescent="0.25">
      <c r="A814" s="2" t="s">
        <v>47</v>
      </c>
      <c r="B814" s="2">
        <v>2014</v>
      </c>
      <c r="C814" s="2" t="s">
        <v>67</v>
      </c>
      <c r="D814" s="2" t="s">
        <v>44</v>
      </c>
      <c r="E814" s="2" t="s">
        <v>9</v>
      </c>
      <c r="F814" s="2" t="s">
        <v>48</v>
      </c>
      <c r="G814" s="2">
        <f t="shared" si="42"/>
        <v>0.45144870790916208</v>
      </c>
      <c r="H814" s="5">
        <v>4.5393700787401574</v>
      </c>
      <c r="I814" s="2">
        <v>127</v>
      </c>
      <c r="J814" s="57">
        <f>I814/Pondération!$I$144</f>
        <v>9.9451840250587314E-2</v>
      </c>
      <c r="K814" s="5">
        <v>4.5590551181102361</v>
      </c>
      <c r="L814" s="5">
        <f t="shared" si="43"/>
        <v>0.4534064212999217</v>
      </c>
      <c r="M814" s="5">
        <v>4.6377952755905509</v>
      </c>
      <c r="N814" s="5">
        <f t="shared" si="44"/>
        <v>0.46123727486296007</v>
      </c>
      <c r="O814" s="5">
        <v>4.4015748031496065</v>
      </c>
      <c r="P814" s="15">
        <f t="shared" si="45"/>
        <v>0.43774471417384497</v>
      </c>
    </row>
    <row r="815" spans="1:16" x14ac:dyDescent="0.25">
      <c r="A815" s="2" t="s">
        <v>47</v>
      </c>
      <c r="B815" s="2">
        <v>2014</v>
      </c>
      <c r="C815" s="2" t="s">
        <v>68</v>
      </c>
      <c r="D815" s="2" t="s">
        <v>44</v>
      </c>
      <c r="E815" s="2" t="s">
        <v>9</v>
      </c>
      <c r="F815" s="2" t="s">
        <v>48</v>
      </c>
      <c r="G815" s="2">
        <f t="shared" si="42"/>
        <v>0.5350430696945967</v>
      </c>
      <c r="H815" s="5">
        <v>4.4366883116883118</v>
      </c>
      <c r="I815" s="2">
        <v>154</v>
      </c>
      <c r="J815" s="57">
        <f>I815/Pondération!$I$144</f>
        <v>0.12059514487079091</v>
      </c>
      <c r="K815" s="5">
        <v>4.4415584415584419</v>
      </c>
      <c r="L815" s="5">
        <f t="shared" si="43"/>
        <v>0.53563038371182459</v>
      </c>
      <c r="M815" s="5">
        <v>4.4870129870129869</v>
      </c>
      <c r="N815" s="5">
        <f t="shared" si="44"/>
        <v>0.54111198120595139</v>
      </c>
      <c r="O815" s="5">
        <v>4.3766233766233764</v>
      </c>
      <c r="P815" s="15">
        <f t="shared" si="45"/>
        <v>0.52779953014878622</v>
      </c>
    </row>
    <row r="816" spans="1:16" x14ac:dyDescent="0.25">
      <c r="A816" s="2" t="s">
        <v>47</v>
      </c>
      <c r="B816" s="2">
        <v>2014</v>
      </c>
      <c r="C816" s="2" t="s">
        <v>69</v>
      </c>
      <c r="D816" s="2" t="s">
        <v>44</v>
      </c>
      <c r="E816" s="2" t="s">
        <v>9</v>
      </c>
      <c r="F816" s="2" t="s">
        <v>48</v>
      </c>
      <c r="G816" s="2">
        <f t="shared" si="42"/>
        <v>0.38057948316366486</v>
      </c>
      <c r="H816" s="5">
        <v>4.4587155963302756</v>
      </c>
      <c r="I816" s="2">
        <v>109</v>
      </c>
      <c r="J816" s="57">
        <f>I816/Pondération!$I$144</f>
        <v>8.5356303837118244E-2</v>
      </c>
      <c r="K816" s="5">
        <v>4.431192660550459</v>
      </c>
      <c r="L816" s="5">
        <f t="shared" si="43"/>
        <v>0.37823022709475335</v>
      </c>
      <c r="M816" s="5">
        <v>4.6055045871559637</v>
      </c>
      <c r="N816" s="5">
        <f t="shared" si="44"/>
        <v>0.39310884886452624</v>
      </c>
      <c r="O816" s="5">
        <v>4.3669724770642198</v>
      </c>
      <c r="P816" s="15">
        <f t="shared" si="45"/>
        <v>0.37274862960062644</v>
      </c>
    </row>
    <row r="817" spans="1:16" x14ac:dyDescent="0.25">
      <c r="A817" s="2" t="s">
        <v>47</v>
      </c>
      <c r="B817" s="2">
        <v>2014</v>
      </c>
      <c r="C817" s="2" t="s">
        <v>70</v>
      </c>
      <c r="D817" s="2" t="s">
        <v>44</v>
      </c>
      <c r="E817" s="2" t="s">
        <v>9</v>
      </c>
      <c r="F817" s="2" t="s">
        <v>48</v>
      </c>
      <c r="G817" s="2">
        <f t="shared" si="42"/>
        <v>0.43911511354737665</v>
      </c>
      <c r="H817" s="5">
        <v>4.4859999999999998</v>
      </c>
      <c r="I817" s="2">
        <v>125</v>
      </c>
      <c r="J817" s="57">
        <f>I817/Pondération!$I$144</f>
        <v>9.7885669537979642E-2</v>
      </c>
      <c r="K817" s="5">
        <v>4.4800000000000004</v>
      </c>
      <c r="L817" s="5">
        <f t="shared" si="43"/>
        <v>0.43852779953014881</v>
      </c>
      <c r="M817" s="5">
        <v>4.5999999999999996</v>
      </c>
      <c r="N817" s="5">
        <f t="shared" si="44"/>
        <v>0.4502740798747063</v>
      </c>
      <c r="O817" s="5">
        <v>4.3840000000000003</v>
      </c>
      <c r="P817" s="15">
        <f t="shared" si="45"/>
        <v>0.42913077525450277</v>
      </c>
    </row>
    <row r="818" spans="1:16" x14ac:dyDescent="0.25">
      <c r="A818" s="2" t="s">
        <v>47</v>
      </c>
      <c r="B818" s="2">
        <v>2014</v>
      </c>
      <c r="C818" s="2" t="s">
        <v>71</v>
      </c>
      <c r="D818" s="2" t="s">
        <v>44</v>
      </c>
      <c r="E818" s="2" t="s">
        <v>9</v>
      </c>
      <c r="F818" s="2" t="s">
        <v>48</v>
      </c>
      <c r="G818" s="2">
        <f t="shared" si="42"/>
        <v>0.35787000783085354</v>
      </c>
      <c r="H818" s="5">
        <v>4.3942307692307692</v>
      </c>
      <c r="I818" s="2">
        <v>104</v>
      </c>
      <c r="J818" s="57">
        <f>I818/Pondération!$I$144</f>
        <v>8.1440877055599062E-2</v>
      </c>
      <c r="K818" s="5">
        <v>4.4134615384615383</v>
      </c>
      <c r="L818" s="5">
        <f t="shared" si="43"/>
        <v>0.35943617854346122</v>
      </c>
      <c r="M818" s="5">
        <v>4.5288461538461542</v>
      </c>
      <c r="N818" s="5">
        <f t="shared" si="44"/>
        <v>0.36883320281910731</v>
      </c>
      <c r="O818" s="5">
        <v>4.2211538461538458</v>
      </c>
      <c r="P818" s="15">
        <f t="shared" si="45"/>
        <v>0.34377447141738449</v>
      </c>
    </row>
    <row r="819" spans="1:16" x14ac:dyDescent="0.25">
      <c r="A819" s="2" t="s">
        <v>47</v>
      </c>
      <c r="B819" s="2">
        <v>2014</v>
      </c>
      <c r="C819" s="2" t="s">
        <v>72</v>
      </c>
      <c r="D819" s="2" t="s">
        <v>44</v>
      </c>
      <c r="E819" s="2" t="s">
        <v>9</v>
      </c>
      <c r="F819" s="2" t="s">
        <v>48</v>
      </c>
      <c r="G819" s="2">
        <f t="shared" si="42"/>
        <v>0.37705559906029756</v>
      </c>
      <c r="H819" s="5">
        <v>4.377272727272727</v>
      </c>
      <c r="I819" s="2">
        <v>110</v>
      </c>
      <c r="J819" s="57">
        <f>I819/Pondération!$I$144</f>
        <v>8.6139389193422081E-2</v>
      </c>
      <c r="K819" s="5">
        <v>4.3181818181818183</v>
      </c>
      <c r="L819" s="5">
        <f t="shared" si="43"/>
        <v>0.37196554424432265</v>
      </c>
      <c r="M819" s="5">
        <v>4.5636363636363635</v>
      </c>
      <c r="N819" s="5">
        <f t="shared" si="44"/>
        <v>0.39310884886452618</v>
      </c>
      <c r="O819" s="5">
        <v>4.3090909090909095</v>
      </c>
      <c r="P819" s="15">
        <f t="shared" si="45"/>
        <v>0.37118245888801882</v>
      </c>
    </row>
    <row r="820" spans="1:16" x14ac:dyDescent="0.25">
      <c r="A820" s="2" t="s">
        <v>47</v>
      </c>
      <c r="B820" s="2">
        <v>2015</v>
      </c>
      <c r="C820" s="2" t="s">
        <v>73</v>
      </c>
      <c r="D820" s="2" t="s">
        <v>44</v>
      </c>
      <c r="E820" s="2" t="s">
        <v>9</v>
      </c>
      <c r="F820" s="2" t="s">
        <v>48</v>
      </c>
      <c r="G820" s="2">
        <f t="shared" si="42"/>
        <v>0.17370996441281139</v>
      </c>
      <c r="H820" s="5">
        <v>4.4885057471264371</v>
      </c>
      <c r="I820" s="2">
        <v>87</v>
      </c>
      <c r="J820" s="57">
        <f>I820/Pondération!$H$144</f>
        <v>3.8701067615658363E-2</v>
      </c>
      <c r="K820" s="5">
        <v>4.4942528735632186</v>
      </c>
      <c r="L820" s="5">
        <f t="shared" si="43"/>
        <v>0.17393238434163702</v>
      </c>
      <c r="M820" s="5">
        <v>4.6551724137931032</v>
      </c>
      <c r="N820" s="5">
        <f t="shared" si="44"/>
        <v>0.18016014234875444</v>
      </c>
      <c r="O820" s="5">
        <v>4.3103448275862073</v>
      </c>
      <c r="P820" s="15">
        <f t="shared" si="45"/>
        <v>0.16681494661921709</v>
      </c>
    </row>
    <row r="821" spans="1:16" x14ac:dyDescent="0.25">
      <c r="A821" s="2" t="s">
        <v>47</v>
      </c>
      <c r="B821" s="2">
        <v>2015</v>
      </c>
      <c r="C821" s="2" t="s">
        <v>74</v>
      </c>
      <c r="D821" s="2" t="s">
        <v>44</v>
      </c>
      <c r="E821" s="2" t="s">
        <v>9</v>
      </c>
      <c r="F821" s="2" t="s">
        <v>48</v>
      </c>
      <c r="G821" s="2">
        <f t="shared" si="42"/>
        <v>0.31327846975088969</v>
      </c>
      <c r="H821" s="5">
        <v>4.3742236024844718</v>
      </c>
      <c r="I821" s="2">
        <v>161</v>
      </c>
      <c r="J821" s="57">
        <f>I821/Pondération!$H$144</f>
        <v>7.1619217081850539E-2</v>
      </c>
      <c r="K821" s="5">
        <v>4.341614906832298</v>
      </c>
      <c r="L821" s="5">
        <f t="shared" si="43"/>
        <v>0.31094306049822068</v>
      </c>
      <c r="M821" s="5">
        <v>4.5279503105590067</v>
      </c>
      <c r="N821" s="5">
        <f t="shared" si="44"/>
        <v>0.32428825622775809</v>
      </c>
      <c r="O821" s="5">
        <v>4.2857142857142856</v>
      </c>
      <c r="P821" s="15">
        <f t="shared" si="45"/>
        <v>0.30693950177935947</v>
      </c>
    </row>
    <row r="822" spans="1:16" x14ac:dyDescent="0.25">
      <c r="A822" s="2" t="s">
        <v>47</v>
      </c>
      <c r="B822" s="2">
        <v>2015</v>
      </c>
      <c r="C822" s="2" t="s">
        <v>75</v>
      </c>
      <c r="D822" s="2" t="s">
        <v>44</v>
      </c>
      <c r="E822" s="2" t="s">
        <v>9</v>
      </c>
      <c r="F822" s="2" t="s">
        <v>48</v>
      </c>
      <c r="G822" s="2">
        <f t="shared" si="42"/>
        <v>0.26189946619217086</v>
      </c>
      <c r="H822" s="5">
        <v>4.3936567164179108</v>
      </c>
      <c r="I822" s="2">
        <v>134</v>
      </c>
      <c r="J822" s="57">
        <f>I822/Pondération!$H$144</f>
        <v>5.9608540925266906E-2</v>
      </c>
      <c r="K822" s="5">
        <v>4.3805970149253728</v>
      </c>
      <c r="L822" s="5">
        <f t="shared" si="43"/>
        <v>0.26112099644128112</v>
      </c>
      <c r="M822" s="5">
        <v>4.5522388059701493</v>
      </c>
      <c r="N822" s="5">
        <f t="shared" si="44"/>
        <v>0.27135231316725977</v>
      </c>
      <c r="O822" s="5">
        <v>4.2611940298507465</v>
      </c>
      <c r="P822" s="15">
        <f t="shared" si="45"/>
        <v>0.25400355871886121</v>
      </c>
    </row>
    <row r="823" spans="1:16" x14ac:dyDescent="0.25">
      <c r="A823" s="2" t="s">
        <v>47</v>
      </c>
      <c r="B823" s="2">
        <v>2015</v>
      </c>
      <c r="C823" s="2" t="s">
        <v>76</v>
      </c>
      <c r="D823" s="2" t="s">
        <v>44</v>
      </c>
      <c r="E823" s="2" t="s">
        <v>9</v>
      </c>
      <c r="F823" s="2" t="s">
        <v>48</v>
      </c>
      <c r="G823" s="2">
        <f t="shared" si="42"/>
        <v>0.28136120996441283</v>
      </c>
      <c r="H823" s="5">
        <v>4.3321917808219181</v>
      </c>
      <c r="I823" s="2">
        <v>146</v>
      </c>
      <c r="J823" s="57">
        <f>I823/Pondération!$H$144</f>
        <v>6.494661921708185E-2</v>
      </c>
      <c r="K823" s="5">
        <v>4.3835616438356162</v>
      </c>
      <c r="L823" s="5">
        <f t="shared" si="43"/>
        <v>0.28469750889679712</v>
      </c>
      <c r="M823" s="5">
        <v>4.4589041095890414</v>
      </c>
      <c r="N823" s="5">
        <f t="shared" si="44"/>
        <v>0.28959074733096085</v>
      </c>
      <c r="O823" s="5">
        <v>4.102739726027397</v>
      </c>
      <c r="P823" s="15">
        <f t="shared" si="45"/>
        <v>0.26645907473309605</v>
      </c>
    </row>
    <row r="824" spans="1:16" x14ac:dyDescent="0.25">
      <c r="A824" s="2" t="s">
        <v>47</v>
      </c>
      <c r="B824" s="2">
        <v>2015</v>
      </c>
      <c r="C824" s="2" t="s">
        <v>7</v>
      </c>
      <c r="D824" s="2" t="s">
        <v>44</v>
      </c>
      <c r="E824" s="2" t="s">
        <v>9</v>
      </c>
      <c r="F824" s="2" t="s">
        <v>48</v>
      </c>
      <c r="G824" s="2">
        <f t="shared" si="42"/>
        <v>0.47653469750889682</v>
      </c>
      <c r="H824" s="5">
        <v>4.463541666666667</v>
      </c>
      <c r="I824" s="2">
        <v>240</v>
      </c>
      <c r="J824" s="57">
        <f>I824/Pondération!$H$144</f>
        <v>0.10676156583629894</v>
      </c>
      <c r="K824" s="5">
        <v>4.4625000000000004</v>
      </c>
      <c r="L824" s="5">
        <f t="shared" si="43"/>
        <v>0.47642348754448405</v>
      </c>
      <c r="M824" s="5">
        <v>4.5999999999999996</v>
      </c>
      <c r="N824" s="5">
        <f t="shared" si="44"/>
        <v>0.49110320284697506</v>
      </c>
      <c r="O824" s="5">
        <v>4.3291666666666666</v>
      </c>
      <c r="P824" s="15">
        <f t="shared" si="45"/>
        <v>0.46218861209964412</v>
      </c>
    </row>
    <row r="825" spans="1:16" x14ac:dyDescent="0.25">
      <c r="A825" s="2" t="s">
        <v>47</v>
      </c>
      <c r="B825" s="2">
        <v>2015</v>
      </c>
      <c r="C825" s="2" t="s">
        <v>11</v>
      </c>
      <c r="D825" s="2" t="s">
        <v>44</v>
      </c>
      <c r="E825" s="2" t="s">
        <v>9</v>
      </c>
      <c r="F825" s="2" t="s">
        <v>48</v>
      </c>
      <c r="G825" s="2">
        <f t="shared" si="42"/>
        <v>0.3383007117437723</v>
      </c>
      <c r="H825" s="5">
        <v>4.473529411764706</v>
      </c>
      <c r="I825" s="2">
        <v>170</v>
      </c>
      <c r="J825" s="57">
        <f>I825/Pondération!$H$144</f>
        <v>7.562277580071175E-2</v>
      </c>
      <c r="K825" s="5">
        <v>4.5176470588235293</v>
      </c>
      <c r="L825" s="5">
        <f t="shared" si="43"/>
        <v>0.34163701067615659</v>
      </c>
      <c r="M825" s="5">
        <v>4.4823529411764707</v>
      </c>
      <c r="N825" s="5">
        <f t="shared" si="44"/>
        <v>0.33896797153024916</v>
      </c>
      <c r="O825" s="5">
        <v>4.3764705882352946</v>
      </c>
      <c r="P825" s="15">
        <f t="shared" si="45"/>
        <v>0.33096085409252674</v>
      </c>
    </row>
    <row r="826" spans="1:16" x14ac:dyDescent="0.25">
      <c r="A826" s="2" t="s">
        <v>47</v>
      </c>
      <c r="B826" s="2">
        <v>2015</v>
      </c>
      <c r="C826" s="2" t="s">
        <v>12</v>
      </c>
      <c r="D826" s="2" t="s">
        <v>44</v>
      </c>
      <c r="E826" s="2" t="s">
        <v>9</v>
      </c>
      <c r="F826" s="2" t="s">
        <v>48</v>
      </c>
      <c r="G826" s="2">
        <f t="shared" si="42"/>
        <v>0.44806494661921703</v>
      </c>
      <c r="H826" s="5">
        <v>4.456858407079646</v>
      </c>
      <c r="I826" s="2">
        <v>226</v>
      </c>
      <c r="J826" s="57">
        <f>I826/Pondération!$H$144</f>
        <v>0.10053380782918149</v>
      </c>
      <c r="K826" s="5">
        <v>4.4690265486725664</v>
      </c>
      <c r="L826" s="5">
        <f t="shared" si="43"/>
        <v>0.44928825622775798</v>
      </c>
      <c r="M826" s="5">
        <v>4.5442477876106198</v>
      </c>
      <c r="N826" s="5">
        <f t="shared" si="44"/>
        <v>0.4568505338078292</v>
      </c>
      <c r="O826" s="5">
        <v>4.3451327433628322</v>
      </c>
      <c r="P826" s="15">
        <f t="shared" si="45"/>
        <v>0.43683274021352314</v>
      </c>
    </row>
    <row r="827" spans="1:16" x14ac:dyDescent="0.25">
      <c r="A827" s="2" t="s">
        <v>47</v>
      </c>
      <c r="B827" s="2">
        <v>2015</v>
      </c>
      <c r="C827" s="2" t="s">
        <v>13</v>
      </c>
      <c r="D827" s="2" t="s">
        <v>44</v>
      </c>
      <c r="E827" s="2" t="s">
        <v>9</v>
      </c>
      <c r="F827" s="2" t="s">
        <v>48</v>
      </c>
      <c r="G827" s="2">
        <f t="shared" si="42"/>
        <v>0.52324288256227758</v>
      </c>
      <c r="H827" s="5">
        <v>4.3889925373134329</v>
      </c>
      <c r="I827" s="2">
        <v>268</v>
      </c>
      <c r="J827" s="57">
        <f>I827/Pondération!$H$144</f>
        <v>0.11921708185053381</v>
      </c>
      <c r="K827" s="5">
        <v>4.3955223880597014</v>
      </c>
      <c r="L827" s="5">
        <f t="shared" si="43"/>
        <v>0.52402135231316727</v>
      </c>
      <c r="M827" s="5">
        <v>4.4029850746268657</v>
      </c>
      <c r="N827" s="5">
        <f t="shared" si="44"/>
        <v>0.52491103202846978</v>
      </c>
      <c r="O827" s="5">
        <v>4.3619402985074629</v>
      </c>
      <c r="P827" s="15">
        <f t="shared" si="45"/>
        <v>0.52001779359430611</v>
      </c>
    </row>
    <row r="828" spans="1:16" x14ac:dyDescent="0.25">
      <c r="A828" s="2" t="s">
        <v>47</v>
      </c>
      <c r="B828" s="2">
        <v>2015</v>
      </c>
      <c r="C828" s="2" t="s">
        <v>14</v>
      </c>
      <c r="D828" s="2" t="s">
        <v>44</v>
      </c>
      <c r="E828" s="2" t="s">
        <v>9</v>
      </c>
      <c r="F828" s="2" t="s">
        <v>48</v>
      </c>
      <c r="G828" s="2">
        <f t="shared" si="42"/>
        <v>0.40013345195729533</v>
      </c>
      <c r="H828" s="5">
        <v>4.3878048780487804</v>
      </c>
      <c r="I828" s="2">
        <v>205</v>
      </c>
      <c r="J828" s="57">
        <f>I828/Pondération!$H$144</f>
        <v>9.1192170818505336E-2</v>
      </c>
      <c r="K828" s="5">
        <v>4.3658536585365857</v>
      </c>
      <c r="L828" s="5">
        <f t="shared" si="43"/>
        <v>0.39813167259786481</v>
      </c>
      <c r="M828" s="5">
        <v>4.5121951219512191</v>
      </c>
      <c r="N828" s="5">
        <f t="shared" si="44"/>
        <v>0.4114768683274021</v>
      </c>
      <c r="O828" s="5">
        <v>4.307317073170732</v>
      </c>
      <c r="P828" s="15">
        <f t="shared" si="45"/>
        <v>0.39279359430604982</v>
      </c>
    </row>
    <row r="829" spans="1:16" x14ac:dyDescent="0.25">
      <c r="A829" s="2" t="s">
        <v>47</v>
      </c>
      <c r="B829" s="2">
        <v>2015</v>
      </c>
      <c r="C829" s="2" t="s">
        <v>15</v>
      </c>
      <c r="D829" s="2" t="s">
        <v>44</v>
      </c>
      <c r="E829" s="2" t="s">
        <v>9</v>
      </c>
      <c r="F829" s="2" t="s">
        <v>48</v>
      </c>
      <c r="G829" s="2">
        <f t="shared" si="42"/>
        <v>0.41637010676156588</v>
      </c>
      <c r="H829" s="5">
        <v>4.4150943396226419</v>
      </c>
      <c r="I829" s="2">
        <v>212</v>
      </c>
      <c r="J829" s="57">
        <f>I829/Pondération!$H$144</f>
        <v>9.4306049822064059E-2</v>
      </c>
      <c r="K829" s="5">
        <v>4.4245283018867925</v>
      </c>
      <c r="L829" s="5">
        <f t="shared" si="43"/>
        <v>0.41725978647686834</v>
      </c>
      <c r="M829" s="5">
        <v>4.5094339622641506</v>
      </c>
      <c r="N829" s="5">
        <f t="shared" si="44"/>
        <v>0.42526690391459071</v>
      </c>
      <c r="O829" s="5">
        <v>4.3018867924528301</v>
      </c>
      <c r="P829" s="15">
        <f t="shared" si="45"/>
        <v>0.40569395017793597</v>
      </c>
    </row>
    <row r="830" spans="1:16" x14ac:dyDescent="0.25">
      <c r="A830" s="2" t="s">
        <v>47</v>
      </c>
      <c r="B830" s="2">
        <v>2015</v>
      </c>
      <c r="C830" s="2" t="s">
        <v>16</v>
      </c>
      <c r="D830" s="2" t="s">
        <v>44</v>
      </c>
      <c r="E830" s="2" t="s">
        <v>9</v>
      </c>
      <c r="F830" s="2" t="s">
        <v>48</v>
      </c>
      <c r="G830" s="2">
        <f t="shared" si="42"/>
        <v>0.3275133451957295</v>
      </c>
      <c r="H830" s="5">
        <v>4.4352409638554215</v>
      </c>
      <c r="I830" s="2">
        <v>166</v>
      </c>
      <c r="J830" s="57">
        <f>I830/Pondération!$H$144</f>
        <v>7.384341637010676E-2</v>
      </c>
      <c r="K830" s="5">
        <v>4.427710843373494</v>
      </c>
      <c r="L830" s="5">
        <f t="shared" si="43"/>
        <v>0.32695729537366547</v>
      </c>
      <c r="M830" s="5">
        <v>4.5662650602409638</v>
      </c>
      <c r="N830" s="5">
        <f t="shared" si="44"/>
        <v>0.33718861209964412</v>
      </c>
      <c r="O830" s="5">
        <v>4.3192771084337354</v>
      </c>
      <c r="P830" s="15">
        <f t="shared" si="45"/>
        <v>0.3189501779359431</v>
      </c>
    </row>
    <row r="831" spans="1:16" x14ac:dyDescent="0.25">
      <c r="A831" s="2" t="s">
        <v>47</v>
      </c>
      <c r="B831" s="2">
        <v>2015</v>
      </c>
      <c r="C831" s="2" t="s">
        <v>17</v>
      </c>
      <c r="D831" s="2" t="s">
        <v>44</v>
      </c>
      <c r="E831" s="2" t="s">
        <v>9</v>
      </c>
      <c r="F831" s="2" t="s">
        <v>48</v>
      </c>
      <c r="G831" s="2">
        <f t="shared" si="42"/>
        <v>0.45662811387900359</v>
      </c>
      <c r="H831" s="5">
        <v>4.4055793991416312</v>
      </c>
      <c r="I831" s="2">
        <v>233</v>
      </c>
      <c r="J831" s="57">
        <f>I831/Pondération!$H$144</f>
        <v>0.10364768683274021</v>
      </c>
      <c r="K831" s="5">
        <v>4.4549356223175964</v>
      </c>
      <c r="L831" s="5">
        <f t="shared" si="43"/>
        <v>0.46174377224199287</v>
      </c>
      <c r="M831" s="5">
        <v>4.4849785407725324</v>
      </c>
      <c r="N831" s="5">
        <f t="shared" si="44"/>
        <v>0.46485765124555162</v>
      </c>
      <c r="O831" s="5">
        <v>4.2274678111587987</v>
      </c>
      <c r="P831" s="15">
        <f t="shared" si="45"/>
        <v>0.43816725978647691</v>
      </c>
    </row>
    <row r="832" spans="1:16" x14ac:dyDescent="0.25">
      <c r="A832" s="2" t="s">
        <v>47</v>
      </c>
      <c r="B832" s="2">
        <v>2016</v>
      </c>
      <c r="C832" s="2" t="s">
        <v>18</v>
      </c>
      <c r="D832" s="2" t="s">
        <v>44</v>
      </c>
      <c r="E832" s="2" t="s">
        <v>9</v>
      </c>
      <c r="F832" s="2" t="s">
        <v>48</v>
      </c>
      <c r="G832" s="2">
        <f t="shared" si="42"/>
        <v>3.9953815903790754E-2</v>
      </c>
      <c r="H832" s="5">
        <v>4.4807692307692308</v>
      </c>
      <c r="I832" s="2">
        <v>195</v>
      </c>
      <c r="J832" s="57">
        <f>I832/Pondération!$G$143</f>
        <v>8.9167314463395667E-3</v>
      </c>
      <c r="K832" s="5">
        <v>4.4923076923076923</v>
      </c>
      <c r="L832" s="5">
        <f t="shared" si="43"/>
        <v>4.0056701266633132E-2</v>
      </c>
      <c r="M832" s="5">
        <v>4.6410256410256414</v>
      </c>
      <c r="N832" s="5">
        <f t="shared" si="44"/>
        <v>4.1382779276601583E-2</v>
      </c>
      <c r="O832" s="5">
        <v>4.2974358974358973</v>
      </c>
      <c r="P832" s="15">
        <f t="shared" si="45"/>
        <v>3.8319081805295162E-2</v>
      </c>
    </row>
    <row r="833" spans="1:16" x14ac:dyDescent="0.25">
      <c r="A833" s="2" t="s">
        <v>47</v>
      </c>
      <c r="B833" s="2">
        <v>2016</v>
      </c>
      <c r="C833" s="2" t="s">
        <v>19</v>
      </c>
      <c r="D833" s="2" t="s">
        <v>44</v>
      </c>
      <c r="E833" s="2" t="s">
        <v>9</v>
      </c>
      <c r="F833" s="2" t="s">
        <v>48</v>
      </c>
      <c r="G833" s="2">
        <f t="shared" si="42"/>
        <v>5.9810690932370021E-2</v>
      </c>
      <c r="H833" s="5">
        <v>4.3892617449664426</v>
      </c>
      <c r="I833" s="2">
        <v>298</v>
      </c>
      <c r="J833" s="57">
        <f>I833/Pondération!$G$143</f>
        <v>1.3626594723124058E-2</v>
      </c>
      <c r="K833" s="5">
        <v>4.4060402684563762</v>
      </c>
      <c r="L833" s="5">
        <f t="shared" si="43"/>
        <v>6.0039325072019763E-2</v>
      </c>
      <c r="M833" s="5">
        <v>4.5067114093959733</v>
      </c>
      <c r="N833" s="5">
        <f t="shared" si="44"/>
        <v>6.1411129909918157E-2</v>
      </c>
      <c r="O833" s="5">
        <v>4.2382550335570466</v>
      </c>
      <c r="P833" s="15">
        <f t="shared" si="45"/>
        <v>5.775298367552243E-2</v>
      </c>
    </row>
    <row r="834" spans="1:16" x14ac:dyDescent="0.25">
      <c r="A834" s="2" t="s">
        <v>47</v>
      </c>
      <c r="B834" s="2">
        <v>2016</v>
      </c>
      <c r="C834" s="2" t="s">
        <v>20</v>
      </c>
      <c r="D834" s="2" t="s">
        <v>44</v>
      </c>
      <c r="E834" s="2" t="s">
        <v>9</v>
      </c>
      <c r="F834" s="2" t="s">
        <v>48</v>
      </c>
      <c r="G834" s="2">
        <f t="shared" ref="G834:G897" si="46">H834*J834</f>
        <v>4.4034935296538479E-2</v>
      </c>
      <c r="H834" s="5">
        <v>4.458333333333333</v>
      </c>
      <c r="I834" s="2">
        <v>216</v>
      </c>
      <c r="J834" s="57">
        <f>I834/Pondération!$G$143</f>
        <v>9.8769948328684444E-3</v>
      </c>
      <c r="K834" s="5">
        <v>4.5092592592592595</v>
      </c>
      <c r="L834" s="5">
        <f t="shared" si="43"/>
        <v>4.4537930403767897E-2</v>
      </c>
      <c r="M834" s="5">
        <v>4.5787037037037033</v>
      </c>
      <c r="N834" s="5">
        <f t="shared" si="44"/>
        <v>4.5223832822717087E-2</v>
      </c>
      <c r="O834" s="5">
        <v>4.2361111111111107</v>
      </c>
      <c r="P834" s="15">
        <f t="shared" si="45"/>
        <v>4.1840047555901046E-2</v>
      </c>
    </row>
    <row r="835" spans="1:16" x14ac:dyDescent="0.25">
      <c r="A835" s="2" t="s">
        <v>47</v>
      </c>
      <c r="B835" s="2">
        <v>2016</v>
      </c>
      <c r="C835" s="2" t="s">
        <v>21</v>
      </c>
      <c r="D835" s="2" t="s">
        <v>44</v>
      </c>
      <c r="E835" s="2" t="s">
        <v>9</v>
      </c>
      <c r="F835" s="2" t="s">
        <v>48</v>
      </c>
      <c r="G835" s="2">
        <f t="shared" si="46"/>
        <v>6.2691481091956644E-2</v>
      </c>
      <c r="H835" s="5">
        <v>4.5247524752475243</v>
      </c>
      <c r="I835" s="2">
        <v>303</v>
      </c>
      <c r="J835" s="57">
        <f>I835/Pondération!$G$143</f>
        <v>1.3855228862773789E-2</v>
      </c>
      <c r="K835" s="5">
        <v>4.547854785478548</v>
      </c>
      <c r="L835" s="5">
        <f t="shared" si="43"/>
        <v>6.3011568887466271E-2</v>
      </c>
      <c r="M835" s="5">
        <v>4.6501650165016502</v>
      </c>
      <c r="N835" s="5">
        <f t="shared" si="44"/>
        <v>6.4429100553294621E-2</v>
      </c>
      <c r="O835" s="5">
        <v>4.3531353135313529</v>
      </c>
      <c r="P835" s="15">
        <f t="shared" si="45"/>
        <v>6.0313686039599426E-2</v>
      </c>
    </row>
    <row r="836" spans="1:16" x14ac:dyDescent="0.25">
      <c r="A836" s="2" t="s">
        <v>47</v>
      </c>
      <c r="B836" s="2">
        <v>2016</v>
      </c>
      <c r="C836" s="2" t="s">
        <v>22</v>
      </c>
      <c r="D836" s="2" t="s">
        <v>44</v>
      </c>
      <c r="E836" s="2" t="s">
        <v>9</v>
      </c>
      <c r="F836" s="2" t="s">
        <v>48</v>
      </c>
      <c r="G836" s="2">
        <f t="shared" si="46"/>
        <v>5.9582056792720293E-2</v>
      </c>
      <c r="H836" s="5">
        <v>4.3872053872053876</v>
      </c>
      <c r="I836" s="2">
        <v>297</v>
      </c>
      <c r="J836" s="57">
        <f>I836/Pondération!$G$143</f>
        <v>1.358086789519411E-2</v>
      </c>
      <c r="K836" s="5">
        <v>4.4175084175084178</v>
      </c>
      <c r="L836" s="5">
        <f t="shared" si="43"/>
        <v>5.9993598244089806E-2</v>
      </c>
      <c r="M836" s="5">
        <v>4.4983164983164983</v>
      </c>
      <c r="N836" s="5">
        <f t="shared" si="44"/>
        <v>6.1091042114408523E-2</v>
      </c>
      <c r="O836" s="5">
        <v>4.2154882154882154</v>
      </c>
      <c r="P836" s="15">
        <f t="shared" si="45"/>
        <v>5.7249988568293012E-2</v>
      </c>
    </row>
    <row r="837" spans="1:16" x14ac:dyDescent="0.25">
      <c r="A837" s="2" t="s">
        <v>47</v>
      </c>
      <c r="B837" s="2">
        <v>2016</v>
      </c>
      <c r="C837" s="2" t="s">
        <v>23</v>
      </c>
      <c r="D837" s="2" t="s">
        <v>44</v>
      </c>
      <c r="E837" s="2" t="s">
        <v>9</v>
      </c>
      <c r="F837" s="2" t="s">
        <v>48</v>
      </c>
      <c r="G837" s="2">
        <f t="shared" si="46"/>
        <v>5.1979971649366685E-2</v>
      </c>
      <c r="H837" s="5">
        <v>4.4578431372549021</v>
      </c>
      <c r="I837" s="2">
        <v>255</v>
      </c>
      <c r="J837" s="57">
        <f>I837/Pondération!$G$143</f>
        <v>1.1660341122136358E-2</v>
      </c>
      <c r="K837" s="5">
        <v>4.4235294117647062</v>
      </c>
      <c r="L837" s="5">
        <f t="shared" si="43"/>
        <v>5.1579861904979658E-2</v>
      </c>
      <c r="M837" s="5">
        <v>4.6039215686274506</v>
      </c>
      <c r="N837" s="5">
        <f t="shared" si="44"/>
        <v>5.3683295989757185E-2</v>
      </c>
      <c r="O837" s="5">
        <v>4.3803921568627455</v>
      </c>
      <c r="P837" s="15">
        <f t="shared" si="45"/>
        <v>5.1076866797750246E-2</v>
      </c>
    </row>
    <row r="838" spans="1:16" x14ac:dyDescent="0.25">
      <c r="A838" s="2" t="s">
        <v>47</v>
      </c>
      <c r="B838" s="2">
        <v>2016</v>
      </c>
      <c r="C838" s="2" t="s">
        <v>24</v>
      </c>
      <c r="D838" s="2" t="s">
        <v>44</v>
      </c>
      <c r="E838" s="2" t="s">
        <v>9</v>
      </c>
      <c r="F838" s="2" t="s">
        <v>48</v>
      </c>
      <c r="G838" s="2">
        <f t="shared" si="46"/>
        <v>6.6452512689194748E-2</v>
      </c>
      <c r="H838" s="5">
        <v>4.4992260061919502</v>
      </c>
      <c r="I838" s="2">
        <v>323</v>
      </c>
      <c r="J838" s="57">
        <f>I838/Pondération!$G$143</f>
        <v>1.4769765421372719E-2</v>
      </c>
      <c r="K838" s="5">
        <v>4.5448916408668731</v>
      </c>
      <c r="L838" s="5">
        <f t="shared" si="43"/>
        <v>6.7126983401161452E-2</v>
      </c>
      <c r="M838" s="5">
        <v>4.507739938080495</v>
      </c>
      <c r="N838" s="5">
        <f t="shared" si="44"/>
        <v>6.6578261466002098E-2</v>
      </c>
      <c r="O838" s="5">
        <v>4.3993808049535605</v>
      </c>
      <c r="P838" s="15">
        <f t="shared" si="45"/>
        <v>6.4977822488453976E-2</v>
      </c>
    </row>
    <row r="839" spans="1:16" x14ac:dyDescent="0.25">
      <c r="A839" s="2" t="s">
        <v>47</v>
      </c>
      <c r="B839" s="2">
        <v>2016</v>
      </c>
      <c r="C839" s="2" t="s">
        <v>25</v>
      </c>
      <c r="D839" s="2" t="s">
        <v>44</v>
      </c>
      <c r="E839" s="2" t="s">
        <v>9</v>
      </c>
      <c r="F839" s="2" t="s">
        <v>48</v>
      </c>
      <c r="G839" s="2">
        <f t="shared" si="46"/>
        <v>8.7303946225250353E-2</v>
      </c>
      <c r="H839" s="5">
        <v>4.481807511737089</v>
      </c>
      <c r="I839" s="2">
        <v>426</v>
      </c>
      <c r="J839" s="57">
        <f>I839/Pondération!$G$143</f>
        <v>1.9479628698157208E-2</v>
      </c>
      <c r="K839" s="5">
        <v>4.497652582159624</v>
      </c>
      <c r="L839" s="5">
        <f t="shared" si="43"/>
        <v>8.7612602313777488E-2</v>
      </c>
      <c r="M839" s="5">
        <v>4.497652582159624</v>
      </c>
      <c r="N839" s="5">
        <f t="shared" si="44"/>
        <v>8.7612602313777488E-2</v>
      </c>
      <c r="O839" s="5">
        <v>4.434272300469484</v>
      </c>
      <c r="P839" s="15">
        <f t="shared" si="45"/>
        <v>8.6377977959668936E-2</v>
      </c>
    </row>
    <row r="840" spans="1:16" x14ac:dyDescent="0.25">
      <c r="A840" s="2" t="s">
        <v>47</v>
      </c>
      <c r="B840" s="2">
        <v>2016</v>
      </c>
      <c r="C840" s="2" t="s">
        <v>26</v>
      </c>
      <c r="D840" s="2" t="s">
        <v>44</v>
      </c>
      <c r="E840" s="2" t="s">
        <v>9</v>
      </c>
      <c r="F840" s="2" t="s">
        <v>48</v>
      </c>
      <c r="G840" s="2">
        <f t="shared" si="46"/>
        <v>5.9764964104440078E-2</v>
      </c>
      <c r="H840" s="5">
        <v>4.5224913494809691</v>
      </c>
      <c r="I840" s="2">
        <v>289</v>
      </c>
      <c r="J840" s="57">
        <f>I840/Pondération!$G$143</f>
        <v>1.3215053271754538E-2</v>
      </c>
      <c r="K840" s="5">
        <v>4.5674740484429064</v>
      </c>
      <c r="L840" s="5">
        <f t="shared" si="43"/>
        <v>6.0359412867529376E-2</v>
      </c>
      <c r="M840" s="5">
        <v>4.515570934256055</v>
      </c>
      <c r="N840" s="5">
        <f t="shared" si="44"/>
        <v>5.9673510448580179E-2</v>
      </c>
      <c r="O840" s="5">
        <v>4.4394463667820068</v>
      </c>
      <c r="P840" s="15">
        <f t="shared" si="45"/>
        <v>5.8667520234121355E-2</v>
      </c>
    </row>
    <row r="841" spans="1:16" x14ac:dyDescent="0.25">
      <c r="A841" s="2" t="s">
        <v>47</v>
      </c>
      <c r="B841" s="2">
        <v>2016</v>
      </c>
      <c r="C841" s="2" t="s">
        <v>27</v>
      </c>
      <c r="D841" s="2" t="s">
        <v>44</v>
      </c>
      <c r="E841" s="2" t="s">
        <v>9</v>
      </c>
      <c r="F841" s="2" t="s">
        <v>48</v>
      </c>
      <c r="G841" s="2">
        <f t="shared" si="46"/>
        <v>8.8287073025744192E-2</v>
      </c>
      <c r="H841" s="5">
        <v>4.3880681818181815</v>
      </c>
      <c r="I841" s="2">
        <v>440</v>
      </c>
      <c r="J841" s="57">
        <f>I841/Pondération!$G$143</f>
        <v>2.0119804289176459E-2</v>
      </c>
      <c r="K841" s="5">
        <v>4.3954545454545455</v>
      </c>
      <c r="L841" s="5">
        <f t="shared" si="43"/>
        <v>8.8435685216516527E-2</v>
      </c>
      <c r="M841" s="5">
        <v>4.4818181818181815</v>
      </c>
      <c r="N841" s="5">
        <f t="shared" si="44"/>
        <v>9.0173304677854491E-2</v>
      </c>
      <c r="O841" s="5">
        <v>4.2795454545454543</v>
      </c>
      <c r="P841" s="15">
        <f t="shared" si="45"/>
        <v>8.6103616992089252E-2</v>
      </c>
    </row>
    <row r="842" spans="1:16" x14ac:dyDescent="0.25">
      <c r="A842" s="2" t="s">
        <v>47</v>
      </c>
      <c r="B842" s="2">
        <v>2016</v>
      </c>
      <c r="C842" s="2" t="s">
        <v>28</v>
      </c>
      <c r="D842" s="2" t="s">
        <v>44</v>
      </c>
      <c r="E842" s="2" t="s">
        <v>9</v>
      </c>
      <c r="F842" s="2" t="s">
        <v>48</v>
      </c>
      <c r="G842" s="2">
        <f t="shared" si="46"/>
        <v>8.8995838858658374E-2</v>
      </c>
      <c r="H842" s="5">
        <v>4.4536613272311216</v>
      </c>
      <c r="I842" s="2">
        <v>437</v>
      </c>
      <c r="J842" s="57">
        <f>I842/Pondération!$G$143</f>
        <v>1.998262380538662E-2</v>
      </c>
      <c r="K842" s="5">
        <v>4.4279176201372996</v>
      </c>
      <c r="L842" s="5">
        <f t="shared" si="43"/>
        <v>8.848141204444647E-2</v>
      </c>
      <c r="M842" s="5">
        <v>4.5903890160183067</v>
      </c>
      <c r="N842" s="5">
        <f t="shared" si="44"/>
        <v>9.1728016827472683E-2</v>
      </c>
      <c r="O842" s="5">
        <v>4.3684210526315788</v>
      </c>
      <c r="P842" s="15">
        <f t="shared" si="45"/>
        <v>8.7292514518267861E-2</v>
      </c>
    </row>
    <row r="843" spans="1:16" x14ac:dyDescent="0.25">
      <c r="A843" s="2" t="s">
        <v>47</v>
      </c>
      <c r="B843" s="2">
        <v>2016</v>
      </c>
      <c r="C843" s="2" t="s">
        <v>29</v>
      </c>
      <c r="D843" s="2" t="s">
        <v>44</v>
      </c>
      <c r="E843" s="2" t="s">
        <v>9</v>
      </c>
      <c r="F843" s="2" t="s">
        <v>48</v>
      </c>
      <c r="G843" s="2">
        <f t="shared" si="46"/>
        <v>0.10602908226256345</v>
      </c>
      <c r="H843" s="5">
        <v>4.4420498084291191</v>
      </c>
      <c r="I843" s="2">
        <v>522</v>
      </c>
      <c r="J843" s="57">
        <f>I843/Pondération!$G$143</f>
        <v>2.3869404179432074E-2</v>
      </c>
      <c r="K843" s="5">
        <v>4.4597701149425291</v>
      </c>
      <c r="L843" s="5">
        <f t="shared" si="43"/>
        <v>0.10645205542091546</v>
      </c>
      <c r="M843" s="5">
        <v>4.5019157088122608</v>
      </c>
      <c r="N843" s="5">
        <f t="shared" si="44"/>
        <v>0.10745804563537428</v>
      </c>
      <c r="O843" s="5">
        <v>4.3467432950191567</v>
      </c>
      <c r="P843" s="15">
        <f t="shared" si="45"/>
        <v>0.1037541725730486</v>
      </c>
    </row>
    <row r="844" spans="1:16" x14ac:dyDescent="0.25">
      <c r="A844" s="2" t="s">
        <v>47</v>
      </c>
      <c r="B844" s="2">
        <v>2017</v>
      </c>
      <c r="C844" s="2" t="s">
        <v>30</v>
      </c>
      <c r="D844" s="2" t="s">
        <v>44</v>
      </c>
      <c r="E844" s="2" t="s">
        <v>9</v>
      </c>
      <c r="F844" s="2" t="s">
        <v>48</v>
      </c>
      <c r="G844" s="2">
        <f t="shared" si="46"/>
        <v>0.81574519230769227</v>
      </c>
      <c r="H844" s="5">
        <v>4.4651315789473687</v>
      </c>
      <c r="I844" s="2">
        <v>380</v>
      </c>
      <c r="J844" s="57">
        <f>I844/Pondération!$F$144</f>
        <v>0.18269230769230768</v>
      </c>
      <c r="K844" s="5">
        <v>4.4631578947368418</v>
      </c>
      <c r="L844" s="5">
        <f t="shared" si="43"/>
        <v>0.81538461538461526</v>
      </c>
      <c r="M844" s="5">
        <v>4.5815789473684214</v>
      </c>
      <c r="N844" s="5">
        <f t="shared" si="44"/>
        <v>0.83701923076923079</v>
      </c>
      <c r="O844" s="5">
        <v>4.3526315789473689</v>
      </c>
      <c r="P844" s="15">
        <f t="shared" si="45"/>
        <v>0.79519230769230775</v>
      </c>
    </row>
    <row r="845" spans="1:16" x14ac:dyDescent="0.25">
      <c r="A845" s="2" t="s">
        <v>47</v>
      </c>
      <c r="B845" s="2">
        <v>2017</v>
      </c>
      <c r="C845" s="2" t="s">
        <v>31</v>
      </c>
      <c r="D845" s="2" t="s">
        <v>44</v>
      </c>
      <c r="E845" s="2" t="s">
        <v>9</v>
      </c>
      <c r="F845" s="2" t="s">
        <v>48</v>
      </c>
      <c r="G845" s="2">
        <f t="shared" si="46"/>
        <v>1.1927884615384616</v>
      </c>
      <c r="H845" s="5">
        <v>4.4224598930481287</v>
      </c>
      <c r="I845" s="2">
        <v>561</v>
      </c>
      <c r="J845" s="57">
        <f>I845/Pondération!$F$144</f>
        <v>0.26971153846153845</v>
      </c>
      <c r="K845" s="5">
        <v>4.4688057040998217</v>
      </c>
      <c r="L845" s="5">
        <f t="shared" si="43"/>
        <v>1.2052884615384614</v>
      </c>
      <c r="M845" s="5">
        <v>4.4812834224598932</v>
      </c>
      <c r="N845" s="5">
        <f t="shared" si="44"/>
        <v>1.2086538461538461</v>
      </c>
      <c r="O845" s="5">
        <v>4.2709447415329764</v>
      </c>
      <c r="P845" s="15">
        <f t="shared" si="45"/>
        <v>1.1519230769230768</v>
      </c>
    </row>
    <row r="846" spans="1:16" x14ac:dyDescent="0.25">
      <c r="A846" s="2" t="s">
        <v>47</v>
      </c>
      <c r="B846" s="2">
        <v>2017</v>
      </c>
      <c r="C846" s="2" t="s">
        <v>32</v>
      </c>
      <c r="D846" s="2" t="s">
        <v>44</v>
      </c>
      <c r="E846" s="2" t="s">
        <v>9</v>
      </c>
      <c r="F846" s="2" t="s">
        <v>48</v>
      </c>
      <c r="G846" s="2">
        <f t="shared" si="46"/>
        <v>0.9147836538461539</v>
      </c>
      <c r="H846" s="5">
        <v>4.4876179245283021</v>
      </c>
      <c r="I846" s="2">
        <v>424</v>
      </c>
      <c r="J846" s="57">
        <f>I846/Pondération!$F$144</f>
        <v>0.20384615384615384</v>
      </c>
      <c r="K846" s="5">
        <v>4.507075471698113</v>
      </c>
      <c r="L846" s="5">
        <f t="shared" si="43"/>
        <v>0.91874999999999996</v>
      </c>
      <c r="M846" s="5">
        <v>4.6084905660377355</v>
      </c>
      <c r="N846" s="5">
        <f t="shared" si="44"/>
        <v>0.93942307692307681</v>
      </c>
      <c r="O846" s="5">
        <v>4.3278301886792452</v>
      </c>
      <c r="P846" s="15">
        <f t="shared" si="45"/>
        <v>0.88221153846153844</v>
      </c>
    </row>
    <row r="847" spans="1:16" x14ac:dyDescent="0.25">
      <c r="A847" s="2" t="s">
        <v>47</v>
      </c>
      <c r="B847" s="2">
        <v>2017</v>
      </c>
      <c r="C847" s="2" t="s">
        <v>33</v>
      </c>
      <c r="D847" s="2" t="s">
        <v>44</v>
      </c>
      <c r="E847" s="2" t="s">
        <v>9</v>
      </c>
      <c r="F847" s="2" t="s">
        <v>48</v>
      </c>
      <c r="G847" s="2">
        <f t="shared" si="46"/>
        <v>1.2120192307692306</v>
      </c>
      <c r="H847" s="5">
        <v>4.4462081128747792</v>
      </c>
      <c r="I847" s="2">
        <v>567</v>
      </c>
      <c r="J847" s="57">
        <f>I847/Pondération!$F$144</f>
        <v>0.27259615384615382</v>
      </c>
      <c r="K847" s="5">
        <v>4.4532627865961203</v>
      </c>
      <c r="L847" s="5">
        <f t="shared" si="43"/>
        <v>1.2139423076923077</v>
      </c>
      <c r="M847" s="5">
        <v>4.564373897707231</v>
      </c>
      <c r="N847" s="5">
        <f t="shared" si="44"/>
        <v>1.244230769230769</v>
      </c>
      <c r="O847" s="5">
        <v>4.3139329805996471</v>
      </c>
      <c r="P847" s="15">
        <f t="shared" si="45"/>
        <v>1.1759615384615383</v>
      </c>
    </row>
    <row r="848" spans="1:16" x14ac:dyDescent="0.25">
      <c r="A848" s="2" t="s">
        <v>47</v>
      </c>
      <c r="B848" s="2">
        <v>2017</v>
      </c>
      <c r="C848" s="2" t="s">
        <v>34</v>
      </c>
      <c r="D848" s="2" t="s">
        <v>44</v>
      </c>
      <c r="E848" s="2" t="s">
        <v>9</v>
      </c>
      <c r="F848" s="2" t="s">
        <v>48</v>
      </c>
      <c r="G848" s="2">
        <f t="shared" si="46"/>
        <v>0.31959134615384616</v>
      </c>
      <c r="H848" s="5">
        <v>4.4915540540540544</v>
      </c>
      <c r="I848" s="2">
        <v>148</v>
      </c>
      <c r="J848" s="57">
        <f>I848/Pondération!$F$144</f>
        <v>7.1153846153846151E-2</v>
      </c>
      <c r="K848" s="5">
        <v>4.5135135135135132</v>
      </c>
      <c r="L848" s="5">
        <f t="shared" si="43"/>
        <v>0.32115384615384612</v>
      </c>
      <c r="M848" s="5">
        <v>4.6418918918918921</v>
      </c>
      <c r="N848" s="5">
        <f t="shared" si="44"/>
        <v>0.33028846153846153</v>
      </c>
      <c r="O848" s="5">
        <v>4.2972972972972974</v>
      </c>
      <c r="P848" s="15">
        <f t="shared" si="45"/>
        <v>0.30576923076923074</v>
      </c>
    </row>
    <row r="849" spans="1:15" customFormat="1" x14ac:dyDescent="0.25">
      <c r="A849" s="2" t="s">
        <v>6</v>
      </c>
      <c r="B849" s="2">
        <v>2015</v>
      </c>
      <c r="C849" s="2" t="s">
        <v>7</v>
      </c>
      <c r="D849" s="2" t="s">
        <v>45</v>
      </c>
      <c r="E849" s="2" t="s">
        <v>9</v>
      </c>
      <c r="F849" s="2" t="s">
        <v>10</v>
      </c>
      <c r="G849" s="2">
        <f t="shared" si="46"/>
        <v>0.16968721251149951</v>
      </c>
      <c r="H849" s="5">
        <v>4.0988888888888884</v>
      </c>
      <c r="I849" s="2">
        <v>90</v>
      </c>
      <c r="J849" s="57">
        <f>I849/Pondération!$H$156</f>
        <v>4.1398344066237353E-2</v>
      </c>
      <c r="K849" s="2"/>
      <c r="L849" s="2"/>
      <c r="M849" s="2"/>
      <c r="N849" s="2"/>
      <c r="O849" s="2"/>
    </row>
    <row r="850" spans="1:15" customFormat="1" x14ac:dyDescent="0.25">
      <c r="A850" s="2" t="s">
        <v>6</v>
      </c>
      <c r="B850" s="2">
        <v>2015</v>
      </c>
      <c r="C850" s="2" t="s">
        <v>11</v>
      </c>
      <c r="D850" s="2" t="s">
        <v>45</v>
      </c>
      <c r="E850" s="2" t="s">
        <v>9</v>
      </c>
      <c r="F850" s="2" t="s">
        <v>10</v>
      </c>
      <c r="G850" s="2">
        <f t="shared" si="46"/>
        <v>0.47637994480220336</v>
      </c>
      <c r="H850" s="5">
        <v>4.0773622047243707</v>
      </c>
      <c r="I850" s="2">
        <v>254</v>
      </c>
      <c r="J850" s="57">
        <f>I850/Pondération!$H$156</f>
        <v>0.11683532658693652</v>
      </c>
      <c r="K850" s="2"/>
      <c r="L850" s="2"/>
      <c r="M850" s="2"/>
      <c r="N850" s="2"/>
      <c r="O850" s="2"/>
    </row>
    <row r="851" spans="1:15" customFormat="1" x14ac:dyDescent="0.25">
      <c r="A851" s="2" t="s">
        <v>6</v>
      </c>
      <c r="B851" s="2">
        <v>2015</v>
      </c>
      <c r="C851" s="2" t="s">
        <v>12</v>
      </c>
      <c r="D851" s="2" t="s">
        <v>45</v>
      </c>
      <c r="E851" s="2" t="s">
        <v>9</v>
      </c>
      <c r="F851" s="2" t="s">
        <v>10</v>
      </c>
      <c r="G851" s="2">
        <f t="shared" si="46"/>
        <v>0.58194572217110863</v>
      </c>
      <c r="H851" s="5">
        <v>3.9659874608150161</v>
      </c>
      <c r="I851" s="2">
        <v>319</v>
      </c>
      <c r="J851" s="57">
        <f>I851/Pondération!$H$156</f>
        <v>0.14673413063477461</v>
      </c>
      <c r="K851" s="2"/>
      <c r="L851" s="2"/>
      <c r="M851" s="2"/>
      <c r="N851" s="2"/>
      <c r="O851" s="2"/>
    </row>
    <row r="852" spans="1:15" customFormat="1" x14ac:dyDescent="0.25">
      <c r="A852" s="2" t="s">
        <v>6</v>
      </c>
      <c r="B852" s="2">
        <v>2015</v>
      </c>
      <c r="C852" s="2" t="s">
        <v>13</v>
      </c>
      <c r="D852" s="2" t="s">
        <v>45</v>
      </c>
      <c r="E852" s="2" t="s">
        <v>9</v>
      </c>
      <c r="F852" s="2" t="s">
        <v>10</v>
      </c>
      <c r="G852" s="2">
        <f t="shared" si="46"/>
        <v>0.87663293468261261</v>
      </c>
      <c r="H852" s="5">
        <v>3.9704166666666665</v>
      </c>
      <c r="I852" s="2">
        <v>480</v>
      </c>
      <c r="J852" s="57">
        <f>I852/Pondération!$H$156</f>
        <v>0.22079116835326587</v>
      </c>
      <c r="K852" s="2"/>
      <c r="L852" s="2"/>
      <c r="M852" s="2"/>
      <c r="N852" s="2"/>
      <c r="O852" s="2"/>
    </row>
    <row r="853" spans="1:15" customFormat="1" x14ac:dyDescent="0.25">
      <c r="A853" s="2" t="s">
        <v>6</v>
      </c>
      <c r="B853" s="2">
        <v>2015</v>
      </c>
      <c r="C853" s="2" t="s">
        <v>14</v>
      </c>
      <c r="D853" s="2" t="s">
        <v>45</v>
      </c>
      <c r="E853" s="2" t="s">
        <v>9</v>
      </c>
      <c r="F853" s="2" t="s">
        <v>10</v>
      </c>
      <c r="G853" s="2">
        <f t="shared" si="46"/>
        <v>0.52810487580496313</v>
      </c>
      <c r="H853" s="5">
        <v>4.115053763440824</v>
      </c>
      <c r="I853" s="2">
        <v>279</v>
      </c>
      <c r="J853" s="57">
        <f>I853/Pondération!$H$156</f>
        <v>0.12833486660533577</v>
      </c>
      <c r="K853" s="2"/>
      <c r="L853" s="2"/>
      <c r="M853" s="2"/>
      <c r="N853" s="2"/>
      <c r="O853" s="2"/>
    </row>
    <row r="854" spans="1:15" customFormat="1" x14ac:dyDescent="0.25">
      <c r="A854" s="2" t="s">
        <v>6</v>
      </c>
      <c r="B854" s="2">
        <v>2015</v>
      </c>
      <c r="C854" s="2" t="s">
        <v>15</v>
      </c>
      <c r="D854" s="2" t="s">
        <v>45</v>
      </c>
      <c r="E854" s="2" t="s">
        <v>9</v>
      </c>
      <c r="F854" s="2" t="s">
        <v>10</v>
      </c>
      <c r="G854" s="2">
        <f t="shared" si="46"/>
        <v>0.51359245630174344</v>
      </c>
      <c r="H854" s="5">
        <v>4.0308664259927438</v>
      </c>
      <c r="I854" s="2">
        <v>277</v>
      </c>
      <c r="J854" s="57">
        <f>I854/Pondération!$H$156</f>
        <v>0.12741490340386386</v>
      </c>
      <c r="K854" s="2"/>
      <c r="L854" s="2"/>
      <c r="M854" s="2"/>
      <c r="N854" s="2"/>
      <c r="O854" s="2"/>
    </row>
    <row r="855" spans="1:15" customFormat="1" x14ac:dyDescent="0.25">
      <c r="A855" s="2" t="s">
        <v>6</v>
      </c>
      <c r="B855" s="2">
        <v>2015</v>
      </c>
      <c r="C855" s="2" t="s">
        <v>16</v>
      </c>
      <c r="D855" s="2" t="s">
        <v>45</v>
      </c>
      <c r="E855" s="2" t="s">
        <v>9</v>
      </c>
      <c r="F855" s="2" t="s">
        <v>10</v>
      </c>
      <c r="G855" s="2">
        <f t="shared" si="46"/>
        <v>0.46432842686292086</v>
      </c>
      <c r="H855" s="5">
        <v>4.120204081632612</v>
      </c>
      <c r="I855" s="2">
        <v>245</v>
      </c>
      <c r="J855" s="57">
        <f>I855/Pondération!$H$156</f>
        <v>0.11269549218031279</v>
      </c>
      <c r="K855" s="2"/>
      <c r="L855" s="2"/>
      <c r="M855" s="2"/>
      <c r="N855" s="2"/>
      <c r="O855" s="2"/>
    </row>
    <row r="856" spans="1:15" customFormat="1" x14ac:dyDescent="0.25">
      <c r="A856" s="2" t="s">
        <v>6</v>
      </c>
      <c r="B856" s="2">
        <v>2015</v>
      </c>
      <c r="C856" s="2" t="s">
        <v>17</v>
      </c>
      <c r="D856" s="2" t="s">
        <v>45</v>
      </c>
      <c r="E856" s="2" t="s">
        <v>9</v>
      </c>
      <c r="F856" s="2" t="s">
        <v>10</v>
      </c>
      <c r="G856" s="2">
        <f t="shared" si="46"/>
        <v>0.43406163753449811</v>
      </c>
      <c r="H856" s="5">
        <v>4.102826086956517</v>
      </c>
      <c r="I856" s="2">
        <v>230</v>
      </c>
      <c r="J856" s="57">
        <f>I856/Pondération!$H$156</f>
        <v>0.10579576816927323</v>
      </c>
      <c r="K856" s="2"/>
      <c r="L856" s="2"/>
      <c r="M856" s="2"/>
      <c r="N856" s="2"/>
      <c r="O856" s="2"/>
    </row>
    <row r="857" spans="1:15" customFormat="1" x14ac:dyDescent="0.25">
      <c r="A857" s="2" t="s">
        <v>6</v>
      </c>
      <c r="B857" s="2">
        <v>2016</v>
      </c>
      <c r="C857" s="2" t="s">
        <v>18</v>
      </c>
      <c r="D857" s="2" t="s">
        <v>45</v>
      </c>
      <c r="E857" s="2" t="s">
        <v>9</v>
      </c>
      <c r="F857" s="2" t="s">
        <v>10</v>
      </c>
      <c r="G857" s="2">
        <f t="shared" si="46"/>
        <v>0.13798549368273283</v>
      </c>
      <c r="H857" s="5">
        <v>4.1385964912280704</v>
      </c>
      <c r="I857" s="2">
        <v>285</v>
      </c>
      <c r="J857" s="57">
        <f>I857/Pondération!$G$156</f>
        <v>3.334113242863828E-2</v>
      </c>
      <c r="K857" s="2"/>
      <c r="L857" s="2"/>
      <c r="M857" s="2"/>
      <c r="N857" s="2"/>
      <c r="O857" s="2"/>
    </row>
    <row r="858" spans="1:15" customFormat="1" x14ac:dyDescent="0.25">
      <c r="A858" s="2" t="s">
        <v>6</v>
      </c>
      <c r="B858" s="2">
        <v>2016</v>
      </c>
      <c r="C858" s="2" t="s">
        <v>19</v>
      </c>
      <c r="D858" s="2" t="s">
        <v>45</v>
      </c>
      <c r="E858" s="2" t="s">
        <v>9</v>
      </c>
      <c r="F858" s="2" t="s">
        <v>10</v>
      </c>
      <c r="G858" s="2">
        <f t="shared" si="46"/>
        <v>0.15150912494150562</v>
      </c>
      <c r="H858" s="5">
        <v>4.0471874999999686</v>
      </c>
      <c r="I858" s="2">
        <v>320</v>
      </c>
      <c r="J858" s="57">
        <f>I858/Pondération!$G$156</f>
        <v>3.7435657463734208E-2</v>
      </c>
      <c r="K858" s="2"/>
      <c r="L858" s="2"/>
      <c r="M858" s="2"/>
      <c r="N858" s="2"/>
      <c r="O858" s="2"/>
    </row>
    <row r="859" spans="1:15" customFormat="1" x14ac:dyDescent="0.25">
      <c r="A859" s="2" t="s">
        <v>6</v>
      </c>
      <c r="B859" s="2">
        <v>2016</v>
      </c>
      <c r="C859" s="2" t="s">
        <v>20</v>
      </c>
      <c r="D859" s="2" t="s">
        <v>45</v>
      </c>
      <c r="E859" s="2" t="s">
        <v>9</v>
      </c>
      <c r="F859" s="2" t="s">
        <v>10</v>
      </c>
      <c r="G859" s="2">
        <f t="shared" si="46"/>
        <v>0.20937646233036847</v>
      </c>
      <c r="H859" s="5">
        <v>4.1049311926605272</v>
      </c>
      <c r="I859" s="2">
        <v>436</v>
      </c>
      <c r="J859" s="57">
        <f>I859/Pondération!$G$156</f>
        <v>5.1006083294337853E-2</v>
      </c>
      <c r="K859" s="2"/>
      <c r="L859" s="2"/>
      <c r="M859" s="2"/>
      <c r="N859" s="2"/>
      <c r="O859" s="2"/>
    </row>
    <row r="860" spans="1:15" customFormat="1" x14ac:dyDescent="0.25">
      <c r="A860" s="2" t="s">
        <v>6</v>
      </c>
      <c r="B860" s="2">
        <v>2016</v>
      </c>
      <c r="C860" s="2" t="s">
        <v>21</v>
      </c>
      <c r="D860" s="2" t="s">
        <v>45</v>
      </c>
      <c r="E860" s="2" t="s">
        <v>9</v>
      </c>
      <c r="F860" s="2" t="s">
        <v>10</v>
      </c>
      <c r="G860" s="2">
        <f t="shared" si="46"/>
        <v>0.24540828263921383</v>
      </c>
      <c r="H860" s="5">
        <v>4.0497104247104243</v>
      </c>
      <c r="I860" s="2">
        <v>518</v>
      </c>
      <c r="J860" s="57">
        <f>I860/Pondération!$G$156</f>
        <v>6.0598970519419745E-2</v>
      </c>
      <c r="K860" s="2"/>
      <c r="L860" s="2"/>
      <c r="M860" s="2"/>
      <c r="N860" s="2"/>
      <c r="O860" s="2"/>
    </row>
    <row r="861" spans="1:15" customFormat="1" x14ac:dyDescent="0.25">
      <c r="A861" s="2" t="s">
        <v>6</v>
      </c>
      <c r="B861" s="2">
        <v>2016</v>
      </c>
      <c r="C861" s="2" t="s">
        <v>22</v>
      </c>
      <c r="D861" s="2" t="s">
        <v>45</v>
      </c>
      <c r="E861" s="2" t="s">
        <v>9</v>
      </c>
      <c r="F861" s="2" t="s">
        <v>10</v>
      </c>
      <c r="G861" s="2">
        <f t="shared" si="46"/>
        <v>0.31316097332709408</v>
      </c>
      <c r="H861" s="5">
        <v>3.9193265007320646</v>
      </c>
      <c r="I861" s="2">
        <v>683</v>
      </c>
      <c r="J861" s="57">
        <f>I861/Pondération!$G$156</f>
        <v>7.9901731399157697E-2</v>
      </c>
      <c r="K861" s="2"/>
      <c r="L861" s="2"/>
      <c r="M861" s="2"/>
      <c r="N861" s="2"/>
      <c r="O861" s="2"/>
    </row>
    <row r="862" spans="1:15" customFormat="1" x14ac:dyDescent="0.25">
      <c r="A862" s="2" t="s">
        <v>6</v>
      </c>
      <c r="B862" s="2">
        <v>2016</v>
      </c>
      <c r="C862" s="2" t="s">
        <v>23</v>
      </c>
      <c r="D862" s="2" t="s">
        <v>45</v>
      </c>
      <c r="E862" s="2" t="s">
        <v>9</v>
      </c>
      <c r="F862" s="2" t="s">
        <v>10</v>
      </c>
      <c r="G862" s="2">
        <f t="shared" si="46"/>
        <v>0.27709405708937762</v>
      </c>
      <c r="H862" s="5">
        <v>4.0488888888888885</v>
      </c>
      <c r="I862" s="2">
        <v>585</v>
      </c>
      <c r="J862" s="57">
        <f>I862/Pondération!$G$156</f>
        <v>6.8437061300889099E-2</v>
      </c>
      <c r="K862" s="2"/>
      <c r="L862" s="2"/>
      <c r="M862" s="2"/>
      <c r="N862" s="2"/>
      <c r="O862" s="2"/>
    </row>
    <row r="863" spans="1:15" customFormat="1" x14ac:dyDescent="0.25">
      <c r="A863" s="2" t="s">
        <v>6</v>
      </c>
      <c r="B863" s="2">
        <v>2016</v>
      </c>
      <c r="C863" s="2" t="s">
        <v>24</v>
      </c>
      <c r="D863" s="2" t="s">
        <v>45</v>
      </c>
      <c r="E863" s="2" t="s">
        <v>9</v>
      </c>
      <c r="F863" s="2" t="s">
        <v>10</v>
      </c>
      <c r="G863" s="2">
        <f t="shared" si="46"/>
        <v>0.42279480580252693</v>
      </c>
      <c r="H863" s="5">
        <v>3.9541028446389497</v>
      </c>
      <c r="I863" s="2">
        <v>914</v>
      </c>
      <c r="J863" s="57">
        <f>I863/Pondération!$G$156</f>
        <v>0.10692559663079083</v>
      </c>
      <c r="K863" s="2"/>
      <c r="L863" s="2"/>
      <c r="M863" s="2"/>
      <c r="N863" s="2"/>
      <c r="O863" s="2"/>
    </row>
    <row r="864" spans="1:15" customFormat="1" x14ac:dyDescent="0.25">
      <c r="A864" s="2" t="s">
        <v>6</v>
      </c>
      <c r="B864" s="2">
        <v>2016</v>
      </c>
      <c r="C864" s="2" t="s">
        <v>25</v>
      </c>
      <c r="D864" s="2" t="s">
        <v>45</v>
      </c>
      <c r="E864" s="2" t="s">
        <v>9</v>
      </c>
      <c r="F864" s="2" t="s">
        <v>10</v>
      </c>
      <c r="G864" s="2">
        <f t="shared" si="46"/>
        <v>0.63985142723443966</v>
      </c>
      <c r="H864" s="5">
        <v>3.8873134328358137</v>
      </c>
      <c r="I864" s="2">
        <v>1407</v>
      </c>
      <c r="J864" s="57">
        <f>I864/Pondération!$G$156</f>
        <v>0.16459990641085634</v>
      </c>
      <c r="K864" s="2"/>
      <c r="L864" s="2"/>
      <c r="M864" s="2"/>
      <c r="N864" s="2"/>
      <c r="O864" s="2"/>
    </row>
    <row r="865" spans="1:16" x14ac:dyDescent="0.25">
      <c r="A865" s="2" t="s">
        <v>6</v>
      </c>
      <c r="B865" s="2">
        <v>2016</v>
      </c>
      <c r="C865" s="2" t="s">
        <v>26</v>
      </c>
      <c r="D865" s="2" t="s">
        <v>45</v>
      </c>
      <c r="E865" s="2" t="s">
        <v>9</v>
      </c>
      <c r="F865" s="2" t="s">
        <v>10</v>
      </c>
      <c r="G865" s="2">
        <f t="shared" si="46"/>
        <v>0.44204492278895763</v>
      </c>
      <c r="H865" s="5">
        <v>3.9360416666666769</v>
      </c>
      <c r="I865" s="2">
        <v>960</v>
      </c>
      <c r="J865" s="57">
        <f>I865/Pondération!$G$156</f>
        <v>0.11230697239120262</v>
      </c>
      <c r="K865" s="2"/>
      <c r="L865" s="2"/>
      <c r="M865" s="2"/>
      <c r="N865" s="2"/>
      <c r="O865" s="2"/>
      <c r="P865"/>
    </row>
    <row r="866" spans="1:16" x14ac:dyDescent="0.25">
      <c r="A866" s="2" t="s">
        <v>6</v>
      </c>
      <c r="B866" s="2">
        <v>2016</v>
      </c>
      <c r="C866" s="2" t="s">
        <v>27</v>
      </c>
      <c r="D866" s="2" t="s">
        <v>45</v>
      </c>
      <c r="E866" s="2" t="s">
        <v>9</v>
      </c>
      <c r="F866" s="2" t="s">
        <v>10</v>
      </c>
      <c r="G866" s="2">
        <f t="shared" si="46"/>
        <v>0.42717594759007954</v>
      </c>
      <c r="H866" s="5">
        <v>3.9475675675675674</v>
      </c>
      <c r="I866" s="2">
        <v>925</v>
      </c>
      <c r="J866" s="57">
        <f>I866/Pondération!$G$156</f>
        <v>0.10821244735610669</v>
      </c>
      <c r="K866" s="2"/>
      <c r="L866" s="2"/>
      <c r="M866" s="2"/>
      <c r="N866" s="2"/>
      <c r="O866" s="2"/>
      <c r="P866"/>
    </row>
    <row r="867" spans="1:16" x14ac:dyDescent="0.25">
      <c r="A867" s="2" t="s">
        <v>6</v>
      </c>
      <c r="B867" s="2">
        <v>2016</v>
      </c>
      <c r="C867" s="2" t="s">
        <v>28</v>
      </c>
      <c r="D867" s="2" t="s">
        <v>45</v>
      </c>
      <c r="E867" s="2" t="s">
        <v>9</v>
      </c>
      <c r="F867" s="2" t="s">
        <v>10</v>
      </c>
      <c r="G867" s="2">
        <f t="shared" si="46"/>
        <v>0.33065629386991108</v>
      </c>
      <c r="H867" s="5">
        <v>3.9865303244005639</v>
      </c>
      <c r="I867" s="2">
        <v>709</v>
      </c>
      <c r="J867" s="57">
        <f>I867/Pondération!$G$156</f>
        <v>8.2943378568086104E-2</v>
      </c>
      <c r="K867" s="2"/>
      <c r="L867" s="2"/>
      <c r="M867" s="2"/>
      <c r="N867" s="2"/>
      <c r="O867" s="2"/>
      <c r="P867"/>
    </row>
    <row r="868" spans="1:16" x14ac:dyDescent="0.25">
      <c r="A868" s="2" t="s">
        <v>6</v>
      </c>
      <c r="B868" s="2">
        <v>2016</v>
      </c>
      <c r="C868" s="2" t="s">
        <v>29</v>
      </c>
      <c r="D868" s="2" t="s">
        <v>45</v>
      </c>
      <c r="E868" s="2" t="s">
        <v>9</v>
      </c>
      <c r="F868" s="2" t="s">
        <v>10</v>
      </c>
      <c r="G868" s="2">
        <f t="shared" si="46"/>
        <v>0.37272461394478246</v>
      </c>
      <c r="H868" s="5">
        <v>3.9529156327543427</v>
      </c>
      <c r="I868" s="2">
        <v>806</v>
      </c>
      <c r="J868" s="57">
        <f>I868/Pondération!$G$156</f>
        <v>9.4291062236780535E-2</v>
      </c>
      <c r="K868" s="2"/>
      <c r="L868" s="2"/>
      <c r="M868" s="2"/>
      <c r="N868" s="2"/>
      <c r="O868" s="2"/>
      <c r="P868"/>
    </row>
    <row r="869" spans="1:16" x14ac:dyDescent="0.25">
      <c r="A869" s="2" t="s">
        <v>6</v>
      </c>
      <c r="B869" s="2">
        <v>2017</v>
      </c>
      <c r="C869" s="2" t="s">
        <v>30</v>
      </c>
      <c r="D869" s="2" t="s">
        <v>45</v>
      </c>
      <c r="E869" s="2" t="s">
        <v>9</v>
      </c>
      <c r="F869" s="2" t="s">
        <v>10</v>
      </c>
      <c r="G869" s="2">
        <f t="shared" si="46"/>
        <v>0.67671318475317643</v>
      </c>
      <c r="H869" s="5">
        <v>3.9428398058252427</v>
      </c>
      <c r="I869" s="2">
        <v>824</v>
      </c>
      <c r="J869" s="57">
        <f>I869/Pondération!$F$156</f>
        <v>0.17163091022703603</v>
      </c>
      <c r="K869" s="2"/>
      <c r="L869" s="2"/>
      <c r="M869" s="2"/>
      <c r="N869" s="2"/>
      <c r="O869" s="2"/>
      <c r="P869"/>
    </row>
    <row r="870" spans="1:16" x14ac:dyDescent="0.25">
      <c r="A870" s="2" t="s">
        <v>6</v>
      </c>
      <c r="B870" s="2">
        <v>2017</v>
      </c>
      <c r="C870" s="2" t="s">
        <v>31</v>
      </c>
      <c r="D870" s="2" t="s">
        <v>45</v>
      </c>
      <c r="E870" s="2" t="s">
        <v>9</v>
      </c>
      <c r="F870" s="2" t="s">
        <v>10</v>
      </c>
      <c r="G870" s="2">
        <f t="shared" si="46"/>
        <v>0.65892522391168507</v>
      </c>
      <c r="H870" s="5">
        <v>3.9742462311557789</v>
      </c>
      <c r="I870" s="2">
        <v>796</v>
      </c>
      <c r="J870" s="57">
        <f>I870/Pondération!$F$156</f>
        <v>0.16579879191835034</v>
      </c>
      <c r="K870" s="2"/>
      <c r="L870" s="2"/>
      <c r="M870" s="2"/>
      <c r="N870" s="2"/>
      <c r="O870" s="2"/>
      <c r="P870"/>
    </row>
    <row r="871" spans="1:16" x14ac:dyDescent="0.25">
      <c r="A871" s="2" t="s">
        <v>6</v>
      </c>
      <c r="B871" s="2">
        <v>2017</v>
      </c>
      <c r="C871" s="2" t="s">
        <v>32</v>
      </c>
      <c r="D871" s="2" t="s">
        <v>45</v>
      </c>
      <c r="E871" s="2" t="s">
        <v>9</v>
      </c>
      <c r="F871" s="2" t="s">
        <v>10</v>
      </c>
      <c r="G871" s="2">
        <f t="shared" si="46"/>
        <v>0.76200791501770471</v>
      </c>
      <c r="H871" s="5">
        <v>3.9550270270270271</v>
      </c>
      <c r="I871" s="2">
        <v>925</v>
      </c>
      <c r="J871" s="57">
        <f>I871/Pondération!$F$156</f>
        <v>0.19266819412622371</v>
      </c>
      <c r="K871" s="2"/>
      <c r="L871" s="2"/>
      <c r="M871" s="2"/>
      <c r="N871" s="2"/>
      <c r="O871" s="2"/>
      <c r="P871"/>
    </row>
    <row r="872" spans="1:16" x14ac:dyDescent="0.25">
      <c r="A872" s="2" t="s">
        <v>6</v>
      </c>
      <c r="B872" s="2">
        <v>2017</v>
      </c>
      <c r="C872" s="2" t="s">
        <v>33</v>
      </c>
      <c r="D872" s="2" t="s">
        <v>45</v>
      </c>
      <c r="E872" s="2" t="s">
        <v>9</v>
      </c>
      <c r="F872" s="2" t="s">
        <v>10</v>
      </c>
      <c r="G872" s="2">
        <f t="shared" si="46"/>
        <v>1.0640908144136638</v>
      </c>
      <c r="H872" s="5">
        <v>3.9418981481481481</v>
      </c>
      <c r="I872" s="2">
        <v>1296</v>
      </c>
      <c r="J872" s="57">
        <f>I872/Pondération!$F$156</f>
        <v>0.26994376171630913</v>
      </c>
      <c r="K872" s="2"/>
      <c r="L872" s="2"/>
      <c r="M872" s="2"/>
      <c r="N872" s="2"/>
      <c r="O872" s="2"/>
      <c r="P872"/>
    </row>
    <row r="873" spans="1:16" x14ac:dyDescent="0.25">
      <c r="A873" s="2" t="s">
        <v>6</v>
      </c>
      <c r="B873" s="2">
        <v>2017</v>
      </c>
      <c r="C873" s="2" t="s">
        <v>34</v>
      </c>
      <c r="D873" s="2" t="s">
        <v>45</v>
      </c>
      <c r="E873" s="2" t="s">
        <v>9</v>
      </c>
      <c r="F873" s="2" t="s">
        <v>10</v>
      </c>
      <c r="G873" s="2">
        <f t="shared" si="46"/>
        <v>0.78694022078733805</v>
      </c>
      <c r="H873" s="5">
        <v>3.9355208333333436</v>
      </c>
      <c r="I873" s="2">
        <v>960</v>
      </c>
      <c r="J873" s="57">
        <f>I873/Pondération!$F$156</f>
        <v>0.19995834201208082</v>
      </c>
      <c r="K873" s="2"/>
      <c r="L873" s="2"/>
      <c r="M873" s="2"/>
      <c r="N873" s="2"/>
      <c r="O873" s="2"/>
      <c r="P873"/>
    </row>
    <row r="874" spans="1:16" x14ac:dyDescent="0.25">
      <c r="A874" s="2" t="s">
        <v>47</v>
      </c>
      <c r="B874" s="2">
        <v>2013</v>
      </c>
      <c r="C874" s="2" t="s">
        <v>49</v>
      </c>
      <c r="D874" s="2" t="s">
        <v>45</v>
      </c>
      <c r="E874" s="2" t="s">
        <v>9</v>
      </c>
      <c r="F874" s="2" t="s">
        <v>48</v>
      </c>
      <c r="G874" s="2">
        <f t="shared" si="46"/>
        <v>0.16727941176470584</v>
      </c>
      <c r="H874" s="5">
        <v>4.4236111111111107</v>
      </c>
      <c r="I874" s="2">
        <v>36</v>
      </c>
      <c r="J874" s="57">
        <f>I874/Pondération!$J$157</f>
        <v>3.7815126050420166E-2</v>
      </c>
      <c r="K874" s="5">
        <v>4.5</v>
      </c>
      <c r="L874" s="5">
        <f t="shared" ref="L874:L926" si="47">K874*$J874</f>
        <v>0.17016806722689073</v>
      </c>
      <c r="M874" s="5">
        <v>4.5</v>
      </c>
      <c r="N874" s="5">
        <f t="shared" ref="N874:N926" si="48">M874*$J874</f>
        <v>0.17016806722689073</v>
      </c>
      <c r="O874" s="5">
        <v>4.1944444444444446</v>
      </c>
      <c r="P874" s="15">
        <f t="shared" ref="P874:P926" si="49">O874*$J874</f>
        <v>0.15861344537815125</v>
      </c>
    </row>
    <row r="875" spans="1:16" x14ac:dyDescent="0.25">
      <c r="A875" s="2" t="s">
        <v>47</v>
      </c>
      <c r="B875" s="2">
        <v>2013</v>
      </c>
      <c r="C875" s="2" t="s">
        <v>50</v>
      </c>
      <c r="D875" s="2" t="s">
        <v>45</v>
      </c>
      <c r="E875" s="2" t="s">
        <v>9</v>
      </c>
      <c r="F875" s="2" t="s">
        <v>48</v>
      </c>
      <c r="G875" s="2">
        <f t="shared" si="46"/>
        <v>0.37184873949579833</v>
      </c>
      <c r="H875" s="5">
        <v>4.3170731707317076</v>
      </c>
      <c r="I875" s="2">
        <v>82</v>
      </c>
      <c r="J875" s="57">
        <f>I875/Pondération!$J$157</f>
        <v>8.6134453781512604E-2</v>
      </c>
      <c r="K875" s="5">
        <v>4.3658536585365857</v>
      </c>
      <c r="L875" s="5">
        <f t="shared" si="47"/>
        <v>0.37605042016806728</v>
      </c>
      <c r="M875" s="5">
        <v>4.3780487804878048</v>
      </c>
      <c r="N875" s="5">
        <f t="shared" si="48"/>
        <v>0.37710084033613445</v>
      </c>
      <c r="O875" s="5">
        <v>4.1585365853658534</v>
      </c>
      <c r="P875" s="15">
        <f t="shared" si="49"/>
        <v>0.35819327731092432</v>
      </c>
    </row>
    <row r="876" spans="1:16" x14ac:dyDescent="0.25">
      <c r="A876" s="2" t="s">
        <v>47</v>
      </c>
      <c r="B876" s="2">
        <v>2013</v>
      </c>
      <c r="C876" s="2" t="s">
        <v>51</v>
      </c>
      <c r="D876" s="2" t="s">
        <v>45</v>
      </c>
      <c r="E876" s="2" t="s">
        <v>9</v>
      </c>
      <c r="F876" s="2" t="s">
        <v>48</v>
      </c>
      <c r="G876" s="2">
        <f t="shared" si="46"/>
        <v>0.27363445378151263</v>
      </c>
      <c r="H876" s="5">
        <v>4.4152542372881358</v>
      </c>
      <c r="I876" s="2">
        <v>59</v>
      </c>
      <c r="J876" s="57">
        <f>I876/Pondération!$J$157</f>
        <v>6.1974789915966388E-2</v>
      </c>
      <c r="K876" s="5">
        <v>4.4745762711864403</v>
      </c>
      <c r="L876" s="5">
        <f t="shared" si="47"/>
        <v>0.27731092436974786</v>
      </c>
      <c r="M876" s="5">
        <v>4.406779661016949</v>
      </c>
      <c r="N876" s="5">
        <f t="shared" si="48"/>
        <v>0.27310924369747897</v>
      </c>
      <c r="O876" s="5">
        <v>4.3050847457627119</v>
      </c>
      <c r="P876" s="15">
        <f t="shared" si="49"/>
        <v>0.26680672268907563</v>
      </c>
    </row>
    <row r="877" spans="1:16" x14ac:dyDescent="0.25">
      <c r="A877" s="2" t="s">
        <v>47</v>
      </c>
      <c r="B877" s="2">
        <v>2013</v>
      </c>
      <c r="C877" s="2" t="s">
        <v>52</v>
      </c>
      <c r="D877" s="2" t="s">
        <v>45</v>
      </c>
      <c r="E877" s="2" t="s">
        <v>9</v>
      </c>
      <c r="F877" s="2" t="s">
        <v>48</v>
      </c>
      <c r="G877" s="2">
        <f t="shared" si="46"/>
        <v>0.22846638655462184</v>
      </c>
      <c r="H877" s="5">
        <v>4.53125</v>
      </c>
      <c r="I877" s="2">
        <v>48</v>
      </c>
      <c r="J877" s="57">
        <f>I877/Pondération!$J$157</f>
        <v>5.0420168067226892E-2</v>
      </c>
      <c r="K877" s="5">
        <v>4.5625</v>
      </c>
      <c r="L877" s="5">
        <f t="shared" si="47"/>
        <v>0.2300420168067227</v>
      </c>
      <c r="M877" s="5">
        <v>4.604166666666667</v>
      </c>
      <c r="N877" s="5">
        <f t="shared" si="48"/>
        <v>0.23214285714285715</v>
      </c>
      <c r="O877" s="5">
        <v>4.395833333333333</v>
      </c>
      <c r="P877" s="15">
        <f t="shared" si="49"/>
        <v>0.22163865546218486</v>
      </c>
    </row>
    <row r="878" spans="1:16" x14ac:dyDescent="0.25">
      <c r="A878" s="2" t="s">
        <v>47</v>
      </c>
      <c r="B878" s="2">
        <v>2013</v>
      </c>
      <c r="C878" s="2" t="s">
        <v>53</v>
      </c>
      <c r="D878" s="2" t="s">
        <v>45</v>
      </c>
      <c r="E878" s="2" t="s">
        <v>9</v>
      </c>
      <c r="F878" s="2" t="s">
        <v>48</v>
      </c>
      <c r="G878" s="2">
        <f t="shared" si="46"/>
        <v>0.43671218487394964</v>
      </c>
      <c r="H878" s="5">
        <v>4.3763157894736846</v>
      </c>
      <c r="I878" s="2">
        <v>95</v>
      </c>
      <c r="J878" s="57">
        <f>I878/Pondération!$J$157</f>
        <v>9.9789915966386561E-2</v>
      </c>
      <c r="K878" s="5">
        <v>4.2736842105263158</v>
      </c>
      <c r="L878" s="5">
        <f t="shared" si="47"/>
        <v>0.42647058823529416</v>
      </c>
      <c r="M878" s="5">
        <v>4.5789473684210522</v>
      </c>
      <c r="N878" s="5">
        <f t="shared" si="48"/>
        <v>0.45693277310924368</v>
      </c>
      <c r="O878" s="5">
        <v>4.3789473684210529</v>
      </c>
      <c r="P878" s="15">
        <f t="shared" si="49"/>
        <v>0.43697478991596644</v>
      </c>
    </row>
    <row r="879" spans="1:16" x14ac:dyDescent="0.25">
      <c r="A879" s="2" t="s">
        <v>47</v>
      </c>
      <c r="B879" s="2">
        <v>2013</v>
      </c>
      <c r="C879" s="2" t="s">
        <v>54</v>
      </c>
      <c r="D879" s="2" t="s">
        <v>45</v>
      </c>
      <c r="E879" s="2" t="s">
        <v>9</v>
      </c>
      <c r="F879" s="2" t="s">
        <v>48</v>
      </c>
      <c r="G879" s="2">
        <f t="shared" si="46"/>
        <v>0.35793067226890757</v>
      </c>
      <c r="H879" s="5">
        <v>4.4253246753246751</v>
      </c>
      <c r="I879" s="2">
        <v>77</v>
      </c>
      <c r="J879" s="57">
        <f>I879/Pondération!$J$157</f>
        <v>8.0882352941176475E-2</v>
      </c>
      <c r="K879" s="5">
        <v>4.337662337662338</v>
      </c>
      <c r="L879" s="5">
        <f t="shared" si="47"/>
        <v>0.35084033613445381</v>
      </c>
      <c r="M879" s="5">
        <v>4.6363636363636367</v>
      </c>
      <c r="N879" s="5">
        <f t="shared" si="48"/>
        <v>0.37500000000000006</v>
      </c>
      <c r="O879" s="5">
        <v>4.3896103896103895</v>
      </c>
      <c r="P879" s="15">
        <f t="shared" si="49"/>
        <v>0.3550420168067227</v>
      </c>
    </row>
    <row r="880" spans="1:16" x14ac:dyDescent="0.25">
      <c r="A880" s="2" t="s">
        <v>47</v>
      </c>
      <c r="B880" s="2">
        <v>2013</v>
      </c>
      <c r="C880" s="2" t="s">
        <v>55</v>
      </c>
      <c r="D880" s="2" t="s">
        <v>45</v>
      </c>
      <c r="E880" s="2" t="s">
        <v>9</v>
      </c>
      <c r="F880" s="2" t="s">
        <v>48</v>
      </c>
      <c r="G880" s="2">
        <f t="shared" si="46"/>
        <v>0.50210084033613445</v>
      </c>
      <c r="H880" s="5">
        <v>4.4672897196261685</v>
      </c>
      <c r="I880" s="2">
        <v>107</v>
      </c>
      <c r="J880" s="57">
        <f>I880/Pondération!$J$157</f>
        <v>0.11239495798319328</v>
      </c>
      <c r="K880" s="5">
        <v>4.4953271028037385</v>
      </c>
      <c r="L880" s="5">
        <f t="shared" si="47"/>
        <v>0.50525210084033612</v>
      </c>
      <c r="M880" s="5">
        <v>4.5607476635514015</v>
      </c>
      <c r="N880" s="5">
        <f t="shared" si="48"/>
        <v>0.51260504201680668</v>
      </c>
      <c r="O880" s="5">
        <v>4.3177570093457946</v>
      </c>
      <c r="P880" s="15">
        <f t="shared" si="49"/>
        <v>0.48529411764705888</v>
      </c>
    </row>
    <row r="881" spans="1:16" x14ac:dyDescent="0.25">
      <c r="A881" s="2" t="s">
        <v>47</v>
      </c>
      <c r="B881" s="2">
        <v>2013</v>
      </c>
      <c r="C881" s="2" t="s">
        <v>56</v>
      </c>
      <c r="D881" s="2" t="s">
        <v>45</v>
      </c>
      <c r="E881" s="2" t="s">
        <v>9</v>
      </c>
      <c r="F881" s="2" t="s">
        <v>48</v>
      </c>
      <c r="G881" s="2">
        <f t="shared" si="46"/>
        <v>0.34191176470588236</v>
      </c>
      <c r="H881" s="5">
        <v>4.584507042253521</v>
      </c>
      <c r="I881" s="2">
        <v>71</v>
      </c>
      <c r="J881" s="57">
        <f>I881/Pondération!$J$157</f>
        <v>7.4579831932773108E-2</v>
      </c>
      <c r="K881" s="5">
        <v>4.577464788732394</v>
      </c>
      <c r="L881" s="5">
        <f t="shared" si="47"/>
        <v>0.34138655462184869</v>
      </c>
      <c r="M881" s="5">
        <v>4.6619718309859151</v>
      </c>
      <c r="N881" s="5">
        <f t="shared" si="48"/>
        <v>0.34768907563025209</v>
      </c>
      <c r="O881" s="5">
        <v>4.52112676056338</v>
      </c>
      <c r="P881" s="15">
        <f t="shared" si="49"/>
        <v>0.3371848739495798</v>
      </c>
    </row>
    <row r="882" spans="1:16" x14ac:dyDescent="0.25">
      <c r="A882" s="2" t="s">
        <v>47</v>
      </c>
      <c r="B882" s="2">
        <v>2013</v>
      </c>
      <c r="C882" s="2" t="s">
        <v>57</v>
      </c>
      <c r="D882" s="2" t="s">
        <v>45</v>
      </c>
      <c r="E882" s="2" t="s">
        <v>9</v>
      </c>
      <c r="F882" s="2" t="s">
        <v>48</v>
      </c>
      <c r="G882" s="2">
        <f t="shared" si="46"/>
        <v>0.37657563025210083</v>
      </c>
      <c r="H882" s="5">
        <v>4.4259259259259256</v>
      </c>
      <c r="I882" s="2">
        <v>81</v>
      </c>
      <c r="J882" s="57">
        <f>I882/Pondération!$J$157</f>
        <v>8.5084033613445381E-2</v>
      </c>
      <c r="K882" s="5">
        <v>4.3950617283950617</v>
      </c>
      <c r="L882" s="5">
        <f t="shared" si="47"/>
        <v>0.37394957983193278</v>
      </c>
      <c r="M882" s="5">
        <v>4.5925925925925926</v>
      </c>
      <c r="N882" s="5">
        <f t="shared" si="48"/>
        <v>0.3907563025210084</v>
      </c>
      <c r="O882" s="5">
        <v>4.3209876543209873</v>
      </c>
      <c r="P882" s="15">
        <f t="shared" si="49"/>
        <v>0.36764705882352938</v>
      </c>
    </row>
    <row r="883" spans="1:16" x14ac:dyDescent="0.25">
      <c r="A883" s="2" t="s">
        <v>47</v>
      </c>
      <c r="B883" s="2">
        <v>2013</v>
      </c>
      <c r="C883" s="2" t="s">
        <v>58</v>
      </c>
      <c r="D883" s="2" t="s">
        <v>45</v>
      </c>
      <c r="E883" s="2" t="s">
        <v>9</v>
      </c>
      <c r="F883" s="2" t="s">
        <v>48</v>
      </c>
      <c r="G883" s="2">
        <f t="shared" si="46"/>
        <v>0.53991596638655459</v>
      </c>
      <c r="H883" s="5">
        <v>4.4695652173913043</v>
      </c>
      <c r="I883" s="2">
        <v>115</v>
      </c>
      <c r="J883" s="57">
        <f>I883/Pondération!$J$157</f>
        <v>0.12079831932773109</v>
      </c>
      <c r="K883" s="5">
        <v>4.4347826086956523</v>
      </c>
      <c r="L883" s="5">
        <f t="shared" si="47"/>
        <v>0.5357142857142857</v>
      </c>
      <c r="M883" s="5">
        <v>4.5913043478260871</v>
      </c>
      <c r="N883" s="5">
        <f t="shared" si="48"/>
        <v>0.55462184873949583</v>
      </c>
      <c r="O883" s="5">
        <v>4.4173913043478263</v>
      </c>
      <c r="P883" s="15">
        <f t="shared" si="49"/>
        <v>0.53361344537815125</v>
      </c>
    </row>
    <row r="884" spans="1:16" x14ac:dyDescent="0.25">
      <c r="A884" s="2" t="s">
        <v>47</v>
      </c>
      <c r="B884" s="2">
        <v>2013</v>
      </c>
      <c r="C884" s="2" t="s">
        <v>59</v>
      </c>
      <c r="D884" s="2" t="s">
        <v>45</v>
      </c>
      <c r="E884" s="2" t="s">
        <v>9</v>
      </c>
      <c r="F884" s="2" t="s">
        <v>48</v>
      </c>
      <c r="G884" s="2">
        <f t="shared" si="46"/>
        <v>0.52022058823529405</v>
      </c>
      <c r="H884" s="5">
        <v>4.3827433628318584</v>
      </c>
      <c r="I884" s="2">
        <v>113</v>
      </c>
      <c r="J884" s="57">
        <f>I884/Pondération!$J$157</f>
        <v>0.11869747899159663</v>
      </c>
      <c r="K884" s="5">
        <v>4.3628318584070795</v>
      </c>
      <c r="L884" s="5">
        <f t="shared" si="47"/>
        <v>0.51785714285714279</v>
      </c>
      <c r="M884" s="5">
        <v>4.4867256637168138</v>
      </c>
      <c r="N884" s="5">
        <f t="shared" si="48"/>
        <v>0.53256302521008392</v>
      </c>
      <c r="O884" s="5">
        <v>4.3185840707964598</v>
      </c>
      <c r="P884" s="15">
        <f t="shared" si="49"/>
        <v>0.51260504201680668</v>
      </c>
    </row>
    <row r="885" spans="1:16" x14ac:dyDescent="0.25">
      <c r="A885" s="2" t="s">
        <v>47</v>
      </c>
      <c r="B885" s="2">
        <v>2013</v>
      </c>
      <c r="C885" s="2" t="s">
        <v>60</v>
      </c>
      <c r="D885" s="2" t="s">
        <v>45</v>
      </c>
      <c r="E885" s="2" t="s">
        <v>9</v>
      </c>
      <c r="F885" s="2" t="s">
        <v>48</v>
      </c>
      <c r="G885" s="2">
        <f t="shared" si="46"/>
        <v>0.3172268907563025</v>
      </c>
      <c r="H885" s="5">
        <v>4.4411764705882355</v>
      </c>
      <c r="I885" s="2">
        <v>68</v>
      </c>
      <c r="J885" s="57">
        <f>I885/Pondération!$J$157</f>
        <v>7.1428571428571425E-2</v>
      </c>
      <c r="K885" s="5">
        <v>4.367647058823529</v>
      </c>
      <c r="L885" s="5">
        <f t="shared" si="47"/>
        <v>0.31197478991596633</v>
      </c>
      <c r="M885" s="5">
        <v>4.5882352941176467</v>
      </c>
      <c r="N885" s="5">
        <f t="shared" si="48"/>
        <v>0.32773109243697474</v>
      </c>
      <c r="O885" s="5">
        <v>4.4411764705882355</v>
      </c>
      <c r="P885" s="15">
        <f t="shared" si="49"/>
        <v>0.3172268907563025</v>
      </c>
    </row>
    <row r="886" spans="1:16" x14ac:dyDescent="0.25">
      <c r="A886" s="2" t="s">
        <v>47</v>
      </c>
      <c r="B886" s="2">
        <v>2014</v>
      </c>
      <c r="C886" s="2" t="s">
        <v>61</v>
      </c>
      <c r="D886" s="2" t="s">
        <v>45</v>
      </c>
      <c r="E886" s="2" t="s">
        <v>9</v>
      </c>
      <c r="F886" s="2" t="s">
        <v>48</v>
      </c>
      <c r="G886" s="2">
        <f t="shared" si="46"/>
        <v>0.2655314371257485</v>
      </c>
      <c r="H886" s="5">
        <v>4.4905063291139244</v>
      </c>
      <c r="I886" s="2">
        <v>79</v>
      </c>
      <c r="J886" s="57">
        <f>I886/Pondération!$I$157</f>
        <v>5.9131736526946109E-2</v>
      </c>
      <c r="K886" s="5">
        <v>4.4303797468354427</v>
      </c>
      <c r="L886" s="5">
        <f t="shared" si="47"/>
        <v>0.2619760479041916</v>
      </c>
      <c r="M886" s="5">
        <v>4.5822784810126587</v>
      </c>
      <c r="N886" s="5">
        <f t="shared" si="48"/>
        <v>0.27095808383233538</v>
      </c>
      <c r="O886" s="5">
        <v>4.518987341772152</v>
      </c>
      <c r="P886" s="15">
        <f t="shared" si="49"/>
        <v>0.26721556886227549</v>
      </c>
    </row>
    <row r="887" spans="1:16" x14ac:dyDescent="0.25">
      <c r="A887" s="2" t="s">
        <v>47</v>
      </c>
      <c r="B887" s="2">
        <v>2014</v>
      </c>
      <c r="C887" s="2" t="s">
        <v>62</v>
      </c>
      <c r="D887" s="2" t="s">
        <v>45</v>
      </c>
      <c r="E887" s="2" t="s">
        <v>9</v>
      </c>
      <c r="F887" s="2" t="s">
        <v>48</v>
      </c>
      <c r="G887" s="2">
        <f t="shared" si="46"/>
        <v>0.41261227544910178</v>
      </c>
      <c r="H887" s="5">
        <v>4.4817073170731705</v>
      </c>
      <c r="I887" s="2">
        <v>123</v>
      </c>
      <c r="J887" s="57">
        <f>I887/Pondération!$I$157</f>
        <v>9.2065868263473058E-2</v>
      </c>
      <c r="K887" s="5">
        <v>4.4715447154471546</v>
      </c>
      <c r="L887" s="5">
        <f t="shared" si="47"/>
        <v>0.41167664670658688</v>
      </c>
      <c r="M887" s="5">
        <v>4.5934959349593498</v>
      </c>
      <c r="N887" s="5">
        <f t="shared" si="48"/>
        <v>0.42290419161676651</v>
      </c>
      <c r="O887" s="5">
        <v>4.3902439024390247</v>
      </c>
      <c r="P887" s="15">
        <f t="shared" si="49"/>
        <v>0.40419161676646714</v>
      </c>
    </row>
    <row r="888" spans="1:16" x14ac:dyDescent="0.25">
      <c r="A888" s="2" t="s">
        <v>47</v>
      </c>
      <c r="B888" s="2">
        <v>2014</v>
      </c>
      <c r="C888" s="2" t="s">
        <v>63</v>
      </c>
      <c r="D888" s="2" t="s">
        <v>45</v>
      </c>
      <c r="E888" s="2" t="s">
        <v>9</v>
      </c>
      <c r="F888" s="2" t="s">
        <v>48</v>
      </c>
      <c r="G888" s="2">
        <f t="shared" si="46"/>
        <v>0.33383233532934137</v>
      </c>
      <c r="H888" s="5">
        <v>4.4158415841584162</v>
      </c>
      <c r="I888" s="2">
        <v>101</v>
      </c>
      <c r="J888" s="57">
        <f>I888/Pondération!$I$157</f>
        <v>7.559880239520958E-2</v>
      </c>
      <c r="K888" s="5">
        <v>4.3861386138613865</v>
      </c>
      <c r="L888" s="5">
        <f t="shared" si="47"/>
        <v>0.33158682634730541</v>
      </c>
      <c r="M888" s="5">
        <v>4.5247524752475243</v>
      </c>
      <c r="N888" s="5">
        <f t="shared" si="48"/>
        <v>0.34206586826347302</v>
      </c>
      <c r="O888" s="5">
        <v>4.3663366336633667</v>
      </c>
      <c r="P888" s="15">
        <f t="shared" si="49"/>
        <v>0.33008982035928147</v>
      </c>
    </row>
    <row r="889" spans="1:16" x14ac:dyDescent="0.25">
      <c r="A889" s="2" t="s">
        <v>47</v>
      </c>
      <c r="B889" s="2">
        <v>2014</v>
      </c>
      <c r="C889" s="2" t="s">
        <v>64</v>
      </c>
      <c r="D889" s="2" t="s">
        <v>45</v>
      </c>
      <c r="E889" s="2" t="s">
        <v>9</v>
      </c>
      <c r="F889" s="2" t="s">
        <v>48</v>
      </c>
      <c r="G889" s="2">
        <f t="shared" si="46"/>
        <v>0.28929640718562877</v>
      </c>
      <c r="H889" s="5">
        <v>4.4941860465116283</v>
      </c>
      <c r="I889" s="2">
        <v>86</v>
      </c>
      <c r="J889" s="57">
        <f>I889/Pondération!$I$157</f>
        <v>6.4371257485029934E-2</v>
      </c>
      <c r="K889" s="5">
        <v>4.5</v>
      </c>
      <c r="L889" s="5">
        <f t="shared" si="47"/>
        <v>0.2896706586826347</v>
      </c>
      <c r="M889" s="5">
        <v>4.5930232558139537</v>
      </c>
      <c r="N889" s="5">
        <f t="shared" si="48"/>
        <v>0.2956586826347305</v>
      </c>
      <c r="O889" s="5">
        <v>4.3837209302325579</v>
      </c>
      <c r="P889" s="15">
        <f t="shared" si="49"/>
        <v>0.2821856287425149</v>
      </c>
    </row>
    <row r="890" spans="1:16" x14ac:dyDescent="0.25">
      <c r="A890" s="2" t="s">
        <v>47</v>
      </c>
      <c r="B890" s="2">
        <v>2014</v>
      </c>
      <c r="C890" s="2" t="s">
        <v>65</v>
      </c>
      <c r="D890" s="2" t="s">
        <v>45</v>
      </c>
      <c r="E890" s="2" t="s">
        <v>9</v>
      </c>
      <c r="F890" s="2" t="s">
        <v>48</v>
      </c>
      <c r="G890" s="2">
        <f t="shared" si="46"/>
        <v>0.44928892215568861</v>
      </c>
      <c r="H890" s="5">
        <v>4.4794776119402986</v>
      </c>
      <c r="I890" s="2">
        <v>134</v>
      </c>
      <c r="J890" s="57">
        <f>I890/Pondération!$I$157</f>
        <v>0.10029940119760479</v>
      </c>
      <c r="K890" s="5">
        <v>4.5074626865671643</v>
      </c>
      <c r="L890" s="5">
        <f t="shared" si="47"/>
        <v>0.45209580838323354</v>
      </c>
      <c r="M890" s="5">
        <v>4.5522388059701493</v>
      </c>
      <c r="N890" s="5">
        <f t="shared" si="48"/>
        <v>0.45658682634730541</v>
      </c>
      <c r="O890" s="5">
        <v>4.3507462686567164</v>
      </c>
      <c r="P890" s="15">
        <f t="shared" si="49"/>
        <v>0.43637724550898205</v>
      </c>
    </row>
    <row r="891" spans="1:16" x14ac:dyDescent="0.25">
      <c r="A891" s="2" t="s">
        <v>47</v>
      </c>
      <c r="B891" s="2">
        <v>2014</v>
      </c>
      <c r="C891" s="2" t="s">
        <v>66</v>
      </c>
      <c r="D891" s="2" t="s">
        <v>45</v>
      </c>
      <c r="E891" s="2" t="s">
        <v>9</v>
      </c>
      <c r="F891" s="2" t="s">
        <v>48</v>
      </c>
      <c r="G891" s="2">
        <f t="shared" si="46"/>
        <v>0.30314371257485029</v>
      </c>
      <c r="H891" s="5">
        <v>4.4505494505494507</v>
      </c>
      <c r="I891" s="2">
        <v>91</v>
      </c>
      <c r="J891" s="57">
        <f>I891/Pondération!$I$157</f>
        <v>6.8113772455089816E-2</v>
      </c>
      <c r="K891" s="5">
        <v>4.4285714285714288</v>
      </c>
      <c r="L891" s="5">
        <f t="shared" si="47"/>
        <v>0.30164670658682635</v>
      </c>
      <c r="M891" s="5">
        <v>4.5494505494505493</v>
      </c>
      <c r="N891" s="5">
        <f t="shared" si="48"/>
        <v>0.30988023952095806</v>
      </c>
      <c r="O891" s="5">
        <v>4.395604395604396</v>
      </c>
      <c r="P891" s="15">
        <f t="shared" si="49"/>
        <v>0.29940119760479045</v>
      </c>
    </row>
    <row r="892" spans="1:16" x14ac:dyDescent="0.25">
      <c r="A892" s="2" t="s">
        <v>47</v>
      </c>
      <c r="B892" s="2">
        <v>2014</v>
      </c>
      <c r="C892" s="2" t="s">
        <v>67</v>
      </c>
      <c r="D892" s="2" t="s">
        <v>45</v>
      </c>
      <c r="E892" s="2" t="s">
        <v>9</v>
      </c>
      <c r="F892" s="2" t="s">
        <v>48</v>
      </c>
      <c r="G892" s="2">
        <f t="shared" si="46"/>
        <v>0.44498502994011974</v>
      </c>
      <c r="H892" s="5">
        <v>4.4365671641791042</v>
      </c>
      <c r="I892" s="2">
        <v>134</v>
      </c>
      <c r="J892" s="57">
        <f>I892/Pondération!$I$157</f>
        <v>0.10029940119760479</v>
      </c>
      <c r="K892" s="5">
        <v>4.4253731343283578</v>
      </c>
      <c r="L892" s="5">
        <f t="shared" si="47"/>
        <v>0.44386227544910173</v>
      </c>
      <c r="M892" s="5">
        <v>4.5746268656716422</v>
      </c>
      <c r="N892" s="5">
        <f t="shared" si="48"/>
        <v>0.45883233532934137</v>
      </c>
      <c r="O892" s="5">
        <v>4.3208955223880601</v>
      </c>
      <c r="P892" s="15">
        <f t="shared" si="49"/>
        <v>0.43338323353293418</v>
      </c>
    </row>
    <row r="893" spans="1:16" x14ac:dyDescent="0.25">
      <c r="A893" s="2" t="s">
        <v>47</v>
      </c>
      <c r="B893" s="2">
        <v>2014</v>
      </c>
      <c r="C893" s="2" t="s">
        <v>68</v>
      </c>
      <c r="D893" s="2" t="s">
        <v>45</v>
      </c>
      <c r="E893" s="2" t="s">
        <v>9</v>
      </c>
      <c r="F893" s="2" t="s">
        <v>48</v>
      </c>
      <c r="G893" s="2">
        <f t="shared" si="46"/>
        <v>0.33270958083832336</v>
      </c>
      <c r="H893" s="5">
        <v>4.4009900990099009</v>
      </c>
      <c r="I893" s="2">
        <v>101</v>
      </c>
      <c r="J893" s="57">
        <f>I893/Pondération!$I$157</f>
        <v>7.559880239520958E-2</v>
      </c>
      <c r="K893" s="5">
        <v>4.3564356435643568</v>
      </c>
      <c r="L893" s="5">
        <f t="shared" si="47"/>
        <v>0.3293413173652695</v>
      </c>
      <c r="M893" s="5">
        <v>4.5445544554455441</v>
      </c>
      <c r="N893" s="5">
        <f t="shared" si="48"/>
        <v>0.34356287425149695</v>
      </c>
      <c r="O893" s="5">
        <v>4.3465346534653468</v>
      </c>
      <c r="P893" s="15">
        <f t="shared" si="49"/>
        <v>0.32859281437125748</v>
      </c>
    </row>
    <row r="894" spans="1:16" x14ac:dyDescent="0.25">
      <c r="A894" s="2" t="s">
        <v>47</v>
      </c>
      <c r="B894" s="2">
        <v>2014</v>
      </c>
      <c r="C894" s="2" t="s">
        <v>69</v>
      </c>
      <c r="D894" s="2" t="s">
        <v>45</v>
      </c>
      <c r="E894" s="2" t="s">
        <v>9</v>
      </c>
      <c r="F894" s="2" t="s">
        <v>48</v>
      </c>
      <c r="G894" s="2">
        <f t="shared" si="46"/>
        <v>0.3065119760479042</v>
      </c>
      <c r="H894" s="5">
        <v>4.55</v>
      </c>
      <c r="I894" s="2">
        <v>90</v>
      </c>
      <c r="J894" s="57">
        <f>I894/Pondération!$I$157</f>
        <v>6.7365269461077848E-2</v>
      </c>
      <c r="K894" s="5">
        <v>4.5555555555555554</v>
      </c>
      <c r="L894" s="5">
        <f t="shared" si="47"/>
        <v>0.30688622754491018</v>
      </c>
      <c r="M894" s="5">
        <v>4.6444444444444448</v>
      </c>
      <c r="N894" s="5">
        <f t="shared" si="48"/>
        <v>0.31287425149700604</v>
      </c>
      <c r="O894" s="5">
        <v>4.4444444444444446</v>
      </c>
      <c r="P894" s="15">
        <f t="shared" si="49"/>
        <v>0.29940119760479045</v>
      </c>
    </row>
    <row r="895" spans="1:16" x14ac:dyDescent="0.25">
      <c r="A895" s="2" t="s">
        <v>47</v>
      </c>
      <c r="B895" s="2">
        <v>2014</v>
      </c>
      <c r="C895" s="2" t="s">
        <v>70</v>
      </c>
      <c r="D895" s="2" t="s">
        <v>45</v>
      </c>
      <c r="E895" s="2" t="s">
        <v>9</v>
      </c>
      <c r="F895" s="2" t="s">
        <v>48</v>
      </c>
      <c r="G895" s="2">
        <f t="shared" si="46"/>
        <v>0.48353293413173648</v>
      </c>
      <c r="H895" s="5">
        <v>4.4861111111111107</v>
      </c>
      <c r="I895" s="2">
        <v>144</v>
      </c>
      <c r="J895" s="57">
        <f>I895/Pondération!$I$157</f>
        <v>0.10778443113772455</v>
      </c>
      <c r="K895" s="5">
        <v>4.4930555555555554</v>
      </c>
      <c r="L895" s="5">
        <f t="shared" si="47"/>
        <v>0.4842814371257485</v>
      </c>
      <c r="M895" s="5">
        <v>4.5902777777777777</v>
      </c>
      <c r="N895" s="5">
        <f t="shared" si="48"/>
        <v>0.49476047904191617</v>
      </c>
      <c r="O895" s="5">
        <v>4.3680555555555554</v>
      </c>
      <c r="P895" s="15">
        <f t="shared" si="49"/>
        <v>0.47080838323353291</v>
      </c>
    </row>
    <row r="896" spans="1:16" x14ac:dyDescent="0.25">
      <c r="A896" s="2" t="s">
        <v>47</v>
      </c>
      <c r="B896" s="2">
        <v>2014</v>
      </c>
      <c r="C896" s="2" t="s">
        <v>71</v>
      </c>
      <c r="D896" s="2" t="s">
        <v>45</v>
      </c>
      <c r="E896" s="2" t="s">
        <v>9</v>
      </c>
      <c r="F896" s="2" t="s">
        <v>48</v>
      </c>
      <c r="G896" s="2">
        <f t="shared" si="46"/>
        <v>0.45097305389221559</v>
      </c>
      <c r="H896" s="5">
        <v>4.3978102189781021</v>
      </c>
      <c r="I896" s="2">
        <v>137</v>
      </c>
      <c r="J896" s="57">
        <f>I896/Pondération!$I$157</f>
        <v>0.10254491017964072</v>
      </c>
      <c r="K896" s="5">
        <v>4.3795620437956204</v>
      </c>
      <c r="L896" s="5">
        <f t="shared" si="47"/>
        <v>0.44910179640718562</v>
      </c>
      <c r="M896" s="5">
        <v>4.5109489051094886</v>
      </c>
      <c r="N896" s="5">
        <f t="shared" si="48"/>
        <v>0.46257485029940115</v>
      </c>
      <c r="O896" s="5">
        <v>4.3211678832116789</v>
      </c>
      <c r="P896" s="15">
        <f t="shared" si="49"/>
        <v>0.44311377245508982</v>
      </c>
    </row>
    <row r="897" spans="1:16" x14ac:dyDescent="0.25">
      <c r="A897" s="2" t="s">
        <v>47</v>
      </c>
      <c r="B897" s="2">
        <v>2014</v>
      </c>
      <c r="C897" s="2" t="s">
        <v>72</v>
      </c>
      <c r="D897" s="2" t="s">
        <v>45</v>
      </c>
      <c r="E897" s="2" t="s">
        <v>9</v>
      </c>
      <c r="F897" s="2" t="s">
        <v>48</v>
      </c>
      <c r="G897" s="2">
        <f t="shared" si="46"/>
        <v>0.39689371257485034</v>
      </c>
      <c r="H897" s="5">
        <v>4.5711206896551726</v>
      </c>
      <c r="I897" s="2">
        <v>116</v>
      </c>
      <c r="J897" s="57">
        <f>I897/Pondération!$I$157</f>
        <v>8.6826347305389226E-2</v>
      </c>
      <c r="K897" s="5">
        <v>4.5603448275862073</v>
      </c>
      <c r="L897" s="5">
        <f t="shared" si="47"/>
        <v>0.39595808383233538</v>
      </c>
      <c r="M897" s="5">
        <v>4.6637931034482758</v>
      </c>
      <c r="N897" s="5">
        <f t="shared" si="48"/>
        <v>0.40494011976047906</v>
      </c>
      <c r="O897" s="5">
        <v>4.5</v>
      </c>
      <c r="P897" s="15">
        <f t="shared" si="49"/>
        <v>0.3907185628742515</v>
      </c>
    </row>
    <row r="898" spans="1:16" x14ac:dyDescent="0.25">
      <c r="A898" s="2" t="s">
        <v>47</v>
      </c>
      <c r="B898" s="2">
        <v>2015</v>
      </c>
      <c r="C898" s="2" t="s">
        <v>73</v>
      </c>
      <c r="D898" s="2" t="s">
        <v>45</v>
      </c>
      <c r="E898" s="2" t="s">
        <v>9</v>
      </c>
      <c r="F898" s="2" t="s">
        <v>48</v>
      </c>
      <c r="G898" s="2">
        <f t="shared" ref="G898:G961" si="50">H898*J898</f>
        <v>0.1648301193755739</v>
      </c>
      <c r="H898" s="5">
        <v>4.4874999999999998</v>
      </c>
      <c r="I898" s="2">
        <v>80</v>
      </c>
      <c r="J898" s="57">
        <f>I898/Pondération!$H$157</f>
        <v>3.6730945821854911E-2</v>
      </c>
      <c r="K898" s="5">
        <v>4.5250000000000004</v>
      </c>
      <c r="L898" s="5">
        <f t="shared" si="47"/>
        <v>0.16620752984389348</v>
      </c>
      <c r="M898" s="5">
        <v>4.5250000000000004</v>
      </c>
      <c r="N898" s="5">
        <f t="shared" si="48"/>
        <v>0.16620752984389348</v>
      </c>
      <c r="O898" s="5">
        <v>4.375</v>
      </c>
      <c r="P898" s="15">
        <f t="shared" si="49"/>
        <v>0.16069788797061524</v>
      </c>
    </row>
    <row r="899" spans="1:16" x14ac:dyDescent="0.25">
      <c r="A899" s="2" t="s">
        <v>47</v>
      </c>
      <c r="B899" s="2">
        <v>2015</v>
      </c>
      <c r="C899" s="2" t="s">
        <v>74</v>
      </c>
      <c r="D899" s="2" t="s">
        <v>45</v>
      </c>
      <c r="E899" s="2" t="s">
        <v>9</v>
      </c>
      <c r="F899" s="2" t="s">
        <v>48</v>
      </c>
      <c r="G899" s="2">
        <f t="shared" si="50"/>
        <v>0.30222681359045001</v>
      </c>
      <c r="H899" s="5">
        <v>4.3883333333333336</v>
      </c>
      <c r="I899" s="2">
        <v>150</v>
      </c>
      <c r="J899" s="57">
        <f>I899/Pondération!$H$157</f>
        <v>6.8870523415977963E-2</v>
      </c>
      <c r="K899" s="5">
        <v>4.3933333333333335</v>
      </c>
      <c r="L899" s="5">
        <f t="shared" si="47"/>
        <v>0.30257116620752988</v>
      </c>
      <c r="M899" s="5">
        <v>4.4466666666666663</v>
      </c>
      <c r="N899" s="5">
        <f t="shared" si="48"/>
        <v>0.30624426078971534</v>
      </c>
      <c r="O899" s="5">
        <v>4.32</v>
      </c>
      <c r="P899" s="15">
        <f t="shared" si="49"/>
        <v>0.2975206611570248</v>
      </c>
    </row>
    <row r="900" spans="1:16" x14ac:dyDescent="0.25">
      <c r="A900" s="2" t="s">
        <v>47</v>
      </c>
      <c r="B900" s="2">
        <v>2015</v>
      </c>
      <c r="C900" s="2" t="s">
        <v>75</v>
      </c>
      <c r="D900" s="2" t="s">
        <v>45</v>
      </c>
      <c r="E900" s="2" t="s">
        <v>9</v>
      </c>
      <c r="F900" s="2" t="s">
        <v>48</v>
      </c>
      <c r="G900" s="2">
        <f t="shared" si="50"/>
        <v>0.2705463728191001</v>
      </c>
      <c r="H900" s="5">
        <v>4.3648148148148147</v>
      </c>
      <c r="I900" s="2">
        <v>135</v>
      </c>
      <c r="J900" s="57">
        <f>I900/Pondération!$H$157</f>
        <v>6.1983471074380167E-2</v>
      </c>
      <c r="K900" s="5">
        <v>4.3555555555555552</v>
      </c>
      <c r="L900" s="5">
        <f t="shared" si="47"/>
        <v>0.26997245179063362</v>
      </c>
      <c r="M900" s="5">
        <v>4.4370370370370367</v>
      </c>
      <c r="N900" s="5">
        <f t="shared" si="48"/>
        <v>0.27502295684113864</v>
      </c>
      <c r="O900" s="5">
        <v>4.3111111111111109</v>
      </c>
      <c r="P900" s="15">
        <f t="shared" si="49"/>
        <v>0.26721763085399447</v>
      </c>
    </row>
    <row r="901" spans="1:16" x14ac:dyDescent="0.25">
      <c r="A901" s="2" t="s">
        <v>47</v>
      </c>
      <c r="B901" s="2">
        <v>2015</v>
      </c>
      <c r="C901" s="2" t="s">
        <v>76</v>
      </c>
      <c r="D901" s="2" t="s">
        <v>45</v>
      </c>
      <c r="E901" s="2" t="s">
        <v>9</v>
      </c>
      <c r="F901" s="2" t="s">
        <v>48</v>
      </c>
      <c r="G901" s="2">
        <f t="shared" si="50"/>
        <v>0.37878787878787878</v>
      </c>
      <c r="H901" s="5">
        <v>4.4117647058823533</v>
      </c>
      <c r="I901" s="2">
        <v>187</v>
      </c>
      <c r="J901" s="57">
        <f>I901/Pondération!$H$157</f>
        <v>8.5858585858585856E-2</v>
      </c>
      <c r="K901" s="5">
        <v>4.4064171122994651</v>
      </c>
      <c r="L901" s="5">
        <f t="shared" si="47"/>
        <v>0.37832874196510557</v>
      </c>
      <c r="M901" s="5">
        <v>4.5187165775401068</v>
      </c>
      <c r="N901" s="5">
        <f t="shared" si="48"/>
        <v>0.38797061524334248</v>
      </c>
      <c r="O901" s="5">
        <v>4.3155080213903743</v>
      </c>
      <c r="P901" s="15">
        <f t="shared" si="49"/>
        <v>0.3705234159779614</v>
      </c>
    </row>
    <row r="902" spans="1:16" x14ac:dyDescent="0.25">
      <c r="A902" s="2" t="s">
        <v>47</v>
      </c>
      <c r="B902" s="2">
        <v>2015</v>
      </c>
      <c r="C902" s="2" t="s">
        <v>7</v>
      </c>
      <c r="D902" s="2" t="s">
        <v>45</v>
      </c>
      <c r="E902" s="2" t="s">
        <v>9</v>
      </c>
      <c r="F902" s="2" t="s">
        <v>48</v>
      </c>
      <c r="G902" s="2">
        <f t="shared" si="50"/>
        <v>0.43055555555555547</v>
      </c>
      <c r="H902" s="5">
        <v>4.4233490566037732</v>
      </c>
      <c r="I902" s="2">
        <v>212</v>
      </c>
      <c r="J902" s="57">
        <f>I902/Pondération!$H$157</f>
        <v>9.7337006427915512E-2</v>
      </c>
      <c r="K902" s="5">
        <v>4.4150943396226419</v>
      </c>
      <c r="L902" s="5">
        <f t="shared" si="47"/>
        <v>0.42975206611570249</v>
      </c>
      <c r="M902" s="5">
        <v>4.5141509433962268</v>
      </c>
      <c r="N902" s="5">
        <f t="shared" si="48"/>
        <v>0.43939393939393939</v>
      </c>
      <c r="O902" s="5">
        <v>4.3490566037735849</v>
      </c>
      <c r="P902" s="15">
        <f t="shared" si="49"/>
        <v>0.42332415059687784</v>
      </c>
    </row>
    <row r="903" spans="1:16" x14ac:dyDescent="0.25">
      <c r="A903" s="2" t="s">
        <v>47</v>
      </c>
      <c r="B903" s="2">
        <v>2015</v>
      </c>
      <c r="C903" s="2" t="s">
        <v>11</v>
      </c>
      <c r="D903" s="2" t="s">
        <v>45</v>
      </c>
      <c r="E903" s="2" t="s">
        <v>9</v>
      </c>
      <c r="F903" s="2" t="s">
        <v>48</v>
      </c>
      <c r="G903" s="2">
        <f t="shared" si="50"/>
        <v>0.30004591368227729</v>
      </c>
      <c r="H903" s="5">
        <v>4.4155405405405403</v>
      </c>
      <c r="I903" s="2">
        <v>148</v>
      </c>
      <c r="J903" s="57">
        <f>I903/Pondération!$H$157</f>
        <v>6.7952249770431586E-2</v>
      </c>
      <c r="K903" s="5">
        <v>4.4121621621621623</v>
      </c>
      <c r="L903" s="5">
        <f t="shared" si="47"/>
        <v>0.29981634527089074</v>
      </c>
      <c r="M903" s="5">
        <v>4.4594594594594597</v>
      </c>
      <c r="N903" s="5">
        <f t="shared" si="48"/>
        <v>0.30303030303030304</v>
      </c>
      <c r="O903" s="5">
        <v>4.3783783783783781</v>
      </c>
      <c r="P903" s="15">
        <f t="shared" si="49"/>
        <v>0.29752066115702475</v>
      </c>
    </row>
    <row r="904" spans="1:16" x14ac:dyDescent="0.25">
      <c r="A904" s="2" t="s">
        <v>47</v>
      </c>
      <c r="B904" s="2">
        <v>2015</v>
      </c>
      <c r="C904" s="2" t="s">
        <v>12</v>
      </c>
      <c r="D904" s="2" t="s">
        <v>45</v>
      </c>
      <c r="E904" s="2" t="s">
        <v>9</v>
      </c>
      <c r="F904" s="2" t="s">
        <v>48</v>
      </c>
      <c r="G904" s="2">
        <f t="shared" si="50"/>
        <v>0.39520202020202022</v>
      </c>
      <c r="H904" s="5">
        <v>4.5065445026178015</v>
      </c>
      <c r="I904" s="2">
        <v>191</v>
      </c>
      <c r="J904" s="57">
        <f>I904/Pondération!$H$157</f>
        <v>8.7695133149678597E-2</v>
      </c>
      <c r="K904" s="5">
        <v>4.5130890052356021</v>
      </c>
      <c r="L904" s="5">
        <f t="shared" si="47"/>
        <v>0.39577594123048665</v>
      </c>
      <c r="M904" s="5">
        <v>4.5602094240837694</v>
      </c>
      <c r="N904" s="5">
        <f t="shared" si="48"/>
        <v>0.39990817263544531</v>
      </c>
      <c r="O904" s="5">
        <v>4.4397905759162306</v>
      </c>
      <c r="P904" s="15">
        <f t="shared" si="49"/>
        <v>0.38934802571166205</v>
      </c>
    </row>
    <row r="905" spans="1:16" x14ac:dyDescent="0.25">
      <c r="A905" s="2" t="s">
        <v>47</v>
      </c>
      <c r="B905" s="2">
        <v>2015</v>
      </c>
      <c r="C905" s="2" t="s">
        <v>13</v>
      </c>
      <c r="D905" s="2" t="s">
        <v>45</v>
      </c>
      <c r="E905" s="2" t="s">
        <v>9</v>
      </c>
      <c r="F905" s="2" t="s">
        <v>48</v>
      </c>
      <c r="G905" s="2">
        <f t="shared" si="50"/>
        <v>0.36845730027548207</v>
      </c>
      <c r="H905" s="5">
        <v>4.4337016574585633</v>
      </c>
      <c r="I905" s="2">
        <v>181</v>
      </c>
      <c r="J905" s="57">
        <f>I905/Pondération!$H$157</f>
        <v>8.3103764921946738E-2</v>
      </c>
      <c r="K905" s="5">
        <v>4.4254143646408837</v>
      </c>
      <c r="L905" s="5">
        <f t="shared" si="47"/>
        <v>0.36776859504132225</v>
      </c>
      <c r="M905" s="5">
        <v>4.5248618784530388</v>
      </c>
      <c r="N905" s="5">
        <f t="shared" si="48"/>
        <v>0.37603305785123969</v>
      </c>
      <c r="O905" s="5">
        <v>4.3591160220994478</v>
      </c>
      <c r="P905" s="15">
        <f t="shared" si="49"/>
        <v>0.36225895316804407</v>
      </c>
    </row>
    <row r="906" spans="1:16" x14ac:dyDescent="0.25">
      <c r="A906" s="2" t="s">
        <v>47</v>
      </c>
      <c r="B906" s="2">
        <v>2015</v>
      </c>
      <c r="C906" s="2" t="s">
        <v>14</v>
      </c>
      <c r="D906" s="2" t="s">
        <v>45</v>
      </c>
      <c r="E906" s="2" t="s">
        <v>9</v>
      </c>
      <c r="F906" s="2" t="s">
        <v>48</v>
      </c>
      <c r="G906" s="2">
        <f t="shared" si="50"/>
        <v>0.39198806244260787</v>
      </c>
      <c r="H906" s="5">
        <v>4.4007731958762886</v>
      </c>
      <c r="I906" s="2">
        <v>194</v>
      </c>
      <c r="J906" s="57">
        <f>I906/Pondération!$H$157</f>
        <v>8.9072543617998157E-2</v>
      </c>
      <c r="K906" s="5">
        <v>4.4123711340206189</v>
      </c>
      <c r="L906" s="5">
        <f t="shared" si="47"/>
        <v>0.39302112029384756</v>
      </c>
      <c r="M906" s="5">
        <v>4.5051546391752577</v>
      </c>
      <c r="N906" s="5">
        <f t="shared" si="48"/>
        <v>0.40128558310376489</v>
      </c>
      <c r="O906" s="5">
        <v>4.2731958762886597</v>
      </c>
      <c r="P906" s="15">
        <f t="shared" si="49"/>
        <v>0.38062442607897151</v>
      </c>
    </row>
    <row r="907" spans="1:16" x14ac:dyDescent="0.25">
      <c r="A907" s="2" t="s">
        <v>47</v>
      </c>
      <c r="B907" s="2">
        <v>2015</v>
      </c>
      <c r="C907" s="2" t="s">
        <v>15</v>
      </c>
      <c r="D907" s="2" t="s">
        <v>45</v>
      </c>
      <c r="E907" s="2" t="s">
        <v>9</v>
      </c>
      <c r="F907" s="2" t="s">
        <v>48</v>
      </c>
      <c r="G907" s="2">
        <f t="shared" si="50"/>
        <v>0.52341597796143247</v>
      </c>
      <c r="H907" s="5">
        <v>4.5238095238095237</v>
      </c>
      <c r="I907" s="2">
        <v>252</v>
      </c>
      <c r="J907" s="57">
        <f>I907/Pondération!$H$157</f>
        <v>0.11570247933884298</v>
      </c>
      <c r="K907" s="5">
        <v>4.503968253968254</v>
      </c>
      <c r="L907" s="5">
        <f t="shared" si="47"/>
        <v>0.52112029384756664</v>
      </c>
      <c r="M907" s="5">
        <v>4.6468253968253972</v>
      </c>
      <c r="N907" s="5">
        <f t="shared" si="48"/>
        <v>0.5376492194674013</v>
      </c>
      <c r="O907" s="5">
        <v>4.4404761904761907</v>
      </c>
      <c r="P907" s="15">
        <f t="shared" si="49"/>
        <v>0.51377410468319562</v>
      </c>
    </row>
    <row r="908" spans="1:16" x14ac:dyDescent="0.25">
      <c r="A908" s="2" t="s">
        <v>47</v>
      </c>
      <c r="B908" s="2">
        <v>2015</v>
      </c>
      <c r="C908" s="2" t="s">
        <v>16</v>
      </c>
      <c r="D908" s="2" t="s">
        <v>45</v>
      </c>
      <c r="E908" s="2" t="s">
        <v>9</v>
      </c>
      <c r="F908" s="2" t="s">
        <v>48</v>
      </c>
      <c r="G908" s="2">
        <f t="shared" si="50"/>
        <v>0.47796143250688711</v>
      </c>
      <c r="H908" s="5">
        <v>4.4487179487179489</v>
      </c>
      <c r="I908" s="2">
        <v>234</v>
      </c>
      <c r="J908" s="57">
        <f>I908/Pondération!$H$157</f>
        <v>0.10743801652892562</v>
      </c>
      <c r="K908" s="5">
        <v>4.4957264957264957</v>
      </c>
      <c r="L908" s="5">
        <f t="shared" si="47"/>
        <v>0.48301193755739213</v>
      </c>
      <c r="M908" s="5">
        <v>4.5598290598290596</v>
      </c>
      <c r="N908" s="5">
        <f t="shared" si="48"/>
        <v>0.48989898989898989</v>
      </c>
      <c r="O908" s="5">
        <v>4.2435897435897436</v>
      </c>
      <c r="P908" s="15">
        <f t="shared" si="49"/>
        <v>0.4559228650137741</v>
      </c>
    </row>
    <row r="909" spans="1:16" x14ac:dyDescent="0.25">
      <c r="A909" s="2" t="s">
        <v>47</v>
      </c>
      <c r="B909" s="2">
        <v>2015</v>
      </c>
      <c r="C909" s="2" t="s">
        <v>17</v>
      </c>
      <c r="D909" s="2" t="s">
        <v>45</v>
      </c>
      <c r="E909" s="2" t="s">
        <v>9</v>
      </c>
      <c r="F909" s="2" t="s">
        <v>48</v>
      </c>
      <c r="G909" s="2">
        <f t="shared" si="50"/>
        <v>0.43044077134986225</v>
      </c>
      <c r="H909" s="5">
        <v>4.3808411214953269</v>
      </c>
      <c r="I909" s="2">
        <v>214</v>
      </c>
      <c r="J909" s="57">
        <f>I909/Pondération!$H$157</f>
        <v>9.825528007346189E-2</v>
      </c>
      <c r="K909" s="5">
        <v>4.4252336448598131</v>
      </c>
      <c r="L909" s="5">
        <f t="shared" si="47"/>
        <v>0.43480257116620752</v>
      </c>
      <c r="M909" s="5">
        <v>4.3878504672897201</v>
      </c>
      <c r="N909" s="5">
        <f t="shared" si="48"/>
        <v>0.43112947658402206</v>
      </c>
      <c r="O909" s="5">
        <v>4.2850467289719623</v>
      </c>
      <c r="P909" s="15">
        <f t="shared" si="49"/>
        <v>0.4210284664830119</v>
      </c>
    </row>
    <row r="910" spans="1:16" x14ac:dyDescent="0.25">
      <c r="A910" s="2" t="s">
        <v>47</v>
      </c>
      <c r="B910" s="2">
        <v>2016</v>
      </c>
      <c r="C910" s="2" t="s">
        <v>18</v>
      </c>
      <c r="D910" s="2" t="s">
        <v>45</v>
      </c>
      <c r="E910" s="2" t="s">
        <v>9</v>
      </c>
      <c r="F910" s="2" t="s">
        <v>48</v>
      </c>
      <c r="G910" s="2">
        <f t="shared" si="50"/>
        <v>0.23305084745762714</v>
      </c>
      <c r="H910" s="5">
        <v>4.3913612565445028</v>
      </c>
      <c r="I910" s="2">
        <v>191</v>
      </c>
      <c r="J910" s="57">
        <f>I910/Pondération!$G$157</f>
        <v>5.307029730480689E-2</v>
      </c>
      <c r="K910" s="5">
        <v>4.3717277486910993</v>
      </c>
      <c r="L910" s="5">
        <f t="shared" si="47"/>
        <v>0.23200889135871075</v>
      </c>
      <c r="M910" s="5">
        <v>4.5392670157068062</v>
      </c>
      <c r="N910" s="5">
        <f t="shared" si="48"/>
        <v>0.24090025006946372</v>
      </c>
      <c r="O910" s="5">
        <v>4.2827225130890056</v>
      </c>
      <c r="P910" s="15">
        <f t="shared" si="49"/>
        <v>0.22728535704362324</v>
      </c>
    </row>
    <row r="911" spans="1:16" x14ac:dyDescent="0.25">
      <c r="A911" s="2" t="s">
        <v>47</v>
      </c>
      <c r="B911" s="2">
        <v>2016</v>
      </c>
      <c r="C911" s="2" t="s">
        <v>19</v>
      </c>
      <c r="D911" s="2" t="s">
        <v>45</v>
      </c>
      <c r="E911" s="2" t="s">
        <v>9</v>
      </c>
      <c r="F911" s="2" t="s">
        <v>48</v>
      </c>
      <c r="G911" s="2">
        <f t="shared" si="50"/>
        <v>0.32974437343706592</v>
      </c>
      <c r="H911" s="5">
        <v>4.3791512915129154</v>
      </c>
      <c r="I911" s="2">
        <v>271</v>
      </c>
      <c r="J911" s="57">
        <f>I911/Pondération!$G$157</f>
        <v>7.5298694081689363E-2</v>
      </c>
      <c r="K911" s="5">
        <v>4.3726937269372694</v>
      </c>
      <c r="L911" s="5">
        <f t="shared" si="47"/>
        <v>0.32925812725757159</v>
      </c>
      <c r="M911" s="5">
        <v>4.4760147601476019</v>
      </c>
      <c r="N911" s="5">
        <f t="shared" si="48"/>
        <v>0.33703806612948045</v>
      </c>
      <c r="O911" s="5">
        <v>4.2952029520295207</v>
      </c>
      <c r="P911" s="15">
        <f t="shared" si="49"/>
        <v>0.32342317310363994</v>
      </c>
    </row>
    <row r="912" spans="1:16" x14ac:dyDescent="0.25">
      <c r="A912" s="2" t="s">
        <v>47</v>
      </c>
      <c r="B912" s="2">
        <v>2016</v>
      </c>
      <c r="C912" s="2" t="s">
        <v>20</v>
      </c>
      <c r="D912" s="2" t="s">
        <v>45</v>
      </c>
      <c r="E912" s="2" t="s">
        <v>9</v>
      </c>
      <c r="F912" s="2" t="s">
        <v>48</v>
      </c>
      <c r="G912" s="2">
        <f t="shared" si="50"/>
        <v>0.30154209502639623</v>
      </c>
      <c r="H912" s="5">
        <v>4.4295918367346943</v>
      </c>
      <c r="I912" s="2">
        <v>245</v>
      </c>
      <c r="J912" s="57">
        <f>I912/Pondération!$G$157</f>
        <v>6.8074465129202552E-2</v>
      </c>
      <c r="K912" s="5">
        <v>4.408163265306122</v>
      </c>
      <c r="L912" s="5">
        <f t="shared" si="47"/>
        <v>0.30008335648791329</v>
      </c>
      <c r="M912" s="5">
        <v>4.5428571428571427</v>
      </c>
      <c r="N912" s="5">
        <f t="shared" si="48"/>
        <v>0.30925257015837732</v>
      </c>
      <c r="O912" s="5">
        <v>4.3591836734693876</v>
      </c>
      <c r="P912" s="15">
        <f t="shared" si="49"/>
        <v>0.29674909697138091</v>
      </c>
    </row>
    <row r="913" spans="1:16" x14ac:dyDescent="0.25">
      <c r="A913" s="2" t="s">
        <v>47</v>
      </c>
      <c r="B913" s="2">
        <v>2016</v>
      </c>
      <c r="C913" s="2" t="s">
        <v>21</v>
      </c>
      <c r="D913" s="2" t="s">
        <v>45</v>
      </c>
      <c r="E913" s="2" t="s">
        <v>9</v>
      </c>
      <c r="F913" s="2" t="s">
        <v>48</v>
      </c>
      <c r="G913" s="2">
        <f t="shared" si="50"/>
        <v>0.38003612114476237</v>
      </c>
      <c r="H913" s="5">
        <v>4.4407467532467528</v>
      </c>
      <c r="I913" s="2">
        <v>308</v>
      </c>
      <c r="J913" s="57">
        <f>I913/Pondération!$G$157</f>
        <v>8.5579327590997498E-2</v>
      </c>
      <c r="K913" s="5">
        <v>4.4675324675324672</v>
      </c>
      <c r="L913" s="5">
        <f t="shared" si="47"/>
        <v>0.38232842456237842</v>
      </c>
      <c r="M913" s="5">
        <v>4.5389610389610393</v>
      </c>
      <c r="N913" s="5">
        <f t="shared" si="48"/>
        <v>0.38844123367602112</v>
      </c>
      <c r="O913" s="5">
        <v>4.2889610389610393</v>
      </c>
      <c r="P913" s="15">
        <f t="shared" si="49"/>
        <v>0.36704640177827175</v>
      </c>
    </row>
    <row r="914" spans="1:16" x14ac:dyDescent="0.25">
      <c r="A914" s="2" t="s">
        <v>47</v>
      </c>
      <c r="B914" s="2">
        <v>2016</v>
      </c>
      <c r="C914" s="2" t="s">
        <v>22</v>
      </c>
      <c r="D914" s="2" t="s">
        <v>45</v>
      </c>
      <c r="E914" s="2" t="s">
        <v>9</v>
      </c>
      <c r="F914" s="2" t="s">
        <v>48</v>
      </c>
      <c r="G914" s="2">
        <f t="shared" si="50"/>
        <v>0.29230341761600448</v>
      </c>
      <c r="H914" s="5">
        <v>4.3833333333333337</v>
      </c>
      <c r="I914" s="2">
        <v>240</v>
      </c>
      <c r="J914" s="57">
        <f>I914/Pondération!$G$157</f>
        <v>6.6685190330647404E-2</v>
      </c>
      <c r="K914" s="5">
        <v>4.3833333333333337</v>
      </c>
      <c r="L914" s="5">
        <f t="shared" si="47"/>
        <v>0.29230341761600448</v>
      </c>
      <c r="M914" s="5">
        <v>4.4916666666666663</v>
      </c>
      <c r="N914" s="5">
        <f t="shared" si="48"/>
        <v>0.29952764656849123</v>
      </c>
      <c r="O914" s="5">
        <v>4.2750000000000004</v>
      </c>
      <c r="P914" s="15">
        <f t="shared" si="49"/>
        <v>0.28507918866351767</v>
      </c>
    </row>
    <row r="915" spans="1:16" x14ac:dyDescent="0.25">
      <c r="A915" s="2" t="s">
        <v>47</v>
      </c>
      <c r="B915" s="2">
        <v>2016</v>
      </c>
      <c r="C915" s="2" t="s">
        <v>23</v>
      </c>
      <c r="D915" s="2" t="s">
        <v>45</v>
      </c>
      <c r="E915" s="2" t="s">
        <v>9</v>
      </c>
      <c r="F915" s="2" t="s">
        <v>48</v>
      </c>
      <c r="G915" s="2">
        <f t="shared" si="50"/>
        <v>0.3223812170047235</v>
      </c>
      <c r="H915" s="5">
        <v>4.4970930232558137</v>
      </c>
      <c r="I915" s="2">
        <v>258</v>
      </c>
      <c r="J915" s="57">
        <f>I915/Pondération!$G$157</f>
        <v>7.1686579605445958E-2</v>
      </c>
      <c r="K915" s="5">
        <v>4.558139534883721</v>
      </c>
      <c r="L915" s="5">
        <f t="shared" si="47"/>
        <v>0.32675743262017226</v>
      </c>
      <c r="M915" s="5">
        <v>4.5930232558139537</v>
      </c>
      <c r="N915" s="5">
        <f t="shared" si="48"/>
        <v>0.32925812725757159</v>
      </c>
      <c r="O915" s="5">
        <v>4.2790697674418601</v>
      </c>
      <c r="P915" s="15">
        <f t="shared" si="49"/>
        <v>0.30675187552097805</v>
      </c>
    </row>
    <row r="916" spans="1:16" x14ac:dyDescent="0.25">
      <c r="A916" s="2" t="s">
        <v>47</v>
      </c>
      <c r="B916" s="2">
        <v>2016</v>
      </c>
      <c r="C916" s="2" t="s">
        <v>24</v>
      </c>
      <c r="D916" s="2" t="s">
        <v>45</v>
      </c>
      <c r="E916" s="2" t="s">
        <v>9</v>
      </c>
      <c r="F916" s="2" t="s">
        <v>48</v>
      </c>
      <c r="G916" s="2">
        <f t="shared" si="50"/>
        <v>0.36808835787718808</v>
      </c>
      <c r="H916" s="5">
        <v>4.4454697986577179</v>
      </c>
      <c r="I916" s="2">
        <v>298</v>
      </c>
      <c r="J916" s="57">
        <f>I916/Pondération!$G$157</f>
        <v>8.2800777993887187E-2</v>
      </c>
      <c r="K916" s="5">
        <v>4.4362416107382554</v>
      </c>
      <c r="L916" s="5">
        <f t="shared" si="47"/>
        <v>0.3673242567379828</v>
      </c>
      <c r="M916" s="5">
        <v>4.5536912751677852</v>
      </c>
      <c r="N916" s="5">
        <f t="shared" si="48"/>
        <v>0.37704918032786883</v>
      </c>
      <c r="O916" s="5">
        <v>4.3557046979865772</v>
      </c>
      <c r="P916" s="15">
        <f t="shared" si="49"/>
        <v>0.36065573770491804</v>
      </c>
    </row>
    <row r="917" spans="1:16" x14ac:dyDescent="0.25">
      <c r="A917" s="2" t="s">
        <v>47</v>
      </c>
      <c r="B917" s="2">
        <v>2016</v>
      </c>
      <c r="C917" s="2" t="s">
        <v>25</v>
      </c>
      <c r="D917" s="2" t="s">
        <v>45</v>
      </c>
      <c r="E917" s="2" t="s">
        <v>9</v>
      </c>
      <c r="F917" s="2" t="s">
        <v>48</v>
      </c>
      <c r="G917" s="2">
        <f t="shared" si="50"/>
        <v>0.33537093637121423</v>
      </c>
      <c r="H917" s="5">
        <v>4.4212454212454215</v>
      </c>
      <c r="I917" s="2">
        <v>273</v>
      </c>
      <c r="J917" s="57">
        <f>I917/Pondération!$G$157</f>
        <v>7.5854404001111417E-2</v>
      </c>
      <c r="K917" s="5">
        <v>4.4358974358974361</v>
      </c>
      <c r="L917" s="5">
        <f t="shared" si="47"/>
        <v>0.33648235621005834</v>
      </c>
      <c r="M917" s="5">
        <v>4.5091575091575091</v>
      </c>
      <c r="N917" s="5">
        <f t="shared" si="48"/>
        <v>0.34203945540427894</v>
      </c>
      <c r="O917" s="5">
        <v>4.3040293040293038</v>
      </c>
      <c r="P917" s="15">
        <f t="shared" si="49"/>
        <v>0.32647957766046121</v>
      </c>
    </row>
    <row r="918" spans="1:16" x14ac:dyDescent="0.25">
      <c r="A918" s="2" t="s">
        <v>47</v>
      </c>
      <c r="B918" s="2">
        <v>2016</v>
      </c>
      <c r="C918" s="2" t="s">
        <v>26</v>
      </c>
      <c r="D918" s="2" t="s">
        <v>45</v>
      </c>
      <c r="E918" s="2" t="s">
        <v>9</v>
      </c>
      <c r="F918" s="2" t="s">
        <v>48</v>
      </c>
      <c r="G918" s="2">
        <f t="shared" si="50"/>
        <v>0.34481800500138926</v>
      </c>
      <c r="H918" s="5">
        <v>4.4963768115942031</v>
      </c>
      <c r="I918" s="2">
        <v>276</v>
      </c>
      <c r="J918" s="57">
        <f>I918/Pondération!$G$157</f>
        <v>7.6687968880244511E-2</v>
      </c>
      <c r="K918" s="5">
        <v>4.5181159420289854</v>
      </c>
      <c r="L918" s="5">
        <f t="shared" si="47"/>
        <v>0.34648513475965542</v>
      </c>
      <c r="M918" s="5">
        <v>4.5507246376811592</v>
      </c>
      <c r="N918" s="5">
        <f t="shared" si="48"/>
        <v>0.34898582939705469</v>
      </c>
      <c r="O918" s="5">
        <v>4.3985507246376816</v>
      </c>
      <c r="P918" s="15">
        <f t="shared" si="49"/>
        <v>0.33731592108919145</v>
      </c>
    </row>
    <row r="919" spans="1:16" x14ac:dyDescent="0.25">
      <c r="A919" s="2" t="s">
        <v>47</v>
      </c>
      <c r="B919" s="2">
        <v>2016</v>
      </c>
      <c r="C919" s="2" t="s">
        <v>27</v>
      </c>
      <c r="D919" s="2" t="s">
        <v>45</v>
      </c>
      <c r="E919" s="2" t="s">
        <v>9</v>
      </c>
      <c r="F919" s="2" t="s">
        <v>48</v>
      </c>
      <c r="G919" s="2">
        <f t="shared" si="50"/>
        <v>0.50583495415393176</v>
      </c>
      <c r="H919" s="5">
        <v>4.4511002444987779</v>
      </c>
      <c r="I919" s="2">
        <v>409</v>
      </c>
      <c r="J919" s="57">
        <f>I919/Pondération!$G$157</f>
        <v>0.11364267852181162</v>
      </c>
      <c r="K919" s="5">
        <v>4.5036674816625917</v>
      </c>
      <c r="L919" s="5">
        <f t="shared" si="47"/>
        <v>0.51180883578771885</v>
      </c>
      <c r="M919" s="5">
        <v>4.4792176039119802</v>
      </c>
      <c r="N919" s="5">
        <f t="shared" si="48"/>
        <v>0.50903028619060853</v>
      </c>
      <c r="O919" s="5">
        <v>4.3178484107579465</v>
      </c>
      <c r="P919" s="15">
        <f t="shared" si="49"/>
        <v>0.49069185884968053</v>
      </c>
    </row>
    <row r="920" spans="1:16" x14ac:dyDescent="0.25">
      <c r="A920" s="2" t="s">
        <v>47</v>
      </c>
      <c r="B920" s="2">
        <v>2016</v>
      </c>
      <c r="C920" s="2" t="s">
        <v>28</v>
      </c>
      <c r="D920" s="2" t="s">
        <v>45</v>
      </c>
      <c r="E920" s="2" t="s">
        <v>9</v>
      </c>
      <c r="F920" s="2" t="s">
        <v>48</v>
      </c>
      <c r="G920" s="2">
        <f t="shared" si="50"/>
        <v>0.4759655459849958</v>
      </c>
      <c r="H920" s="5">
        <v>4.437823834196891</v>
      </c>
      <c r="I920" s="2">
        <v>386</v>
      </c>
      <c r="J920" s="57">
        <f>I920/Pondération!$G$157</f>
        <v>0.1072520144484579</v>
      </c>
      <c r="K920" s="5">
        <v>4.4663212435233159</v>
      </c>
      <c r="L920" s="5">
        <f t="shared" si="47"/>
        <v>0.47902195054181712</v>
      </c>
      <c r="M920" s="5">
        <v>4.5155440414507773</v>
      </c>
      <c r="N920" s="5">
        <f t="shared" si="48"/>
        <v>0.48430119477632677</v>
      </c>
      <c r="O920" s="5">
        <v>4.3031088082901556</v>
      </c>
      <c r="P920" s="15">
        <f t="shared" si="49"/>
        <v>0.46151708808002223</v>
      </c>
    </row>
    <row r="921" spans="1:16" x14ac:dyDescent="0.25">
      <c r="A921" s="2" t="s">
        <v>47</v>
      </c>
      <c r="B921" s="2">
        <v>2016</v>
      </c>
      <c r="C921" s="2" t="s">
        <v>29</v>
      </c>
      <c r="D921" s="2" t="s">
        <v>45</v>
      </c>
      <c r="E921" s="2" t="s">
        <v>9</v>
      </c>
      <c r="F921" s="2" t="s">
        <v>48</v>
      </c>
      <c r="G921" s="2">
        <f t="shared" si="50"/>
        <v>0.54313698249513753</v>
      </c>
      <c r="H921" s="5">
        <v>4.4025900900900901</v>
      </c>
      <c r="I921" s="2">
        <v>444</v>
      </c>
      <c r="J921" s="57">
        <f>I921/Pondération!$G$157</f>
        <v>0.1233676021116977</v>
      </c>
      <c r="K921" s="5">
        <v>4.4076576576576576</v>
      </c>
      <c r="L921" s="5">
        <f t="shared" si="47"/>
        <v>0.54376215615448742</v>
      </c>
      <c r="M921" s="5">
        <v>4.5045045045045047</v>
      </c>
      <c r="N921" s="5">
        <f t="shared" si="48"/>
        <v>0.55570991942206172</v>
      </c>
      <c r="O921" s="5">
        <v>4.2905405405405403</v>
      </c>
      <c r="P921" s="15">
        <f t="shared" si="49"/>
        <v>0.5293136982495138</v>
      </c>
    </row>
    <row r="922" spans="1:16" x14ac:dyDescent="0.25">
      <c r="A922" s="2" t="s">
        <v>47</v>
      </c>
      <c r="B922" s="2">
        <v>2017</v>
      </c>
      <c r="C922" s="2" t="s">
        <v>30</v>
      </c>
      <c r="D922" s="2" t="s">
        <v>45</v>
      </c>
      <c r="E922" s="2" t="s">
        <v>9</v>
      </c>
      <c r="F922" s="2" t="s">
        <v>48</v>
      </c>
      <c r="G922" s="2">
        <f t="shared" si="50"/>
        <v>0.82503320053120854</v>
      </c>
      <c r="H922" s="5">
        <v>4.5346715328467155</v>
      </c>
      <c r="I922" s="2">
        <v>274</v>
      </c>
      <c r="J922" s="57">
        <f>I922/Pondération!$F$157</f>
        <v>0.18193891102257637</v>
      </c>
      <c r="K922" s="5">
        <v>4.5437956204379564</v>
      </c>
      <c r="L922" s="5">
        <f t="shared" si="47"/>
        <v>0.82669322709163351</v>
      </c>
      <c r="M922" s="5">
        <v>4.6824817518248176</v>
      </c>
      <c r="N922" s="5">
        <f t="shared" si="48"/>
        <v>0.85192563081009298</v>
      </c>
      <c r="O922" s="5">
        <v>4.3686131386861318</v>
      </c>
      <c r="P922" s="15">
        <f t="shared" si="49"/>
        <v>0.79482071713147417</v>
      </c>
    </row>
    <row r="923" spans="1:16" x14ac:dyDescent="0.25">
      <c r="A923" s="2" t="s">
        <v>47</v>
      </c>
      <c r="B923" s="2">
        <v>2017</v>
      </c>
      <c r="C923" s="2" t="s">
        <v>31</v>
      </c>
      <c r="D923" s="2" t="s">
        <v>45</v>
      </c>
      <c r="E923" s="2" t="s">
        <v>9</v>
      </c>
      <c r="F923" s="2" t="s">
        <v>48</v>
      </c>
      <c r="G923" s="2">
        <f t="shared" si="50"/>
        <v>1.4116865869853916</v>
      </c>
      <c r="H923" s="5">
        <v>4.4476987447698741</v>
      </c>
      <c r="I923" s="2">
        <v>478</v>
      </c>
      <c r="J923" s="57">
        <f>I923/Pondération!$F$157</f>
        <v>0.31739707835325365</v>
      </c>
      <c r="K923" s="5">
        <v>4.49581589958159</v>
      </c>
      <c r="L923" s="5">
        <f t="shared" si="47"/>
        <v>1.4269588313413015</v>
      </c>
      <c r="M923" s="5">
        <v>4.50418410041841</v>
      </c>
      <c r="N923" s="5">
        <f t="shared" si="48"/>
        <v>1.4296148738379815</v>
      </c>
      <c r="O923" s="5">
        <v>4.2949790794979084</v>
      </c>
      <c r="P923" s="15">
        <f t="shared" si="49"/>
        <v>1.3632138114209829</v>
      </c>
    </row>
    <row r="924" spans="1:16" x14ac:dyDescent="0.25">
      <c r="A924" s="2" t="s">
        <v>47</v>
      </c>
      <c r="B924" s="2">
        <v>2017</v>
      </c>
      <c r="C924" s="2" t="s">
        <v>32</v>
      </c>
      <c r="D924" s="2" t="s">
        <v>45</v>
      </c>
      <c r="E924" s="2" t="s">
        <v>9</v>
      </c>
      <c r="F924" s="2" t="s">
        <v>48</v>
      </c>
      <c r="G924" s="2">
        <f t="shared" si="50"/>
        <v>0.9140106241699868</v>
      </c>
      <c r="H924" s="5">
        <v>4.4118589743589745</v>
      </c>
      <c r="I924" s="2">
        <v>312</v>
      </c>
      <c r="J924" s="57">
        <f>I924/Pondération!$F$157</f>
        <v>0.20717131474103587</v>
      </c>
      <c r="K924" s="5">
        <v>4.4006410256410255</v>
      </c>
      <c r="L924" s="5">
        <f t="shared" si="47"/>
        <v>0.91168658698539184</v>
      </c>
      <c r="M924" s="5">
        <v>4.5512820512820511</v>
      </c>
      <c r="N924" s="5">
        <f t="shared" si="48"/>
        <v>0.94289508632138119</v>
      </c>
      <c r="O924" s="5">
        <v>4.2948717948717947</v>
      </c>
      <c r="P924" s="15">
        <f t="shared" si="49"/>
        <v>0.88977423638778219</v>
      </c>
    </row>
    <row r="925" spans="1:16" x14ac:dyDescent="0.25">
      <c r="A925" s="2" t="s">
        <v>47</v>
      </c>
      <c r="B925" s="2">
        <v>2017</v>
      </c>
      <c r="C925" s="2" t="s">
        <v>33</v>
      </c>
      <c r="D925" s="2" t="s">
        <v>45</v>
      </c>
      <c r="E925" s="2" t="s">
        <v>9</v>
      </c>
      <c r="F925" s="2" t="s">
        <v>48</v>
      </c>
      <c r="G925" s="2">
        <f t="shared" si="50"/>
        <v>0.99983399734395739</v>
      </c>
      <c r="H925" s="5">
        <v>4.4813988095238093</v>
      </c>
      <c r="I925" s="2">
        <v>336</v>
      </c>
      <c r="J925" s="57">
        <f>I925/Pondération!$F$157</f>
        <v>0.22310756972111553</v>
      </c>
      <c r="K925" s="5">
        <v>4.5267857142857144</v>
      </c>
      <c r="L925" s="5">
        <f t="shared" si="47"/>
        <v>1.0099601593625498</v>
      </c>
      <c r="M925" s="5">
        <v>4.5863095238095237</v>
      </c>
      <c r="N925" s="5">
        <f t="shared" si="48"/>
        <v>1.0232403718459495</v>
      </c>
      <c r="O925" s="5">
        <v>4.2857142857142856</v>
      </c>
      <c r="P925" s="15">
        <f t="shared" si="49"/>
        <v>0.9561752988047808</v>
      </c>
    </row>
    <row r="926" spans="1:16" x14ac:dyDescent="0.25">
      <c r="A926" s="2" t="s">
        <v>47</v>
      </c>
      <c r="B926" s="2">
        <v>2017</v>
      </c>
      <c r="C926" s="2" t="s">
        <v>34</v>
      </c>
      <c r="D926" s="2" t="s">
        <v>45</v>
      </c>
      <c r="E926" s="2" t="s">
        <v>9</v>
      </c>
      <c r="F926" s="2" t="s">
        <v>48</v>
      </c>
      <c r="G926" s="2">
        <f t="shared" si="50"/>
        <v>0.31523904382470119</v>
      </c>
      <c r="H926" s="5">
        <v>4.4787735849056602</v>
      </c>
      <c r="I926" s="2">
        <v>106</v>
      </c>
      <c r="J926" s="57">
        <f>I926/Pondération!$F$157</f>
        <v>7.0385126162018599E-2</v>
      </c>
      <c r="K926" s="5">
        <v>4.5</v>
      </c>
      <c r="L926" s="5">
        <f t="shared" si="47"/>
        <v>0.31673306772908372</v>
      </c>
      <c r="M926" s="5">
        <v>4.5094339622641506</v>
      </c>
      <c r="N926" s="5">
        <f t="shared" si="48"/>
        <v>0.31739707835325365</v>
      </c>
      <c r="O926" s="5">
        <v>4.4056603773584904</v>
      </c>
      <c r="P926" s="15">
        <f t="shared" si="49"/>
        <v>0.3100929614873838</v>
      </c>
    </row>
    <row r="927" spans="1:16" x14ac:dyDescent="0.25">
      <c r="A927" s="2" t="s">
        <v>6</v>
      </c>
      <c r="B927" s="2">
        <v>2015</v>
      </c>
      <c r="C927" s="2" t="s">
        <v>7</v>
      </c>
      <c r="D927" s="2" t="s">
        <v>46</v>
      </c>
      <c r="E927" s="2" t="s">
        <v>9</v>
      </c>
      <c r="F927" s="2" t="s">
        <v>10</v>
      </c>
      <c r="G927" s="2">
        <f t="shared" si="50"/>
        <v>0.14388121944204629</v>
      </c>
      <c r="H927" s="5">
        <v>3.9391732283464171</v>
      </c>
      <c r="I927" s="2">
        <v>254</v>
      </c>
      <c r="J927" s="57">
        <f>I927/Pondération!$H$169</f>
        <v>3.65257405809606E-2</v>
      </c>
      <c r="K927" s="2"/>
      <c r="L927" s="2"/>
      <c r="M927" s="2"/>
      <c r="N927" s="2"/>
      <c r="O927" s="2"/>
      <c r="P927"/>
    </row>
    <row r="928" spans="1:16" x14ac:dyDescent="0.25">
      <c r="A928" s="2" t="s">
        <v>6</v>
      </c>
      <c r="B928" s="2">
        <v>2015</v>
      </c>
      <c r="C928" s="2" t="s">
        <v>11</v>
      </c>
      <c r="D928" s="2" t="s">
        <v>46</v>
      </c>
      <c r="E928" s="2" t="s">
        <v>9</v>
      </c>
      <c r="F928" s="2" t="s">
        <v>10</v>
      </c>
      <c r="G928" s="2">
        <f t="shared" si="50"/>
        <v>0.43370002876042568</v>
      </c>
      <c r="H928" s="5">
        <v>4.0482550335570471</v>
      </c>
      <c r="I928" s="2">
        <v>745</v>
      </c>
      <c r="J928" s="57">
        <f>I928/Pondération!$H$169</f>
        <v>0.10713258556226632</v>
      </c>
      <c r="K928" s="2"/>
      <c r="L928" s="2"/>
      <c r="M928" s="2"/>
      <c r="N928" s="2"/>
      <c r="O928" s="2"/>
      <c r="P928"/>
    </row>
    <row r="929" spans="1:15" customFormat="1" x14ac:dyDescent="0.25">
      <c r="A929" s="2" t="s">
        <v>6</v>
      </c>
      <c r="B929" s="2">
        <v>2015</v>
      </c>
      <c r="C929" s="2" t="s">
        <v>12</v>
      </c>
      <c r="D929" s="2" t="s">
        <v>46</v>
      </c>
      <c r="E929" s="2" t="s">
        <v>9</v>
      </c>
      <c r="F929" s="2" t="s">
        <v>10</v>
      </c>
      <c r="G929" s="2">
        <f t="shared" si="50"/>
        <v>0.51531492666091605</v>
      </c>
      <c r="H929" s="5">
        <v>3.9772475027747061</v>
      </c>
      <c r="I929" s="2">
        <v>901</v>
      </c>
      <c r="J929" s="57">
        <f>I929/Pondération!$H$169</f>
        <v>0.12956571757262009</v>
      </c>
      <c r="K929" s="2"/>
      <c r="L929" s="2"/>
      <c r="M929" s="2"/>
      <c r="N929" s="2"/>
      <c r="O929" s="2"/>
    </row>
    <row r="930" spans="1:15" customFormat="1" x14ac:dyDescent="0.25">
      <c r="A930" s="2" t="s">
        <v>6</v>
      </c>
      <c r="B930" s="2">
        <v>2015</v>
      </c>
      <c r="C930" s="2" t="s">
        <v>13</v>
      </c>
      <c r="D930" s="2" t="s">
        <v>46</v>
      </c>
      <c r="E930" s="2" t="s">
        <v>9</v>
      </c>
      <c r="F930" s="2" t="s">
        <v>10</v>
      </c>
      <c r="G930" s="2">
        <f t="shared" si="50"/>
        <v>0.83983318953120223</v>
      </c>
      <c r="H930" s="5">
        <v>3.7874189364461608</v>
      </c>
      <c r="I930" s="2">
        <v>1542</v>
      </c>
      <c r="J930" s="57">
        <f>I930/Pondération!$H$169</f>
        <v>0.22174288179465057</v>
      </c>
      <c r="K930" s="2"/>
      <c r="L930" s="2"/>
      <c r="M930" s="2"/>
      <c r="N930" s="2"/>
      <c r="O930" s="2"/>
    </row>
    <row r="931" spans="1:15" customFormat="1" x14ac:dyDescent="0.25">
      <c r="A931" s="2" t="s">
        <v>6</v>
      </c>
      <c r="B931" s="2">
        <v>2015</v>
      </c>
      <c r="C931" s="2" t="s">
        <v>14</v>
      </c>
      <c r="D931" s="2" t="s">
        <v>46</v>
      </c>
      <c r="E931" s="2" t="s">
        <v>9</v>
      </c>
      <c r="F931" s="2" t="s">
        <v>10</v>
      </c>
      <c r="G931" s="2">
        <f t="shared" si="50"/>
        <v>0.64055939027897757</v>
      </c>
      <c r="H931" s="5">
        <v>3.9315533980582611</v>
      </c>
      <c r="I931" s="2">
        <v>1133</v>
      </c>
      <c r="J931" s="57">
        <f>I931/Pondération!$H$169</f>
        <v>0.16292781133160772</v>
      </c>
      <c r="K931" s="2"/>
      <c r="L931" s="2"/>
      <c r="M931" s="2"/>
      <c r="N931" s="2"/>
      <c r="O931" s="2"/>
    </row>
    <row r="932" spans="1:15" customFormat="1" x14ac:dyDescent="0.25">
      <c r="A932" s="2" t="s">
        <v>6</v>
      </c>
      <c r="B932" s="2">
        <v>2015</v>
      </c>
      <c r="C932" s="2" t="s">
        <v>15</v>
      </c>
      <c r="D932" s="2" t="s">
        <v>46</v>
      </c>
      <c r="E932" s="2" t="s">
        <v>9</v>
      </c>
      <c r="F932" s="2" t="s">
        <v>10</v>
      </c>
      <c r="G932" s="2">
        <f t="shared" si="50"/>
        <v>0.5139919470808183</v>
      </c>
      <c r="H932" s="5">
        <v>3.9321232123212435</v>
      </c>
      <c r="I932" s="2">
        <v>909</v>
      </c>
      <c r="J932" s="57">
        <f>I932/Pondération!$H$169</f>
        <v>0.13071613459879206</v>
      </c>
      <c r="K932" s="2"/>
      <c r="L932" s="2"/>
      <c r="M932" s="2"/>
      <c r="N932" s="2"/>
      <c r="O932" s="2"/>
    </row>
    <row r="933" spans="1:15" customFormat="1" x14ac:dyDescent="0.25">
      <c r="A933" s="2" t="s">
        <v>6</v>
      </c>
      <c r="B933" s="2">
        <v>2015</v>
      </c>
      <c r="C933" s="2" t="s">
        <v>16</v>
      </c>
      <c r="D933" s="2" t="s">
        <v>46</v>
      </c>
      <c r="E933" s="2" t="s">
        <v>9</v>
      </c>
      <c r="F933" s="2" t="s">
        <v>10</v>
      </c>
      <c r="G933" s="2">
        <f t="shared" si="50"/>
        <v>0.4635749209088294</v>
      </c>
      <c r="H933" s="5">
        <v>4.0806329113924047</v>
      </c>
      <c r="I933" s="2">
        <v>790</v>
      </c>
      <c r="J933" s="57">
        <f>I933/Pondération!$H$169</f>
        <v>0.11360368133448374</v>
      </c>
      <c r="K933" s="2"/>
      <c r="L933" s="2"/>
      <c r="M933" s="2"/>
      <c r="N933" s="2"/>
      <c r="O933" s="2"/>
    </row>
    <row r="934" spans="1:15" customFormat="1" x14ac:dyDescent="0.25">
      <c r="A934" s="2" t="s">
        <v>6</v>
      </c>
      <c r="B934" s="2">
        <v>2015</v>
      </c>
      <c r="C934" s="2" t="s">
        <v>17</v>
      </c>
      <c r="D934" s="2" t="s">
        <v>46</v>
      </c>
      <c r="E934" s="2" t="s">
        <v>9</v>
      </c>
      <c r="F934" s="2" t="s">
        <v>10</v>
      </c>
      <c r="G934" s="2">
        <f t="shared" si="50"/>
        <v>0.39245038826574635</v>
      </c>
      <c r="H934" s="5">
        <v>4.0133823529411767</v>
      </c>
      <c r="I934" s="2">
        <v>680</v>
      </c>
      <c r="J934" s="57">
        <f>I934/Pondération!$H$169</f>
        <v>9.7785447224618918E-2</v>
      </c>
      <c r="K934" s="2"/>
      <c r="L934" s="2"/>
      <c r="M934" s="2"/>
      <c r="N934" s="2"/>
      <c r="O934" s="2"/>
    </row>
    <row r="935" spans="1:15" customFormat="1" x14ac:dyDescent="0.25">
      <c r="A935" s="2" t="s">
        <v>6</v>
      </c>
      <c r="B935" s="2">
        <v>2016</v>
      </c>
      <c r="C935" s="2" t="s">
        <v>18</v>
      </c>
      <c r="D935" s="2" t="s">
        <v>46</v>
      </c>
      <c r="E935" s="2" t="s">
        <v>9</v>
      </c>
      <c r="F935" s="2" t="s">
        <v>10</v>
      </c>
      <c r="G935" s="2">
        <f t="shared" si="50"/>
        <v>0.15292512506718528</v>
      </c>
      <c r="H935" s="5">
        <v>4.0248095756256914</v>
      </c>
      <c r="I935" s="2">
        <v>919</v>
      </c>
      <c r="J935" s="57">
        <f>I935/Pondération!$G$169</f>
        <v>3.7995617480464712E-2</v>
      </c>
      <c r="K935" s="2"/>
      <c r="L935" s="2"/>
      <c r="M935" s="2"/>
      <c r="N935" s="2"/>
      <c r="O935" s="2"/>
    </row>
    <row r="936" spans="1:15" customFormat="1" x14ac:dyDescent="0.25">
      <c r="A936" s="2" t="s">
        <v>6</v>
      </c>
      <c r="B936" s="2">
        <v>2016</v>
      </c>
      <c r="C936" s="2" t="s">
        <v>19</v>
      </c>
      <c r="D936" s="2" t="s">
        <v>46</v>
      </c>
      <c r="E936" s="2" t="s">
        <v>9</v>
      </c>
      <c r="F936" s="2" t="s">
        <v>10</v>
      </c>
      <c r="G936" s="2">
        <f t="shared" si="50"/>
        <v>0.19323190143465541</v>
      </c>
      <c r="H936" s="5">
        <v>4.0818340611353801</v>
      </c>
      <c r="I936" s="2">
        <v>1145</v>
      </c>
      <c r="J936" s="57">
        <f>I936/Pondération!$G$169</f>
        <v>4.7339479885889116E-2</v>
      </c>
      <c r="K936" s="2"/>
      <c r="L936" s="2"/>
      <c r="M936" s="2"/>
      <c r="N936" s="2"/>
      <c r="O936" s="2"/>
    </row>
    <row r="937" spans="1:15" customFormat="1" x14ac:dyDescent="0.25">
      <c r="A937" s="2" t="s">
        <v>6</v>
      </c>
      <c r="B937" s="2">
        <v>2016</v>
      </c>
      <c r="C937" s="2" t="s">
        <v>20</v>
      </c>
      <c r="D937" s="2" t="s">
        <v>46</v>
      </c>
      <c r="E937" s="2" t="s">
        <v>9</v>
      </c>
      <c r="F937" s="2" t="s">
        <v>10</v>
      </c>
      <c r="G937" s="2">
        <f t="shared" si="50"/>
        <v>0.24908835324761278</v>
      </c>
      <c r="H937" s="5">
        <v>4.0543068640646096</v>
      </c>
      <c r="I937" s="2">
        <v>1486</v>
      </c>
      <c r="J937" s="57">
        <f>I937/Pondération!$G$169</f>
        <v>6.1437962541861332E-2</v>
      </c>
      <c r="K937" s="2"/>
      <c r="L937" s="2"/>
      <c r="M937" s="2"/>
      <c r="N937" s="2"/>
      <c r="O937" s="2"/>
    </row>
    <row r="938" spans="1:15" customFormat="1" x14ac:dyDescent="0.25">
      <c r="A938" s="2" t="s">
        <v>6</v>
      </c>
      <c r="B938" s="2">
        <v>2016</v>
      </c>
      <c r="C938" s="2" t="s">
        <v>21</v>
      </c>
      <c r="D938" s="2" t="s">
        <v>46</v>
      </c>
      <c r="E938" s="2" t="s">
        <v>9</v>
      </c>
      <c r="F938" s="2" t="s">
        <v>10</v>
      </c>
      <c r="G938" s="2">
        <f t="shared" si="50"/>
        <v>0.26754661595071688</v>
      </c>
      <c r="H938" s="5">
        <v>3.992072794571246</v>
      </c>
      <c r="I938" s="2">
        <v>1621</v>
      </c>
      <c r="J938" s="57">
        <f>I938/Pondération!$G$169</f>
        <v>6.7019473270765281E-2</v>
      </c>
      <c r="K938" s="2"/>
      <c r="L938" s="2"/>
      <c r="M938" s="2"/>
      <c r="N938" s="2"/>
      <c r="O938" s="2"/>
    </row>
    <row r="939" spans="1:15" customFormat="1" x14ac:dyDescent="0.25">
      <c r="A939" s="2" t="s">
        <v>6</v>
      </c>
      <c r="B939" s="2">
        <v>2016</v>
      </c>
      <c r="C939" s="2" t="s">
        <v>22</v>
      </c>
      <c r="D939" s="2" t="s">
        <v>46</v>
      </c>
      <c r="E939" s="2" t="s">
        <v>9</v>
      </c>
      <c r="F939" s="2" t="s">
        <v>10</v>
      </c>
      <c r="G939" s="2">
        <f t="shared" si="50"/>
        <v>0.38482655972216234</v>
      </c>
      <c r="H939" s="5">
        <v>3.8717970049916555</v>
      </c>
      <c r="I939" s="2">
        <v>2404</v>
      </c>
      <c r="J939" s="57">
        <f>I939/Pondération!$G$169</f>
        <v>9.9392235498408241E-2</v>
      </c>
      <c r="K939" s="2"/>
      <c r="L939" s="2"/>
      <c r="M939" s="2"/>
      <c r="N939" s="2"/>
      <c r="O939" s="2"/>
    </row>
    <row r="940" spans="1:15" customFormat="1" x14ac:dyDescent="0.25">
      <c r="A940" s="2" t="s">
        <v>6</v>
      </c>
      <c r="B940" s="2">
        <v>2016</v>
      </c>
      <c r="C940" s="2" t="s">
        <v>23</v>
      </c>
      <c r="D940" s="2" t="s">
        <v>46</v>
      </c>
      <c r="E940" s="2" t="s">
        <v>9</v>
      </c>
      <c r="F940" s="2" t="s">
        <v>10</v>
      </c>
      <c r="G940" s="2">
        <f t="shared" si="50"/>
        <v>0.26094596270723902</v>
      </c>
      <c r="H940" s="5">
        <v>3.8205205811137954</v>
      </c>
      <c r="I940" s="2">
        <v>1652</v>
      </c>
      <c r="J940" s="57">
        <f>I940/Pondération!$G$169</f>
        <v>6.8301153512217314E-2</v>
      </c>
      <c r="K940" s="2"/>
      <c r="L940" s="2"/>
      <c r="M940" s="2"/>
      <c r="N940" s="2"/>
      <c r="O940" s="2"/>
    </row>
    <row r="941" spans="1:15" customFormat="1" x14ac:dyDescent="0.25">
      <c r="A941" s="2" t="s">
        <v>6</v>
      </c>
      <c r="B941" s="2">
        <v>2016</v>
      </c>
      <c r="C941" s="2" t="s">
        <v>24</v>
      </c>
      <c r="D941" s="2" t="s">
        <v>46</v>
      </c>
      <c r="E941" s="2" t="s">
        <v>9</v>
      </c>
      <c r="F941" s="2" t="s">
        <v>10</v>
      </c>
      <c r="G941" s="2">
        <f t="shared" si="50"/>
        <v>0.36295944102203537</v>
      </c>
      <c r="H941" s="5">
        <v>3.8119409465913896</v>
      </c>
      <c r="I941" s="2">
        <v>2303</v>
      </c>
      <c r="J941" s="57">
        <f>I941/Pondération!$G$169</f>
        <v>9.5216438582709714E-2</v>
      </c>
      <c r="K941" s="2"/>
      <c r="L941" s="2"/>
      <c r="M941" s="2"/>
      <c r="N941" s="2"/>
      <c r="O941" s="2"/>
    </row>
    <row r="942" spans="1:15" customFormat="1" x14ac:dyDescent="0.25">
      <c r="A942" s="2" t="s">
        <v>6</v>
      </c>
      <c r="B942" s="2">
        <v>2016</v>
      </c>
      <c r="C942" s="2" t="s">
        <v>25</v>
      </c>
      <c r="D942" s="2" t="s">
        <v>46</v>
      </c>
      <c r="E942" s="2" t="s">
        <v>9</v>
      </c>
      <c r="F942" s="2" t="s">
        <v>10</v>
      </c>
      <c r="G942" s="2">
        <f t="shared" si="50"/>
        <v>0.60821722412865598</v>
      </c>
      <c r="H942" s="5">
        <v>3.761429301968755</v>
      </c>
      <c r="I942" s="2">
        <v>3911</v>
      </c>
      <c r="J942" s="57">
        <f>I942/Pondération!$G$169</f>
        <v>0.16169843304254353</v>
      </c>
      <c r="K942" s="2"/>
      <c r="L942" s="2"/>
      <c r="M942" s="2"/>
      <c r="N942" s="2"/>
      <c r="O942" s="2"/>
    </row>
    <row r="943" spans="1:15" customFormat="1" x14ac:dyDescent="0.25">
      <c r="A943" s="2" t="s">
        <v>6</v>
      </c>
      <c r="B943" s="2">
        <v>2016</v>
      </c>
      <c r="C943" s="2" t="s">
        <v>26</v>
      </c>
      <c r="D943" s="2" t="s">
        <v>46</v>
      </c>
      <c r="E943" s="2" t="s">
        <v>9</v>
      </c>
      <c r="F943" s="2" t="s">
        <v>10</v>
      </c>
      <c r="G943" s="2">
        <f t="shared" si="50"/>
        <v>0.38673047504857772</v>
      </c>
      <c r="H943" s="5">
        <v>3.7931265206812448</v>
      </c>
      <c r="I943" s="2">
        <v>2466</v>
      </c>
      <c r="J943" s="57">
        <f>I943/Pondération!$G$169</f>
        <v>0.10195559598131228</v>
      </c>
      <c r="K943" s="2"/>
      <c r="L943" s="2"/>
      <c r="M943" s="2"/>
      <c r="N943" s="2"/>
      <c r="O943" s="2"/>
    </row>
    <row r="944" spans="1:15" customFormat="1" x14ac:dyDescent="0.25">
      <c r="A944" s="2" t="s">
        <v>6</v>
      </c>
      <c r="B944" s="2">
        <v>2016</v>
      </c>
      <c r="C944" s="2" t="s">
        <v>27</v>
      </c>
      <c r="D944" s="2" t="s">
        <v>46</v>
      </c>
      <c r="E944" s="2" t="s">
        <v>9</v>
      </c>
      <c r="F944" s="2" t="s">
        <v>10</v>
      </c>
      <c r="G944" s="2">
        <f t="shared" si="50"/>
        <v>0.38250919915656889</v>
      </c>
      <c r="H944" s="5">
        <v>3.9004005059021631</v>
      </c>
      <c r="I944" s="2">
        <v>2372</v>
      </c>
      <c r="J944" s="57">
        <f>I944/Pondération!$G$169</f>
        <v>9.8069210733038412E-2</v>
      </c>
      <c r="K944" s="2"/>
      <c r="L944" s="2"/>
      <c r="M944" s="2"/>
      <c r="N944" s="2"/>
      <c r="O944" s="2"/>
    </row>
    <row r="945" spans="1:16" x14ac:dyDescent="0.25">
      <c r="A945" s="2" t="s">
        <v>6</v>
      </c>
      <c r="B945" s="2">
        <v>2016</v>
      </c>
      <c r="C945" s="2" t="s">
        <v>28</v>
      </c>
      <c r="D945" s="2" t="s">
        <v>46</v>
      </c>
      <c r="E945" s="2" t="s">
        <v>9</v>
      </c>
      <c r="F945" s="2" t="s">
        <v>10</v>
      </c>
      <c r="G945" s="2">
        <f t="shared" si="50"/>
        <v>0.35109149543142804</v>
      </c>
      <c r="H945" s="5">
        <v>4.0112659423712564</v>
      </c>
      <c r="I945" s="2">
        <v>2117</v>
      </c>
      <c r="J945" s="57">
        <f>I945/Pondération!$G$169</f>
        <v>8.7526357133997604E-2</v>
      </c>
      <c r="K945" s="2"/>
      <c r="L945" s="2"/>
      <c r="M945" s="2"/>
      <c r="N945" s="2"/>
      <c r="O945" s="2"/>
      <c r="P945"/>
    </row>
    <row r="946" spans="1:16" x14ac:dyDescent="0.25">
      <c r="A946" s="2" t="s">
        <v>6</v>
      </c>
      <c r="B946" s="2">
        <v>2016</v>
      </c>
      <c r="C946" s="2" t="s">
        <v>29</v>
      </c>
      <c r="D946" s="2" t="s">
        <v>46</v>
      </c>
      <c r="E946" s="2" t="s">
        <v>9</v>
      </c>
      <c r="F946" s="2" t="s">
        <v>10</v>
      </c>
      <c r="G946" s="2">
        <f t="shared" si="50"/>
        <v>0.30069665522801464</v>
      </c>
      <c r="H946" s="5">
        <v>4.0608319374650979</v>
      </c>
      <c r="I946" s="2">
        <v>1791</v>
      </c>
      <c r="J946" s="57">
        <f>I946/Pondération!$G$169</f>
        <v>7.4048042336792491E-2</v>
      </c>
      <c r="K946" s="2"/>
      <c r="L946" s="2"/>
      <c r="M946" s="2"/>
      <c r="N946" s="2"/>
      <c r="O946" s="2"/>
      <c r="P946"/>
    </row>
    <row r="947" spans="1:16" x14ac:dyDescent="0.25">
      <c r="A947" s="2" t="s">
        <v>6</v>
      </c>
      <c r="B947" s="2">
        <v>2017</v>
      </c>
      <c r="C947" s="2" t="s">
        <v>30</v>
      </c>
      <c r="D947" s="2" t="s">
        <v>46</v>
      </c>
      <c r="E947" s="2" t="s">
        <v>9</v>
      </c>
      <c r="F947" s="2" t="s">
        <v>10</v>
      </c>
      <c r="G947" s="2">
        <f t="shared" si="50"/>
        <v>0.69855197833608995</v>
      </c>
      <c r="H947" s="5">
        <v>3.987355088020601</v>
      </c>
      <c r="I947" s="2">
        <v>2329</v>
      </c>
      <c r="J947" s="57">
        <f>I947/Pondération!$F$169</f>
        <v>0.17519181585677748</v>
      </c>
      <c r="K947" s="2"/>
      <c r="L947" s="2"/>
      <c r="M947" s="2"/>
      <c r="N947" s="2"/>
      <c r="O947" s="2"/>
      <c r="P947"/>
    </row>
    <row r="948" spans="1:16" x14ac:dyDescent="0.25">
      <c r="A948" s="2" t="s">
        <v>6</v>
      </c>
      <c r="B948" s="2">
        <v>2017</v>
      </c>
      <c r="C948" s="2" t="s">
        <v>31</v>
      </c>
      <c r="D948" s="2" t="s">
        <v>46</v>
      </c>
      <c r="E948" s="2" t="s">
        <v>9</v>
      </c>
      <c r="F948" s="2" t="s">
        <v>10</v>
      </c>
      <c r="G948" s="2">
        <f t="shared" si="50"/>
        <v>0.74617120505490675</v>
      </c>
      <c r="H948" s="5">
        <v>4.0323577235772072</v>
      </c>
      <c r="I948" s="2">
        <v>2460</v>
      </c>
      <c r="J948" s="57">
        <f>I948/Pondération!$F$169</f>
        <v>0.18504588536181737</v>
      </c>
      <c r="K948" s="2"/>
      <c r="L948" s="2"/>
      <c r="M948" s="2"/>
      <c r="N948" s="2"/>
      <c r="O948" s="2"/>
      <c r="P948"/>
    </row>
    <row r="949" spans="1:16" x14ac:dyDescent="0.25">
      <c r="A949" s="2" t="s">
        <v>6</v>
      </c>
      <c r="B949" s="2">
        <v>2017</v>
      </c>
      <c r="C949" s="2" t="s">
        <v>32</v>
      </c>
      <c r="D949" s="2" t="s">
        <v>46</v>
      </c>
      <c r="E949" s="2" t="s">
        <v>9</v>
      </c>
      <c r="F949" s="2" t="s">
        <v>10</v>
      </c>
      <c r="G949" s="2">
        <f t="shared" si="50"/>
        <v>0.7656837671129757</v>
      </c>
      <c r="H949" s="5">
        <v>4.0011792452829793</v>
      </c>
      <c r="I949" s="2">
        <v>2544</v>
      </c>
      <c r="J949" s="57">
        <f>I949/Pondération!$F$169</f>
        <v>0.19136452534978185</v>
      </c>
      <c r="K949" s="2"/>
      <c r="L949" s="2"/>
      <c r="M949" s="2"/>
      <c r="N949" s="2"/>
      <c r="O949" s="2"/>
      <c r="P949"/>
    </row>
    <row r="950" spans="1:16" x14ac:dyDescent="0.25">
      <c r="A950" s="2" t="s">
        <v>6</v>
      </c>
      <c r="B950" s="2">
        <v>2017</v>
      </c>
      <c r="C950" s="2" t="s">
        <v>33</v>
      </c>
      <c r="D950" s="2" t="s">
        <v>46</v>
      </c>
      <c r="E950" s="2" t="s">
        <v>9</v>
      </c>
      <c r="F950" s="2" t="s">
        <v>10</v>
      </c>
      <c r="G950" s="2">
        <f t="shared" si="50"/>
        <v>1.0028170603279525</v>
      </c>
      <c r="H950" s="5">
        <v>3.9083699794781004</v>
      </c>
      <c r="I950" s="2">
        <v>3411</v>
      </c>
      <c r="J950" s="57">
        <f>I950/Pondération!$F$169</f>
        <v>0.25658191665412966</v>
      </c>
      <c r="K950" s="2"/>
      <c r="L950" s="2"/>
      <c r="M950" s="2"/>
      <c r="N950" s="2"/>
      <c r="O950" s="2"/>
      <c r="P950"/>
    </row>
    <row r="951" spans="1:16" x14ac:dyDescent="0.25">
      <c r="A951" s="2" t="s">
        <v>6</v>
      </c>
      <c r="B951" s="2">
        <v>2017</v>
      </c>
      <c r="C951" s="2" t="s">
        <v>34</v>
      </c>
      <c r="D951" s="2" t="s">
        <v>46</v>
      </c>
      <c r="E951" s="2" t="s">
        <v>9</v>
      </c>
      <c r="F951" s="2" t="s">
        <v>10</v>
      </c>
      <c r="G951" s="2">
        <f t="shared" si="50"/>
        <v>0.74359861591694987</v>
      </c>
      <c r="H951" s="5">
        <v>3.8766274509803651</v>
      </c>
      <c r="I951" s="2">
        <v>2550</v>
      </c>
      <c r="J951" s="57">
        <f>I951/Pondération!$F$169</f>
        <v>0.1918158567774936</v>
      </c>
      <c r="K951" s="2"/>
      <c r="L951" s="2"/>
      <c r="M951" s="2"/>
      <c r="N951" s="2"/>
      <c r="O951" s="2"/>
      <c r="P951"/>
    </row>
    <row r="952" spans="1:16" x14ac:dyDescent="0.25">
      <c r="A952" s="2" t="s">
        <v>47</v>
      </c>
      <c r="B952" s="2">
        <v>2013</v>
      </c>
      <c r="C952" s="2" t="s">
        <v>49</v>
      </c>
      <c r="D952" s="2" t="s">
        <v>46</v>
      </c>
      <c r="E952" s="2" t="s">
        <v>9</v>
      </c>
      <c r="F952" s="2" t="s">
        <v>48</v>
      </c>
      <c r="G952" s="2">
        <f t="shared" si="50"/>
        <v>0.28562134027325958</v>
      </c>
      <c r="H952" s="5">
        <v>4.4343434343434343</v>
      </c>
      <c r="I952" s="2">
        <v>99</v>
      </c>
      <c r="J952" s="57">
        <f>I952/Pondération!$J$170</f>
        <v>6.4411190631099541E-2</v>
      </c>
      <c r="K952" s="5">
        <v>4.4949494949494948</v>
      </c>
      <c r="L952" s="5">
        <f t="shared" ref="L952:L1004" si="51">K952*$J952</f>
        <v>0.28952504879635649</v>
      </c>
      <c r="M952" s="5">
        <v>4.5353535353535355</v>
      </c>
      <c r="N952" s="5">
        <f t="shared" ref="N952:N1004" si="52">M952*$J952</f>
        <v>0.29212752114508783</v>
      </c>
      <c r="O952" s="5">
        <v>4.2121212121212119</v>
      </c>
      <c r="P952" s="15">
        <f t="shared" ref="P952:P1004" si="53">O952*$J952</f>
        <v>0.27130774235523747</v>
      </c>
    </row>
    <row r="953" spans="1:16" x14ac:dyDescent="0.25">
      <c r="A953" s="2" t="s">
        <v>47</v>
      </c>
      <c r="B953" s="2">
        <v>2013</v>
      </c>
      <c r="C953" s="2" t="s">
        <v>50</v>
      </c>
      <c r="D953" s="2" t="s">
        <v>46</v>
      </c>
      <c r="E953" s="2" t="s">
        <v>9</v>
      </c>
      <c r="F953" s="2" t="s">
        <v>48</v>
      </c>
      <c r="G953" s="2">
        <f t="shared" si="50"/>
        <v>0.35474951203643457</v>
      </c>
      <c r="H953" s="5">
        <v>4.2933070866141732</v>
      </c>
      <c r="I953" s="2">
        <v>127</v>
      </c>
      <c r="J953" s="57">
        <f>I953/Pondération!$J$170</f>
        <v>8.2628497072218601E-2</v>
      </c>
      <c r="K953" s="5">
        <v>4.4015748031496065</v>
      </c>
      <c r="L953" s="5">
        <f t="shared" si="51"/>
        <v>0.3636955107351984</v>
      </c>
      <c r="M953" s="5">
        <v>4.3070866141732287</v>
      </c>
      <c r="N953" s="5">
        <f t="shared" si="52"/>
        <v>0.35588809368900454</v>
      </c>
      <c r="O953" s="5">
        <v>4.0629921259842519</v>
      </c>
      <c r="P953" s="15">
        <f t="shared" si="53"/>
        <v>0.33571893298633698</v>
      </c>
    </row>
    <row r="954" spans="1:16" x14ac:dyDescent="0.25">
      <c r="A954" s="2" t="s">
        <v>47</v>
      </c>
      <c r="B954" s="2">
        <v>2013</v>
      </c>
      <c r="C954" s="2" t="s">
        <v>51</v>
      </c>
      <c r="D954" s="2" t="s">
        <v>46</v>
      </c>
      <c r="E954" s="2" t="s">
        <v>9</v>
      </c>
      <c r="F954" s="2" t="s">
        <v>48</v>
      </c>
      <c r="G954" s="2">
        <f t="shared" si="50"/>
        <v>0.26171112556929083</v>
      </c>
      <c r="H954" s="5">
        <v>4.4203296703296706</v>
      </c>
      <c r="I954" s="2">
        <v>91</v>
      </c>
      <c r="J954" s="57">
        <f>I954/Pondération!$J$170</f>
        <v>5.9206245933636957E-2</v>
      </c>
      <c r="K954" s="5">
        <v>4.4505494505494507</v>
      </c>
      <c r="L954" s="5">
        <f t="shared" si="51"/>
        <v>0.2635003253090436</v>
      </c>
      <c r="M954" s="5">
        <v>4.5054945054945055</v>
      </c>
      <c r="N954" s="5">
        <f t="shared" si="52"/>
        <v>0.2667534157449577</v>
      </c>
      <c r="O954" s="5">
        <v>4.2747252747252746</v>
      </c>
      <c r="P954" s="15">
        <f t="shared" si="53"/>
        <v>0.25309043591411839</v>
      </c>
    </row>
    <row r="955" spans="1:16" x14ac:dyDescent="0.25">
      <c r="A955" s="2" t="s">
        <v>47</v>
      </c>
      <c r="B955" s="2">
        <v>2013</v>
      </c>
      <c r="C955" s="2" t="s">
        <v>52</v>
      </c>
      <c r="D955" s="2" t="s">
        <v>46</v>
      </c>
      <c r="E955" s="2" t="s">
        <v>9</v>
      </c>
      <c r="F955" s="2" t="s">
        <v>48</v>
      </c>
      <c r="G955" s="2">
        <f t="shared" si="50"/>
        <v>0.27830188679245282</v>
      </c>
      <c r="H955" s="5">
        <v>4.5505319148936172</v>
      </c>
      <c r="I955" s="2">
        <v>94</v>
      </c>
      <c r="J955" s="57">
        <f>I955/Pondération!$J$170</f>
        <v>6.1158100195185423E-2</v>
      </c>
      <c r="K955" s="5">
        <v>4.6382978723404253</v>
      </c>
      <c r="L955" s="5">
        <f t="shared" si="51"/>
        <v>0.2836694860117111</v>
      </c>
      <c r="M955" s="5">
        <v>4.6276595744680851</v>
      </c>
      <c r="N955" s="5">
        <f t="shared" si="52"/>
        <v>0.28301886792452829</v>
      </c>
      <c r="O955" s="5">
        <v>4.2978723404255321</v>
      </c>
      <c r="P955" s="15">
        <f t="shared" si="53"/>
        <v>0.2628497072218608</v>
      </c>
    </row>
    <row r="956" spans="1:16" x14ac:dyDescent="0.25">
      <c r="A956" s="2" t="s">
        <v>47</v>
      </c>
      <c r="B956" s="2">
        <v>2013</v>
      </c>
      <c r="C956" s="2" t="s">
        <v>53</v>
      </c>
      <c r="D956" s="2" t="s">
        <v>46</v>
      </c>
      <c r="E956" s="2" t="s">
        <v>9</v>
      </c>
      <c r="F956" s="2" t="s">
        <v>48</v>
      </c>
      <c r="G956" s="2">
        <f t="shared" si="50"/>
        <v>0.45592062459336369</v>
      </c>
      <c r="H956" s="5">
        <v>4.4351265822784809</v>
      </c>
      <c r="I956" s="2">
        <v>158</v>
      </c>
      <c r="J956" s="57">
        <f>I956/Pondération!$J$170</f>
        <v>0.10279765777488614</v>
      </c>
      <c r="K956" s="5">
        <v>4.4177215189873413</v>
      </c>
      <c r="L956" s="5">
        <f t="shared" si="51"/>
        <v>0.45413142485361091</v>
      </c>
      <c r="M956" s="5">
        <v>4.5063291139240507</v>
      </c>
      <c r="N956" s="5">
        <f t="shared" si="52"/>
        <v>0.46324007807417045</v>
      </c>
      <c r="O956" s="5">
        <v>4.3987341772151902</v>
      </c>
      <c r="P956" s="15">
        <f t="shared" si="53"/>
        <v>0.45217957059206249</v>
      </c>
    </row>
    <row r="957" spans="1:16" x14ac:dyDescent="0.25">
      <c r="A957" s="2" t="s">
        <v>47</v>
      </c>
      <c r="B957" s="2">
        <v>2013</v>
      </c>
      <c r="C957" s="2" t="s">
        <v>54</v>
      </c>
      <c r="D957" s="2" t="s">
        <v>46</v>
      </c>
      <c r="E957" s="2" t="s">
        <v>9</v>
      </c>
      <c r="F957" s="2" t="s">
        <v>48</v>
      </c>
      <c r="G957" s="2">
        <f t="shared" si="50"/>
        <v>0.3599544567338972</v>
      </c>
      <c r="H957" s="5">
        <v>4.461693548387097</v>
      </c>
      <c r="I957" s="2">
        <v>124</v>
      </c>
      <c r="J957" s="57">
        <f>I957/Pondération!$J$170</f>
        <v>8.0676642810670135E-2</v>
      </c>
      <c r="K957" s="5">
        <v>4.5161290322580649</v>
      </c>
      <c r="L957" s="5">
        <f t="shared" si="51"/>
        <v>0.36434612882238127</v>
      </c>
      <c r="M957" s="5">
        <v>4.419354838709677</v>
      </c>
      <c r="N957" s="5">
        <f t="shared" si="52"/>
        <v>0.35653871177618734</v>
      </c>
      <c r="O957" s="5">
        <v>4.395161290322581</v>
      </c>
      <c r="P957" s="15">
        <f t="shared" si="53"/>
        <v>0.35458685751463892</v>
      </c>
    </row>
    <row r="958" spans="1:16" x14ac:dyDescent="0.25">
      <c r="A958" s="2" t="s">
        <v>47</v>
      </c>
      <c r="B958" s="2">
        <v>2013</v>
      </c>
      <c r="C958" s="2" t="s">
        <v>55</v>
      </c>
      <c r="D958" s="2" t="s">
        <v>46</v>
      </c>
      <c r="E958" s="2" t="s">
        <v>9</v>
      </c>
      <c r="F958" s="2" t="s">
        <v>48</v>
      </c>
      <c r="G958" s="2">
        <f t="shared" si="50"/>
        <v>0.47690305790500975</v>
      </c>
      <c r="H958" s="5">
        <v>4.5246913580246915</v>
      </c>
      <c r="I958" s="2">
        <v>162</v>
      </c>
      <c r="J958" s="57">
        <f>I958/Pondération!$J$170</f>
        <v>0.10540013012361743</v>
      </c>
      <c r="K958" s="5">
        <v>4.4938271604938276</v>
      </c>
      <c r="L958" s="5">
        <f t="shared" si="51"/>
        <v>0.47364996746909566</v>
      </c>
      <c r="M958" s="5">
        <v>4.5987654320987659</v>
      </c>
      <c r="N958" s="5">
        <f t="shared" si="52"/>
        <v>0.48471047495120367</v>
      </c>
      <c r="O958" s="5">
        <v>4.5123456790123457</v>
      </c>
      <c r="P958" s="15">
        <f t="shared" si="53"/>
        <v>0.47560182173064408</v>
      </c>
    </row>
    <row r="959" spans="1:16" x14ac:dyDescent="0.25">
      <c r="A959" s="2" t="s">
        <v>47</v>
      </c>
      <c r="B959" s="2">
        <v>2013</v>
      </c>
      <c r="C959" s="2" t="s">
        <v>56</v>
      </c>
      <c r="D959" s="2" t="s">
        <v>46</v>
      </c>
      <c r="E959" s="2" t="s">
        <v>9</v>
      </c>
      <c r="F959" s="2" t="s">
        <v>48</v>
      </c>
      <c r="G959" s="2">
        <f t="shared" si="50"/>
        <v>0.51821730644111907</v>
      </c>
      <c r="H959" s="5">
        <v>4.4497206703910619</v>
      </c>
      <c r="I959" s="2">
        <v>179</v>
      </c>
      <c r="J959" s="57">
        <f>I959/Pondération!$J$170</f>
        <v>0.11646063760572543</v>
      </c>
      <c r="K959" s="5">
        <v>4.5083798882681565</v>
      </c>
      <c r="L959" s="5">
        <f t="shared" si="51"/>
        <v>0.52504879635653867</v>
      </c>
      <c r="M959" s="5">
        <v>4.4692737430167595</v>
      </c>
      <c r="N959" s="5">
        <f t="shared" si="52"/>
        <v>0.5204944697462589</v>
      </c>
      <c r="O959" s="5">
        <v>4.3128491620111733</v>
      </c>
      <c r="P959" s="15">
        <f t="shared" si="53"/>
        <v>0.50227716330513983</v>
      </c>
    </row>
    <row r="960" spans="1:16" x14ac:dyDescent="0.25">
      <c r="A960" s="2" t="s">
        <v>47</v>
      </c>
      <c r="B960" s="2">
        <v>2013</v>
      </c>
      <c r="C960" s="2" t="s">
        <v>57</v>
      </c>
      <c r="D960" s="2" t="s">
        <v>46</v>
      </c>
      <c r="E960" s="2" t="s">
        <v>9</v>
      </c>
      <c r="F960" s="2" t="s">
        <v>48</v>
      </c>
      <c r="G960" s="2">
        <f t="shared" si="50"/>
        <v>0.386629798308393</v>
      </c>
      <c r="H960" s="5">
        <v>4.5362595419847329</v>
      </c>
      <c r="I960" s="2">
        <v>131</v>
      </c>
      <c r="J960" s="57">
        <f>I960/Pondération!$J$170</f>
        <v>8.5230969420949904E-2</v>
      </c>
      <c r="K960" s="5">
        <v>4.5954198473282446</v>
      </c>
      <c r="L960" s="5">
        <f t="shared" si="51"/>
        <v>0.39167208848405988</v>
      </c>
      <c r="M960" s="5">
        <v>4.6488549618320612</v>
      </c>
      <c r="N960" s="5">
        <f t="shared" si="52"/>
        <v>0.39622641509433965</v>
      </c>
      <c r="O960" s="5">
        <v>4.3053435114503813</v>
      </c>
      <c r="P960" s="15">
        <f t="shared" si="53"/>
        <v>0.36694860117111255</v>
      </c>
    </row>
    <row r="961" spans="1:16" x14ac:dyDescent="0.25">
      <c r="A961" s="2" t="s">
        <v>47</v>
      </c>
      <c r="B961" s="2">
        <v>2013</v>
      </c>
      <c r="C961" s="2" t="s">
        <v>58</v>
      </c>
      <c r="D961" s="2" t="s">
        <v>46</v>
      </c>
      <c r="E961" s="2" t="s">
        <v>9</v>
      </c>
      <c r="F961" s="2" t="s">
        <v>48</v>
      </c>
      <c r="G961" s="2">
        <f t="shared" si="50"/>
        <v>0.32270657124268054</v>
      </c>
      <c r="H961" s="5">
        <v>4.389380530973451</v>
      </c>
      <c r="I961" s="2">
        <v>113</v>
      </c>
      <c r="J961" s="57">
        <f>I961/Pondération!$J$170</f>
        <v>7.3519843851659078E-2</v>
      </c>
      <c r="K961" s="5">
        <v>4.4601769911504423</v>
      </c>
      <c r="L961" s="5">
        <f t="shared" si="51"/>
        <v>0.32791151594014312</v>
      </c>
      <c r="M961" s="5">
        <v>4.3805309734513278</v>
      </c>
      <c r="N961" s="5">
        <f t="shared" si="52"/>
        <v>0.32205595315549773</v>
      </c>
      <c r="O961" s="5">
        <v>4.2566371681415927</v>
      </c>
      <c r="P961" s="15">
        <f t="shared" si="53"/>
        <v>0.31294729993493819</v>
      </c>
    </row>
    <row r="962" spans="1:16" x14ac:dyDescent="0.25">
      <c r="A962" s="2" t="s">
        <v>47</v>
      </c>
      <c r="B962" s="2">
        <v>2013</v>
      </c>
      <c r="C962" s="2" t="s">
        <v>59</v>
      </c>
      <c r="D962" s="2" t="s">
        <v>46</v>
      </c>
      <c r="E962" s="2" t="s">
        <v>9</v>
      </c>
      <c r="F962" s="2" t="s">
        <v>48</v>
      </c>
      <c r="G962" s="2">
        <f t="shared" ref="G962:G1004" si="54">H962*J962</f>
        <v>0.363370201691607</v>
      </c>
      <c r="H962" s="5">
        <v>4.504032258064516</v>
      </c>
      <c r="I962" s="2">
        <v>124</v>
      </c>
      <c r="J962" s="57">
        <f>I962/Pondération!$J$170</f>
        <v>8.0676642810670135E-2</v>
      </c>
      <c r="K962" s="5">
        <v>4.564516129032258</v>
      </c>
      <c r="L962" s="5">
        <f t="shared" si="51"/>
        <v>0.36824983734547817</v>
      </c>
      <c r="M962" s="5">
        <v>4.629032258064516</v>
      </c>
      <c r="N962" s="5">
        <f t="shared" si="52"/>
        <v>0.3734547820429408</v>
      </c>
      <c r="O962" s="5">
        <v>4.258064516129032</v>
      </c>
      <c r="P962" s="15">
        <f t="shared" si="53"/>
        <v>0.3435263500325309</v>
      </c>
    </row>
    <row r="963" spans="1:16" x14ac:dyDescent="0.25">
      <c r="A963" s="2" t="s">
        <v>47</v>
      </c>
      <c r="B963" s="2">
        <v>2013</v>
      </c>
      <c r="C963" s="2" t="s">
        <v>60</v>
      </c>
      <c r="D963" s="2" t="s">
        <v>46</v>
      </c>
      <c r="E963" s="2" t="s">
        <v>9</v>
      </c>
      <c r="F963" s="2" t="s">
        <v>48</v>
      </c>
      <c r="G963" s="2">
        <f t="shared" si="54"/>
        <v>0.39150943396226412</v>
      </c>
      <c r="H963" s="5">
        <v>4.4574074074074073</v>
      </c>
      <c r="I963" s="2">
        <v>135</v>
      </c>
      <c r="J963" s="57">
        <f>I963/Pondération!$J$170</f>
        <v>8.7833441769681192E-2</v>
      </c>
      <c r="K963" s="5">
        <v>4.5259259259259261</v>
      </c>
      <c r="L963" s="5">
        <f t="shared" si="51"/>
        <v>0.39752765126870526</v>
      </c>
      <c r="M963" s="5">
        <v>4.5481481481481483</v>
      </c>
      <c r="N963" s="5">
        <f t="shared" si="52"/>
        <v>0.39947950553025374</v>
      </c>
      <c r="O963" s="5">
        <v>4.2296296296296294</v>
      </c>
      <c r="P963" s="15">
        <f t="shared" si="53"/>
        <v>0.37150292778139227</v>
      </c>
    </row>
    <row r="964" spans="1:16" x14ac:dyDescent="0.25">
      <c r="A964" s="2" t="s">
        <v>47</v>
      </c>
      <c r="B964" s="2">
        <v>2014</v>
      </c>
      <c r="C964" s="2" t="s">
        <v>61</v>
      </c>
      <c r="D964" s="2" t="s">
        <v>46</v>
      </c>
      <c r="E964" s="2" t="s">
        <v>9</v>
      </c>
      <c r="F964" s="2" t="s">
        <v>48</v>
      </c>
      <c r="G964" s="2">
        <f t="shared" si="54"/>
        <v>0.19964370546318289</v>
      </c>
      <c r="H964" s="5">
        <v>4.518817204301075</v>
      </c>
      <c r="I964" s="2">
        <v>93</v>
      </c>
      <c r="J964" s="57">
        <f>I964/Pondération!$I$170</f>
        <v>4.4180522565320665E-2</v>
      </c>
      <c r="K964" s="5">
        <v>4.623655913978495</v>
      </c>
      <c r="L964" s="5">
        <f t="shared" si="51"/>
        <v>0.20427553444180524</v>
      </c>
      <c r="M964" s="5">
        <v>4.645161290322581</v>
      </c>
      <c r="N964" s="5">
        <f t="shared" si="52"/>
        <v>0.20522565320665084</v>
      </c>
      <c r="O964" s="5">
        <v>4.182795698924731</v>
      </c>
      <c r="P964" s="15">
        <f t="shared" si="53"/>
        <v>0.1847980997624703</v>
      </c>
    </row>
    <row r="965" spans="1:16" x14ac:dyDescent="0.25">
      <c r="A965" s="2" t="s">
        <v>47</v>
      </c>
      <c r="B965" s="2">
        <v>2014</v>
      </c>
      <c r="C965" s="2" t="s">
        <v>62</v>
      </c>
      <c r="D965" s="2" t="s">
        <v>46</v>
      </c>
      <c r="E965" s="2" t="s">
        <v>9</v>
      </c>
      <c r="F965" s="2" t="s">
        <v>48</v>
      </c>
      <c r="G965" s="2">
        <f t="shared" si="54"/>
        <v>0.25771971496437052</v>
      </c>
      <c r="H965" s="5">
        <v>4.375</v>
      </c>
      <c r="I965" s="2">
        <v>124</v>
      </c>
      <c r="J965" s="57">
        <f>I965/Pondération!$I$170</f>
        <v>5.8907363420427551E-2</v>
      </c>
      <c r="K965" s="5">
        <v>4.330645161290323</v>
      </c>
      <c r="L965" s="5">
        <f t="shared" si="51"/>
        <v>0.25510688836104517</v>
      </c>
      <c r="M965" s="5">
        <v>4.532258064516129</v>
      </c>
      <c r="N965" s="5">
        <f t="shared" si="52"/>
        <v>0.26698337292161517</v>
      </c>
      <c r="O965" s="5">
        <v>4.306451612903226</v>
      </c>
      <c r="P965" s="15">
        <f t="shared" si="53"/>
        <v>0.25368171021377672</v>
      </c>
    </row>
    <row r="966" spans="1:16" x14ac:dyDescent="0.25">
      <c r="A966" s="2" t="s">
        <v>47</v>
      </c>
      <c r="B966" s="2">
        <v>2014</v>
      </c>
      <c r="C966" s="2" t="s">
        <v>63</v>
      </c>
      <c r="D966" s="2" t="s">
        <v>46</v>
      </c>
      <c r="E966" s="2" t="s">
        <v>9</v>
      </c>
      <c r="F966" s="2" t="s">
        <v>48</v>
      </c>
      <c r="G966" s="2">
        <f t="shared" si="54"/>
        <v>0.23741092636579569</v>
      </c>
      <c r="H966" s="5">
        <v>4.4620535714285712</v>
      </c>
      <c r="I966" s="2">
        <v>112</v>
      </c>
      <c r="J966" s="57">
        <f>I966/Pondération!$I$170</f>
        <v>5.3206650831353917E-2</v>
      </c>
      <c r="K966" s="5">
        <v>4.5</v>
      </c>
      <c r="L966" s="5">
        <f t="shared" si="51"/>
        <v>0.23942992874109262</v>
      </c>
      <c r="M966" s="5">
        <v>4.5892857142857144</v>
      </c>
      <c r="N966" s="5">
        <f t="shared" si="52"/>
        <v>0.24418052256532066</v>
      </c>
      <c r="O966" s="5">
        <v>4.2589285714285712</v>
      </c>
      <c r="P966" s="15">
        <f t="shared" si="53"/>
        <v>0.22660332541567693</v>
      </c>
    </row>
    <row r="967" spans="1:16" x14ac:dyDescent="0.25">
      <c r="A967" s="2" t="s">
        <v>47</v>
      </c>
      <c r="B967" s="2">
        <v>2014</v>
      </c>
      <c r="C967" s="2" t="s">
        <v>64</v>
      </c>
      <c r="D967" s="2" t="s">
        <v>46</v>
      </c>
      <c r="E967" s="2" t="s">
        <v>9</v>
      </c>
      <c r="F967" s="2" t="s">
        <v>48</v>
      </c>
      <c r="G967" s="2">
        <f t="shared" si="54"/>
        <v>0.33539192399049883</v>
      </c>
      <c r="H967" s="5">
        <v>4.3850931677018634</v>
      </c>
      <c r="I967" s="2">
        <v>161</v>
      </c>
      <c r="J967" s="57">
        <f>I967/Pondération!$I$170</f>
        <v>7.6484560570071261E-2</v>
      </c>
      <c r="K967" s="5">
        <v>4.4720496894409933</v>
      </c>
      <c r="L967" s="5">
        <f t="shared" si="51"/>
        <v>0.34204275534441803</v>
      </c>
      <c r="M967" s="5">
        <v>4.4534161490683228</v>
      </c>
      <c r="N967" s="5">
        <f t="shared" si="52"/>
        <v>0.34061757719714963</v>
      </c>
      <c r="O967" s="5">
        <v>4.1428571428571432</v>
      </c>
      <c r="P967" s="15">
        <f t="shared" si="53"/>
        <v>0.31686460807600952</v>
      </c>
    </row>
    <row r="968" spans="1:16" x14ac:dyDescent="0.25">
      <c r="A968" s="2" t="s">
        <v>47</v>
      </c>
      <c r="B968" s="2">
        <v>2014</v>
      </c>
      <c r="C968" s="2" t="s">
        <v>65</v>
      </c>
      <c r="D968" s="2" t="s">
        <v>46</v>
      </c>
      <c r="E968" s="2" t="s">
        <v>9</v>
      </c>
      <c r="F968" s="2" t="s">
        <v>48</v>
      </c>
      <c r="G968" s="2">
        <f t="shared" si="54"/>
        <v>0.32232779097387176</v>
      </c>
      <c r="H968" s="5">
        <v>4.4346405228758172</v>
      </c>
      <c r="I968" s="2">
        <v>153</v>
      </c>
      <c r="J968" s="57">
        <f>I968/Pondération!$I$170</f>
        <v>7.2684085510688834E-2</v>
      </c>
      <c r="K968" s="5">
        <v>4.5294117647058822</v>
      </c>
      <c r="L968" s="5">
        <f t="shared" si="51"/>
        <v>0.32921615201900234</v>
      </c>
      <c r="M968" s="5">
        <v>4.4836601307189543</v>
      </c>
      <c r="N968" s="5">
        <f t="shared" si="52"/>
        <v>0.32589073634204274</v>
      </c>
      <c r="O968" s="5">
        <v>4.1960784313725492</v>
      </c>
      <c r="P968" s="15">
        <f t="shared" si="53"/>
        <v>0.30498812351543941</v>
      </c>
    </row>
    <row r="969" spans="1:16" x14ac:dyDescent="0.25">
      <c r="A969" s="2" t="s">
        <v>47</v>
      </c>
      <c r="B969" s="2">
        <v>2014</v>
      </c>
      <c r="C969" s="2" t="s">
        <v>66</v>
      </c>
      <c r="D969" s="2" t="s">
        <v>46</v>
      </c>
      <c r="E969" s="2" t="s">
        <v>9</v>
      </c>
      <c r="F969" s="2" t="s">
        <v>48</v>
      </c>
      <c r="G969" s="2">
        <f t="shared" si="54"/>
        <v>0.25059382422802851</v>
      </c>
      <c r="H969" s="5">
        <v>4.5869565217391308</v>
      </c>
      <c r="I969" s="2">
        <v>115</v>
      </c>
      <c r="J969" s="57">
        <f>I969/Pondération!$I$170</f>
        <v>5.4631828978622329E-2</v>
      </c>
      <c r="K969" s="5">
        <v>4.6173913043478265</v>
      </c>
      <c r="L969" s="5">
        <f t="shared" si="51"/>
        <v>0.25225653206650833</v>
      </c>
      <c r="M969" s="5">
        <v>4.7391304347826084</v>
      </c>
      <c r="N969" s="5">
        <f t="shared" si="52"/>
        <v>0.25890736342042753</v>
      </c>
      <c r="O969" s="5">
        <v>4.3739130434782609</v>
      </c>
      <c r="P969" s="15">
        <f t="shared" si="53"/>
        <v>0.23895486935866983</v>
      </c>
    </row>
    <row r="970" spans="1:16" x14ac:dyDescent="0.25">
      <c r="A970" s="2" t="s">
        <v>47</v>
      </c>
      <c r="B970" s="2">
        <v>2014</v>
      </c>
      <c r="C970" s="2" t="s">
        <v>67</v>
      </c>
      <c r="D970" s="2" t="s">
        <v>46</v>
      </c>
      <c r="E970" s="2" t="s">
        <v>9</v>
      </c>
      <c r="F970" s="2" t="s">
        <v>48</v>
      </c>
      <c r="G970" s="2">
        <f t="shared" si="54"/>
        <v>0.53622327790973867</v>
      </c>
      <c r="H970" s="5">
        <v>4.4970119521912348</v>
      </c>
      <c r="I970" s="2">
        <v>251</v>
      </c>
      <c r="J970" s="57">
        <f>I970/Pondération!$I$170</f>
        <v>0.11923990498812352</v>
      </c>
      <c r="K970" s="5">
        <v>4.5338645418326697</v>
      </c>
      <c r="L970" s="5">
        <f t="shared" si="51"/>
        <v>0.54061757719714976</v>
      </c>
      <c r="M970" s="5">
        <v>4.6135458167330681</v>
      </c>
      <c r="N970" s="5">
        <f t="shared" si="52"/>
        <v>0.55011876484560573</v>
      </c>
      <c r="O970" s="5">
        <v>4.3067729083665336</v>
      </c>
      <c r="P970" s="15">
        <f t="shared" si="53"/>
        <v>0.51353919239904988</v>
      </c>
    </row>
    <row r="971" spans="1:16" x14ac:dyDescent="0.25">
      <c r="A971" s="2" t="s">
        <v>47</v>
      </c>
      <c r="B971" s="2">
        <v>2014</v>
      </c>
      <c r="C971" s="2" t="s">
        <v>68</v>
      </c>
      <c r="D971" s="2" t="s">
        <v>46</v>
      </c>
      <c r="E971" s="2" t="s">
        <v>9</v>
      </c>
      <c r="F971" s="2" t="s">
        <v>48</v>
      </c>
      <c r="G971" s="2">
        <f t="shared" si="54"/>
        <v>0.56888361045130642</v>
      </c>
      <c r="H971" s="5">
        <v>4.451672862453532</v>
      </c>
      <c r="I971" s="2">
        <v>269</v>
      </c>
      <c r="J971" s="57">
        <f>I971/Pondération!$I$170</f>
        <v>0.12779097387173396</v>
      </c>
      <c r="K971" s="5">
        <v>4.5204460966542754</v>
      </c>
      <c r="L971" s="5">
        <f t="shared" si="51"/>
        <v>0.57767220902612826</v>
      </c>
      <c r="M971" s="5">
        <v>4.5613382899628254</v>
      </c>
      <c r="N971" s="5">
        <f t="shared" si="52"/>
        <v>0.58289786223277906</v>
      </c>
      <c r="O971" s="5">
        <v>4.2044609665427508</v>
      </c>
      <c r="P971" s="15">
        <f t="shared" si="53"/>
        <v>0.53729216152018999</v>
      </c>
    </row>
    <row r="972" spans="1:16" x14ac:dyDescent="0.25">
      <c r="A972" s="2" t="s">
        <v>47</v>
      </c>
      <c r="B972" s="2">
        <v>2014</v>
      </c>
      <c r="C972" s="2" t="s">
        <v>69</v>
      </c>
      <c r="D972" s="2" t="s">
        <v>46</v>
      </c>
      <c r="E972" s="2" t="s">
        <v>9</v>
      </c>
      <c r="F972" s="2" t="s">
        <v>48</v>
      </c>
      <c r="G972" s="2">
        <f t="shared" si="54"/>
        <v>0.38812351543942991</v>
      </c>
      <c r="H972" s="5">
        <v>4.5898876404494384</v>
      </c>
      <c r="I972" s="2">
        <v>178</v>
      </c>
      <c r="J972" s="57">
        <f>I972/Pondération!$I$170</f>
        <v>8.4560570071258903E-2</v>
      </c>
      <c r="K972" s="5">
        <v>4.6292134831460672</v>
      </c>
      <c r="L972" s="5">
        <f t="shared" si="51"/>
        <v>0.39144893111638951</v>
      </c>
      <c r="M972" s="5">
        <v>4.7191011235955056</v>
      </c>
      <c r="N972" s="5">
        <f t="shared" si="52"/>
        <v>0.39904988123515439</v>
      </c>
      <c r="O972" s="5">
        <v>4.382022471910112</v>
      </c>
      <c r="P972" s="15">
        <f t="shared" si="53"/>
        <v>0.37054631828978618</v>
      </c>
    </row>
    <row r="973" spans="1:16" x14ac:dyDescent="0.25">
      <c r="A973" s="2" t="s">
        <v>47</v>
      </c>
      <c r="B973" s="2">
        <v>2014</v>
      </c>
      <c r="C973" s="2" t="s">
        <v>70</v>
      </c>
      <c r="D973" s="2" t="s">
        <v>46</v>
      </c>
      <c r="E973" s="2" t="s">
        <v>9</v>
      </c>
      <c r="F973" s="2" t="s">
        <v>48</v>
      </c>
      <c r="G973" s="2">
        <f t="shared" si="54"/>
        <v>0.533372921615202</v>
      </c>
      <c r="H973" s="5">
        <v>4.4553571428571432</v>
      </c>
      <c r="I973" s="2">
        <v>252</v>
      </c>
      <c r="J973" s="57">
        <f>I973/Pondération!$I$170</f>
        <v>0.11971496437054632</v>
      </c>
      <c r="K973" s="5">
        <v>4.5396825396825395</v>
      </c>
      <c r="L973" s="5">
        <f t="shared" si="51"/>
        <v>0.54346793349168643</v>
      </c>
      <c r="M973" s="5">
        <v>4.5912698412698409</v>
      </c>
      <c r="N973" s="5">
        <f t="shared" si="52"/>
        <v>0.54964370546318286</v>
      </c>
      <c r="O973" s="5">
        <v>4.1507936507936511</v>
      </c>
      <c r="P973" s="15">
        <f t="shared" si="53"/>
        <v>0.49691211401425184</v>
      </c>
    </row>
    <row r="974" spans="1:16" x14ac:dyDescent="0.25">
      <c r="A974" s="2" t="s">
        <v>47</v>
      </c>
      <c r="B974" s="2">
        <v>2014</v>
      </c>
      <c r="C974" s="2" t="s">
        <v>71</v>
      </c>
      <c r="D974" s="2" t="s">
        <v>46</v>
      </c>
      <c r="E974" s="2" t="s">
        <v>9</v>
      </c>
      <c r="F974" s="2" t="s">
        <v>48</v>
      </c>
      <c r="G974" s="2">
        <f t="shared" si="54"/>
        <v>0.45902612826603328</v>
      </c>
      <c r="H974" s="5">
        <v>4.6011904761904763</v>
      </c>
      <c r="I974" s="2">
        <v>210</v>
      </c>
      <c r="J974" s="57">
        <f>I974/Pondération!$I$170</f>
        <v>9.9762470308788598E-2</v>
      </c>
      <c r="K974" s="5">
        <v>4.6571428571428575</v>
      </c>
      <c r="L974" s="5">
        <f t="shared" si="51"/>
        <v>0.46460807600950121</v>
      </c>
      <c r="M974" s="5">
        <v>4.7285714285714286</v>
      </c>
      <c r="N974" s="5">
        <f t="shared" si="52"/>
        <v>0.47173396674584323</v>
      </c>
      <c r="O974" s="5">
        <v>4.3619047619047615</v>
      </c>
      <c r="P974" s="15">
        <f t="shared" si="53"/>
        <v>0.43515439429928737</v>
      </c>
    </row>
    <row r="975" spans="1:16" x14ac:dyDescent="0.25">
      <c r="A975" s="2" t="s">
        <v>47</v>
      </c>
      <c r="B975" s="2">
        <v>2014</v>
      </c>
      <c r="C975" s="2" t="s">
        <v>72</v>
      </c>
      <c r="D975" s="2" t="s">
        <v>46</v>
      </c>
      <c r="E975" s="2" t="s">
        <v>9</v>
      </c>
      <c r="F975" s="2" t="s">
        <v>48</v>
      </c>
      <c r="G975" s="2">
        <f t="shared" si="54"/>
        <v>0.40866983372921617</v>
      </c>
      <c r="H975" s="5">
        <v>4.6002673796791447</v>
      </c>
      <c r="I975" s="2">
        <v>187</v>
      </c>
      <c r="J975" s="57">
        <f>I975/Pondération!$I$170</f>
        <v>8.8836104513064132E-2</v>
      </c>
      <c r="K975" s="5">
        <v>4.6577540106951876</v>
      </c>
      <c r="L975" s="5">
        <f t="shared" si="51"/>
        <v>0.41377672209026134</v>
      </c>
      <c r="M975" s="5">
        <v>4.7593582887700538</v>
      </c>
      <c r="N975" s="5">
        <f t="shared" si="52"/>
        <v>0.42280285035629456</v>
      </c>
      <c r="O975" s="5">
        <v>4.3262032085561497</v>
      </c>
      <c r="P975" s="15">
        <f t="shared" si="53"/>
        <v>0.3843230403800475</v>
      </c>
    </row>
    <row r="976" spans="1:16" x14ac:dyDescent="0.25">
      <c r="A976" s="2" t="s">
        <v>47</v>
      </c>
      <c r="B976" s="2">
        <v>2015</v>
      </c>
      <c r="C976" s="2" t="s">
        <v>73</v>
      </c>
      <c r="D976" s="2" t="s">
        <v>46</v>
      </c>
      <c r="E976" s="2" t="s">
        <v>9</v>
      </c>
      <c r="F976" s="2" t="s">
        <v>48</v>
      </c>
      <c r="G976" s="2">
        <f t="shared" si="54"/>
        <v>0.18909235668789809</v>
      </c>
      <c r="H976" s="5">
        <v>4.5673076923076925</v>
      </c>
      <c r="I976" s="2">
        <v>130</v>
      </c>
      <c r="J976" s="57">
        <f>I976/Pondération!$H$170</f>
        <v>4.1401273885350316E-2</v>
      </c>
      <c r="K976" s="5">
        <v>4.6384615384615389</v>
      </c>
      <c r="L976" s="5">
        <f t="shared" si="51"/>
        <v>0.19203821656050957</v>
      </c>
      <c r="M976" s="5">
        <v>4.7</v>
      </c>
      <c r="N976" s="5">
        <f t="shared" si="52"/>
        <v>0.19458598726114648</v>
      </c>
      <c r="O976" s="5">
        <v>4.2923076923076922</v>
      </c>
      <c r="P976" s="15">
        <f t="shared" si="53"/>
        <v>0.17770700636942674</v>
      </c>
    </row>
    <row r="977" spans="1:16" x14ac:dyDescent="0.25">
      <c r="A977" s="2" t="s">
        <v>47</v>
      </c>
      <c r="B977" s="2">
        <v>2015</v>
      </c>
      <c r="C977" s="2" t="s">
        <v>74</v>
      </c>
      <c r="D977" s="2" t="s">
        <v>46</v>
      </c>
      <c r="E977" s="2" t="s">
        <v>9</v>
      </c>
      <c r="F977" s="2" t="s">
        <v>48</v>
      </c>
      <c r="G977" s="2">
        <f t="shared" si="54"/>
        <v>0.31687898089171973</v>
      </c>
      <c r="H977" s="5">
        <v>4.4222222222222225</v>
      </c>
      <c r="I977" s="2">
        <v>225</v>
      </c>
      <c r="J977" s="57">
        <f>I977/Pondération!$H$170</f>
        <v>7.1656050955414011E-2</v>
      </c>
      <c r="K977" s="5">
        <v>4.4577777777777774</v>
      </c>
      <c r="L977" s="5">
        <f t="shared" si="51"/>
        <v>0.31942675159235667</v>
      </c>
      <c r="M977" s="5">
        <v>4.5822222222222226</v>
      </c>
      <c r="N977" s="5">
        <f t="shared" si="52"/>
        <v>0.32834394904458603</v>
      </c>
      <c r="O977" s="5">
        <v>4.1911111111111108</v>
      </c>
      <c r="P977" s="15">
        <f t="shared" si="53"/>
        <v>0.30031847133757961</v>
      </c>
    </row>
    <row r="978" spans="1:16" x14ac:dyDescent="0.25">
      <c r="A978" s="2" t="s">
        <v>47</v>
      </c>
      <c r="B978" s="2">
        <v>2015</v>
      </c>
      <c r="C978" s="2" t="s">
        <v>75</v>
      </c>
      <c r="D978" s="2" t="s">
        <v>46</v>
      </c>
      <c r="E978" s="2" t="s">
        <v>9</v>
      </c>
      <c r="F978" s="2" t="s">
        <v>48</v>
      </c>
      <c r="G978" s="2">
        <f t="shared" si="54"/>
        <v>0.27834394904458598</v>
      </c>
      <c r="H978" s="5">
        <v>4.436548223350254</v>
      </c>
      <c r="I978" s="2">
        <v>197</v>
      </c>
      <c r="J978" s="57">
        <f>I978/Pondération!$H$170</f>
        <v>6.2738853503184713E-2</v>
      </c>
      <c r="K978" s="5">
        <v>4.4822335025380706</v>
      </c>
      <c r="L978" s="5">
        <f t="shared" si="51"/>
        <v>0.28121019108280254</v>
      </c>
      <c r="M978" s="5">
        <v>4.5532994923857872</v>
      </c>
      <c r="N978" s="5">
        <f t="shared" si="52"/>
        <v>0.28566878980891725</v>
      </c>
      <c r="O978" s="5">
        <v>4.2284263959390866</v>
      </c>
      <c r="P978" s="15">
        <f t="shared" si="53"/>
        <v>0.26528662420382165</v>
      </c>
    </row>
    <row r="979" spans="1:16" x14ac:dyDescent="0.25">
      <c r="A979" s="2" t="s">
        <v>47</v>
      </c>
      <c r="B979" s="2">
        <v>2015</v>
      </c>
      <c r="C979" s="2" t="s">
        <v>76</v>
      </c>
      <c r="D979" s="2" t="s">
        <v>46</v>
      </c>
      <c r="E979" s="2" t="s">
        <v>9</v>
      </c>
      <c r="F979" s="2" t="s">
        <v>48</v>
      </c>
      <c r="G979" s="2">
        <f t="shared" si="54"/>
        <v>0.3752388535031847</v>
      </c>
      <c r="H979" s="5">
        <v>4.514367816091954</v>
      </c>
      <c r="I979" s="2">
        <v>261</v>
      </c>
      <c r="J979" s="57">
        <f>I979/Pondération!$H$170</f>
        <v>8.312101910828025E-2</v>
      </c>
      <c r="K979" s="5">
        <v>4.5555555555555554</v>
      </c>
      <c r="L979" s="5">
        <f t="shared" si="51"/>
        <v>0.37866242038216558</v>
      </c>
      <c r="M979" s="5">
        <v>4.6743295019157092</v>
      </c>
      <c r="N979" s="5">
        <f t="shared" si="52"/>
        <v>0.38853503184713378</v>
      </c>
      <c r="O979" s="5">
        <v>4.2720306513409962</v>
      </c>
      <c r="P979" s="15">
        <f t="shared" si="53"/>
        <v>0.35509554140127386</v>
      </c>
    </row>
    <row r="980" spans="1:16" x14ac:dyDescent="0.25">
      <c r="A980" s="2" t="s">
        <v>47</v>
      </c>
      <c r="B980" s="2">
        <v>2015</v>
      </c>
      <c r="C980" s="2" t="s">
        <v>7</v>
      </c>
      <c r="D980" s="2" t="s">
        <v>46</v>
      </c>
      <c r="E980" s="2" t="s">
        <v>9</v>
      </c>
      <c r="F980" s="2" t="s">
        <v>48</v>
      </c>
      <c r="G980" s="2">
        <f t="shared" si="54"/>
        <v>0.49896496815286623</v>
      </c>
      <c r="H980" s="5">
        <v>4.5021551724137927</v>
      </c>
      <c r="I980" s="2">
        <v>348</v>
      </c>
      <c r="J980" s="57">
        <f>I980/Pondération!$H$170</f>
        <v>0.11082802547770701</v>
      </c>
      <c r="K980" s="5">
        <v>4.5459770114942533</v>
      </c>
      <c r="L980" s="5">
        <f t="shared" si="51"/>
        <v>0.50382165605095552</v>
      </c>
      <c r="M980" s="5">
        <v>4.6264367816091951</v>
      </c>
      <c r="N980" s="5">
        <f t="shared" si="52"/>
        <v>0.51273885350318471</v>
      </c>
      <c r="O980" s="5">
        <v>4.2902298850574709</v>
      </c>
      <c r="P980" s="15">
        <f t="shared" si="53"/>
        <v>0.47547770700636938</v>
      </c>
    </row>
    <row r="981" spans="1:16" x14ac:dyDescent="0.25">
      <c r="A981" s="2" t="s">
        <v>47</v>
      </c>
      <c r="B981" s="2">
        <v>2015</v>
      </c>
      <c r="C981" s="2" t="s">
        <v>11</v>
      </c>
      <c r="D981" s="2" t="s">
        <v>46</v>
      </c>
      <c r="E981" s="2" t="s">
        <v>9</v>
      </c>
      <c r="F981" s="2" t="s">
        <v>48</v>
      </c>
      <c r="G981" s="2">
        <f t="shared" si="54"/>
        <v>0.42165605095541403</v>
      </c>
      <c r="H981" s="5">
        <v>4.6132404181184672</v>
      </c>
      <c r="I981" s="2">
        <v>287</v>
      </c>
      <c r="J981" s="57">
        <f>I981/Pondération!$H$170</f>
        <v>9.1401273885350312E-2</v>
      </c>
      <c r="K981" s="5">
        <v>4.6829268292682924</v>
      </c>
      <c r="L981" s="5">
        <f t="shared" si="51"/>
        <v>0.42802547770700633</v>
      </c>
      <c r="M981" s="5">
        <v>4.6829268292682924</v>
      </c>
      <c r="N981" s="5">
        <f t="shared" si="52"/>
        <v>0.42802547770700633</v>
      </c>
      <c r="O981" s="5">
        <v>4.4041811846689898</v>
      </c>
      <c r="P981" s="15">
        <f t="shared" si="53"/>
        <v>0.40254777070063691</v>
      </c>
    </row>
    <row r="982" spans="1:16" x14ac:dyDescent="0.25">
      <c r="A982" s="2" t="s">
        <v>47</v>
      </c>
      <c r="B982" s="2">
        <v>2015</v>
      </c>
      <c r="C982" s="2" t="s">
        <v>12</v>
      </c>
      <c r="D982" s="2" t="s">
        <v>46</v>
      </c>
      <c r="E982" s="2" t="s">
        <v>9</v>
      </c>
      <c r="F982" s="2" t="s">
        <v>48</v>
      </c>
      <c r="G982" s="2">
        <f t="shared" si="54"/>
        <v>0.4257165605095542</v>
      </c>
      <c r="H982" s="5">
        <v>4.441029900332226</v>
      </c>
      <c r="I982" s="2">
        <v>301</v>
      </c>
      <c r="J982" s="57">
        <f>I982/Pondération!$H$170</f>
        <v>9.5859872611464975E-2</v>
      </c>
      <c r="K982" s="5">
        <v>4.4617940199335546</v>
      </c>
      <c r="L982" s="5">
        <f t="shared" si="51"/>
        <v>0.42770700636942677</v>
      </c>
      <c r="M982" s="5">
        <v>4.5348837209302326</v>
      </c>
      <c r="N982" s="5">
        <f t="shared" si="52"/>
        <v>0.43471337579617836</v>
      </c>
      <c r="O982" s="5">
        <v>4.3056478405315612</v>
      </c>
      <c r="P982" s="15">
        <f t="shared" si="53"/>
        <v>0.41273885350318473</v>
      </c>
    </row>
    <row r="983" spans="1:16" x14ac:dyDescent="0.25">
      <c r="A983" s="2" t="s">
        <v>47</v>
      </c>
      <c r="B983" s="2">
        <v>2015</v>
      </c>
      <c r="C983" s="2" t="s">
        <v>13</v>
      </c>
      <c r="D983" s="2" t="s">
        <v>46</v>
      </c>
      <c r="E983" s="2" t="s">
        <v>9</v>
      </c>
      <c r="F983" s="2" t="s">
        <v>48</v>
      </c>
      <c r="G983" s="2">
        <f t="shared" si="54"/>
        <v>0.51839171974522302</v>
      </c>
      <c r="H983" s="5">
        <v>4.3993243243243247</v>
      </c>
      <c r="I983" s="2">
        <v>370</v>
      </c>
      <c r="J983" s="57">
        <f>I983/Pondération!$H$170</f>
        <v>0.1178343949044586</v>
      </c>
      <c r="K983" s="5">
        <v>4.4675675675675679</v>
      </c>
      <c r="L983" s="5">
        <f t="shared" si="51"/>
        <v>0.52643312101910833</v>
      </c>
      <c r="M983" s="5">
        <v>4.3783783783783781</v>
      </c>
      <c r="N983" s="5">
        <f t="shared" si="52"/>
        <v>0.51592356687898089</v>
      </c>
      <c r="O983" s="5">
        <v>4.2837837837837842</v>
      </c>
      <c r="P983" s="15">
        <f t="shared" si="53"/>
        <v>0.50477707006369432</v>
      </c>
    </row>
    <row r="984" spans="1:16" x14ac:dyDescent="0.25">
      <c r="A984" s="2" t="s">
        <v>47</v>
      </c>
      <c r="B984" s="2">
        <v>2015</v>
      </c>
      <c r="C984" s="2" t="s">
        <v>14</v>
      </c>
      <c r="D984" s="2" t="s">
        <v>46</v>
      </c>
      <c r="E984" s="2" t="s">
        <v>9</v>
      </c>
      <c r="F984" s="2" t="s">
        <v>48</v>
      </c>
      <c r="G984" s="2">
        <f t="shared" si="54"/>
        <v>0.36234076433121021</v>
      </c>
      <c r="H984" s="5">
        <v>4.3928571428571432</v>
      </c>
      <c r="I984" s="2">
        <v>259</v>
      </c>
      <c r="J984" s="57">
        <f>I984/Pondération!$H$170</f>
        <v>8.2484076433121015E-2</v>
      </c>
      <c r="K984" s="5">
        <v>4.4247104247104243</v>
      </c>
      <c r="L984" s="5">
        <f t="shared" si="51"/>
        <v>0.36496815286624201</v>
      </c>
      <c r="M984" s="5">
        <v>4.5212355212355213</v>
      </c>
      <c r="N984" s="5">
        <f t="shared" si="52"/>
        <v>0.37292993630573246</v>
      </c>
      <c r="O984" s="5">
        <v>4.2007722007722004</v>
      </c>
      <c r="P984" s="15">
        <f t="shared" si="53"/>
        <v>0.34649681528662413</v>
      </c>
    </row>
    <row r="985" spans="1:16" x14ac:dyDescent="0.25">
      <c r="A985" s="2" t="s">
        <v>47</v>
      </c>
      <c r="B985" s="2">
        <v>2015</v>
      </c>
      <c r="C985" s="2" t="s">
        <v>15</v>
      </c>
      <c r="D985" s="2" t="s">
        <v>46</v>
      </c>
      <c r="E985" s="2" t="s">
        <v>9</v>
      </c>
      <c r="F985" s="2" t="s">
        <v>48</v>
      </c>
      <c r="G985" s="2">
        <f t="shared" si="54"/>
        <v>0.37117834394904453</v>
      </c>
      <c r="H985" s="5">
        <v>4.4826923076923073</v>
      </c>
      <c r="I985" s="2">
        <v>260</v>
      </c>
      <c r="J985" s="57">
        <f>I985/Pondération!$H$170</f>
        <v>8.2802547770700632E-2</v>
      </c>
      <c r="K985" s="5">
        <v>4.546153846153846</v>
      </c>
      <c r="L985" s="5">
        <f t="shared" si="51"/>
        <v>0.37643312101910825</v>
      </c>
      <c r="M985" s="5">
        <v>4.5769230769230766</v>
      </c>
      <c r="N985" s="5">
        <f t="shared" si="52"/>
        <v>0.37898089171974519</v>
      </c>
      <c r="O985" s="5">
        <v>4.2615384615384615</v>
      </c>
      <c r="P985" s="15">
        <f t="shared" si="53"/>
        <v>0.35286624203821654</v>
      </c>
    </row>
    <row r="986" spans="1:16" x14ac:dyDescent="0.25">
      <c r="A986" s="2" t="s">
        <v>47</v>
      </c>
      <c r="B986" s="2">
        <v>2015</v>
      </c>
      <c r="C986" s="2" t="s">
        <v>16</v>
      </c>
      <c r="D986" s="2" t="s">
        <v>46</v>
      </c>
      <c r="E986" s="2" t="s">
        <v>9</v>
      </c>
      <c r="F986" s="2" t="s">
        <v>48</v>
      </c>
      <c r="G986" s="2">
        <f t="shared" si="54"/>
        <v>0.36894904458598726</v>
      </c>
      <c r="H986" s="5">
        <v>4.525390625</v>
      </c>
      <c r="I986" s="2">
        <v>256</v>
      </c>
      <c r="J986" s="57">
        <f>I986/Pondération!$H$170</f>
        <v>8.1528662420382161E-2</v>
      </c>
      <c r="K986" s="5">
        <v>4.59765625</v>
      </c>
      <c r="L986" s="5">
        <f t="shared" si="51"/>
        <v>0.37484076433121016</v>
      </c>
      <c r="M986" s="5">
        <v>4.59765625</v>
      </c>
      <c r="N986" s="5">
        <f t="shared" si="52"/>
        <v>0.37484076433121016</v>
      </c>
      <c r="O986" s="5">
        <v>4.30859375</v>
      </c>
      <c r="P986" s="15">
        <f t="shared" si="53"/>
        <v>0.35127388535031845</v>
      </c>
    </row>
    <row r="987" spans="1:16" x14ac:dyDescent="0.25">
      <c r="A987" s="2" t="s">
        <v>47</v>
      </c>
      <c r="B987" s="2">
        <v>2015</v>
      </c>
      <c r="C987" s="2" t="s">
        <v>17</v>
      </c>
      <c r="D987" s="2" t="s">
        <v>46</v>
      </c>
      <c r="E987" s="2" t="s">
        <v>9</v>
      </c>
      <c r="F987" s="2" t="s">
        <v>48</v>
      </c>
      <c r="G987" s="2">
        <f t="shared" si="54"/>
        <v>0.35214968152866244</v>
      </c>
      <c r="H987" s="5">
        <v>4.4949186991869921</v>
      </c>
      <c r="I987" s="2">
        <v>246</v>
      </c>
      <c r="J987" s="57">
        <f>I987/Pondération!$H$170</f>
        <v>7.8343949044585984E-2</v>
      </c>
      <c r="K987" s="5">
        <v>4.6097560975609753</v>
      </c>
      <c r="L987" s="5">
        <f t="shared" si="51"/>
        <v>0.3611464968152866</v>
      </c>
      <c r="M987" s="5">
        <v>4.524390243902439</v>
      </c>
      <c r="N987" s="5">
        <f t="shared" si="52"/>
        <v>0.35445859872611463</v>
      </c>
      <c r="O987" s="5">
        <v>4.2357723577235769</v>
      </c>
      <c r="P987" s="15">
        <f t="shared" si="53"/>
        <v>0.33184713375796177</v>
      </c>
    </row>
    <row r="988" spans="1:16" x14ac:dyDescent="0.25">
      <c r="A988" s="2" t="s">
        <v>47</v>
      </c>
      <c r="B988" s="2">
        <v>2016</v>
      </c>
      <c r="C988" s="2" t="s">
        <v>18</v>
      </c>
      <c r="D988" s="2" t="s">
        <v>46</v>
      </c>
      <c r="E988" s="2" t="s">
        <v>9</v>
      </c>
      <c r="F988" s="2" t="s">
        <v>48</v>
      </c>
      <c r="G988" s="2">
        <f t="shared" si="54"/>
        <v>0.25556395851339669</v>
      </c>
      <c r="H988" s="5">
        <v>4.497148288973384</v>
      </c>
      <c r="I988" s="2">
        <v>263</v>
      </c>
      <c r="J988" s="57">
        <f>I988/Pondération!$G$170</f>
        <v>5.682800345721694E-2</v>
      </c>
      <c r="K988" s="5">
        <v>4.5703422053231941</v>
      </c>
      <c r="L988" s="5">
        <f t="shared" si="51"/>
        <v>0.259723422644771</v>
      </c>
      <c r="M988" s="5">
        <v>4.6045627376425857</v>
      </c>
      <c r="N988" s="5">
        <f t="shared" si="52"/>
        <v>0.26166810717372518</v>
      </c>
      <c r="O988" s="5">
        <v>4.243346007604563</v>
      </c>
      <c r="P988" s="15">
        <f t="shared" si="53"/>
        <v>0.24114088159031979</v>
      </c>
    </row>
    <row r="989" spans="1:16" x14ac:dyDescent="0.25">
      <c r="A989" s="2" t="s">
        <v>47</v>
      </c>
      <c r="B989" s="2">
        <v>2016</v>
      </c>
      <c r="C989" s="2" t="s">
        <v>19</v>
      </c>
      <c r="D989" s="2" t="s">
        <v>46</v>
      </c>
      <c r="E989" s="2" t="s">
        <v>9</v>
      </c>
      <c r="F989" s="2" t="s">
        <v>48</v>
      </c>
      <c r="G989" s="2">
        <f t="shared" si="54"/>
        <v>0.30834053586862575</v>
      </c>
      <c r="H989" s="5">
        <v>4.4733542319749215</v>
      </c>
      <c r="I989" s="2">
        <v>319</v>
      </c>
      <c r="J989" s="57">
        <f>I989/Pondération!$G$170</f>
        <v>6.892826274848747E-2</v>
      </c>
      <c r="K989" s="5">
        <v>4.5391849529780561</v>
      </c>
      <c r="L989" s="5">
        <f t="shared" si="51"/>
        <v>0.31287813310285217</v>
      </c>
      <c r="M989" s="5">
        <v>4.523510971786834</v>
      </c>
      <c r="N989" s="5">
        <f t="shared" si="52"/>
        <v>0.3117977528089888</v>
      </c>
      <c r="O989" s="5">
        <v>4.2915360501567399</v>
      </c>
      <c r="P989" s="15">
        <f t="shared" si="53"/>
        <v>0.29580812445980986</v>
      </c>
    </row>
    <row r="990" spans="1:16" x14ac:dyDescent="0.25">
      <c r="A990" s="2" t="s">
        <v>47</v>
      </c>
      <c r="B990" s="2">
        <v>2016</v>
      </c>
      <c r="C990" s="2" t="s">
        <v>20</v>
      </c>
      <c r="D990" s="2" t="s">
        <v>46</v>
      </c>
      <c r="E990" s="2" t="s">
        <v>9</v>
      </c>
      <c r="F990" s="2" t="s">
        <v>48</v>
      </c>
      <c r="G990" s="2">
        <f t="shared" si="54"/>
        <v>0.30585566119273988</v>
      </c>
      <c r="H990" s="5">
        <v>4.4373040752351098</v>
      </c>
      <c r="I990" s="2">
        <v>319</v>
      </c>
      <c r="J990" s="57">
        <f>I990/Pondération!$G$170</f>
        <v>6.892826274848747E-2</v>
      </c>
      <c r="K990" s="5">
        <v>4.4858934169279001</v>
      </c>
      <c r="L990" s="5">
        <f t="shared" si="51"/>
        <v>0.30920484010371657</v>
      </c>
      <c r="M990" s="5">
        <v>4.561128526645768</v>
      </c>
      <c r="N990" s="5">
        <f t="shared" si="52"/>
        <v>0.31439066551426104</v>
      </c>
      <c r="O990" s="5">
        <v>4.2163009404388712</v>
      </c>
      <c r="P990" s="15">
        <f t="shared" si="53"/>
        <v>0.29062229904926534</v>
      </c>
    </row>
    <row r="991" spans="1:16" x14ac:dyDescent="0.25">
      <c r="A991" s="2" t="s">
        <v>47</v>
      </c>
      <c r="B991" s="2">
        <v>2016</v>
      </c>
      <c r="C991" s="2" t="s">
        <v>21</v>
      </c>
      <c r="D991" s="2" t="s">
        <v>46</v>
      </c>
      <c r="E991" s="2" t="s">
        <v>9</v>
      </c>
      <c r="F991" s="2" t="s">
        <v>48</v>
      </c>
      <c r="G991" s="2">
        <f t="shared" si="54"/>
        <v>0.3328111495246327</v>
      </c>
      <c r="H991" s="5">
        <v>4.5435103244837762</v>
      </c>
      <c r="I991" s="2">
        <v>339</v>
      </c>
      <c r="J991" s="57">
        <f>I991/Pondération!$G$170</f>
        <v>7.3249783923941228E-2</v>
      </c>
      <c r="K991" s="5">
        <v>4.6135693215339231</v>
      </c>
      <c r="L991" s="5">
        <f t="shared" si="51"/>
        <v>0.33794295592048401</v>
      </c>
      <c r="M991" s="5">
        <v>4.6224188790560472</v>
      </c>
      <c r="N991" s="5">
        <f t="shared" si="52"/>
        <v>0.33859118409680206</v>
      </c>
      <c r="O991" s="5">
        <v>4.3244837758112098</v>
      </c>
      <c r="P991" s="15">
        <f t="shared" si="53"/>
        <v>0.31676750216076061</v>
      </c>
    </row>
    <row r="992" spans="1:16" x14ac:dyDescent="0.25">
      <c r="A992" s="2" t="s">
        <v>47</v>
      </c>
      <c r="B992" s="2">
        <v>2016</v>
      </c>
      <c r="C992" s="2" t="s">
        <v>22</v>
      </c>
      <c r="D992" s="2" t="s">
        <v>46</v>
      </c>
      <c r="E992" s="2" t="s">
        <v>9</v>
      </c>
      <c r="F992" s="2" t="s">
        <v>48</v>
      </c>
      <c r="G992" s="2">
        <f t="shared" si="54"/>
        <v>0.34437121866897147</v>
      </c>
      <c r="H992" s="5">
        <v>4.4394150417827296</v>
      </c>
      <c r="I992" s="2">
        <v>359</v>
      </c>
      <c r="J992" s="57">
        <f>I992/Pondération!$G$170</f>
        <v>7.7571305099394985E-2</v>
      </c>
      <c r="K992" s="5">
        <v>4.4596100278551534</v>
      </c>
      <c r="L992" s="5">
        <f t="shared" si="51"/>
        <v>0.34593777009507348</v>
      </c>
      <c r="M992" s="5">
        <v>4.5403899721448466</v>
      </c>
      <c r="N992" s="5">
        <f t="shared" si="52"/>
        <v>0.35220397579948137</v>
      </c>
      <c r="O992" s="5">
        <v>4.298050139275766</v>
      </c>
      <c r="P992" s="15">
        <f t="shared" si="53"/>
        <v>0.33340535868625754</v>
      </c>
    </row>
    <row r="993" spans="1:16" x14ac:dyDescent="0.25">
      <c r="A993" s="2" t="s">
        <v>47</v>
      </c>
      <c r="B993" s="2">
        <v>2016</v>
      </c>
      <c r="C993" s="2" t="s">
        <v>23</v>
      </c>
      <c r="D993" s="2" t="s">
        <v>46</v>
      </c>
      <c r="E993" s="2" t="s">
        <v>9</v>
      </c>
      <c r="F993" s="2" t="s">
        <v>48</v>
      </c>
      <c r="G993" s="2">
        <f t="shared" si="54"/>
        <v>0.25999351771823681</v>
      </c>
      <c r="H993" s="5">
        <v>4.5577651515151514</v>
      </c>
      <c r="I993" s="2">
        <v>264</v>
      </c>
      <c r="J993" s="57">
        <f>I993/Pondération!$G$170</f>
        <v>5.7044079515989631E-2</v>
      </c>
      <c r="K993" s="5">
        <v>4.5909090909090908</v>
      </c>
      <c r="L993" s="5">
        <f t="shared" si="51"/>
        <v>0.26188418323249785</v>
      </c>
      <c r="M993" s="5">
        <v>4.625</v>
      </c>
      <c r="N993" s="5">
        <f t="shared" si="52"/>
        <v>0.26382886776145204</v>
      </c>
      <c r="O993" s="5">
        <v>4.4242424242424239</v>
      </c>
      <c r="P993" s="15">
        <f t="shared" si="53"/>
        <v>0.25237683664649957</v>
      </c>
    </row>
    <row r="994" spans="1:16" x14ac:dyDescent="0.25">
      <c r="A994" s="2" t="s">
        <v>47</v>
      </c>
      <c r="B994" s="2">
        <v>2016</v>
      </c>
      <c r="C994" s="2" t="s">
        <v>24</v>
      </c>
      <c r="D994" s="2" t="s">
        <v>46</v>
      </c>
      <c r="E994" s="2" t="s">
        <v>9</v>
      </c>
      <c r="F994" s="2" t="s">
        <v>48</v>
      </c>
      <c r="G994" s="2">
        <f t="shared" si="54"/>
        <v>0.36160328435609329</v>
      </c>
      <c r="H994" s="5">
        <v>4.4626666666666663</v>
      </c>
      <c r="I994" s="2">
        <v>375</v>
      </c>
      <c r="J994" s="57">
        <f>I994/Pondération!$G$170</f>
        <v>8.1028522039757994E-2</v>
      </c>
      <c r="K994" s="5">
        <v>4.5039999999999996</v>
      </c>
      <c r="L994" s="5">
        <f t="shared" si="51"/>
        <v>0.36495246326706998</v>
      </c>
      <c r="M994" s="5">
        <v>4.5279999999999996</v>
      </c>
      <c r="N994" s="5">
        <f t="shared" si="52"/>
        <v>0.36689714779602417</v>
      </c>
      <c r="O994" s="5">
        <v>4.3146666666666667</v>
      </c>
      <c r="P994" s="15">
        <f t="shared" si="53"/>
        <v>0.34961106309420914</v>
      </c>
    </row>
    <row r="995" spans="1:16" x14ac:dyDescent="0.25">
      <c r="A995" s="2" t="s">
        <v>47</v>
      </c>
      <c r="B995" s="2">
        <v>2016</v>
      </c>
      <c r="C995" s="2" t="s">
        <v>25</v>
      </c>
      <c r="D995" s="2" t="s">
        <v>46</v>
      </c>
      <c r="E995" s="2" t="s">
        <v>9</v>
      </c>
      <c r="F995" s="2" t="s">
        <v>48</v>
      </c>
      <c r="G995" s="2">
        <f t="shared" si="54"/>
        <v>0.4824438202247191</v>
      </c>
      <c r="H995" s="5">
        <v>4.4300595238095237</v>
      </c>
      <c r="I995" s="2">
        <v>504</v>
      </c>
      <c r="J995" s="57">
        <f>I995/Pondération!$G$170</f>
        <v>0.10890233362143474</v>
      </c>
      <c r="K995" s="5">
        <v>4.4920634920634921</v>
      </c>
      <c r="L995" s="5">
        <f t="shared" si="51"/>
        <v>0.48919619706136558</v>
      </c>
      <c r="M995" s="5">
        <v>4.5099206349206353</v>
      </c>
      <c r="N995" s="5">
        <f t="shared" si="52"/>
        <v>0.49114088159031982</v>
      </c>
      <c r="O995" s="5">
        <v>4.2261904761904763</v>
      </c>
      <c r="P995" s="15">
        <f t="shared" si="53"/>
        <v>0.46024200518582542</v>
      </c>
    </row>
    <row r="996" spans="1:16" x14ac:dyDescent="0.25">
      <c r="A996" s="2" t="s">
        <v>47</v>
      </c>
      <c r="B996" s="2">
        <v>2016</v>
      </c>
      <c r="C996" s="2" t="s">
        <v>26</v>
      </c>
      <c r="D996" s="2" t="s">
        <v>46</v>
      </c>
      <c r="E996" s="2" t="s">
        <v>9</v>
      </c>
      <c r="F996" s="2" t="s">
        <v>48</v>
      </c>
      <c r="G996" s="2">
        <f t="shared" si="54"/>
        <v>0.35398660328435605</v>
      </c>
      <c r="H996" s="5">
        <v>4.5130853994490359</v>
      </c>
      <c r="I996" s="2">
        <v>363</v>
      </c>
      <c r="J996" s="57">
        <f>I996/Pondération!$G$170</f>
        <v>7.8435609334485734E-2</v>
      </c>
      <c r="K996" s="5">
        <v>4.5757575757575761</v>
      </c>
      <c r="L996" s="5">
        <f t="shared" si="51"/>
        <v>0.35890233362143475</v>
      </c>
      <c r="M996" s="5">
        <v>4.6418732782369148</v>
      </c>
      <c r="N996" s="5">
        <f t="shared" si="52"/>
        <v>0.36408815903197922</v>
      </c>
      <c r="O996" s="5">
        <v>4.2589531680440773</v>
      </c>
      <c r="P996" s="15">
        <f t="shared" si="53"/>
        <v>0.33405358686257564</v>
      </c>
    </row>
    <row r="997" spans="1:16" x14ac:dyDescent="0.25">
      <c r="A997" s="2" t="s">
        <v>47</v>
      </c>
      <c r="B997" s="2">
        <v>2016</v>
      </c>
      <c r="C997" s="2" t="s">
        <v>27</v>
      </c>
      <c r="D997" s="2" t="s">
        <v>46</v>
      </c>
      <c r="E997" s="2" t="s">
        <v>9</v>
      </c>
      <c r="F997" s="2" t="s">
        <v>48</v>
      </c>
      <c r="G997" s="2">
        <f t="shared" si="54"/>
        <v>0.47536732929991354</v>
      </c>
      <c r="H997" s="5">
        <v>4.4534412955465585</v>
      </c>
      <c r="I997" s="2">
        <v>494</v>
      </c>
      <c r="J997" s="57">
        <f>I997/Pondération!$G$170</f>
        <v>0.10674157303370786</v>
      </c>
      <c r="K997" s="5">
        <v>4.5222672064777329</v>
      </c>
      <c r="L997" s="5">
        <f t="shared" si="51"/>
        <v>0.48271391529818497</v>
      </c>
      <c r="M997" s="5">
        <v>4.5748987854251011</v>
      </c>
      <c r="N997" s="5">
        <f t="shared" si="52"/>
        <v>0.48833189282627482</v>
      </c>
      <c r="O997" s="5">
        <v>4.1943319838056681</v>
      </c>
      <c r="P997" s="15">
        <f t="shared" si="53"/>
        <v>0.44770959377700947</v>
      </c>
    </row>
    <row r="998" spans="1:16" x14ac:dyDescent="0.25">
      <c r="A998" s="2" t="s">
        <v>47</v>
      </c>
      <c r="B998" s="2">
        <v>2016</v>
      </c>
      <c r="C998" s="2" t="s">
        <v>28</v>
      </c>
      <c r="D998" s="2" t="s">
        <v>46</v>
      </c>
      <c r="E998" s="2" t="s">
        <v>9</v>
      </c>
      <c r="F998" s="2" t="s">
        <v>48</v>
      </c>
      <c r="G998" s="2">
        <f t="shared" si="54"/>
        <v>0.47790622299049262</v>
      </c>
      <c r="H998" s="5">
        <v>4.4863083164300201</v>
      </c>
      <c r="I998" s="2">
        <v>493</v>
      </c>
      <c r="J998" s="57">
        <f>I998/Pondération!$G$170</f>
        <v>0.10652549697493517</v>
      </c>
      <c r="K998" s="5">
        <v>4.5233265720081137</v>
      </c>
      <c r="L998" s="5">
        <f t="shared" si="51"/>
        <v>0.48184961106309421</v>
      </c>
      <c r="M998" s="5">
        <v>4.6389452332657202</v>
      </c>
      <c r="N998" s="5">
        <f t="shared" si="52"/>
        <v>0.49416594641313738</v>
      </c>
      <c r="O998" s="5">
        <v>4.2596348884381339</v>
      </c>
      <c r="P998" s="15">
        <f t="shared" si="53"/>
        <v>0.45375972342264476</v>
      </c>
    </row>
    <row r="999" spans="1:16" x14ac:dyDescent="0.25">
      <c r="A999" s="2" t="s">
        <v>47</v>
      </c>
      <c r="B999" s="2">
        <v>2016</v>
      </c>
      <c r="C999" s="2" t="s">
        <v>29</v>
      </c>
      <c r="D999" s="2" t="s">
        <v>46</v>
      </c>
      <c r="E999" s="2" t="s">
        <v>9</v>
      </c>
      <c r="F999" s="2" t="s">
        <v>48</v>
      </c>
      <c r="G999" s="2">
        <f t="shared" si="54"/>
        <v>0.5203651685393258</v>
      </c>
      <c r="H999" s="5">
        <v>4.4930037313432836</v>
      </c>
      <c r="I999" s="2">
        <v>536</v>
      </c>
      <c r="J999" s="57">
        <f>I999/Pondération!$G$170</f>
        <v>0.11581676750216076</v>
      </c>
      <c r="K999" s="5">
        <v>4.5335820895522385</v>
      </c>
      <c r="L999" s="5">
        <f t="shared" si="51"/>
        <v>0.52506482281763178</v>
      </c>
      <c r="M999" s="5">
        <v>4.6063432835820892</v>
      </c>
      <c r="N999" s="5">
        <f t="shared" si="52"/>
        <v>0.53349178910976658</v>
      </c>
      <c r="O999" s="5">
        <v>4.2985074626865671</v>
      </c>
      <c r="P999" s="15">
        <f t="shared" si="53"/>
        <v>0.49783923941227309</v>
      </c>
    </row>
    <row r="1000" spans="1:16" x14ac:dyDescent="0.25">
      <c r="A1000" s="2" t="s">
        <v>47</v>
      </c>
      <c r="B1000" s="2">
        <v>2017</v>
      </c>
      <c r="C1000" s="2" t="s">
        <v>30</v>
      </c>
      <c r="D1000" s="2" t="s">
        <v>46</v>
      </c>
      <c r="E1000" s="2" t="s">
        <v>9</v>
      </c>
      <c r="F1000" s="2" t="s">
        <v>48</v>
      </c>
      <c r="G1000" s="2">
        <f t="shared" si="54"/>
        <v>0.73032331809274986</v>
      </c>
      <c r="H1000" s="5">
        <v>4.5268218623481777</v>
      </c>
      <c r="I1000" s="2">
        <v>494</v>
      </c>
      <c r="J1000" s="57">
        <f>I1000/Pondération!$F$170</f>
        <v>0.16133246244284782</v>
      </c>
      <c r="K1000" s="5">
        <v>4.5910931174089065</v>
      </c>
      <c r="L1000" s="5">
        <f t="shared" si="51"/>
        <v>0.74069235793598953</v>
      </c>
      <c r="M1000" s="5">
        <v>4.6356275303643724</v>
      </c>
      <c r="N1000" s="5">
        <f t="shared" si="52"/>
        <v>0.74787720444154149</v>
      </c>
      <c r="O1000" s="5">
        <v>4.2894736842105265</v>
      </c>
      <c r="P1000" s="15">
        <f t="shared" si="53"/>
        <v>0.6920313520574789</v>
      </c>
    </row>
    <row r="1001" spans="1:16" x14ac:dyDescent="0.25">
      <c r="A1001" s="2" t="s">
        <v>47</v>
      </c>
      <c r="B1001" s="2">
        <v>2017</v>
      </c>
      <c r="C1001" s="2" t="s">
        <v>31</v>
      </c>
      <c r="D1001" s="2" t="s">
        <v>46</v>
      </c>
      <c r="E1001" s="2" t="s">
        <v>9</v>
      </c>
      <c r="F1001" s="2" t="s">
        <v>48</v>
      </c>
      <c r="G1001" s="2">
        <f t="shared" si="54"/>
        <v>1.1062214239059438</v>
      </c>
      <c r="H1001" s="5">
        <v>4.504321808510638</v>
      </c>
      <c r="I1001" s="2">
        <v>752</v>
      </c>
      <c r="J1001" s="57">
        <f>I1001/Pondération!$F$170</f>
        <v>0.24559111691704769</v>
      </c>
      <c r="K1001" s="5">
        <v>4.5545212765957448</v>
      </c>
      <c r="L1001" s="5">
        <f t="shared" si="51"/>
        <v>1.1185499673416068</v>
      </c>
      <c r="M1001" s="5">
        <v>4.5944148936170217</v>
      </c>
      <c r="N1001" s="5">
        <f t="shared" si="52"/>
        <v>1.1283474853037232</v>
      </c>
      <c r="O1001" s="5">
        <v>4.3138297872340425</v>
      </c>
      <c r="P1001" s="15">
        <f t="shared" si="53"/>
        <v>1.0594382756368388</v>
      </c>
    </row>
    <row r="1002" spans="1:16" x14ac:dyDescent="0.25">
      <c r="A1002" s="2" t="s">
        <v>47</v>
      </c>
      <c r="B1002" s="2">
        <v>2017</v>
      </c>
      <c r="C1002" s="2" t="s">
        <v>32</v>
      </c>
      <c r="D1002" s="2" t="s">
        <v>46</v>
      </c>
      <c r="E1002" s="2" t="s">
        <v>9</v>
      </c>
      <c r="F1002" s="2" t="s">
        <v>48</v>
      </c>
      <c r="G1002" s="2">
        <f t="shared" si="54"/>
        <v>1.039435009797518</v>
      </c>
      <c r="H1002" s="5">
        <v>4.546785714285714</v>
      </c>
      <c r="I1002" s="2">
        <v>700</v>
      </c>
      <c r="J1002" s="57">
        <f>I1002/Pondération!$F$170</f>
        <v>0.2286087524493795</v>
      </c>
      <c r="K1002" s="5">
        <v>4.5842857142857145</v>
      </c>
      <c r="L1002" s="5">
        <f t="shared" si="51"/>
        <v>1.0480078380143698</v>
      </c>
      <c r="M1002" s="5">
        <v>4.6642857142857146</v>
      </c>
      <c r="N1002" s="5">
        <f t="shared" si="52"/>
        <v>1.0662965382103202</v>
      </c>
      <c r="O1002" s="5">
        <v>4.3542857142857141</v>
      </c>
      <c r="P1002" s="15">
        <f t="shared" si="53"/>
        <v>0.99542782495101245</v>
      </c>
    </row>
    <row r="1003" spans="1:16" x14ac:dyDescent="0.25">
      <c r="A1003" s="2" t="s">
        <v>47</v>
      </c>
      <c r="B1003" s="2">
        <v>2017</v>
      </c>
      <c r="C1003" s="2" t="s">
        <v>33</v>
      </c>
      <c r="D1003" s="2" t="s">
        <v>46</v>
      </c>
      <c r="E1003" s="2" t="s">
        <v>9</v>
      </c>
      <c r="F1003" s="2" t="s">
        <v>48</v>
      </c>
      <c r="G1003" s="2">
        <f t="shared" si="54"/>
        <v>1.2960483344219464</v>
      </c>
      <c r="H1003" s="5">
        <v>4.5458190148911797</v>
      </c>
      <c r="I1003" s="2">
        <v>873</v>
      </c>
      <c r="J1003" s="57">
        <f>I1003/Pondération!$F$170</f>
        <v>0.28510777269758331</v>
      </c>
      <c r="K1003" s="5">
        <v>4.6231386025200454</v>
      </c>
      <c r="L1003" s="5">
        <f t="shared" si="51"/>
        <v>1.3180927498367081</v>
      </c>
      <c r="M1003" s="5">
        <v>4.6300114547537232</v>
      </c>
      <c r="N1003" s="5">
        <f t="shared" si="52"/>
        <v>1.3200522534291315</v>
      </c>
      <c r="O1003" s="5">
        <v>4.3069873997709047</v>
      </c>
      <c r="P1003" s="15">
        <f t="shared" si="53"/>
        <v>1.2279555845852386</v>
      </c>
    </row>
    <row r="1004" spans="1:16" x14ac:dyDescent="0.25">
      <c r="A1004" s="2" t="s">
        <v>47</v>
      </c>
      <c r="B1004" s="2">
        <v>2017</v>
      </c>
      <c r="C1004" s="2" t="s">
        <v>34</v>
      </c>
      <c r="D1004" s="2" t="s">
        <v>46</v>
      </c>
      <c r="E1004" s="2" t="s">
        <v>9</v>
      </c>
      <c r="F1004" s="2" t="s">
        <v>48</v>
      </c>
      <c r="G1004" s="2">
        <f t="shared" si="54"/>
        <v>0.36120182887001961</v>
      </c>
      <c r="H1004" s="5">
        <v>4.5514403292181074</v>
      </c>
      <c r="I1004" s="2">
        <v>243</v>
      </c>
      <c r="J1004" s="57">
        <f>I1004/Pondération!$F$170</f>
        <v>7.9359895493141736E-2</v>
      </c>
      <c r="K1004" s="5">
        <v>4.5596707818930042</v>
      </c>
      <c r="L1004" s="5">
        <f t="shared" si="51"/>
        <v>0.36185499673416066</v>
      </c>
      <c r="M1004" s="5">
        <v>4.6790123456790127</v>
      </c>
      <c r="N1004" s="5">
        <f t="shared" si="52"/>
        <v>0.37132593076420645</v>
      </c>
      <c r="O1004" s="5">
        <v>4.4074074074074074</v>
      </c>
      <c r="P1004" s="15">
        <f t="shared" si="53"/>
        <v>0.34977139124755063</v>
      </c>
    </row>
  </sheetData>
  <autoFilter ref="A1:P1004"/>
  <sortState ref="A2:M1004">
    <sortCondition ref="D2:D1004"/>
    <sortCondition ref="F2:F1004"/>
    <sortCondition ref="C2:C10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8"/>
  </sheetPr>
  <dimension ref="A1:L175"/>
  <sheetViews>
    <sheetView showGridLines="0" workbookViewId="0">
      <selection activeCell="A170" sqref="A170:XFD170"/>
    </sheetView>
  </sheetViews>
  <sheetFormatPr baseColWidth="10" defaultRowHeight="15" x14ac:dyDescent="0.25"/>
  <cols>
    <col min="1" max="1" width="25.42578125" style="15" bestFit="1" customWidth="1"/>
    <col min="2" max="2" width="15.7109375" style="15" bestFit="1" customWidth="1"/>
    <col min="3" max="3" width="21.7109375" customWidth="1"/>
    <col min="4" max="5" width="22.85546875" style="3" customWidth="1"/>
    <col min="6" max="10" width="14.7109375" style="3" customWidth="1"/>
  </cols>
  <sheetData>
    <row r="1" spans="1:10" s="19" customFormat="1" ht="52.5" customHeight="1" x14ac:dyDescent="0.25">
      <c r="A1" s="18" t="s">
        <v>85</v>
      </c>
      <c r="B1" s="18" t="s">
        <v>86</v>
      </c>
      <c r="C1" s="18" t="s">
        <v>87</v>
      </c>
      <c r="D1" s="21" t="s">
        <v>102</v>
      </c>
      <c r="E1" s="21" t="s">
        <v>103</v>
      </c>
      <c r="F1" s="22">
        <v>2017</v>
      </c>
      <c r="G1" s="22">
        <v>2016</v>
      </c>
      <c r="H1" s="22">
        <v>2015</v>
      </c>
      <c r="I1" s="22">
        <v>2014</v>
      </c>
      <c r="J1" s="22">
        <v>2013</v>
      </c>
    </row>
    <row r="2" spans="1:10" hidden="1" x14ac:dyDescent="0.25">
      <c r="A2" s="16" t="s">
        <v>8</v>
      </c>
      <c r="B2" s="16" t="s">
        <v>88</v>
      </c>
      <c r="C2" s="8" t="s">
        <v>101</v>
      </c>
      <c r="D2" s="10">
        <f>D3+D8+D12</f>
        <v>142170</v>
      </c>
      <c r="E2" s="10">
        <f>F2+G2+H2</f>
        <v>122732</v>
      </c>
      <c r="F2" s="10">
        <f t="shared" ref="F2:J2" si="0">F3+F8+F12</f>
        <v>31835</v>
      </c>
      <c r="G2" s="10">
        <f t="shared" si="0"/>
        <v>60972</v>
      </c>
      <c r="H2" s="10">
        <f t="shared" si="0"/>
        <v>29925</v>
      </c>
      <c r="I2" s="10">
        <f t="shared" si="0"/>
        <v>12660</v>
      </c>
      <c r="J2" s="10">
        <f t="shared" si="0"/>
        <v>6778</v>
      </c>
    </row>
    <row r="3" spans="1:10" hidden="1" x14ac:dyDescent="0.25">
      <c r="A3" s="17" t="s">
        <v>8</v>
      </c>
      <c r="B3" s="17" t="s">
        <v>78</v>
      </c>
      <c r="C3" s="4" t="s">
        <v>101</v>
      </c>
      <c r="D3" s="11">
        <f>SUMIF('Extraction Offre de loisirs'!D:D,"auvergne-rhone-alpes",'Extraction Offre de loisirs'!I:I)</f>
        <v>51994</v>
      </c>
      <c r="E3" s="11">
        <f t="shared" ref="E3:E66" si="1">F3+G3+H3</f>
        <v>44277</v>
      </c>
      <c r="F3" s="11">
        <f>SUMIFS('Extraction Offre de loisirs'!I:I, 'Extraction Offre de loisirs'!D:D,"auvergne-rhone-alpes",'Extraction Offre de loisirs'!B:B,"2017")</f>
        <v>10532</v>
      </c>
      <c r="G3" s="11">
        <f>SUMIFS('Extraction Offre de loisirs'!I:I, 'Extraction Offre de loisirs'!D:D,"auvergne-rhone-alpes",'Extraction Offre de loisirs'!B:B,"2016")</f>
        <v>22000</v>
      </c>
      <c r="H3" s="11">
        <f>SUMIFS('Extraction Offre de loisirs'!I:I, 'Extraction Offre de loisirs'!D:D,"auvergne-rhone-alpes",'Extraction Offre de loisirs'!B:B,"2015")</f>
        <v>11745</v>
      </c>
      <c r="I3" s="11">
        <f>SUMIFS('Extraction Offre de loisirs'!I:I, 'Extraction Offre de loisirs'!D:D,"auvergne-rhone-alpes",'Extraction Offre de loisirs'!B:B,"2014")</f>
        <v>5535</v>
      </c>
      <c r="J3" s="11">
        <f>SUMIFS('Extraction Offre de loisirs'!I:I, 'Extraction Offre de loisirs'!D:D,"auvergne-rhone-alpes",'Extraction Offre de loisirs'!B:B,"2013")</f>
        <v>2182</v>
      </c>
    </row>
    <row r="4" spans="1:10" hidden="1" x14ac:dyDescent="0.25">
      <c r="A4" s="15" t="s">
        <v>8</v>
      </c>
      <c r="B4" s="15" t="s">
        <v>78</v>
      </c>
      <c r="C4" s="2" t="s">
        <v>79</v>
      </c>
      <c r="D4" s="3">
        <f>SUMIFS('Extraction Offre de loisirs'!I:I, 'Extraction Offre de loisirs'!D:D,"auvergne-rhone-alpes",'Extraction Offre de loisirs'!F:F,"activites de plein air")</f>
        <v>31687</v>
      </c>
      <c r="E4" s="3">
        <f t="shared" si="1"/>
        <v>31395</v>
      </c>
      <c r="F4" s="3">
        <f>SUMIFS('Extraction Offre de loisirs'!I:I, 'Extraction Offre de loisirs'!D:D,"auvergne-rhone-alpes",'Extraction Offre de loisirs'!F:F,"activites de plein air",'Extraction Offre de loisirs'!B:B,"2017")</f>
        <v>5475</v>
      </c>
      <c r="G4" s="3">
        <f>SUMIFS('Extraction Offre de loisirs'!I:I, 'Extraction Offre de loisirs'!D:D,"auvergne-rhone-alpes",'Extraction Offre de loisirs'!F:F,"activites de plein air",'Extraction Offre de loisirs'!B:B,"2016")</f>
        <v>12960</v>
      </c>
      <c r="H4" s="3">
        <f>Pondération!G4</f>
        <v>12960</v>
      </c>
      <c r="I4" s="3">
        <f>SUMIFS('Extraction Offre de loisirs'!I:I, 'Extraction Offre de loisirs'!D:D,"auvergne-rhone-alpes",'Extraction Offre de loisirs'!F:F,"activites de plein air",'Extraction Offre de loisirs'!B:B,"2014")</f>
        <v>3836</v>
      </c>
      <c r="J4" s="3">
        <f>SUMIFS('Extraction Offre de loisirs'!I:I, 'Extraction Offre de loisirs'!D:D,"auvergne-rhone-alpes",'Extraction Offre de loisirs'!F:F,"activites de plein air",'Extraction Offre de loisirs'!B:B,"2013")</f>
        <v>1594</v>
      </c>
    </row>
    <row r="5" spans="1:10" hidden="1" x14ac:dyDescent="0.25">
      <c r="A5" s="15" t="s">
        <v>8</v>
      </c>
      <c r="B5" s="15" t="s">
        <v>78</v>
      </c>
      <c r="C5" s="2" t="s">
        <v>81</v>
      </c>
      <c r="D5" s="3">
        <f>SUMIFS('Extraction Offre de loisirs'!I:I, 'Extraction Offre de loisirs'!D:D,"auvergne-rhone-alpes",'Extraction Offre de loisirs'!F:F,"jeux et divertissements")</f>
        <v>12064</v>
      </c>
      <c r="E5" s="3">
        <f t="shared" si="1"/>
        <v>10754</v>
      </c>
      <c r="F5" s="3">
        <f>SUMIFS('Extraction Offre de loisirs'!I:I, 'Extraction Offre de loisirs'!D:D,"auvergne-rhone-alpes",'Extraction Offre de loisirs'!F:F,"jeux et divertissements",'Extraction Offre de loisirs'!B:B,"2017")</f>
        <v>3400</v>
      </c>
      <c r="G5" s="3">
        <f>SUMIFS('Extraction Offre de loisirs'!I:I, 'Extraction Offre de loisirs'!D:D,"auvergne-rhone-alpes",'Extraction Offre de loisirs'!F:F,"jeux et divertissements",'Extraction Offre de loisirs'!B:B,"2016")</f>
        <v>5464</v>
      </c>
      <c r="H5" s="3">
        <f>SUMIFS('Extraction Offre de loisirs'!I:I, 'Extraction Offre de loisirs'!D:D,"auvergne-rhone-alpes",'Extraction Offre de loisirs'!F:F,"jeux et divertissements",'Extraction Offre de loisirs'!B:B,"2015")</f>
        <v>1890</v>
      </c>
      <c r="I5" s="3">
        <f>SUMIFS('Extraction Offre de loisirs'!I:I, 'Extraction Offre de loisirs'!D:D,"auvergne-rhone-alpes",'Extraction Offre de loisirs'!F:F,"jeux et divertissements",'Extraction Offre de loisirs'!B:B,"2014")</f>
        <v>1021</v>
      </c>
      <c r="J5" s="3">
        <f>SUMIFS('Extraction Offre de loisirs'!I:I, 'Extraction Offre de loisirs'!D:D,"auvergne-rhone-alpes",'Extraction Offre de loisirs'!F:F,"jeux et divertissements",'Extraction Offre de loisirs'!B:B,"2013")</f>
        <v>289</v>
      </c>
    </row>
    <row r="6" spans="1:10" hidden="1" x14ac:dyDescent="0.25">
      <c r="A6" s="15" t="s">
        <v>8</v>
      </c>
      <c r="B6" s="15" t="s">
        <v>78</v>
      </c>
      <c r="C6" s="2" t="s">
        <v>83</v>
      </c>
      <c r="D6" s="3">
        <f>SUMIFS('Extraction Offre de loisirs'!I:I, 'Extraction Offre de loisirs'!D:D,"auvergne-rhone-alpes",'Extraction Offre de loisirs'!F:F,"shopping")</f>
        <v>5446</v>
      </c>
      <c r="E6" s="3">
        <f t="shared" si="1"/>
        <v>4843</v>
      </c>
      <c r="F6" s="3">
        <f>SUMIFS('Extraction Offre de loisirs'!I:I, 'Extraction Offre de loisirs'!D:D,"auvergne-rhone-alpes",'Extraction Offre de loisirs'!F:F,"shopping",'Extraction Offre de loisirs'!B:B,"2017")</f>
        <v>1112</v>
      </c>
      <c r="G6" s="3">
        <f>SUMIFS('Extraction Offre de loisirs'!I:I, 'Extraction Offre de loisirs'!D:D,"auvergne-rhone-alpes",'Extraction Offre de loisirs'!F:F,"shopping",'Extraction Offre de loisirs'!B:B,"2016")</f>
        <v>2457</v>
      </c>
      <c r="H6" s="3">
        <f>SUMIFS('Extraction Offre de loisirs'!I:I, 'Extraction Offre de loisirs'!D:D,"auvergne-rhone-alpes",'Extraction Offre de loisirs'!F:F,"shopping",'Extraction Offre de loisirs'!B:B,"2015")</f>
        <v>1274</v>
      </c>
      <c r="I6" s="3">
        <f>SUMIFS('Extraction Offre de loisirs'!I:I, 'Extraction Offre de loisirs'!D:D,"auvergne-rhone-alpes",'Extraction Offre de loisirs'!F:F,"shopping",'Extraction Offre de loisirs'!B:B,"2014")</f>
        <v>422</v>
      </c>
      <c r="J6" s="3">
        <f>SUMIFS('Extraction Offre de loisirs'!I:I, 'Extraction Offre de loisirs'!D:D,"auvergne-rhone-alpes",'Extraction Offre de loisirs'!F:F,"shopping",'Extraction Offre de loisirs'!B:B,"2013")</f>
        <v>181</v>
      </c>
    </row>
    <row r="7" spans="1:10" hidden="1" x14ac:dyDescent="0.25">
      <c r="A7" s="15" t="s">
        <v>8</v>
      </c>
      <c r="B7" s="15" t="s">
        <v>78</v>
      </c>
      <c r="C7" s="2" t="s">
        <v>84</v>
      </c>
      <c r="D7" s="3">
        <f>SUMIFS('Extraction Offre de loisirs'!I:I, 'Extraction Offre de loisirs'!D:D,"auvergne-rhone-alpes",'Extraction Offre de loisirs'!F:F,"vie nocturne")</f>
        <v>2797</v>
      </c>
      <c r="E7" s="3">
        <f t="shared" si="1"/>
        <v>2423</v>
      </c>
      <c r="F7" s="3">
        <f>SUMIFS('Extraction Offre de loisirs'!I:I, 'Extraction Offre de loisirs'!D:D,"auvergne-rhone-alpes",'Extraction Offre de loisirs'!F:F,"vie nocturne",'Extraction Offre de loisirs'!B:B,"2017")</f>
        <v>545</v>
      </c>
      <c r="G7" s="3">
        <f>SUMIFS('Extraction Offre de loisirs'!I:I, 'Extraction Offre de loisirs'!D:D,"auvergne-rhone-alpes",'Extraction Offre de loisirs'!F:F,"vie nocturne",'Extraction Offre de loisirs'!B:B,"2016")</f>
        <v>1119</v>
      </c>
      <c r="H7" s="3">
        <f>SUMIFS('Extraction Offre de loisirs'!I:I, 'Extraction Offre de loisirs'!D:D,"auvergne-rhone-alpes",'Extraction Offre de loisirs'!F:F,"vie nocturne",'Extraction Offre de loisirs'!B:B,"2015")</f>
        <v>759</v>
      </c>
      <c r="I7" s="3">
        <f>SUMIFS('Extraction Offre de loisirs'!I:I, 'Extraction Offre de loisirs'!D:D,"auvergne-rhone-alpes",'Extraction Offre de loisirs'!F:F,"vie nocturne",'Extraction Offre de loisirs'!B:B,"2014")</f>
        <v>256</v>
      </c>
      <c r="J7" s="3">
        <f>SUMIFS('Extraction Offre de loisirs'!I:I, 'Extraction Offre de loisirs'!D:D,"auvergne-rhone-alpes",'Extraction Offre de loisirs'!F:F,"vie nocturne",'Extraction Offre de loisirs'!B:B,"2013")</f>
        <v>118</v>
      </c>
    </row>
    <row r="8" spans="1:10" hidden="1" x14ac:dyDescent="0.25">
      <c r="A8" s="17" t="s">
        <v>8</v>
      </c>
      <c r="B8" s="17" t="s">
        <v>82</v>
      </c>
      <c r="C8" s="4" t="s">
        <v>101</v>
      </c>
      <c r="D8" s="11">
        <f>SUMIF('Extraction Patrimoine'!D:D,"auvergne-rhone-alpes",'Extraction Patrimoine'!I:I)</f>
        <v>34945</v>
      </c>
      <c r="E8" s="11">
        <f t="shared" si="1"/>
        <v>28479</v>
      </c>
      <c r="F8" s="11">
        <f>SUMIFS('Extraction Patrimoine'!I:I, 'Extraction Patrimoine'!D:D,"auvergne-rhone-alpes",'Extraction Patrimoine'!B:B,"2017")</f>
        <v>5607</v>
      </c>
      <c r="G8" s="11">
        <f>SUMIFS('Extraction Patrimoine'!I:I, 'Extraction Patrimoine'!D:D,"auvergne-rhone-alpes",'Extraction Patrimoine'!B:B,"2016")</f>
        <v>14093</v>
      </c>
      <c r="H8" s="11">
        <f>SUMIFS('Extraction Patrimoine'!I:I, 'Extraction Patrimoine'!D:D,"auvergne-rhone-alpes",'Extraction Patrimoine'!B:B,"2015")</f>
        <v>8779</v>
      </c>
      <c r="I8" s="11">
        <f>SUMIFS('Extraction Patrimoine'!I:I, 'Extraction Patrimoine'!D:D,"auvergne-rhone-alpes",'Extraction Patrimoine'!B:B,"2014")</f>
        <v>4016</v>
      </c>
      <c r="J8" s="11">
        <f>SUMIFS('Extraction Patrimoine'!I:I, 'Extraction Patrimoine'!D:D,"auvergne-rhone-alpes",'Extraction Patrimoine'!B:B,"2013")</f>
        <v>2450</v>
      </c>
    </row>
    <row r="9" spans="1:10" hidden="1" x14ac:dyDescent="0.25">
      <c r="A9" s="15" t="s">
        <v>8</v>
      </c>
      <c r="B9" s="15" t="s">
        <v>82</v>
      </c>
      <c r="C9" s="15" t="s">
        <v>98</v>
      </c>
      <c r="D9" s="23">
        <f>SUMIFS('Extraction Patrimoine'!I:I, 'Extraction Patrimoine'!D:D,"auvergne-rhone-alpes",'Extraction Patrimoine'!F:F,"nature et parcs")</f>
        <v>34945</v>
      </c>
      <c r="E9" s="23">
        <f t="shared" si="1"/>
        <v>28479</v>
      </c>
      <c r="F9" s="23">
        <f>SUMIFS('Extraction Patrimoine'!I:I, 'Extraction Patrimoine'!D:D,"auvergne-rhone-alpes",'Extraction Patrimoine'!F:F,"nature et parcs",'Extraction Patrimoine'!B:B, "2017")</f>
        <v>5607</v>
      </c>
      <c r="G9" s="23">
        <f>SUMIFS('Extraction Patrimoine'!I:I, 'Extraction Patrimoine'!D:D,"auvergne-rhone-alpes",'Extraction Patrimoine'!F:F,"nature et parcs",'Extraction Patrimoine'!B:B, "2016")</f>
        <v>14093</v>
      </c>
      <c r="H9" s="23">
        <f>SUMIFS('Extraction Patrimoine'!I:I, 'Extraction Patrimoine'!D:D,"auvergne-rhone-alpes",'Extraction Patrimoine'!F:F,"nature et parcs",'Extraction Patrimoine'!B:B, "2015")</f>
        <v>8779</v>
      </c>
      <c r="I9" s="23">
        <f>SUMIFS('Extraction Patrimoine'!I:I, 'Extraction Patrimoine'!D:D,"auvergne-rhone-alpes",'Extraction Patrimoine'!F:F,"nature et parcs",'Extraction Patrimoine'!B:B, "2014")</f>
        <v>4016</v>
      </c>
      <c r="J9" s="23">
        <f>SUMIFS('Extraction Patrimoine'!I:I, 'Extraction Patrimoine'!D:D,"auvergne-rhone-alpes",'Extraction Patrimoine'!F:F,"nature et parcs",'Extraction Patrimoine'!B:B, "2013")</f>
        <v>2450</v>
      </c>
    </row>
    <row r="10" spans="1:10" hidden="1" x14ac:dyDescent="0.25">
      <c r="A10" s="15" t="s">
        <v>8</v>
      </c>
      <c r="B10" s="15" t="s">
        <v>82</v>
      </c>
      <c r="C10" s="15" t="s">
        <v>99</v>
      </c>
      <c r="D10" s="23">
        <f>SUMIFS('Extraction Patrimoine'!I:I, 'Extraction Patrimoine'!D:D,"auvergne-rhone-alpes",'Extraction Patrimoine'!F:F,"musées")</f>
        <v>0</v>
      </c>
      <c r="E10" s="23">
        <f t="shared" si="1"/>
        <v>0</v>
      </c>
      <c r="F10" s="23">
        <f>SUMIFS('Extraction Patrimoine'!I:I, 'Extraction Patrimoine'!D:D,"auvergne-rhone-alpes",'Extraction Patrimoine'!F:F,"musées",'Extraction Patrimoine'!B:B, "2017")</f>
        <v>0</v>
      </c>
      <c r="G10" s="23">
        <f>SUMIFS('Extraction Patrimoine'!I:I, 'Extraction Patrimoine'!D:D,"auvergne-rhone-alpes",'Extraction Patrimoine'!F:F,"musées",'Extraction Patrimoine'!B:B, "2016")</f>
        <v>0</v>
      </c>
      <c r="H10" s="23">
        <f>SUMIFS('Extraction Patrimoine'!I:I, 'Extraction Patrimoine'!D:D,"auvergne-rhone-alpes",'Extraction Patrimoine'!F:F,"musées",'Extraction Patrimoine'!B:B, "2015")</f>
        <v>0</v>
      </c>
      <c r="I10" s="23">
        <f>SUMIFS('Extraction Patrimoine'!I:I, 'Extraction Patrimoine'!D:D,"auvergne-rhone-alpes",'Extraction Patrimoine'!F:F,"musées",'Extraction Patrimoine'!B:B, "2014")</f>
        <v>0</v>
      </c>
      <c r="J10" s="23">
        <f>SUMIFS('Extraction Patrimoine'!I:I, 'Extraction Patrimoine'!D:D,"auvergne-rhone-alpes",'Extraction Patrimoine'!F:F,"musées",'Extraction Patrimoine'!B:B, "2013")</f>
        <v>0</v>
      </c>
    </row>
    <row r="11" spans="1:10" hidden="1" x14ac:dyDescent="0.25">
      <c r="A11" s="15" t="s">
        <v>8</v>
      </c>
      <c r="B11" s="15" t="s">
        <v>82</v>
      </c>
      <c r="C11" s="15" t="s">
        <v>100</v>
      </c>
      <c r="D11" s="23">
        <f>SUMIFS('Extraction Patrimoine'!I:I, 'Extraction Patrimoine'!D:D,"auvergne-rhone-alpes",'Extraction Patrimoine'!F:F,"sites et monuments")</f>
        <v>0</v>
      </c>
      <c r="E11" s="23">
        <f t="shared" si="1"/>
        <v>0</v>
      </c>
      <c r="F11" s="23">
        <f>SUMIFS('Extraction Patrimoine'!I:I, 'Extraction Patrimoine'!D:D,"auvergne-rhone-alpes",'Extraction Patrimoine'!F:F,"sites et monuments",'Extraction Patrimoine'!B:B, "2017")</f>
        <v>0</v>
      </c>
      <c r="G11" s="23">
        <f>SUMIFS('Extraction Patrimoine'!I:I, 'Extraction Patrimoine'!D:D,"auvergne-rhone-alpes",'Extraction Patrimoine'!F:F,"sites et monuments",'Extraction Patrimoine'!B:B, "2016")</f>
        <v>0</v>
      </c>
      <c r="H11" s="23">
        <f>SUMIFS('Extraction Patrimoine'!I:I, 'Extraction Patrimoine'!D:D,"auvergne-rhone-alpes",'Extraction Patrimoine'!F:F,"sites et monuments",'Extraction Patrimoine'!B:B, "2015")</f>
        <v>0</v>
      </c>
      <c r="I11" s="23">
        <f>SUMIFS('Extraction Patrimoine'!I:I, 'Extraction Patrimoine'!D:D,"auvergne-rhone-alpes",'Extraction Patrimoine'!F:F,"sites et monuments",'Extraction Patrimoine'!B:B, "2014")</f>
        <v>0</v>
      </c>
      <c r="J11" s="23">
        <f>SUMIFS('Extraction Patrimoine'!I:I, 'Extraction Patrimoine'!D:D,"auvergne-rhone-alpes",'Extraction Patrimoine'!F:F,"sites et monuments",'Extraction Patrimoine'!B:B, "2013")</f>
        <v>0</v>
      </c>
    </row>
    <row r="12" spans="1:10" hidden="1" x14ac:dyDescent="0.25">
      <c r="A12" s="17" t="s">
        <v>8</v>
      </c>
      <c r="B12" s="17" t="s">
        <v>9</v>
      </c>
      <c r="C12" s="4" t="s">
        <v>101</v>
      </c>
      <c r="D12" s="11">
        <f>SUMIF('Extraction Offre de services'!D:D,"auvergne-rhone-alpes",'Extraction Offre de services'!I:I)</f>
        <v>55231</v>
      </c>
      <c r="E12" s="11">
        <f t="shared" si="1"/>
        <v>49976</v>
      </c>
      <c r="F12" s="11">
        <f>SUMIFS('Extraction Offre de services'!I:I, 'Extraction Offre de services'!D:D,"auvergne-rhone-alpes",'Extraction Offre de services'!B:B,"2017")</f>
        <v>15696</v>
      </c>
      <c r="G12" s="11">
        <f>SUMIFS('Extraction Offre de services'!I:I, 'Extraction Offre de services'!D:D,"auvergne-rhone-alpes",'Extraction Offre de services'!B:B,"2016")</f>
        <v>24879</v>
      </c>
      <c r="H12" s="11">
        <f>SUMIFS('Extraction Offre de services'!I:I, 'Extraction Offre de services'!D:D,"auvergne-rhone-alpes",'Extraction Offre de services'!B:B,"2015")</f>
        <v>9401</v>
      </c>
      <c r="I12" s="11">
        <f>SUMIFS('Extraction Offre de services'!I:I, 'Extraction Offre de services'!D:D,"auvergne-rhone-alpes",'Extraction Offre de services'!B:B,"2014")</f>
        <v>3109</v>
      </c>
      <c r="J12" s="11">
        <f>SUMIFS('Extraction Offre de services'!I:I, 'Extraction Offre de services'!D:D,"auvergne-rhone-alpes",'Extraction Offre de services'!B:B,"2013")</f>
        <v>2146</v>
      </c>
    </row>
    <row r="13" spans="1:10" hidden="1" x14ac:dyDescent="0.25">
      <c r="A13" s="15" t="s">
        <v>8</v>
      </c>
      <c r="B13" s="15" t="s">
        <v>9</v>
      </c>
      <c r="C13" s="2" t="s">
        <v>10</v>
      </c>
      <c r="D13" s="3">
        <f>SUMIFS('Extraction Offre de services'!I:I, 'Extraction Offre de services'!D:D,"auvergne-rhone-alpes",'Extraction Offre de services'!F:F,"hebergement")</f>
        <v>36744</v>
      </c>
      <c r="E13" s="3">
        <f t="shared" si="1"/>
        <v>36744</v>
      </c>
      <c r="F13" s="3">
        <f>SUMIFS('Extraction Offre de services'!I:I, 'Extraction Offre de services'!D:D,"auvergne-rhone-alpes",'Extraction Offre de services'!F:F,"hebergement",'Extraction Offre de services'!B:B,"2017")</f>
        <v>12600</v>
      </c>
      <c r="G13" s="3">
        <f>SUMIFS('Extraction Offre de services'!I:I, 'Extraction Offre de services'!D:D,"auvergne-rhone-alpes",'Extraction Offre de services'!F:F,"hebergement",'Extraction Offre de services'!B:B,"2016")</f>
        <v>18626</v>
      </c>
      <c r="H13" s="3">
        <f>SUMIFS('Extraction Offre de services'!I:I, 'Extraction Offre de services'!D:D,"auvergne-rhone-alpes",'Extraction Offre de services'!F:F,"hebergement",'Extraction Offre de services'!B:B,"2015")</f>
        <v>5518</v>
      </c>
      <c r="I13" s="3">
        <f>SUMIFS('Extraction Offre de services'!I:I, 'Extraction Offre de services'!D:D,"auvergne-rhone-alpes",'Extraction Offre de services'!F:F,"hebergement",'Extraction Offre de services'!B:B,"2014")</f>
        <v>0</v>
      </c>
      <c r="J13" s="3">
        <f>SUMIFS('Extraction Offre de services'!I:I, 'Extraction Offre de services'!D:D,"auvergne-rhone-alpes",'Extraction Offre de services'!F:F,"hebergement",'Extraction Offre de services'!B:B,"2013")</f>
        <v>0</v>
      </c>
    </row>
    <row r="14" spans="1:10" hidden="1" x14ac:dyDescent="0.25">
      <c r="A14" s="15" t="s">
        <v>8</v>
      </c>
      <c r="B14" s="15" t="s">
        <v>9</v>
      </c>
      <c r="C14" s="2" t="s">
        <v>48</v>
      </c>
      <c r="D14" s="3">
        <f>SUMIFS('Extraction Offre de services'!I:I, 'Extraction Offre de services'!D:D,"auvergne-rhone-alpes",'Extraction Offre de services'!F:F,"restauration")</f>
        <v>18487</v>
      </c>
      <c r="E14" s="3">
        <f t="shared" si="1"/>
        <v>13232</v>
      </c>
      <c r="F14" s="3">
        <f>SUMIFS('Extraction Offre de services'!I:I,'Extraction Offre de services'!D:D,"auvergne-rhone-alpes",'Extraction Offre de services'!F:F,"restauration",'Extraction Offre de services'!B:B,"2017")</f>
        <v>3096</v>
      </c>
      <c r="G14" s="3">
        <f>SUMIFS('Extraction Offre de services'!I:I,'Extraction Offre de services'!D:D,"auvergne-rhone-alpes",'Extraction Offre de services'!F:F,"restauration",'Extraction Offre de services'!B:B,"2016")</f>
        <v>6253</v>
      </c>
      <c r="H14" s="3">
        <f>SUMIFS('Extraction Offre de services'!I:I,'Extraction Offre de services'!D:D,"auvergne-rhone-alpes",'Extraction Offre de services'!F:F,"restauration",'Extraction Offre de services'!B:B,"2015")</f>
        <v>3883</v>
      </c>
      <c r="I14" s="3">
        <f>SUMIFS('Extraction Offre de services'!I:I,'Extraction Offre de services'!D:D,"auvergne-rhone-alpes",'Extraction Offre de services'!F:F,"restauration",'Extraction Offre de services'!B:B,"2014")</f>
        <v>3109</v>
      </c>
      <c r="J14" s="3">
        <f>SUMIFS('Extraction Offre de services'!I:I,'Extraction Offre de services'!D:D,"auvergne-rhone-alpes",'Extraction Offre de services'!F:F,"restauration",'Extraction Offre de services'!B:B,"2013")</f>
        <v>2146</v>
      </c>
    </row>
    <row r="15" spans="1:10" hidden="1" x14ac:dyDescent="0.25">
      <c r="A15" s="16" t="s">
        <v>35</v>
      </c>
      <c r="B15" s="16" t="s">
        <v>88</v>
      </c>
      <c r="C15" s="8" t="s">
        <v>101</v>
      </c>
      <c r="D15" s="10">
        <f>D16+D21+D25</f>
        <v>51346</v>
      </c>
      <c r="E15" s="10">
        <f t="shared" si="1"/>
        <v>44306</v>
      </c>
      <c r="F15" s="10">
        <f t="shared" ref="F15" si="2">F16+F21+F25</f>
        <v>9741</v>
      </c>
      <c r="G15" s="10">
        <f t="shared" ref="G15" si="3">G16+G21+G25</f>
        <v>23100</v>
      </c>
      <c r="H15" s="10">
        <f t="shared" ref="H15" si="4">H16+H21+H25</f>
        <v>11465</v>
      </c>
      <c r="I15" s="10">
        <f t="shared" ref="I15" si="5">I16+I21+I25</f>
        <v>4483</v>
      </c>
      <c r="J15" s="10">
        <f t="shared" ref="J15" si="6">J16+J21+J25</f>
        <v>2557</v>
      </c>
    </row>
    <row r="16" spans="1:10" hidden="1" x14ac:dyDescent="0.25">
      <c r="A16" s="20" t="s">
        <v>35</v>
      </c>
      <c r="B16" s="17" t="s">
        <v>78</v>
      </c>
      <c r="C16" s="4" t="s">
        <v>101</v>
      </c>
      <c r="D16" s="11">
        <f>SUMIF('Extraction Offre de loisirs'!D:D,"bourgogne-franche-comte",'Extraction Offre de loisirs'!I:I)</f>
        <v>6536</v>
      </c>
      <c r="E16" s="11">
        <f t="shared" si="1"/>
        <v>5626</v>
      </c>
      <c r="F16" s="11">
        <f>SUMIFS('Extraction Offre de loisirs'!I:I, 'Extraction Offre de loisirs'!D:D,"bourgogne-franche-comte",'Extraction Offre de loisirs'!B:B,"2017")</f>
        <v>1187</v>
      </c>
      <c r="G16" s="11">
        <f>SUMIFS('Extraction Offre de loisirs'!I:I, 'Extraction Offre de loisirs'!D:D,"bourgogne-franche-comte",'Extraction Offre de loisirs'!B:B,"2016")</f>
        <v>2819</v>
      </c>
      <c r="H16" s="11">
        <f>SUMIFS('Extraction Offre de loisirs'!I:I, 'Extraction Offre de loisirs'!D:D,"bourgogne-franche-comte",'Extraction Offre de loisirs'!B:B,"2015")</f>
        <v>1620</v>
      </c>
      <c r="I16" s="11">
        <f>SUMIFS('Extraction Offre de loisirs'!I:I, 'Extraction Offre de loisirs'!D:D,"bourgogne-franche-comte",'Extraction Offre de loisirs'!B:B,"2014")</f>
        <v>661</v>
      </c>
      <c r="J16" s="11">
        <f>SUMIFS('Extraction Offre de loisirs'!I:I, 'Extraction Offre de loisirs'!D:D,"bourgogne-franche-comte",'Extraction Offre de loisirs'!B:B,"2013")</f>
        <v>249</v>
      </c>
    </row>
    <row r="17" spans="1:10" hidden="1" x14ac:dyDescent="0.25">
      <c r="A17" s="15" t="s">
        <v>35</v>
      </c>
      <c r="B17" s="15" t="s">
        <v>78</v>
      </c>
      <c r="C17" s="2" t="s">
        <v>79</v>
      </c>
      <c r="D17" s="3">
        <f>SUMIFS('Extraction Offre de loisirs'!I:I, 'Extraction Offre de loisirs'!D:D,"bourgogne-franche-comte",'Extraction Offre de loisirs'!F:F,"activites de plein air")</f>
        <v>3055</v>
      </c>
      <c r="E17" s="3">
        <f t="shared" si="1"/>
        <v>2535</v>
      </c>
      <c r="F17" s="3">
        <f>SUMIFS('Extraction Offre de loisirs'!I:I, 'Extraction Offre de loisirs'!D:D,"bourgogne-franche-comte",'Extraction Offre de loisirs'!F:F,"activites de plein air",'Extraction Offre de loisirs'!B:B,"2017")</f>
        <v>414</v>
      </c>
      <c r="G17" s="3">
        <f>SUMIFS('Extraction Offre de loisirs'!I:I, 'Extraction Offre de loisirs'!D:D,"bourgogne-franche-comte",'Extraction Offre de loisirs'!F:F,"activites de plein air",'Extraction Offre de loisirs'!B:B,"2016")</f>
        <v>1219</v>
      </c>
      <c r="H17" s="3">
        <f>SUMIFS('Extraction Offre de loisirs'!I:I, 'Extraction Offre de loisirs'!D:D,"bourgogne-franche-comte",'Extraction Offre de loisirs'!F:F,"activites de plein air",'Extraction Offre de loisirs'!B:B,"2015")</f>
        <v>902</v>
      </c>
      <c r="I17" s="3">
        <f>SUMIFS('Extraction Offre de loisirs'!I:I, 'Extraction Offre de loisirs'!D:D,"bourgogne-franche-comte",'Extraction Offre de loisirs'!F:F,"activites de plein air",'Extraction Offre de loisirs'!B:B,"2014")</f>
        <v>369</v>
      </c>
      <c r="J17" s="3">
        <f>SUMIFS('Extraction Offre de loisirs'!I:I, 'Extraction Offre de loisirs'!D:D,"bourgogne-franche-comte",'Extraction Offre de loisirs'!F:F,"activites de plein air",'Extraction Offre de loisirs'!B:B,"2013")</f>
        <v>151</v>
      </c>
    </row>
    <row r="18" spans="1:10" hidden="1" x14ac:dyDescent="0.25">
      <c r="A18" s="15" t="s">
        <v>35</v>
      </c>
      <c r="B18" s="15" t="s">
        <v>78</v>
      </c>
      <c r="C18" s="2" t="s">
        <v>81</v>
      </c>
      <c r="D18" s="3">
        <f>SUMIFS('Extraction Offre de loisirs'!I:I, 'Extraction Offre de loisirs'!D:D,"bourgogne-franche-comte",'Extraction Offre de loisirs'!F:F,"jeux et divertissements")</f>
        <v>1853</v>
      </c>
      <c r="E18" s="3">
        <f t="shared" si="1"/>
        <v>1621</v>
      </c>
      <c r="F18" s="3">
        <f>SUMIFS('Extraction Offre de loisirs'!I:I, 'Extraction Offre de loisirs'!D:D,"bourgogne-franche-comte",'Extraction Offre de loisirs'!F:F,"jeux et divertissements",'Extraction Offre de loisirs'!B:B,"2017")</f>
        <v>447</v>
      </c>
      <c r="G18" s="3">
        <f>SUMIFS('Extraction Offre de loisirs'!I:I, 'Extraction Offre de loisirs'!D:D,"bourgogne-franche-comte",'Extraction Offre de loisirs'!F:F,"jeux et divertissements",'Extraction Offre de loisirs'!B:B,"2016")</f>
        <v>847</v>
      </c>
      <c r="H18" s="3">
        <f>SUMIFS('Extraction Offre de loisirs'!I:I, 'Extraction Offre de loisirs'!D:D,"bourgogne-franche-comte",'Extraction Offre de loisirs'!F:F,"jeux et divertissements",'Extraction Offre de loisirs'!B:B,"2015")</f>
        <v>327</v>
      </c>
      <c r="I18" s="3">
        <f>SUMIFS('Extraction Offre de loisirs'!I:I, 'Extraction Offre de loisirs'!D:D,"bourgogne-franche-comte",'Extraction Offre de loisirs'!F:F,"jeux et divertissements",'Extraction Offre de loisirs'!B:B,"2014")</f>
        <v>175</v>
      </c>
      <c r="J18" s="3">
        <f>SUMIFS('Extraction Offre de loisirs'!I:I, 'Extraction Offre de loisirs'!D:D,"bourgogne-franche-comte",'Extraction Offre de loisirs'!F:F,"jeux et divertissements",'Extraction Offre de loisirs'!B:B,"2013")</f>
        <v>57</v>
      </c>
    </row>
    <row r="19" spans="1:10" hidden="1" x14ac:dyDescent="0.25">
      <c r="A19" s="15" t="s">
        <v>35</v>
      </c>
      <c r="B19" s="15" t="s">
        <v>78</v>
      </c>
      <c r="C19" s="2" t="s">
        <v>83</v>
      </c>
      <c r="D19" s="3">
        <f>SUMIFS('Extraction Offre de loisirs'!I:I, 'Extraction Offre de loisirs'!D:D,"bourgogne-franche-comte",'Extraction Offre de loisirs'!F:F,"shopping")</f>
        <v>1197</v>
      </c>
      <c r="E19" s="3">
        <f t="shared" si="1"/>
        <v>1078</v>
      </c>
      <c r="F19" s="3">
        <f>SUMIFS('Extraction Offre de loisirs'!I:I, 'Extraction Offre de loisirs'!D:D,"bourgogne-franche-comte",'Extraction Offre de loisirs'!F:F,"shopping",'Extraction Offre de loisirs'!B:B,"2017")</f>
        <v>234</v>
      </c>
      <c r="G19" s="3">
        <f>SUMIFS('Extraction Offre de loisirs'!I:I, 'Extraction Offre de loisirs'!D:D,"bourgogne-franche-comte",'Extraction Offre de loisirs'!F:F,"shopping",'Extraction Offre de loisirs'!B:B,"2016")</f>
        <v>575</v>
      </c>
      <c r="H19" s="3">
        <f>SUMIFS('Extraction Offre de loisirs'!I:I, 'Extraction Offre de loisirs'!D:D,"bourgogne-franche-comte",'Extraction Offre de loisirs'!F:F,"shopping",'Extraction Offre de loisirs'!B:B,"2015")</f>
        <v>269</v>
      </c>
      <c r="I19" s="3">
        <f>SUMIFS('Extraction Offre de loisirs'!I:I, 'Extraction Offre de loisirs'!D:D,"bourgogne-franche-comte",'Extraction Offre de loisirs'!F:F,"shopping",'Extraction Offre de loisirs'!B:B,"2014")</f>
        <v>87</v>
      </c>
      <c r="J19" s="3">
        <f>SUMIFS('Extraction Offre de loisirs'!I:I, 'Extraction Offre de loisirs'!D:D,"bourgogne-franche-comte",'Extraction Offre de loisirs'!F:F,"shopping",'Extraction Offre de loisirs'!B:B,"2013")</f>
        <v>32</v>
      </c>
    </row>
    <row r="20" spans="1:10" hidden="1" x14ac:dyDescent="0.25">
      <c r="A20" s="15" t="s">
        <v>35</v>
      </c>
      <c r="B20" s="15" t="s">
        <v>78</v>
      </c>
      <c r="C20" s="2" t="s">
        <v>84</v>
      </c>
      <c r="D20" s="3">
        <f>SUMIFS('Extraction Offre de loisirs'!I:I, 'Extraction Offre de loisirs'!D:D,"bourgogne-franche-comte",'Extraction Offre de loisirs'!F:F,"vie nocturne")</f>
        <v>431</v>
      </c>
      <c r="E20" s="3">
        <f t="shared" si="1"/>
        <v>392</v>
      </c>
      <c r="F20" s="3">
        <f>SUMIFS('Extraction Offre de loisirs'!I:I, 'Extraction Offre de loisirs'!D:D,"bourgogne-franche-comte",'Extraction Offre de loisirs'!F:F,"vie nocturne",'Extraction Offre de loisirs'!B:B,"2017")</f>
        <v>92</v>
      </c>
      <c r="G20" s="3">
        <f>SUMIFS('Extraction Offre de loisirs'!I:I, 'Extraction Offre de loisirs'!D:D,"bourgogne-franche-comte",'Extraction Offre de loisirs'!F:F,"vie nocturne",'Extraction Offre de loisirs'!B:B,"2016")</f>
        <v>178</v>
      </c>
      <c r="H20" s="3">
        <f>SUMIFS('Extraction Offre de loisirs'!I:I, 'Extraction Offre de loisirs'!D:D,"bourgogne-franche-comte",'Extraction Offre de loisirs'!F:F,"vie nocturne",'Extraction Offre de loisirs'!B:B,"2015")</f>
        <v>122</v>
      </c>
      <c r="I20" s="3">
        <f>SUMIFS('Extraction Offre de loisirs'!I:I, 'Extraction Offre de loisirs'!D:D,"bourgogne-franche-comte",'Extraction Offre de loisirs'!F:F,"vie nocturne",'Extraction Offre de loisirs'!B:B,"2014")</f>
        <v>30</v>
      </c>
      <c r="J20" s="3">
        <f>SUMIFS('Extraction Offre de loisirs'!I:I, 'Extraction Offre de loisirs'!D:D,"bourgogne-franche-comte",'Extraction Offre de loisirs'!F:F,"vie nocturne",'Extraction Offre de loisirs'!B:B,"2013")</f>
        <v>9</v>
      </c>
    </row>
    <row r="21" spans="1:10" hidden="1" x14ac:dyDescent="0.25">
      <c r="A21" s="20" t="s">
        <v>35</v>
      </c>
      <c r="B21" s="17" t="s">
        <v>82</v>
      </c>
      <c r="C21" s="4" t="s">
        <v>101</v>
      </c>
      <c r="D21" s="11">
        <f>SUMIF('Extraction Patrimoine'!D:D,"bourgogne-franche-comte",'Extraction Patrimoine'!I:I)</f>
        <v>28469</v>
      </c>
      <c r="E21" s="11">
        <f t="shared" si="1"/>
        <v>23209</v>
      </c>
      <c r="F21" s="11">
        <f>SUMIFS('Extraction Patrimoine'!I:I, 'Extraction Patrimoine'!D:D,"bourgogne-franche-comte",'Extraction Patrimoine'!B:B,"2017")</f>
        <v>4115</v>
      </c>
      <c r="G21" s="11">
        <f>SUMIFS('Extraction Patrimoine'!I:I, 'Extraction Patrimoine'!D:D,"bourgogne-franche-comte",'Extraction Patrimoine'!B:B,"2016")</f>
        <v>11705</v>
      </c>
      <c r="H21" s="11">
        <f>SUMIFS('Extraction Patrimoine'!I:I, 'Extraction Patrimoine'!D:D,"bourgogne-franche-comte",'Extraction Patrimoine'!B:B,"2015")</f>
        <v>7389</v>
      </c>
      <c r="I21" s="11">
        <f>SUMIFS('Extraction Patrimoine'!I:I, 'Extraction Patrimoine'!D:D,"bourgogne-franche-comte",'Extraction Patrimoine'!B:B,"2014")</f>
        <v>3283</v>
      </c>
      <c r="J21" s="11">
        <f>SUMIFS('Extraction Patrimoine'!I:I, 'Extraction Patrimoine'!D:D,"bourgogne-franche-comte",'Extraction Patrimoine'!B:B,"2013")</f>
        <v>1977</v>
      </c>
    </row>
    <row r="22" spans="1:10" hidden="1" x14ac:dyDescent="0.25">
      <c r="A22" s="15" t="s">
        <v>35</v>
      </c>
      <c r="B22" s="15" t="s">
        <v>82</v>
      </c>
      <c r="C22" s="15" t="s">
        <v>98</v>
      </c>
      <c r="D22" s="23">
        <f>SUMIFS('Extraction Patrimoine'!I:I, 'Extraction Patrimoine'!D:D,"bourgogne-franche-comte",'Extraction Patrimoine'!F:F,"nature et parcs")</f>
        <v>28469</v>
      </c>
      <c r="E22" s="23">
        <f t="shared" si="1"/>
        <v>23209</v>
      </c>
      <c r="F22" s="23">
        <f>SUMIFS('Extraction Patrimoine'!I:I, 'Extraction Patrimoine'!D:D,"bourgogne-franche-comte",'Extraction Patrimoine'!F:F,"nature et parcs",'Extraction Patrimoine'!B:B, "2017")</f>
        <v>4115</v>
      </c>
      <c r="G22" s="23">
        <f>SUMIFS('Extraction Patrimoine'!I:I, 'Extraction Patrimoine'!D:D,"bourgogne-franche-comte",'Extraction Patrimoine'!F:F,"nature et parcs",'Extraction Patrimoine'!B:B, "2016")</f>
        <v>11705</v>
      </c>
      <c r="H22" s="23">
        <f>SUMIFS('Extraction Patrimoine'!I:I, 'Extraction Patrimoine'!D:D,"bourgogne-franche-comte",'Extraction Patrimoine'!F:F,"nature et parcs",'Extraction Patrimoine'!B:B, "2015")</f>
        <v>7389</v>
      </c>
      <c r="I22" s="23">
        <f>SUMIFS('Extraction Patrimoine'!I:I, 'Extraction Patrimoine'!D:D,"bourgogne-franche-comte",'Extraction Patrimoine'!F:F,"nature et parcs",'Extraction Patrimoine'!B:B, "2014")</f>
        <v>3283</v>
      </c>
      <c r="J22" s="23">
        <f>SUMIFS('Extraction Patrimoine'!I:I, 'Extraction Patrimoine'!D:D,"bourgogne-franche-comte",'Extraction Patrimoine'!F:F,"nature et parcs",'Extraction Patrimoine'!B:B, "2013")</f>
        <v>1977</v>
      </c>
    </row>
    <row r="23" spans="1:10" hidden="1" x14ac:dyDescent="0.25">
      <c r="A23" s="15" t="s">
        <v>35</v>
      </c>
      <c r="B23" s="15" t="s">
        <v>82</v>
      </c>
      <c r="C23" s="15" t="s">
        <v>99</v>
      </c>
      <c r="D23" s="23">
        <f>SUMIFS('Extraction Patrimoine'!I:I, 'Extraction Patrimoine'!D:D,"bourgogne-franche-comte",'Extraction Patrimoine'!F:F,"musées")</f>
        <v>0</v>
      </c>
      <c r="E23" s="23">
        <f t="shared" si="1"/>
        <v>0</v>
      </c>
      <c r="F23" s="23">
        <f>SUMIFS('Extraction Patrimoine'!I:I, 'Extraction Patrimoine'!D:D,"bourgogne-franche-comte",'Extraction Patrimoine'!F:F,"musées",'Extraction Patrimoine'!B:B, "2017")</f>
        <v>0</v>
      </c>
      <c r="G23" s="23">
        <f>SUMIFS('Extraction Patrimoine'!I:I, 'Extraction Patrimoine'!D:D,"bourgogne-franche-comte",'Extraction Patrimoine'!F:F,"musées",'Extraction Patrimoine'!B:B, "2016")</f>
        <v>0</v>
      </c>
      <c r="H23" s="23">
        <f>SUMIFS('Extraction Patrimoine'!I:I, 'Extraction Patrimoine'!D:D,"bourgogne-franche-comte",'Extraction Patrimoine'!F:F,"musées",'Extraction Patrimoine'!B:B, "2015")</f>
        <v>0</v>
      </c>
      <c r="I23" s="23">
        <f>SUMIFS('Extraction Patrimoine'!I:I, 'Extraction Patrimoine'!D:D,"bourgogne-franche-comte",'Extraction Patrimoine'!F:F,"musées",'Extraction Patrimoine'!B:B, "2014")</f>
        <v>0</v>
      </c>
      <c r="J23" s="23">
        <f>SUMIFS('Extraction Patrimoine'!I:I, 'Extraction Patrimoine'!D:D,"bourgogne-franche-comte",'Extraction Patrimoine'!F:F,"musées",'Extraction Patrimoine'!B:B, "2013")</f>
        <v>0</v>
      </c>
    </row>
    <row r="24" spans="1:10" hidden="1" x14ac:dyDescent="0.25">
      <c r="A24" s="15" t="s">
        <v>35</v>
      </c>
      <c r="B24" s="15" t="s">
        <v>82</v>
      </c>
      <c r="C24" s="15" t="s">
        <v>100</v>
      </c>
      <c r="D24" s="23">
        <f>SUMIFS('Extraction Patrimoine'!I:I, 'Extraction Patrimoine'!D:D,"bourgogne-franche-comte",'Extraction Patrimoine'!F:F,"sites et monuments")</f>
        <v>0</v>
      </c>
      <c r="E24" s="23">
        <f t="shared" si="1"/>
        <v>0</v>
      </c>
      <c r="F24" s="23">
        <f>SUMIFS('Extraction Patrimoine'!I:I, 'Extraction Patrimoine'!D:D,"bourgogne-franche-comte",'Extraction Patrimoine'!F:F,"sites et monuments",'Extraction Patrimoine'!B:B, "2017")</f>
        <v>0</v>
      </c>
      <c r="G24" s="23">
        <f>SUMIFS('Extraction Patrimoine'!I:I, 'Extraction Patrimoine'!D:D,"bourgogne-franche-comte",'Extraction Patrimoine'!F:F,"sites et monuments",'Extraction Patrimoine'!B:B, "2016")</f>
        <v>0</v>
      </c>
      <c r="H24" s="23">
        <f>SUMIFS('Extraction Patrimoine'!I:I, 'Extraction Patrimoine'!D:D,"bourgogne-franche-comte",'Extraction Patrimoine'!F:F,"sites et monuments",'Extraction Patrimoine'!B:B, "2015")</f>
        <v>0</v>
      </c>
      <c r="I24" s="23">
        <f>SUMIFS('Extraction Patrimoine'!I:I, 'Extraction Patrimoine'!D:D,"bourgogne-franche-comte",'Extraction Patrimoine'!F:F,"sites et monuments",'Extraction Patrimoine'!B:B, "2014")</f>
        <v>0</v>
      </c>
      <c r="J24" s="23">
        <f>SUMIFS('Extraction Patrimoine'!I:I, 'Extraction Patrimoine'!D:D,"bourgogne-franche-comte",'Extraction Patrimoine'!F:F,"sites et monuments",'Extraction Patrimoine'!B:B, "2013")</f>
        <v>0</v>
      </c>
    </row>
    <row r="25" spans="1:10" hidden="1" x14ac:dyDescent="0.25">
      <c r="A25" s="20" t="s">
        <v>35</v>
      </c>
      <c r="B25" s="17" t="s">
        <v>9</v>
      </c>
      <c r="C25" s="4" t="s">
        <v>101</v>
      </c>
      <c r="D25" s="11">
        <f>SUMIF('Extraction Offre de services'!D:D,"bourgogne-franche-comte",'Extraction Offre de services'!I:I)</f>
        <v>16341</v>
      </c>
      <c r="E25" s="11">
        <f t="shared" si="1"/>
        <v>15471</v>
      </c>
      <c r="F25" s="11">
        <f>SUMIFS('Extraction Offre de services'!I:I, 'Extraction Offre de services'!D:D,"bourgogne-franche-comte",'Extraction Offre de services'!B:B,"2017")</f>
        <v>4439</v>
      </c>
      <c r="G25" s="11">
        <f>SUMIFS('Extraction Offre de services'!I:I, 'Extraction Offre de services'!D:D,"bourgogne-franche-comte",'Extraction Offre de services'!B:B,"2016")</f>
        <v>8576</v>
      </c>
      <c r="H25" s="11">
        <f>SUMIFS('Extraction Offre de services'!I:I, 'Extraction Offre de services'!D:D,"bourgogne-franche-comte",'Extraction Offre de services'!B:B,"2015")</f>
        <v>2456</v>
      </c>
      <c r="I25" s="11">
        <f>SUMIFS('Extraction Offre de services'!I:I, 'Extraction Offre de services'!D:D,"bourgogne-franche-comte",'Extraction Offre de services'!B:B,"2014")</f>
        <v>539</v>
      </c>
      <c r="J25" s="11">
        <f>SUMIFS('Extraction Offre de services'!I:I, 'Extraction Offre de services'!D:D,"bourgogne-franche-comte",'Extraction Offre de services'!B:B,"2013")</f>
        <v>331</v>
      </c>
    </row>
    <row r="26" spans="1:10" hidden="1" x14ac:dyDescent="0.25">
      <c r="A26" s="15" t="s">
        <v>35</v>
      </c>
      <c r="B26" s="15" t="s">
        <v>9</v>
      </c>
      <c r="C26" s="2" t="s">
        <v>10</v>
      </c>
      <c r="D26" s="3">
        <f>SUMIFS('Extraction Offre de services'!I:I, 'Extraction Offre de services'!D:D,"bourgogne-franche-comte",'Extraction Offre de services'!F:F,"hebergement")</f>
        <v>12271</v>
      </c>
      <c r="E26" s="3">
        <f t="shared" si="1"/>
        <v>12271</v>
      </c>
      <c r="F26" s="3">
        <f>SUMIFS('Extraction Offre de services'!I:I, 'Extraction Offre de services'!D:D,"bourgogne-franche-comte",'Extraction Offre de services'!F:F,"hebergement",'Extraction Offre de services'!B:B,"2017")</f>
        <v>3657</v>
      </c>
      <c r="G26" s="3">
        <f>SUMIFS('Extraction Offre de services'!I:I, 'Extraction Offre de services'!D:D,"bourgogne-franche-comte",'Extraction Offre de services'!F:F,"hebergement",'Extraction Offre de services'!B:B,"2016")</f>
        <v>6974</v>
      </c>
      <c r="H26" s="3">
        <f>SUMIFS('Extraction Offre de services'!I:I, 'Extraction Offre de services'!D:D,"bourgogne-franche-comte",'Extraction Offre de services'!F:F,"hebergement",'Extraction Offre de services'!B:B,"2015")</f>
        <v>1640</v>
      </c>
      <c r="I26" s="3">
        <f>SUMIFS('Extraction Offre de services'!I:I, 'Extraction Offre de services'!D:D,"bourgogne-franche-comte",'Extraction Offre de services'!F:F,"hebergement",'Extraction Offre de services'!B:B,"2014")</f>
        <v>0</v>
      </c>
      <c r="J26" s="3">
        <f>SUMIFS('Extraction Offre de services'!I:I, 'Extraction Offre de services'!D:D,"bourgogne-franche-comte",'Extraction Offre de services'!F:F,"hebergement",'Extraction Offre de services'!B:B,"2013")</f>
        <v>0</v>
      </c>
    </row>
    <row r="27" spans="1:10" hidden="1" x14ac:dyDescent="0.25">
      <c r="A27" s="15" t="s">
        <v>35</v>
      </c>
      <c r="B27" s="15" t="s">
        <v>9</v>
      </c>
      <c r="C27" s="2" t="s">
        <v>48</v>
      </c>
      <c r="D27" s="3">
        <f>SUMIFS('Extraction Offre de services'!I:I, 'Extraction Offre de services'!D:D,"bourgogne-franche-comte",'Extraction Offre de services'!F:F,"restauration")</f>
        <v>4070</v>
      </c>
      <c r="E27" s="3">
        <f t="shared" si="1"/>
        <v>3200</v>
      </c>
      <c r="F27" s="3">
        <f>SUMIFS('Extraction Offre de services'!I:I,'Extraction Offre de services'!D:D,"bourgogne-franche-comte",'Extraction Offre de services'!F:F,"restauration",'Extraction Offre de services'!B:B,"2017")</f>
        <v>782</v>
      </c>
      <c r="G27" s="3">
        <f>SUMIFS('Extraction Offre de services'!I:I,'Extraction Offre de services'!D:D,"bourgogne-franche-comte",'Extraction Offre de services'!F:F,"restauration",'Extraction Offre de services'!B:B,"2016")</f>
        <v>1602</v>
      </c>
      <c r="H27" s="3">
        <f>SUMIFS('Extraction Offre de services'!I:I,'Extraction Offre de services'!D:D,"bourgogne-franche-comte",'Extraction Offre de services'!F:F,"restauration",'Extraction Offre de services'!B:B,"2015")</f>
        <v>816</v>
      </c>
      <c r="I27" s="3">
        <f>SUMIFS('Extraction Offre de services'!I:I,'Extraction Offre de services'!D:D,"bourgogne-franche-comte",'Extraction Offre de services'!F:F,"restauration",'Extraction Offre de services'!B:B,"2014")</f>
        <v>539</v>
      </c>
      <c r="J27" s="3">
        <f>SUMIFS('Extraction Offre de services'!I:I,'Extraction Offre de services'!D:D,"bourgogne-franche-comte",'Extraction Offre de services'!F:F,"restauration",'Extraction Offre de services'!B:B,"2013")</f>
        <v>331</v>
      </c>
    </row>
    <row r="28" spans="1:10" hidden="1" x14ac:dyDescent="0.25">
      <c r="A28" s="16" t="s">
        <v>36</v>
      </c>
      <c r="B28" s="16" t="s">
        <v>88</v>
      </c>
      <c r="C28" s="8" t="s">
        <v>101</v>
      </c>
      <c r="D28" s="10">
        <f>D29+D34+D38</f>
        <v>53769</v>
      </c>
      <c r="E28" s="10">
        <f t="shared" si="1"/>
        <v>47603</v>
      </c>
      <c r="F28" s="10">
        <f t="shared" ref="F28" si="7">F29+F34+F38</f>
        <v>11047</v>
      </c>
      <c r="G28" s="10">
        <f t="shared" ref="G28" si="8">G29+G34+G38</f>
        <v>24744</v>
      </c>
      <c r="H28" s="10">
        <f t="shared" ref="H28" si="9">H29+H34+H38</f>
        <v>11812</v>
      </c>
      <c r="I28" s="10">
        <f t="shared" ref="I28" si="10">I29+I34+I38</f>
        <v>4151</v>
      </c>
      <c r="J28" s="10">
        <f t="shared" ref="J28" si="11">J29+J34+J38</f>
        <v>2015</v>
      </c>
    </row>
    <row r="29" spans="1:10" hidden="1" x14ac:dyDescent="0.25">
      <c r="A29" s="20" t="s">
        <v>36</v>
      </c>
      <c r="B29" s="17" t="s">
        <v>78</v>
      </c>
      <c r="C29" s="4" t="s">
        <v>101</v>
      </c>
      <c r="D29" s="11">
        <f>SUMIF('Extraction Offre de loisirs'!D:D,"bretagne",'Extraction Offre de loisirs'!I:I)</f>
        <v>17111</v>
      </c>
      <c r="E29" s="11">
        <f t="shared" si="1"/>
        <v>14721</v>
      </c>
      <c r="F29" s="11">
        <f>SUMIFS('Extraction Offre de loisirs'!I:I, 'Extraction Offre de loisirs'!D:D,"bretagne",'Extraction Offre de loisirs'!B:B,"2017")</f>
        <v>2994</v>
      </c>
      <c r="G29" s="11">
        <f>SUMIFS('Extraction Offre de loisirs'!I:I, 'Extraction Offre de loisirs'!D:D,"bretagne",'Extraction Offre de loisirs'!B:B,"2016")</f>
        <v>7429</v>
      </c>
      <c r="H29" s="11">
        <f>SUMIFS('Extraction Offre de loisirs'!I:I, 'Extraction Offre de loisirs'!D:D,"bretagne",'Extraction Offre de loisirs'!B:B,"2015")</f>
        <v>4298</v>
      </c>
      <c r="I29" s="11">
        <f>SUMIFS('Extraction Offre de loisirs'!I:I, 'Extraction Offre de loisirs'!D:D,"bretagne",'Extraction Offre de loisirs'!B:B,"2014")</f>
        <v>1753</v>
      </c>
      <c r="J29" s="11">
        <f>SUMIFS('Extraction Offre de loisirs'!I:I, 'Extraction Offre de loisirs'!D:D,"bretagne",'Extraction Offre de loisirs'!B:B,"2013")</f>
        <v>637</v>
      </c>
    </row>
    <row r="30" spans="1:10" hidden="1" x14ac:dyDescent="0.25">
      <c r="A30" s="15" t="s">
        <v>36</v>
      </c>
      <c r="B30" s="15" t="s">
        <v>78</v>
      </c>
      <c r="C30" s="2" t="s">
        <v>79</v>
      </c>
      <c r="D30" s="3">
        <f>SUMIFS('Extraction Offre de loisirs'!I:I, 'Extraction Offre de loisirs'!D:D,"bretagne",'Extraction Offre de loisirs'!F:F,"activites de plein air")</f>
        <v>9907</v>
      </c>
      <c r="E30" s="3">
        <f t="shared" si="1"/>
        <v>8294</v>
      </c>
      <c r="F30" s="3">
        <f>SUMIFS('Extraction Offre de loisirs'!I:I, 'Extraction Offre de loisirs'!D:D,"bretagne",'Extraction Offre de loisirs'!F:F,"activites de plein air",'Extraction Offre de loisirs'!B:B,"2017")</f>
        <v>1571</v>
      </c>
      <c r="G30" s="3">
        <f>SUMIFS('Extraction Offre de loisirs'!I:I, 'Extraction Offre de loisirs'!D:D,"bretagne",'Extraction Offre de loisirs'!F:F,"activites de plein air",'Extraction Offre de loisirs'!B:B,"2016")</f>
        <v>4301</v>
      </c>
      <c r="H30" s="3">
        <f>SUMIFS('Extraction Offre de loisirs'!I:I, 'Extraction Offre de loisirs'!D:D,"bretagne",'Extraction Offre de loisirs'!F:F,"activites de plein air",'Extraction Offre de loisirs'!B:B,"2015")</f>
        <v>2422</v>
      </c>
      <c r="I30" s="3">
        <f>SUMIFS('Extraction Offre de loisirs'!I:I, 'Extraction Offre de loisirs'!D:D,"bretagne",'Extraction Offre de loisirs'!F:F,"activites de plein air",'Extraction Offre de loisirs'!B:B,"2014")</f>
        <v>1148</v>
      </c>
      <c r="J30" s="3">
        <f>SUMIFS('Extraction Offre de loisirs'!I:I, 'Extraction Offre de loisirs'!D:D,"bretagne",'Extraction Offre de loisirs'!F:F,"activites de plein air",'Extraction Offre de loisirs'!B:B,"2013")</f>
        <v>465</v>
      </c>
    </row>
    <row r="31" spans="1:10" hidden="1" x14ac:dyDescent="0.25">
      <c r="A31" s="15" t="s">
        <v>36</v>
      </c>
      <c r="B31" s="15" t="s">
        <v>78</v>
      </c>
      <c r="C31" s="2" t="s">
        <v>81</v>
      </c>
      <c r="D31" s="3">
        <f>SUMIFS('Extraction Offre de loisirs'!I:I, 'Extraction Offre de loisirs'!D:D,"bretagne",'Extraction Offre de loisirs'!F:F,"jeux et divertissements")</f>
        <v>3389</v>
      </c>
      <c r="E31" s="3">
        <f t="shared" si="1"/>
        <v>2928</v>
      </c>
      <c r="F31" s="3">
        <f>SUMIFS('Extraction Offre de loisirs'!I:I, 'Extraction Offre de loisirs'!D:D,"bretagne",'Extraction Offre de loisirs'!F:F,"jeux et divertissements",'Extraction Offre de loisirs'!B:B,"2017")</f>
        <v>687</v>
      </c>
      <c r="G31" s="3">
        <f>SUMIFS('Extraction Offre de loisirs'!I:I, 'Extraction Offre de loisirs'!D:D,"bretagne",'Extraction Offre de loisirs'!F:F,"jeux et divertissements",'Extraction Offre de loisirs'!B:B,"2016")</f>
        <v>1319</v>
      </c>
      <c r="H31" s="3">
        <f>SUMIFS('Extraction Offre de loisirs'!I:I, 'Extraction Offre de loisirs'!D:D,"bretagne",'Extraction Offre de loisirs'!F:F,"jeux et divertissements",'Extraction Offre de loisirs'!B:B,"2015")</f>
        <v>922</v>
      </c>
      <c r="I31" s="3">
        <f>SUMIFS('Extraction Offre de loisirs'!I:I, 'Extraction Offre de loisirs'!D:D,"bretagne",'Extraction Offre de loisirs'!F:F,"jeux et divertissements",'Extraction Offre de loisirs'!B:B,"2014")</f>
        <v>354</v>
      </c>
      <c r="J31" s="3">
        <f>SUMIFS('Extraction Offre de loisirs'!I:I, 'Extraction Offre de loisirs'!D:D,"bretagne",'Extraction Offre de loisirs'!F:F,"jeux et divertissements",'Extraction Offre de loisirs'!B:B,"2013")</f>
        <v>107</v>
      </c>
    </row>
    <row r="32" spans="1:10" hidden="1" x14ac:dyDescent="0.25">
      <c r="A32" s="15" t="s">
        <v>36</v>
      </c>
      <c r="B32" s="15" t="s">
        <v>78</v>
      </c>
      <c r="C32" s="2" t="s">
        <v>83</v>
      </c>
      <c r="D32" s="3">
        <f>SUMIFS('Extraction Offre de loisirs'!I:I, 'Extraction Offre de loisirs'!D:D,"bretagne",'Extraction Offre de loisirs'!F:F,"shopping")</f>
        <v>2272</v>
      </c>
      <c r="E32" s="3">
        <f t="shared" si="1"/>
        <v>2131</v>
      </c>
      <c r="F32" s="3">
        <f>SUMIFS('Extraction Offre de loisirs'!I:I, 'Extraction Offre de loisirs'!D:D,"bretagne",'Extraction Offre de loisirs'!F:F,"shopping",'Extraction Offre de loisirs'!B:B,"2017")</f>
        <v>440</v>
      </c>
      <c r="G32" s="3">
        <f>SUMIFS('Extraction Offre de loisirs'!I:I, 'Extraction Offre de loisirs'!D:D,"bretagne",'Extraction Offre de loisirs'!F:F,"shopping",'Extraction Offre de loisirs'!B:B,"2016")</f>
        <v>1142</v>
      </c>
      <c r="H32" s="3">
        <f>SUMIFS('Extraction Offre de loisirs'!I:I, 'Extraction Offre de loisirs'!D:D,"bretagne",'Extraction Offre de loisirs'!F:F,"shopping",'Extraction Offre de loisirs'!B:B,"2015")</f>
        <v>549</v>
      </c>
      <c r="I32" s="3">
        <f>SUMIFS('Extraction Offre de loisirs'!I:I, 'Extraction Offre de loisirs'!D:D,"bretagne",'Extraction Offre de loisirs'!F:F,"shopping",'Extraction Offre de loisirs'!B:B,"2014")</f>
        <v>101</v>
      </c>
      <c r="J32" s="3">
        <f>SUMIFS('Extraction Offre de loisirs'!I:I, 'Extraction Offre de loisirs'!D:D,"bretagne",'Extraction Offre de loisirs'!F:F,"shopping",'Extraction Offre de loisirs'!B:B,"2013")</f>
        <v>40</v>
      </c>
    </row>
    <row r="33" spans="1:10" hidden="1" x14ac:dyDescent="0.25">
      <c r="A33" s="15" t="s">
        <v>36</v>
      </c>
      <c r="B33" s="15" t="s">
        <v>78</v>
      </c>
      <c r="C33" s="2" t="s">
        <v>84</v>
      </c>
      <c r="D33" s="3">
        <f>SUMIFS('Extraction Offre de loisirs'!I:I, 'Extraction Offre de loisirs'!D:D,"bretagne",'Extraction Offre de loisirs'!F:F,"vie nocturne")</f>
        <v>1543</v>
      </c>
      <c r="E33" s="3">
        <f t="shared" si="1"/>
        <v>1368</v>
      </c>
      <c r="F33" s="3">
        <f>SUMIFS('Extraction Offre de loisirs'!I:I, 'Extraction Offre de loisirs'!D:D,"bretagne",'Extraction Offre de loisirs'!F:F,"vie nocturne",'Extraction Offre de loisirs'!B:B,"2017")</f>
        <v>296</v>
      </c>
      <c r="G33" s="3">
        <f>SUMIFS('Extraction Offre de loisirs'!I:I, 'Extraction Offre de loisirs'!D:D,"bretagne",'Extraction Offre de loisirs'!F:F,"vie nocturne",'Extraction Offre de loisirs'!B:B,"2016")</f>
        <v>667</v>
      </c>
      <c r="H33" s="3">
        <f>SUMIFS('Extraction Offre de loisirs'!I:I, 'Extraction Offre de loisirs'!D:D,"bretagne",'Extraction Offre de loisirs'!F:F,"vie nocturne",'Extraction Offre de loisirs'!B:B,"2015")</f>
        <v>405</v>
      </c>
      <c r="I33" s="3">
        <f>SUMIFS('Extraction Offre de loisirs'!I:I, 'Extraction Offre de loisirs'!D:D,"bretagne",'Extraction Offre de loisirs'!F:F,"vie nocturne",'Extraction Offre de loisirs'!B:B,"2014")</f>
        <v>150</v>
      </c>
      <c r="J33" s="3">
        <f>SUMIFS('Extraction Offre de loisirs'!I:I, 'Extraction Offre de loisirs'!D:D,"bretagne",'Extraction Offre de loisirs'!F:F,"vie nocturne",'Extraction Offre de loisirs'!B:B,"2013")</f>
        <v>25</v>
      </c>
    </row>
    <row r="34" spans="1:10" hidden="1" x14ac:dyDescent="0.25">
      <c r="A34" s="20" t="s">
        <v>36</v>
      </c>
      <c r="B34" s="17" t="s">
        <v>82</v>
      </c>
      <c r="C34" s="4" t="s">
        <v>101</v>
      </c>
      <c r="D34" s="11">
        <f>SUMIF('Extraction Patrimoine'!D:D,"bretagne",'Extraction Patrimoine'!I:I)</f>
        <v>15964</v>
      </c>
      <c r="E34" s="11">
        <f t="shared" si="1"/>
        <v>13151</v>
      </c>
      <c r="F34" s="11">
        <f>SUMIFS('Extraction Patrimoine'!I:I, 'Extraction Patrimoine'!D:D,"bretagne",'Extraction Patrimoine'!B:B,"2017")</f>
        <v>2245</v>
      </c>
      <c r="G34" s="11">
        <f>SUMIFS('Extraction Patrimoine'!I:I, 'Extraction Patrimoine'!D:D,"bretagne",'Extraction Patrimoine'!B:B,"2016")</f>
        <v>6549</v>
      </c>
      <c r="H34" s="11">
        <f>SUMIFS('Extraction Patrimoine'!I:I, 'Extraction Patrimoine'!D:D,"bretagne",'Extraction Patrimoine'!B:B,"2015")</f>
        <v>4357</v>
      </c>
      <c r="I34" s="11">
        <f>SUMIFS('Extraction Patrimoine'!I:I, 'Extraction Patrimoine'!D:D,"bretagne",'Extraction Patrimoine'!B:B,"2014")</f>
        <v>1790</v>
      </c>
      <c r="J34" s="11">
        <f>SUMIFS('Extraction Patrimoine'!I:I, 'Extraction Patrimoine'!D:D,"bretagne",'Extraction Patrimoine'!B:B,"2013")</f>
        <v>1023</v>
      </c>
    </row>
    <row r="35" spans="1:10" hidden="1" x14ac:dyDescent="0.25">
      <c r="A35" s="15" t="s">
        <v>36</v>
      </c>
      <c r="B35" s="15" t="s">
        <v>82</v>
      </c>
      <c r="C35" s="15" t="s">
        <v>98</v>
      </c>
      <c r="D35" s="23">
        <f>SUMIFS('Extraction Patrimoine'!I:I, 'Extraction Patrimoine'!D:D,"bretagne",'Extraction Patrimoine'!F:F,"nature et parcs")</f>
        <v>15964</v>
      </c>
      <c r="E35" s="23">
        <f t="shared" si="1"/>
        <v>13151</v>
      </c>
      <c r="F35" s="23">
        <f>SUMIFS('Extraction Patrimoine'!I:I, 'Extraction Patrimoine'!D:D,"bretagne",'Extraction Patrimoine'!F:F,"nature et parcs",'Extraction Patrimoine'!B:B, "2017")</f>
        <v>2245</v>
      </c>
      <c r="G35" s="23">
        <f>SUMIFS('Extraction Patrimoine'!I:I, 'Extraction Patrimoine'!D:D,"bretagne",'Extraction Patrimoine'!F:F,"nature et parcs",'Extraction Patrimoine'!B:B, "2016")</f>
        <v>6549</v>
      </c>
      <c r="H35" s="23">
        <f>SUMIFS('Extraction Patrimoine'!I:I, 'Extraction Patrimoine'!D:D,"bretagne",'Extraction Patrimoine'!F:F,"nature et parcs",'Extraction Patrimoine'!B:B, "2015")</f>
        <v>4357</v>
      </c>
      <c r="I35" s="23">
        <f>SUMIFS('Extraction Patrimoine'!I:I, 'Extraction Patrimoine'!D:D,"bretagne",'Extraction Patrimoine'!F:F,"nature et parcs",'Extraction Patrimoine'!B:B, "2014")</f>
        <v>1790</v>
      </c>
      <c r="J35" s="23">
        <f>SUMIFS('Extraction Patrimoine'!I:I, 'Extraction Patrimoine'!D:D,"bretagne",'Extraction Patrimoine'!F:F,"nature et parcs",'Extraction Patrimoine'!B:B, "2013")</f>
        <v>1023</v>
      </c>
    </row>
    <row r="36" spans="1:10" hidden="1" x14ac:dyDescent="0.25">
      <c r="A36" s="15" t="s">
        <v>36</v>
      </c>
      <c r="B36" s="15" t="s">
        <v>82</v>
      </c>
      <c r="C36" s="15" t="s">
        <v>99</v>
      </c>
      <c r="D36" s="23">
        <f>SUMIFS('Extraction Patrimoine'!I:I, 'Extraction Patrimoine'!D:D,"bretagne",'Extraction Patrimoine'!F:F,"musées")</f>
        <v>0</v>
      </c>
      <c r="E36" s="23">
        <f t="shared" si="1"/>
        <v>0</v>
      </c>
      <c r="F36" s="23">
        <f>SUMIFS('Extraction Patrimoine'!I:I, 'Extraction Patrimoine'!D:D,"bretagne",'Extraction Patrimoine'!F:F,"musées",'Extraction Patrimoine'!B:B, "2017")</f>
        <v>0</v>
      </c>
      <c r="G36" s="23">
        <f>SUMIFS('Extraction Patrimoine'!I:I, 'Extraction Patrimoine'!D:D,"bretagne",'Extraction Patrimoine'!F:F,"musées",'Extraction Patrimoine'!B:B, "2016")</f>
        <v>0</v>
      </c>
      <c r="H36" s="23">
        <f>SUMIFS('Extraction Patrimoine'!I:I, 'Extraction Patrimoine'!D:D,"bretagne",'Extraction Patrimoine'!F:F,"musées",'Extraction Patrimoine'!B:B, "2015")</f>
        <v>0</v>
      </c>
      <c r="I36" s="23">
        <f>SUMIFS('Extraction Patrimoine'!I:I, 'Extraction Patrimoine'!D:D,"bretagne",'Extraction Patrimoine'!F:F,"musées",'Extraction Patrimoine'!B:B, "2014")</f>
        <v>0</v>
      </c>
      <c r="J36" s="23">
        <f>SUMIFS('Extraction Patrimoine'!I:I, 'Extraction Patrimoine'!D:D,"bretagne",'Extraction Patrimoine'!F:F,"musées",'Extraction Patrimoine'!B:B, "2013")</f>
        <v>0</v>
      </c>
    </row>
    <row r="37" spans="1:10" hidden="1" x14ac:dyDescent="0.25">
      <c r="A37" s="15" t="s">
        <v>36</v>
      </c>
      <c r="B37" s="15" t="s">
        <v>82</v>
      </c>
      <c r="C37" s="15" t="s">
        <v>100</v>
      </c>
      <c r="D37" s="23">
        <f>SUMIFS('Extraction Patrimoine'!I:I, 'Extraction Patrimoine'!D:D,"bretagne",'Extraction Patrimoine'!F:F,"sites et monuments")</f>
        <v>0</v>
      </c>
      <c r="E37" s="23">
        <f t="shared" si="1"/>
        <v>0</v>
      </c>
      <c r="F37" s="23">
        <f>SUMIFS('Extraction Patrimoine'!I:I, 'Extraction Patrimoine'!D:D,"bretagne",'Extraction Patrimoine'!F:F,"sites et monuments",'Extraction Patrimoine'!B:B, "2017")</f>
        <v>0</v>
      </c>
      <c r="G37" s="23">
        <f>SUMIFS('Extraction Patrimoine'!I:I, 'Extraction Patrimoine'!D:D,"bretagne",'Extraction Patrimoine'!F:F,"sites et monuments",'Extraction Patrimoine'!B:B, "2016")</f>
        <v>0</v>
      </c>
      <c r="H37" s="23">
        <f>SUMIFS('Extraction Patrimoine'!I:I, 'Extraction Patrimoine'!D:D,"bretagne",'Extraction Patrimoine'!F:F,"sites et monuments",'Extraction Patrimoine'!B:B, "2015")</f>
        <v>0</v>
      </c>
      <c r="I37" s="23">
        <f>SUMIFS('Extraction Patrimoine'!I:I, 'Extraction Patrimoine'!D:D,"bretagne",'Extraction Patrimoine'!F:F,"sites et monuments",'Extraction Patrimoine'!B:B, "2014")</f>
        <v>0</v>
      </c>
      <c r="J37" s="23">
        <f>SUMIFS('Extraction Patrimoine'!I:I, 'Extraction Patrimoine'!D:D,"bretagne",'Extraction Patrimoine'!F:F,"sites et monuments",'Extraction Patrimoine'!B:B, "2013")</f>
        <v>0</v>
      </c>
    </row>
    <row r="38" spans="1:10" hidden="1" x14ac:dyDescent="0.25">
      <c r="A38" s="20" t="s">
        <v>36</v>
      </c>
      <c r="B38" s="17" t="s">
        <v>9</v>
      </c>
      <c r="C38" s="4" t="s">
        <v>101</v>
      </c>
      <c r="D38" s="11">
        <f>SUMIF('Extraction Offre de services'!D:D,"bretagne",'Extraction Offre de services'!I:I)</f>
        <v>20694</v>
      </c>
      <c r="E38" s="11">
        <f t="shared" si="1"/>
        <v>19731</v>
      </c>
      <c r="F38" s="11">
        <f>SUMIFS('Extraction Offre de services'!I:I, 'Extraction Offre de services'!D:D,"bretagne",'Extraction Offre de services'!B:B,"2017")</f>
        <v>5808</v>
      </c>
      <c r="G38" s="11">
        <f>SUMIFS('Extraction Offre de services'!I:I, 'Extraction Offre de services'!D:D,"bretagne",'Extraction Offre de services'!B:B,"2016")</f>
        <v>10766</v>
      </c>
      <c r="H38" s="11">
        <f>SUMIFS('Extraction Offre de services'!I:I, 'Extraction Offre de services'!D:D,"bretagne",'Extraction Offre de services'!B:B,"2015")</f>
        <v>3157</v>
      </c>
      <c r="I38" s="11">
        <f>SUMIFS('Extraction Offre de services'!I:I, 'Extraction Offre de services'!D:D,"bretagne",'Extraction Offre de services'!B:B,"2014")</f>
        <v>608</v>
      </c>
      <c r="J38" s="11">
        <f>SUMIFS('Extraction Offre de services'!I:I, 'Extraction Offre de services'!D:D,"bretagne",'Extraction Offre de services'!B:B,"2013")</f>
        <v>355</v>
      </c>
    </row>
    <row r="39" spans="1:10" hidden="1" x14ac:dyDescent="0.25">
      <c r="A39" s="15" t="s">
        <v>36</v>
      </c>
      <c r="B39" s="15" t="s">
        <v>9</v>
      </c>
      <c r="C39" s="2" t="s">
        <v>10</v>
      </c>
      <c r="D39" s="3">
        <f>SUMIFS('Extraction Offre de services'!I:I, 'Extraction Offre de services'!D:D,"bretagne",'Extraction Offre de services'!F:F,"hebergement")</f>
        <v>15947</v>
      </c>
      <c r="E39" s="3">
        <f t="shared" si="1"/>
        <v>15947</v>
      </c>
      <c r="F39" s="3">
        <f>SUMIFS('Extraction Offre de services'!I:I, 'Extraction Offre de services'!D:D,"bretagne",'Extraction Offre de services'!F:F,"hebergement",'Extraction Offre de services'!B:B,"2017")</f>
        <v>4906</v>
      </c>
      <c r="G39" s="3">
        <f>SUMIFS('Extraction Offre de services'!I:I, 'Extraction Offre de services'!D:D,"bretagne",'Extraction Offre de services'!F:F,"hebergement",'Extraction Offre de services'!B:B,"2016")</f>
        <v>8887</v>
      </c>
      <c r="H39" s="3">
        <f>SUMIFS('Extraction Offre de services'!I:I, 'Extraction Offre de services'!D:D,"bretagne",'Extraction Offre de services'!F:F,"hebergement",'Extraction Offre de services'!B:B,"2015")</f>
        <v>2154</v>
      </c>
      <c r="I39" s="3">
        <f>SUMIFS('Extraction Offre de services'!I:I, 'Extraction Offre de services'!D:D,"bretagne",'Extraction Offre de services'!F:F,"hebergement",'Extraction Offre de services'!B:B,"2014")</f>
        <v>0</v>
      </c>
      <c r="J39" s="3">
        <f>SUMIFS('Extraction Offre de services'!I:I, 'Extraction Offre de services'!D:D,"bretagne",'Extraction Offre de services'!F:F,"hebergement",'Extraction Offre de services'!B:B,"2013")</f>
        <v>0</v>
      </c>
    </row>
    <row r="40" spans="1:10" hidden="1" x14ac:dyDescent="0.25">
      <c r="A40" s="15" t="s">
        <v>36</v>
      </c>
      <c r="B40" s="15" t="s">
        <v>9</v>
      </c>
      <c r="C40" s="2" t="s">
        <v>48</v>
      </c>
      <c r="D40" s="3">
        <f>SUMIFS('Extraction Offre de services'!I:I, 'Extraction Offre de services'!D:D,"bretagne",'Extraction Offre de services'!F:F,"restauration")</f>
        <v>4747</v>
      </c>
      <c r="E40" s="3">
        <f t="shared" si="1"/>
        <v>3784</v>
      </c>
      <c r="F40" s="3">
        <f>SUMIFS('Extraction Offre de services'!I:I,'Extraction Offre de services'!D:D,"bretagne",'Extraction Offre de services'!F:F,"restauration",'Extraction Offre de services'!B:B,"2017")</f>
        <v>902</v>
      </c>
      <c r="G40" s="3">
        <f>SUMIFS('Extraction Offre de services'!I:I,'Extraction Offre de services'!D:D,"bretagne",'Extraction Offre de services'!F:F,"restauration",'Extraction Offre de services'!B:B,"2016")</f>
        <v>1879</v>
      </c>
      <c r="H40" s="3">
        <f>SUMIFS('Extraction Offre de services'!I:I,'Extraction Offre de services'!D:D,"bretagne",'Extraction Offre de services'!F:F,"restauration",'Extraction Offre de services'!B:B,"2015")</f>
        <v>1003</v>
      </c>
      <c r="I40" s="3">
        <f>SUMIFS('Extraction Offre de services'!I:I,'Extraction Offre de services'!D:D,"bretagne",'Extraction Offre de services'!F:F,"restauration",'Extraction Offre de services'!B:B,"2014")</f>
        <v>608</v>
      </c>
      <c r="J40" s="3">
        <f>SUMIFS('Extraction Offre de services'!I:I,'Extraction Offre de services'!D:D,"bretagne",'Extraction Offre de services'!F:F,"restauration",'Extraction Offre de services'!B:B,"2013")</f>
        <v>355</v>
      </c>
    </row>
    <row r="41" spans="1:10" hidden="1" x14ac:dyDescent="0.25">
      <c r="A41" s="16" t="s">
        <v>37</v>
      </c>
      <c r="B41" s="16" t="s">
        <v>88</v>
      </c>
      <c r="C41" s="8" t="s">
        <v>101</v>
      </c>
      <c r="D41" s="10">
        <f>D42+D47+D51</f>
        <v>76496</v>
      </c>
      <c r="E41" s="10">
        <f t="shared" si="1"/>
        <v>69551</v>
      </c>
      <c r="F41" s="10">
        <f t="shared" ref="F41" si="12">F42+F47+F51</f>
        <v>14839</v>
      </c>
      <c r="G41" s="10">
        <f t="shared" ref="G41" si="13">G42+G47+G51</f>
        <v>37553</v>
      </c>
      <c r="H41" s="10">
        <f t="shared" ref="H41" si="14">H42+H47+H51</f>
        <v>17159</v>
      </c>
      <c r="I41" s="10">
        <f t="shared" ref="I41" si="15">I42+I47+I51</f>
        <v>4335</v>
      </c>
      <c r="J41" s="10">
        <f t="shared" ref="J41" si="16">J42+J47+J51</f>
        <v>2610</v>
      </c>
    </row>
    <row r="42" spans="1:10" hidden="1" x14ac:dyDescent="0.25">
      <c r="A42" s="20" t="s">
        <v>37</v>
      </c>
      <c r="B42" s="17" t="s">
        <v>78</v>
      </c>
      <c r="C42" s="4" t="s">
        <v>101</v>
      </c>
      <c r="D42" s="11">
        <f>SUMIF('Extraction Offre de loisirs'!D:D,"centre-val de loire",'Extraction Offre de loisirs'!I:I)</f>
        <v>11825</v>
      </c>
      <c r="E42" s="11">
        <f t="shared" si="1"/>
        <v>9640</v>
      </c>
      <c r="F42" s="11">
        <f>SUMIFS('Extraction Offre de loisirs'!I:I, 'Extraction Offre de loisirs'!D:D,"centre-val de loire",'Extraction Offre de loisirs'!B:B,"2017")</f>
        <v>1790</v>
      </c>
      <c r="G42" s="11">
        <f>SUMIFS('Extraction Offre de loisirs'!I:I, 'Extraction Offre de loisirs'!D:D,"centre-val de loire",'Extraction Offre de loisirs'!B:B,"2016")</f>
        <v>4654</v>
      </c>
      <c r="H42" s="11">
        <f>SUMIFS('Extraction Offre de loisirs'!I:I, 'Extraction Offre de loisirs'!D:D,"centre-val de loire",'Extraction Offre de loisirs'!B:B,"2015")</f>
        <v>3196</v>
      </c>
      <c r="I42" s="11">
        <f>SUMIFS('Extraction Offre de loisirs'!I:I, 'Extraction Offre de loisirs'!D:D,"centre-val de loire",'Extraction Offre de loisirs'!B:B,"2014")</f>
        <v>1433</v>
      </c>
      <c r="J42" s="11">
        <f>SUMIFS('Extraction Offre de loisirs'!I:I, 'Extraction Offre de loisirs'!D:D,"centre-val de loire",'Extraction Offre de loisirs'!B:B,"2013")</f>
        <v>752</v>
      </c>
    </row>
    <row r="43" spans="1:10" hidden="1" x14ac:dyDescent="0.25">
      <c r="A43" s="15" t="s">
        <v>37</v>
      </c>
      <c r="B43" s="15" t="s">
        <v>78</v>
      </c>
      <c r="C43" s="2" t="s">
        <v>79</v>
      </c>
      <c r="D43" s="3">
        <f>SUMIFS('Extraction Offre de loisirs'!I:I, 'Extraction Offre de loisirs'!D:D,"centre-val de loire",'Extraction Offre de loisirs'!F:F,"activites de plein air")</f>
        <v>8401</v>
      </c>
      <c r="E43" s="3">
        <f t="shared" si="1"/>
        <v>6656</v>
      </c>
      <c r="F43" s="3">
        <f>SUMIFS('Extraction Offre de loisirs'!I:I, 'Extraction Offre de loisirs'!D:D,"centre-val de loire",'Extraction Offre de loisirs'!F:F,"activites de plein air",'Extraction Offre de loisirs'!B:B,"2017")</f>
        <v>1117</v>
      </c>
      <c r="G43" s="3">
        <f>SUMIFS('Extraction Offre de loisirs'!I:I, 'Extraction Offre de loisirs'!D:D,"centre-val de loire",'Extraction Offre de loisirs'!F:F,"activites de plein air",'Extraction Offre de loisirs'!B:B,"2016")</f>
        <v>3210</v>
      </c>
      <c r="H43" s="3">
        <f>SUMIFS('Extraction Offre de loisirs'!I:I, 'Extraction Offre de loisirs'!D:D,"centre-val de loire",'Extraction Offre de loisirs'!F:F,"activites de plein air",'Extraction Offre de loisirs'!B:B,"2015")</f>
        <v>2329</v>
      </c>
      <c r="I43" s="3">
        <f>SUMIFS('Extraction Offre de loisirs'!I:I, 'Extraction Offre de loisirs'!D:D,"centre-val de loire",'Extraction Offre de loisirs'!F:F,"activites de plein air",'Extraction Offre de loisirs'!B:B,"2014")</f>
        <v>1099</v>
      </c>
      <c r="J43" s="3">
        <f>SUMIFS('Extraction Offre de loisirs'!I:I, 'Extraction Offre de loisirs'!D:D,"centre-val de loire",'Extraction Offre de loisirs'!F:F,"activites de plein air",'Extraction Offre de loisirs'!B:B,"2013")</f>
        <v>646</v>
      </c>
    </row>
    <row r="44" spans="1:10" hidden="1" x14ac:dyDescent="0.25">
      <c r="A44" s="15" t="s">
        <v>37</v>
      </c>
      <c r="B44" s="15" t="s">
        <v>78</v>
      </c>
      <c r="C44" s="2" t="s">
        <v>81</v>
      </c>
      <c r="D44" s="3">
        <f>SUMIFS('Extraction Offre de loisirs'!I:I, 'Extraction Offre de loisirs'!D:D,"centre-val de loire",'Extraction Offre de loisirs'!F:F,"jeux et divertissements")</f>
        <v>2126</v>
      </c>
      <c r="E44" s="3">
        <f t="shared" si="1"/>
        <v>1831</v>
      </c>
      <c r="F44" s="3">
        <f>SUMIFS('Extraction Offre de loisirs'!I:I, 'Extraction Offre de loisirs'!D:D,"centre-val de loire",'Extraction Offre de loisirs'!F:F,"jeux et divertissements",'Extraction Offre de loisirs'!B:B,"2017")</f>
        <v>382</v>
      </c>
      <c r="G44" s="3">
        <f>SUMIFS('Extraction Offre de loisirs'!I:I, 'Extraction Offre de loisirs'!D:D,"centre-val de loire",'Extraction Offre de loisirs'!F:F,"jeux et divertissements",'Extraction Offre de loisirs'!B:B,"2016")</f>
        <v>911</v>
      </c>
      <c r="H44" s="3">
        <f>SUMIFS('Extraction Offre de loisirs'!I:I, 'Extraction Offre de loisirs'!D:D,"centre-val de loire",'Extraction Offre de loisirs'!F:F,"jeux et divertissements",'Extraction Offre de loisirs'!B:B,"2015")</f>
        <v>538</v>
      </c>
      <c r="I44" s="3">
        <f>SUMIFS('Extraction Offre de loisirs'!I:I, 'Extraction Offre de loisirs'!D:D,"centre-val de loire",'Extraction Offre de loisirs'!F:F,"jeux et divertissements",'Extraction Offre de loisirs'!B:B,"2014")</f>
        <v>215</v>
      </c>
      <c r="J44" s="3">
        <f>SUMIFS('Extraction Offre de loisirs'!I:I, 'Extraction Offre de loisirs'!D:D,"centre-val de loire",'Extraction Offre de loisirs'!F:F,"jeux et divertissements",'Extraction Offre de loisirs'!B:B,"2013")</f>
        <v>80</v>
      </c>
    </row>
    <row r="45" spans="1:10" hidden="1" x14ac:dyDescent="0.25">
      <c r="A45" s="15" t="s">
        <v>37</v>
      </c>
      <c r="B45" s="15" t="s">
        <v>78</v>
      </c>
      <c r="C45" s="2" t="s">
        <v>83</v>
      </c>
      <c r="D45" s="3">
        <f>SUMIFS('Extraction Offre de loisirs'!I:I, 'Extraction Offre de loisirs'!D:D,"centre-val de loire",'Extraction Offre de loisirs'!F:F,"shopping")</f>
        <v>714</v>
      </c>
      <c r="E45" s="3">
        <f t="shared" si="1"/>
        <v>645</v>
      </c>
      <c r="F45" s="3">
        <f>SUMIFS('Extraction Offre de loisirs'!I:I, 'Extraction Offre de loisirs'!D:D,"centre-val de loire",'Extraction Offre de loisirs'!F:F,"shopping",'Extraction Offre de loisirs'!B:B,"2017")</f>
        <v>140</v>
      </c>
      <c r="G45" s="3">
        <f>SUMIFS('Extraction Offre de loisirs'!I:I, 'Extraction Offre de loisirs'!D:D,"centre-val de loire",'Extraction Offre de loisirs'!F:F,"shopping",'Extraction Offre de loisirs'!B:B,"2016")</f>
        <v>322</v>
      </c>
      <c r="H45" s="3">
        <f>SUMIFS('Extraction Offre de loisirs'!I:I, 'Extraction Offre de loisirs'!D:D,"centre-val de loire",'Extraction Offre de loisirs'!F:F,"shopping",'Extraction Offre de loisirs'!B:B,"2015")</f>
        <v>183</v>
      </c>
      <c r="I45" s="3">
        <f>SUMIFS('Extraction Offre de loisirs'!I:I, 'Extraction Offre de loisirs'!D:D,"centre-val de loire",'Extraction Offre de loisirs'!F:F,"shopping",'Extraction Offre de loisirs'!B:B,"2014")</f>
        <v>45</v>
      </c>
      <c r="J45" s="3">
        <f>SUMIFS('Extraction Offre de loisirs'!I:I, 'Extraction Offre de loisirs'!D:D,"centre-val de loire",'Extraction Offre de loisirs'!F:F,"shopping",'Extraction Offre de loisirs'!B:B,"2013")</f>
        <v>24</v>
      </c>
    </row>
    <row r="46" spans="1:10" hidden="1" x14ac:dyDescent="0.25">
      <c r="A46" s="15" t="s">
        <v>37</v>
      </c>
      <c r="B46" s="15" t="s">
        <v>78</v>
      </c>
      <c r="C46" s="2" t="s">
        <v>84</v>
      </c>
      <c r="D46" s="3">
        <f>SUMIFS('Extraction Offre de loisirs'!I:I, 'Extraction Offre de loisirs'!D:D,"centre-val de loire",'Extraction Offre de loisirs'!F:F,"vie nocturne")</f>
        <v>584</v>
      </c>
      <c r="E46" s="3">
        <f t="shared" si="1"/>
        <v>508</v>
      </c>
      <c r="F46" s="3">
        <f>SUMIFS('Extraction Offre de loisirs'!I:I, 'Extraction Offre de loisirs'!D:D,"centre-val de loire",'Extraction Offre de loisirs'!F:F,"vie nocturne",'Extraction Offre de loisirs'!B:B,"2017")</f>
        <v>151</v>
      </c>
      <c r="G46" s="3">
        <f>SUMIFS('Extraction Offre de loisirs'!I:I, 'Extraction Offre de loisirs'!D:D,"centre-val de loire",'Extraction Offre de loisirs'!F:F,"vie nocturne",'Extraction Offre de loisirs'!B:B,"2016")</f>
        <v>211</v>
      </c>
      <c r="H46" s="3">
        <f>SUMIFS('Extraction Offre de loisirs'!I:I, 'Extraction Offre de loisirs'!D:D,"centre-val de loire",'Extraction Offre de loisirs'!F:F,"vie nocturne",'Extraction Offre de loisirs'!B:B,"2015")</f>
        <v>146</v>
      </c>
      <c r="I46" s="3">
        <f>SUMIFS('Extraction Offre de loisirs'!I:I, 'Extraction Offre de loisirs'!D:D,"centre-val de loire",'Extraction Offre de loisirs'!F:F,"vie nocturne",'Extraction Offre de loisirs'!B:B,"2014")</f>
        <v>74</v>
      </c>
      <c r="J46" s="3">
        <f>SUMIFS('Extraction Offre de loisirs'!I:I, 'Extraction Offre de loisirs'!D:D,"centre-val de loire",'Extraction Offre de loisirs'!F:F,"vie nocturne",'Extraction Offre de loisirs'!B:B,"2013")</f>
        <v>2</v>
      </c>
    </row>
    <row r="47" spans="1:10" hidden="1" x14ac:dyDescent="0.25">
      <c r="A47" s="20" t="s">
        <v>37</v>
      </c>
      <c r="B47" s="17" t="s">
        <v>82</v>
      </c>
      <c r="C47" s="4" t="s">
        <v>101</v>
      </c>
      <c r="D47" s="11">
        <f>SUMIF('Extraction Patrimoine'!D:D,"centre-val de loire",'Extraction Patrimoine'!I:I)</f>
        <v>12540</v>
      </c>
      <c r="E47" s="11">
        <f t="shared" si="1"/>
        <v>9920</v>
      </c>
      <c r="F47" s="11">
        <f>SUMIFS('Extraction Patrimoine'!I:I, 'Extraction Patrimoine'!D:D,"centre-val de loire",'Extraction Patrimoine'!B:B,"2017")</f>
        <v>1766</v>
      </c>
      <c r="G47" s="11">
        <f>SUMIFS('Extraction Patrimoine'!I:I, 'Extraction Patrimoine'!D:D,"centre-val de loire",'Extraction Patrimoine'!B:B,"2016")</f>
        <v>4747</v>
      </c>
      <c r="H47" s="11">
        <f>SUMIFS('Extraction Patrimoine'!I:I, 'Extraction Patrimoine'!D:D,"centre-val de loire",'Extraction Patrimoine'!B:B,"2015")</f>
        <v>3407</v>
      </c>
      <c r="I47" s="11">
        <f>SUMIFS('Extraction Patrimoine'!I:I, 'Extraction Patrimoine'!D:D,"centre-val de loire",'Extraction Patrimoine'!B:B,"2014")</f>
        <v>1584</v>
      </c>
      <c r="J47" s="11">
        <f>SUMIFS('Extraction Patrimoine'!I:I, 'Extraction Patrimoine'!D:D,"centre-val de loire",'Extraction Patrimoine'!B:B,"2013")</f>
        <v>1036</v>
      </c>
    </row>
    <row r="48" spans="1:10" hidden="1" x14ac:dyDescent="0.25">
      <c r="A48" s="15" t="s">
        <v>37</v>
      </c>
      <c r="B48" s="15" t="s">
        <v>82</v>
      </c>
      <c r="C48" s="15" t="s">
        <v>98</v>
      </c>
      <c r="D48" s="23">
        <f>SUMIFS('Extraction Patrimoine'!I:I, 'Extraction Patrimoine'!D:D,"centre-val de loire",'Extraction Patrimoine'!F:F,"nature et parcs")</f>
        <v>12540</v>
      </c>
      <c r="E48" s="23">
        <f t="shared" si="1"/>
        <v>9920</v>
      </c>
      <c r="F48" s="23">
        <f>SUMIFS('Extraction Patrimoine'!I:I, 'Extraction Patrimoine'!D:D,"centre-val de loire",'Extraction Patrimoine'!F:F,"nature et parcs",'Extraction Patrimoine'!B:B, "2017")</f>
        <v>1766</v>
      </c>
      <c r="G48" s="23">
        <f>SUMIFS('Extraction Patrimoine'!I:I, 'Extraction Patrimoine'!D:D,"centre-val de loire",'Extraction Patrimoine'!F:F,"nature et parcs",'Extraction Patrimoine'!B:B, "2016")</f>
        <v>4747</v>
      </c>
      <c r="H48" s="23">
        <f>SUMIFS('Extraction Patrimoine'!I:I, 'Extraction Patrimoine'!D:D,"centre-val de loire",'Extraction Patrimoine'!F:F,"nature et parcs",'Extraction Patrimoine'!B:B, "2015")</f>
        <v>3407</v>
      </c>
      <c r="I48" s="23">
        <f>SUMIFS('Extraction Patrimoine'!I:I, 'Extraction Patrimoine'!D:D,"centre-val de loire",'Extraction Patrimoine'!F:F,"nature et parcs",'Extraction Patrimoine'!B:B, "2014")</f>
        <v>1584</v>
      </c>
      <c r="J48" s="23">
        <f>SUMIFS('Extraction Patrimoine'!I:I, 'Extraction Patrimoine'!D:D,"centre-val de loire",'Extraction Patrimoine'!F:F,"nature et parcs",'Extraction Patrimoine'!B:B, "2013")</f>
        <v>1036</v>
      </c>
    </row>
    <row r="49" spans="1:10" hidden="1" x14ac:dyDescent="0.25">
      <c r="A49" s="15" t="s">
        <v>37</v>
      </c>
      <c r="B49" s="15" t="s">
        <v>82</v>
      </c>
      <c r="C49" s="15" t="s">
        <v>99</v>
      </c>
      <c r="D49" s="23">
        <f>SUMIFS('Extraction Patrimoine'!I:I, 'Extraction Patrimoine'!D:D,"centre-val de loire",'Extraction Patrimoine'!F:F,"musées")</f>
        <v>0</v>
      </c>
      <c r="E49" s="23">
        <f t="shared" si="1"/>
        <v>0</v>
      </c>
      <c r="F49" s="23">
        <f>SUMIFS('Extraction Patrimoine'!I:I, 'Extraction Patrimoine'!D:D,"centre-val de loire",'Extraction Patrimoine'!F:F,"musées",'Extraction Patrimoine'!B:B, "2017")</f>
        <v>0</v>
      </c>
      <c r="G49" s="23">
        <f>SUMIFS('Extraction Patrimoine'!I:I, 'Extraction Patrimoine'!D:D,"centre-val de loire",'Extraction Patrimoine'!F:F,"musées",'Extraction Patrimoine'!B:B, "2016")</f>
        <v>0</v>
      </c>
      <c r="H49" s="23">
        <f>SUMIFS('Extraction Patrimoine'!I:I, 'Extraction Patrimoine'!D:D,"centre-val de loire",'Extraction Patrimoine'!F:F,"musées",'Extraction Patrimoine'!B:B, "2015")</f>
        <v>0</v>
      </c>
      <c r="I49" s="23">
        <f>SUMIFS('Extraction Patrimoine'!I:I, 'Extraction Patrimoine'!D:D,"centre-val de loire",'Extraction Patrimoine'!F:F,"musées",'Extraction Patrimoine'!B:B, "2014")</f>
        <v>0</v>
      </c>
      <c r="J49" s="23">
        <f>SUMIFS('Extraction Patrimoine'!I:I, 'Extraction Patrimoine'!D:D,"centre-val de loire",'Extraction Patrimoine'!F:F,"musées",'Extraction Patrimoine'!B:B, "2013")</f>
        <v>0</v>
      </c>
    </row>
    <row r="50" spans="1:10" hidden="1" x14ac:dyDescent="0.25">
      <c r="A50" s="15" t="s">
        <v>37</v>
      </c>
      <c r="B50" s="15" t="s">
        <v>82</v>
      </c>
      <c r="C50" s="15" t="s">
        <v>100</v>
      </c>
      <c r="D50" s="23">
        <f>SUMIFS('Extraction Patrimoine'!I:I, 'Extraction Patrimoine'!D:D,"centre-val de loire",'Extraction Patrimoine'!F:F,"sites et monuments")</f>
        <v>0</v>
      </c>
      <c r="E50" s="23">
        <f t="shared" si="1"/>
        <v>0</v>
      </c>
      <c r="F50" s="23">
        <f>SUMIFS('Extraction Patrimoine'!I:I, 'Extraction Patrimoine'!D:D,"centre-val de loire",'Extraction Patrimoine'!F:F,"sites et monuments",'Extraction Patrimoine'!B:B, "2017")</f>
        <v>0</v>
      </c>
      <c r="G50" s="23">
        <f>SUMIFS('Extraction Patrimoine'!I:I, 'Extraction Patrimoine'!D:D,"centre-val de loire",'Extraction Patrimoine'!F:F,"sites et monuments",'Extraction Patrimoine'!B:B, "2016")</f>
        <v>0</v>
      </c>
      <c r="H50" s="23">
        <f>SUMIFS('Extraction Patrimoine'!I:I, 'Extraction Patrimoine'!D:D,"centre-val de loire",'Extraction Patrimoine'!F:F,"sites et monuments",'Extraction Patrimoine'!B:B, "2015")</f>
        <v>0</v>
      </c>
      <c r="I50" s="23">
        <f>SUMIFS('Extraction Patrimoine'!I:I, 'Extraction Patrimoine'!D:D,"centre-val de loire",'Extraction Patrimoine'!F:F,"sites et monuments",'Extraction Patrimoine'!B:B, "2014")</f>
        <v>0</v>
      </c>
      <c r="J50" s="23">
        <f>SUMIFS('Extraction Patrimoine'!I:I, 'Extraction Patrimoine'!D:D,"centre-val de loire",'Extraction Patrimoine'!F:F,"sites et monuments",'Extraction Patrimoine'!B:B, "2013")</f>
        <v>0</v>
      </c>
    </row>
    <row r="51" spans="1:10" hidden="1" x14ac:dyDescent="0.25">
      <c r="A51" s="20" t="s">
        <v>37</v>
      </c>
      <c r="B51" s="17" t="s">
        <v>9</v>
      </c>
      <c r="C51" s="4" t="s">
        <v>101</v>
      </c>
      <c r="D51" s="11">
        <f>SUMIF('Extraction Offre de services'!D:D,"centre-val de loire",'Extraction Offre de services'!I:I)</f>
        <v>52131</v>
      </c>
      <c r="E51" s="11">
        <f t="shared" si="1"/>
        <v>49991</v>
      </c>
      <c r="F51" s="11">
        <f>SUMIFS('Extraction Offre de services'!I:I, 'Extraction Offre de services'!D:D,"centre-val de loire",'Extraction Offre de services'!B:B,"2017")</f>
        <v>11283</v>
      </c>
      <c r="G51" s="11">
        <f>SUMIFS('Extraction Offre de services'!I:I, 'Extraction Offre de services'!D:D,"centre-val de loire",'Extraction Offre de services'!B:B,"2016")</f>
        <v>28152</v>
      </c>
      <c r="H51" s="11">
        <f>SUMIFS('Extraction Offre de services'!I:I, 'Extraction Offre de services'!D:D,"centre-val de loire",'Extraction Offre de services'!B:B,"2015")</f>
        <v>10556</v>
      </c>
      <c r="I51" s="11">
        <f>SUMIFS('Extraction Offre de services'!I:I, 'Extraction Offre de services'!D:D,"centre-val de loire",'Extraction Offre de services'!B:B,"2014")</f>
        <v>1318</v>
      </c>
      <c r="J51" s="11">
        <f>SUMIFS('Extraction Offre de services'!I:I, 'Extraction Offre de services'!D:D,"centre-val de loire",'Extraction Offre de services'!B:B,"2013")</f>
        <v>822</v>
      </c>
    </row>
    <row r="52" spans="1:10" hidden="1" x14ac:dyDescent="0.25">
      <c r="A52" s="15" t="s">
        <v>37</v>
      </c>
      <c r="B52" s="15" t="s">
        <v>9</v>
      </c>
      <c r="C52" s="2" t="s">
        <v>10</v>
      </c>
      <c r="D52" s="3">
        <f>SUMIFS('Extraction Offre de services'!I:I, 'Extraction Offre de services'!D:D,"centre-val de loire",'Extraction Offre de services'!F:F,"hebergement")</f>
        <v>43433</v>
      </c>
      <c r="E52" s="3">
        <f t="shared" si="1"/>
        <v>43433</v>
      </c>
      <c r="F52" s="3">
        <f>SUMIFS('Extraction Offre de services'!I:I, 'Extraction Offre de services'!D:D,"centre-val de loire",'Extraction Offre de services'!F:F,"hebergement",'Extraction Offre de services'!B:B,"2017")</f>
        <v>9855</v>
      </c>
      <c r="G52" s="3">
        <f>SUMIFS('Extraction Offre de services'!I:I, 'Extraction Offre de services'!D:D,"centre-val de loire",'Extraction Offre de services'!F:F,"hebergement",'Extraction Offre de services'!B:B,"2016")</f>
        <v>25134</v>
      </c>
      <c r="H52" s="3">
        <f>SUMIFS('Extraction Offre de services'!I:I, 'Extraction Offre de services'!D:D,"centre-val de loire",'Extraction Offre de services'!F:F,"hebergement",'Extraction Offre de services'!B:B,"2015")</f>
        <v>8444</v>
      </c>
      <c r="I52" s="3">
        <f>SUMIFS('Extraction Offre de services'!I:I, 'Extraction Offre de services'!D:D,"centre-val de loire",'Extraction Offre de services'!F:F,"hebergement",'Extraction Offre de services'!B:B,"2014")</f>
        <v>0</v>
      </c>
      <c r="J52" s="3">
        <f>SUMIFS('Extraction Offre de services'!I:I, 'Extraction Offre de services'!D:D,"centre-val de loire",'Extraction Offre de services'!F:F,"hebergement",'Extraction Offre de services'!B:B,"2013")</f>
        <v>0</v>
      </c>
    </row>
    <row r="53" spans="1:10" hidden="1" x14ac:dyDescent="0.25">
      <c r="A53" s="15" t="s">
        <v>37</v>
      </c>
      <c r="B53" s="15" t="s">
        <v>9</v>
      </c>
      <c r="C53" s="2" t="s">
        <v>48</v>
      </c>
      <c r="D53" s="3">
        <f>SUMIFS('Extraction Offre de services'!I:I, 'Extraction Offre de services'!D:D,"centre-val de loire",'Extraction Offre de services'!F:F,"restauration")</f>
        <v>8698</v>
      </c>
      <c r="E53" s="3">
        <f t="shared" si="1"/>
        <v>6558</v>
      </c>
      <c r="F53" s="3">
        <f>SUMIFS('Extraction Offre de services'!I:I,'Extraction Offre de services'!D:D,"centre-val de loire",'Extraction Offre de services'!F:F,"restauration",'Extraction Offre de services'!B:B,"2017")</f>
        <v>1428</v>
      </c>
      <c r="G53" s="3">
        <f>SUMIFS('Extraction Offre de services'!I:I,'Extraction Offre de services'!D:D,"centre-val de loire",'Extraction Offre de services'!F:F,"restauration",'Extraction Offre de services'!B:B,"2016")</f>
        <v>3018</v>
      </c>
      <c r="H53" s="3">
        <f>SUMIFS('Extraction Offre de services'!I:I,'Extraction Offre de services'!D:D,"centre-val de loire",'Extraction Offre de services'!F:F,"restauration",'Extraction Offre de services'!B:B,"2015")</f>
        <v>2112</v>
      </c>
      <c r="I53" s="3">
        <f>SUMIFS('Extraction Offre de services'!I:I,'Extraction Offre de services'!D:D,"centre-val de loire",'Extraction Offre de services'!F:F,"restauration",'Extraction Offre de services'!B:B,"2014")</f>
        <v>1318</v>
      </c>
      <c r="J53" s="3">
        <f>SUMIFS('Extraction Offre de services'!I:I,'Extraction Offre de services'!D:D,"centre-val de loire",'Extraction Offre de services'!F:F,"restauration",'Extraction Offre de services'!B:B,"2013")</f>
        <v>822</v>
      </c>
    </row>
    <row r="54" spans="1:10" hidden="1" x14ac:dyDescent="0.25">
      <c r="A54" s="16" t="s">
        <v>38</v>
      </c>
      <c r="B54" s="16" t="s">
        <v>88</v>
      </c>
      <c r="C54" s="8" t="s">
        <v>101</v>
      </c>
      <c r="D54" s="10">
        <f>D55+D60+D64</f>
        <v>40713</v>
      </c>
      <c r="E54" s="10">
        <f t="shared" si="1"/>
        <v>35883</v>
      </c>
      <c r="F54" s="10">
        <f t="shared" ref="F54" si="17">F55+F60+F64</f>
        <v>4673</v>
      </c>
      <c r="G54" s="10">
        <f t="shared" ref="G54" si="18">G55+G60+G64</f>
        <v>19866</v>
      </c>
      <c r="H54" s="10">
        <f t="shared" ref="H54" si="19">H55+H60+H64</f>
        <v>11344</v>
      </c>
      <c r="I54" s="10">
        <f t="shared" ref="I54" si="20">I55+I60+I64</f>
        <v>3399</v>
      </c>
      <c r="J54" s="10">
        <f t="shared" ref="J54" si="21">J55+J60+J64</f>
        <v>1431</v>
      </c>
    </row>
    <row r="55" spans="1:10" hidden="1" x14ac:dyDescent="0.25">
      <c r="A55" s="20" t="s">
        <v>38</v>
      </c>
      <c r="B55" s="17" t="s">
        <v>78</v>
      </c>
      <c r="C55" s="4" t="s">
        <v>101</v>
      </c>
      <c r="D55" s="11">
        <f>SUMIF('Extraction Offre de loisirs'!D:D,"corse",'Extraction Offre de loisirs'!I:I)</f>
        <v>20776</v>
      </c>
      <c r="E55" s="11">
        <f t="shared" si="1"/>
        <v>17969</v>
      </c>
      <c r="F55" s="11">
        <f>SUMIFS('Extraction Offre de loisirs'!I:I, 'Extraction Offre de loisirs'!D:D,"corse",'Extraction Offre de loisirs'!B:B,"2017")</f>
        <v>2192</v>
      </c>
      <c r="G55" s="11">
        <f>SUMIFS('Extraction Offre de loisirs'!I:I, 'Extraction Offre de loisirs'!D:D,"corse",'Extraction Offre de loisirs'!B:B,"2016")</f>
        <v>9868</v>
      </c>
      <c r="H55" s="11">
        <f>SUMIFS('Extraction Offre de loisirs'!I:I, 'Extraction Offre de loisirs'!D:D,"corse",'Extraction Offre de loisirs'!B:B,"2015")</f>
        <v>5909</v>
      </c>
      <c r="I55" s="11">
        <f>SUMIFS('Extraction Offre de loisirs'!I:I, 'Extraction Offre de loisirs'!D:D,"corse",'Extraction Offre de loisirs'!B:B,"2014")</f>
        <v>2121</v>
      </c>
      <c r="J55" s="11">
        <f>SUMIFS('Extraction Offre de loisirs'!I:I, 'Extraction Offre de loisirs'!D:D,"corse",'Extraction Offre de loisirs'!B:B,"2013")</f>
        <v>686</v>
      </c>
    </row>
    <row r="56" spans="1:10" hidden="1" x14ac:dyDescent="0.25">
      <c r="A56" s="15" t="s">
        <v>38</v>
      </c>
      <c r="B56" s="15" t="s">
        <v>78</v>
      </c>
      <c r="C56" s="2" t="s">
        <v>79</v>
      </c>
      <c r="D56" s="3">
        <f>SUMIFS('Extraction Offre de loisirs'!I:I, 'Extraction Offre de loisirs'!D:D,"corse",'Extraction Offre de loisirs'!F:F,"activites de plein air")</f>
        <v>19569</v>
      </c>
      <c r="E56" s="3">
        <f t="shared" si="1"/>
        <v>16906</v>
      </c>
      <c r="F56" s="3">
        <f>SUMIFS('Extraction Offre de loisirs'!I:I, 'Extraction Offre de loisirs'!D:D,"corse",'Extraction Offre de loisirs'!F:F,"activites de plein air",'Extraction Offre de loisirs'!B:B,"2017")</f>
        <v>2074</v>
      </c>
      <c r="G56" s="3">
        <f>SUMIFS('Extraction Offre de loisirs'!I:I, 'Extraction Offre de loisirs'!D:D,"corse",'Extraction Offre de loisirs'!F:F,"activites de plein air",'Extraction Offre de loisirs'!B:B,"2016")</f>
        <v>9297</v>
      </c>
      <c r="H56" s="3">
        <f>SUMIFS('Extraction Offre de loisirs'!I:I, 'Extraction Offre de loisirs'!D:D,"corse",'Extraction Offre de loisirs'!F:F,"activites de plein air",'Extraction Offre de loisirs'!B:B,"2015")</f>
        <v>5535</v>
      </c>
      <c r="I56" s="3">
        <f>SUMIFS('Extraction Offre de loisirs'!I:I, 'Extraction Offre de loisirs'!D:D,"corse",'Extraction Offre de loisirs'!F:F,"activites de plein air",'Extraction Offre de loisirs'!B:B,"2014")</f>
        <v>1999</v>
      </c>
      <c r="J56" s="3">
        <f>SUMIFS('Extraction Offre de loisirs'!I:I, 'Extraction Offre de loisirs'!D:D,"corse",'Extraction Offre de loisirs'!F:F,"activites de plein air",'Extraction Offre de loisirs'!B:B,"2013")</f>
        <v>664</v>
      </c>
    </row>
    <row r="57" spans="1:10" hidden="1" x14ac:dyDescent="0.25">
      <c r="A57" s="15" t="s">
        <v>38</v>
      </c>
      <c r="B57" s="15" t="s">
        <v>78</v>
      </c>
      <c r="C57" s="2" t="s">
        <v>81</v>
      </c>
      <c r="D57" s="3">
        <f>SUMIFS('Extraction Offre de loisirs'!I:I, 'Extraction Offre de loisirs'!D:D,"corse",'Extraction Offre de loisirs'!F:F,"jeux et divertissements")</f>
        <v>234</v>
      </c>
      <c r="E57" s="3">
        <f t="shared" si="1"/>
        <v>189</v>
      </c>
      <c r="F57" s="3">
        <f>SUMIFS('Extraction Offre de loisirs'!I:I, 'Extraction Offre de loisirs'!D:D,"corse",'Extraction Offre de loisirs'!F:F,"jeux et divertissements",'Extraction Offre de loisirs'!B:B,"2017")</f>
        <v>11</v>
      </c>
      <c r="G57" s="3">
        <f>SUMIFS('Extraction Offre de loisirs'!I:I, 'Extraction Offre de loisirs'!D:D,"corse",'Extraction Offre de loisirs'!F:F,"jeux et divertissements",'Extraction Offre de loisirs'!B:B,"2016")</f>
        <v>100</v>
      </c>
      <c r="H57" s="3">
        <f>SUMIFS('Extraction Offre de loisirs'!I:I, 'Extraction Offre de loisirs'!D:D,"corse",'Extraction Offre de loisirs'!F:F,"jeux et divertissements",'Extraction Offre de loisirs'!B:B,"2015")</f>
        <v>78</v>
      </c>
      <c r="I57" s="3">
        <f>SUMIFS('Extraction Offre de loisirs'!I:I, 'Extraction Offre de loisirs'!D:D,"corse",'Extraction Offre de loisirs'!F:F,"jeux et divertissements",'Extraction Offre de loisirs'!B:B,"2014")</f>
        <v>41</v>
      </c>
      <c r="J57" s="3">
        <f>SUMIFS('Extraction Offre de loisirs'!I:I, 'Extraction Offre de loisirs'!D:D,"corse",'Extraction Offre de loisirs'!F:F,"jeux et divertissements",'Extraction Offre de loisirs'!B:B,"2013")</f>
        <v>4</v>
      </c>
    </row>
    <row r="58" spans="1:10" hidden="1" x14ac:dyDescent="0.25">
      <c r="A58" s="15" t="s">
        <v>38</v>
      </c>
      <c r="B58" s="15" t="s">
        <v>78</v>
      </c>
      <c r="C58" s="2" t="s">
        <v>83</v>
      </c>
      <c r="D58" s="3">
        <f>SUMIFS('Extraction Offre de loisirs'!I:I, 'Extraction Offre de loisirs'!D:D,"corse",'Extraction Offre de loisirs'!F:F,"shopping")</f>
        <v>496</v>
      </c>
      <c r="E58" s="3">
        <f t="shared" si="1"/>
        <v>452</v>
      </c>
      <c r="F58" s="3">
        <f>SUMIFS('Extraction Offre de loisirs'!I:I, 'Extraction Offre de loisirs'!D:D,"corse",'Extraction Offre de loisirs'!F:F,"shopping",'Extraction Offre de loisirs'!B:B,"2017")</f>
        <v>56</v>
      </c>
      <c r="G58" s="3">
        <f>SUMIFS('Extraction Offre de loisirs'!I:I, 'Extraction Offre de loisirs'!D:D,"corse",'Extraction Offre de loisirs'!F:F,"shopping",'Extraction Offre de loisirs'!B:B,"2016")</f>
        <v>258</v>
      </c>
      <c r="H58" s="3">
        <f>SUMIFS('Extraction Offre de loisirs'!I:I, 'Extraction Offre de loisirs'!D:D,"corse",'Extraction Offre de loisirs'!F:F,"shopping",'Extraction Offre de loisirs'!B:B,"2015")</f>
        <v>138</v>
      </c>
      <c r="I58" s="3">
        <f>SUMIFS('Extraction Offre de loisirs'!I:I, 'Extraction Offre de loisirs'!D:D,"corse",'Extraction Offre de loisirs'!F:F,"shopping",'Extraction Offre de loisirs'!B:B,"2014")</f>
        <v>36</v>
      </c>
      <c r="J58" s="3">
        <f>SUMIFS('Extraction Offre de loisirs'!I:I, 'Extraction Offre de loisirs'!D:D,"corse",'Extraction Offre de loisirs'!F:F,"shopping",'Extraction Offre de loisirs'!B:B,"2013")</f>
        <v>8</v>
      </c>
    </row>
    <row r="59" spans="1:10" hidden="1" x14ac:dyDescent="0.25">
      <c r="A59" s="15" t="s">
        <v>38</v>
      </c>
      <c r="B59" s="15" t="s">
        <v>78</v>
      </c>
      <c r="C59" s="2" t="s">
        <v>84</v>
      </c>
      <c r="D59" s="3">
        <f>SUMIFS('Extraction Offre de loisirs'!I:I, 'Extraction Offre de loisirs'!D:D,"corse",'Extraction Offre de loisirs'!F:F,"vie nocturne")</f>
        <v>477</v>
      </c>
      <c r="E59" s="3">
        <f t="shared" si="1"/>
        <v>422</v>
      </c>
      <c r="F59" s="3">
        <f>SUMIFS('Extraction Offre de loisirs'!I:I, 'Extraction Offre de loisirs'!D:D,"corse",'Extraction Offre de loisirs'!F:F,"vie nocturne",'Extraction Offre de loisirs'!B:B,"2017")</f>
        <v>51</v>
      </c>
      <c r="G59" s="3">
        <f>SUMIFS('Extraction Offre de loisirs'!I:I, 'Extraction Offre de loisirs'!D:D,"corse",'Extraction Offre de loisirs'!F:F,"vie nocturne",'Extraction Offre de loisirs'!B:B,"2016")</f>
        <v>213</v>
      </c>
      <c r="H59" s="3">
        <f>SUMIFS('Extraction Offre de loisirs'!I:I, 'Extraction Offre de loisirs'!D:D,"corse",'Extraction Offre de loisirs'!F:F,"vie nocturne",'Extraction Offre de loisirs'!B:B,"2015")</f>
        <v>158</v>
      </c>
      <c r="I59" s="3">
        <f>SUMIFS('Extraction Offre de loisirs'!I:I, 'Extraction Offre de loisirs'!D:D,"corse",'Extraction Offre de loisirs'!F:F,"vie nocturne",'Extraction Offre de loisirs'!B:B,"2014")</f>
        <v>45</v>
      </c>
      <c r="J59" s="3">
        <f>SUMIFS('Extraction Offre de loisirs'!I:I, 'Extraction Offre de loisirs'!D:D,"corse",'Extraction Offre de loisirs'!F:F,"vie nocturne",'Extraction Offre de loisirs'!B:B,"2013")</f>
        <v>10</v>
      </c>
    </row>
    <row r="60" spans="1:10" hidden="1" x14ac:dyDescent="0.25">
      <c r="A60" s="20" t="s">
        <v>38</v>
      </c>
      <c r="B60" s="17" t="s">
        <v>82</v>
      </c>
      <c r="C60" s="4" t="s">
        <v>101</v>
      </c>
      <c r="D60" s="11">
        <f>SUMIF('Extraction Patrimoine'!D:D,"corse",'Extraction Patrimoine'!I:I)</f>
        <v>12747</v>
      </c>
      <c r="E60" s="11">
        <f t="shared" si="1"/>
        <v>10770</v>
      </c>
      <c r="F60" s="11">
        <f>SUMIFS('Extraction Patrimoine'!I:I, 'Extraction Patrimoine'!D:D,"corse",'Extraction Patrimoine'!B:B,"2017")</f>
        <v>1142</v>
      </c>
      <c r="G60" s="11">
        <f>SUMIFS('Extraction Patrimoine'!I:I, 'Extraction Patrimoine'!D:D,"corse",'Extraction Patrimoine'!B:B,"2016")</f>
        <v>5823</v>
      </c>
      <c r="H60" s="11">
        <f>SUMIFS('Extraction Patrimoine'!I:I, 'Extraction Patrimoine'!D:D,"corse",'Extraction Patrimoine'!B:B,"2015")</f>
        <v>3805</v>
      </c>
      <c r="I60" s="11">
        <f>SUMIFS('Extraction Patrimoine'!I:I, 'Extraction Patrimoine'!D:D,"corse",'Extraction Patrimoine'!B:B,"2014")</f>
        <v>1250</v>
      </c>
      <c r="J60" s="11">
        <f>SUMIFS('Extraction Patrimoine'!I:I, 'Extraction Patrimoine'!D:D,"corse",'Extraction Patrimoine'!B:B,"2013")</f>
        <v>727</v>
      </c>
    </row>
    <row r="61" spans="1:10" hidden="1" x14ac:dyDescent="0.25">
      <c r="A61" s="15" t="s">
        <v>38</v>
      </c>
      <c r="B61" s="15" t="s">
        <v>82</v>
      </c>
      <c r="C61" s="15" t="s">
        <v>98</v>
      </c>
      <c r="D61" s="23">
        <f>SUMIFS('Extraction Patrimoine'!I:I, 'Extraction Patrimoine'!D:D,"corse",'Extraction Patrimoine'!F:F,"nature et parcs")</f>
        <v>12747</v>
      </c>
      <c r="E61" s="23">
        <f t="shared" si="1"/>
        <v>10770</v>
      </c>
      <c r="F61" s="23">
        <f>SUMIFS('Extraction Patrimoine'!I:I, 'Extraction Patrimoine'!D:D,"corse",'Extraction Patrimoine'!F:F,"nature et parcs",'Extraction Patrimoine'!B:B, "2017")</f>
        <v>1142</v>
      </c>
      <c r="G61" s="23">
        <f>SUMIFS('Extraction Patrimoine'!I:I, 'Extraction Patrimoine'!D:D,"corse",'Extraction Patrimoine'!F:F,"nature et parcs",'Extraction Patrimoine'!B:B, "2016")</f>
        <v>5823</v>
      </c>
      <c r="H61" s="23">
        <f>SUMIFS('Extraction Patrimoine'!I:I, 'Extraction Patrimoine'!D:D,"corse",'Extraction Patrimoine'!F:F,"nature et parcs",'Extraction Patrimoine'!B:B, "2015")</f>
        <v>3805</v>
      </c>
      <c r="I61" s="23">
        <f>SUMIFS('Extraction Patrimoine'!I:I, 'Extraction Patrimoine'!D:D,"corse",'Extraction Patrimoine'!F:F,"nature et parcs",'Extraction Patrimoine'!B:B, "2014")</f>
        <v>1250</v>
      </c>
      <c r="J61" s="23">
        <f>SUMIFS('Extraction Patrimoine'!I:I, 'Extraction Patrimoine'!D:D,"corse",'Extraction Patrimoine'!F:F,"nature et parcs",'Extraction Patrimoine'!B:B, "2013")</f>
        <v>727</v>
      </c>
    </row>
    <row r="62" spans="1:10" hidden="1" x14ac:dyDescent="0.25">
      <c r="A62" s="15" t="s">
        <v>38</v>
      </c>
      <c r="B62" s="15" t="s">
        <v>82</v>
      </c>
      <c r="C62" s="15" t="s">
        <v>99</v>
      </c>
      <c r="D62" s="23">
        <f>SUMIFS('Extraction Patrimoine'!I:I, 'Extraction Patrimoine'!D:D,"corse",'Extraction Patrimoine'!F:F,"musées")</f>
        <v>0</v>
      </c>
      <c r="E62" s="23">
        <f t="shared" si="1"/>
        <v>0</v>
      </c>
      <c r="F62" s="23">
        <f>SUMIFS('Extraction Patrimoine'!I:I, 'Extraction Patrimoine'!D:D,"corse",'Extraction Patrimoine'!F:F,"musées",'Extraction Patrimoine'!B:B, "2017")</f>
        <v>0</v>
      </c>
      <c r="G62" s="23">
        <f>SUMIFS('Extraction Patrimoine'!I:I, 'Extraction Patrimoine'!D:D,"corse",'Extraction Patrimoine'!F:F,"musées",'Extraction Patrimoine'!B:B, "2016")</f>
        <v>0</v>
      </c>
      <c r="H62" s="23">
        <f>SUMIFS('Extraction Patrimoine'!I:I, 'Extraction Patrimoine'!D:D,"corse",'Extraction Patrimoine'!F:F,"musées",'Extraction Patrimoine'!B:B, "2015")</f>
        <v>0</v>
      </c>
      <c r="I62" s="23">
        <f>SUMIFS('Extraction Patrimoine'!I:I, 'Extraction Patrimoine'!D:D,"corse",'Extraction Patrimoine'!F:F,"musées",'Extraction Patrimoine'!B:B, "2014")</f>
        <v>0</v>
      </c>
      <c r="J62" s="23">
        <f>SUMIFS('Extraction Patrimoine'!I:I, 'Extraction Patrimoine'!D:D,"corse",'Extraction Patrimoine'!F:F,"musées",'Extraction Patrimoine'!B:B, "2013")</f>
        <v>0</v>
      </c>
    </row>
    <row r="63" spans="1:10" hidden="1" x14ac:dyDescent="0.25">
      <c r="A63" s="15" t="s">
        <v>38</v>
      </c>
      <c r="B63" s="15" t="s">
        <v>82</v>
      </c>
      <c r="C63" s="15" t="s">
        <v>100</v>
      </c>
      <c r="D63" s="23">
        <f>SUMIFS('Extraction Patrimoine'!I:I, 'Extraction Patrimoine'!D:D,"corse",'Extraction Patrimoine'!F:F,"sites et monuments")</f>
        <v>0</v>
      </c>
      <c r="E63" s="23">
        <f t="shared" si="1"/>
        <v>0</v>
      </c>
      <c r="F63" s="23">
        <f>SUMIFS('Extraction Patrimoine'!I:I, 'Extraction Patrimoine'!D:D,"corse",'Extraction Patrimoine'!F:F,"sites et monuments",'Extraction Patrimoine'!B:B, "2017")</f>
        <v>0</v>
      </c>
      <c r="G63" s="23">
        <f>SUMIFS('Extraction Patrimoine'!I:I, 'Extraction Patrimoine'!D:D,"corse",'Extraction Patrimoine'!F:F,"sites et monuments",'Extraction Patrimoine'!B:B, "2016")</f>
        <v>0</v>
      </c>
      <c r="H63" s="23">
        <f>SUMIFS('Extraction Patrimoine'!I:I, 'Extraction Patrimoine'!D:D,"corse",'Extraction Patrimoine'!F:F,"sites et monuments",'Extraction Patrimoine'!B:B, "2015")</f>
        <v>0</v>
      </c>
      <c r="I63" s="23">
        <f>SUMIFS('Extraction Patrimoine'!I:I, 'Extraction Patrimoine'!D:D,"corse",'Extraction Patrimoine'!F:F,"sites et monuments",'Extraction Patrimoine'!B:B, "2014")</f>
        <v>0</v>
      </c>
      <c r="J63" s="23">
        <f>SUMIFS('Extraction Patrimoine'!I:I, 'Extraction Patrimoine'!D:D,"corse",'Extraction Patrimoine'!F:F,"sites et monuments",'Extraction Patrimoine'!B:B, "2013")</f>
        <v>0</v>
      </c>
    </row>
    <row r="64" spans="1:10" hidden="1" x14ac:dyDescent="0.25">
      <c r="A64" s="20" t="s">
        <v>38</v>
      </c>
      <c r="B64" s="17" t="s">
        <v>9</v>
      </c>
      <c r="C64" s="4" t="s">
        <v>101</v>
      </c>
      <c r="D64" s="11">
        <f>SUMIF('Extraction Offre de services'!D:D,"corse",'Extraction Offre de services'!I:I)</f>
        <v>7190</v>
      </c>
      <c r="E64" s="11">
        <f t="shared" si="1"/>
        <v>7144</v>
      </c>
      <c r="F64" s="11">
        <f>SUMIFS('Extraction Offre de services'!I:I, 'Extraction Offre de services'!D:D,"corse",'Extraction Offre de services'!B:B,"2017")</f>
        <v>1339</v>
      </c>
      <c r="G64" s="11">
        <f>SUMIFS('Extraction Offre de services'!I:I, 'Extraction Offre de services'!D:D,"corse",'Extraction Offre de services'!B:B,"2016")</f>
        <v>4175</v>
      </c>
      <c r="H64" s="11">
        <f>SUMIFS('Extraction Offre de services'!I:I, 'Extraction Offre de services'!D:D,"corse",'Extraction Offre de services'!B:B,"2015")</f>
        <v>1630</v>
      </c>
      <c r="I64" s="11">
        <f>SUMIFS('Extraction Offre de services'!I:I, 'Extraction Offre de services'!D:D,"corse",'Extraction Offre de services'!B:B,"2014")</f>
        <v>28</v>
      </c>
      <c r="J64" s="11">
        <f>SUMIFS('Extraction Offre de services'!I:I, 'Extraction Offre de services'!D:D,"corse",'Extraction Offre de services'!B:B,"2013")</f>
        <v>18</v>
      </c>
    </row>
    <row r="65" spans="1:10" hidden="1" x14ac:dyDescent="0.25">
      <c r="A65" s="15" t="s">
        <v>38</v>
      </c>
      <c r="B65" s="15" t="s">
        <v>9</v>
      </c>
      <c r="C65" s="2" t="s">
        <v>10</v>
      </c>
      <c r="D65" s="3">
        <f>SUMIFS('Extraction Offre de services'!I:I, 'Extraction Offre de services'!D:D,"corse",'Extraction Offre de services'!F:F,"hebergement")</f>
        <v>6889</v>
      </c>
      <c r="E65" s="3">
        <f t="shared" si="1"/>
        <v>6889</v>
      </c>
      <c r="F65" s="3">
        <f>SUMIFS('Extraction Offre de services'!I:I, 'Extraction Offre de services'!D:D,"corse",'Extraction Offre de services'!F:F,"hebergement",'Extraction Offre de services'!B:B,"2017")</f>
        <v>1300</v>
      </c>
      <c r="G65" s="3">
        <f>SUMIFS('Extraction Offre de services'!I:I, 'Extraction Offre de services'!D:D,"corse",'Extraction Offre de services'!F:F,"hebergement",'Extraction Offre de services'!B:B,"2016")</f>
        <v>4046</v>
      </c>
      <c r="H65" s="3">
        <f>SUMIFS('Extraction Offre de services'!I:I, 'Extraction Offre de services'!D:D,"corse",'Extraction Offre de services'!F:F,"hebergement",'Extraction Offre de services'!B:B,"2015")</f>
        <v>1543</v>
      </c>
      <c r="I65" s="3">
        <f>SUMIFS('Extraction Offre de services'!I:I, 'Extraction Offre de services'!D:D,"corse",'Extraction Offre de services'!F:F,"hebergement",'Extraction Offre de services'!B:B,"2014")</f>
        <v>0</v>
      </c>
      <c r="J65" s="3">
        <f>SUMIFS('Extraction Offre de services'!I:I, 'Extraction Offre de services'!D:D,"corse",'Extraction Offre de services'!F:F,"hebergement",'Extraction Offre de services'!B:B,"2013")</f>
        <v>0</v>
      </c>
    </row>
    <row r="66" spans="1:10" hidden="1" x14ac:dyDescent="0.25">
      <c r="A66" s="15" t="s">
        <v>38</v>
      </c>
      <c r="B66" s="15" t="s">
        <v>9</v>
      </c>
      <c r="C66" s="2" t="s">
        <v>48</v>
      </c>
      <c r="D66" s="3">
        <f>SUMIFS('Extraction Offre de services'!I:I, 'Extraction Offre de services'!D:D,"corse",'Extraction Offre de services'!F:F,"restauration")</f>
        <v>301</v>
      </c>
      <c r="E66" s="3">
        <f t="shared" si="1"/>
        <v>255</v>
      </c>
      <c r="F66" s="3">
        <f>SUMIFS('Extraction Offre de services'!I:I,'Extraction Offre de services'!D:D,"corse",'Extraction Offre de services'!F:F,"restauration",'Extraction Offre de services'!B:B,"2017")</f>
        <v>39</v>
      </c>
      <c r="G66" s="3">
        <f>SUMIFS('Extraction Offre de services'!I:I,'Extraction Offre de services'!D:D,"corse",'Extraction Offre de services'!F:F,"restauration",'Extraction Offre de services'!B:B,"2016")</f>
        <v>129</v>
      </c>
      <c r="H66" s="3">
        <f>SUMIFS('Extraction Offre de services'!I:I,'Extraction Offre de services'!D:D,"corse",'Extraction Offre de services'!F:F,"restauration",'Extraction Offre de services'!B:B,"2015")</f>
        <v>87</v>
      </c>
      <c r="I66" s="3">
        <f>SUMIFS('Extraction Offre de services'!I:I,'Extraction Offre de services'!D:D,"corse",'Extraction Offre de services'!F:F,"restauration",'Extraction Offre de services'!B:B,"2014")</f>
        <v>28</v>
      </c>
      <c r="J66" s="3">
        <f>SUMIFS('Extraction Offre de services'!I:I,'Extraction Offre de services'!D:D,"corse",'Extraction Offre de services'!F:F,"restauration",'Extraction Offre de services'!B:B,"2013")</f>
        <v>18</v>
      </c>
    </row>
    <row r="67" spans="1:10" hidden="1" x14ac:dyDescent="0.25">
      <c r="A67" s="16" t="s">
        <v>39</v>
      </c>
      <c r="B67" s="16" t="s">
        <v>88</v>
      </c>
      <c r="C67" s="8" t="s">
        <v>101</v>
      </c>
      <c r="D67" s="10">
        <f>D68+D73+D77</f>
        <v>85109</v>
      </c>
      <c r="E67" s="10">
        <f t="shared" ref="E67:E130" si="22">F67+G67+H67</f>
        <v>72449</v>
      </c>
      <c r="F67" s="10">
        <f t="shared" ref="F67" si="23">F68+F73+F77</f>
        <v>17918</v>
      </c>
      <c r="G67" s="10">
        <f t="shared" ref="G67" si="24">G68+G73+G77</f>
        <v>37398</v>
      </c>
      <c r="H67" s="10">
        <f t="shared" ref="H67" si="25">H68+H73+H77</f>
        <v>17133</v>
      </c>
      <c r="I67" s="10">
        <f t="shared" ref="I67" si="26">I68+I73+I77</f>
        <v>7306</v>
      </c>
      <c r="J67" s="10">
        <f t="shared" ref="J67" si="27">J68+J73+J77</f>
        <v>5354</v>
      </c>
    </row>
    <row r="68" spans="1:10" hidden="1" x14ac:dyDescent="0.25">
      <c r="A68" s="20" t="s">
        <v>39</v>
      </c>
      <c r="B68" s="17" t="s">
        <v>78</v>
      </c>
      <c r="C68" s="4" t="s">
        <v>101</v>
      </c>
      <c r="D68" s="11">
        <f>SUMIF('Extraction Offre de loisirs'!D:D,"grand est",'Extraction Offre de loisirs'!I:I)</f>
        <v>18751</v>
      </c>
      <c r="E68" s="11">
        <f t="shared" si="22"/>
        <v>15649</v>
      </c>
      <c r="F68" s="11">
        <f>SUMIFS('Extraction Offre de loisirs'!I:I, 'Extraction Offre de loisirs'!D:D,"grand est",'Extraction Offre de loisirs'!B:B,"2017")</f>
        <v>3158</v>
      </c>
      <c r="G68" s="11">
        <f>SUMIFS('Extraction Offre de loisirs'!I:I, 'Extraction Offre de loisirs'!D:D,"grand est",'Extraction Offre de loisirs'!B:B,"2016")</f>
        <v>7779</v>
      </c>
      <c r="H68" s="11">
        <f>SUMIFS('Extraction Offre de loisirs'!I:I, 'Extraction Offre de loisirs'!D:D,"grand est",'Extraction Offre de loisirs'!B:B,"2015")</f>
        <v>4712</v>
      </c>
      <c r="I68" s="11">
        <f>SUMIFS('Extraction Offre de loisirs'!I:I, 'Extraction Offre de loisirs'!D:D,"grand est",'Extraction Offre de loisirs'!B:B,"2014")</f>
        <v>2075</v>
      </c>
      <c r="J68" s="11">
        <f>SUMIFS('Extraction Offre de loisirs'!I:I, 'Extraction Offre de loisirs'!D:D,"grand est",'Extraction Offre de loisirs'!B:B,"2013")</f>
        <v>1027</v>
      </c>
    </row>
    <row r="69" spans="1:10" hidden="1" x14ac:dyDescent="0.25">
      <c r="A69" s="15" t="s">
        <v>39</v>
      </c>
      <c r="B69" s="15" t="s">
        <v>78</v>
      </c>
      <c r="C69" s="2" t="s">
        <v>79</v>
      </c>
      <c r="D69" s="3">
        <f>SUMIFS('Extraction Offre de loisirs'!I:I, 'Extraction Offre de loisirs'!D:D,"grand est",'Extraction Offre de loisirs'!F:F,"activites de plein air")</f>
        <v>8901</v>
      </c>
      <c r="E69" s="3">
        <f t="shared" si="22"/>
        <v>7159</v>
      </c>
      <c r="F69" s="3">
        <f>SUMIFS('Extraction Offre de loisirs'!I:I, 'Extraction Offre de loisirs'!D:D,"grand est",'Extraction Offre de loisirs'!F:F,"activites de plein air",'Extraction Offre de loisirs'!B:B,"2017")</f>
        <v>1162</v>
      </c>
      <c r="G69" s="3">
        <f>SUMIFS('Extraction Offre de loisirs'!I:I, 'Extraction Offre de loisirs'!D:D,"grand est",'Extraction Offre de loisirs'!F:F,"activites de plein air",'Extraction Offre de loisirs'!B:B,"2016")</f>
        <v>3559</v>
      </c>
      <c r="H69" s="3">
        <f>SUMIFS('Extraction Offre de loisirs'!I:I, 'Extraction Offre de loisirs'!D:D,"grand est",'Extraction Offre de loisirs'!F:F,"activites de plein air",'Extraction Offre de loisirs'!B:B,"2015")</f>
        <v>2438</v>
      </c>
      <c r="I69" s="3">
        <f>SUMIFS('Extraction Offre de loisirs'!I:I, 'Extraction Offre de loisirs'!D:D,"grand est",'Extraction Offre de loisirs'!F:F,"activites de plein air",'Extraction Offre de loisirs'!B:B,"2014")</f>
        <v>1159</v>
      </c>
      <c r="J69" s="3">
        <f>SUMIFS('Extraction Offre de loisirs'!I:I, 'Extraction Offre de loisirs'!D:D,"grand est",'Extraction Offre de loisirs'!F:F,"activites de plein air",'Extraction Offre de loisirs'!B:B,"2013")</f>
        <v>583</v>
      </c>
    </row>
    <row r="70" spans="1:10" hidden="1" x14ac:dyDescent="0.25">
      <c r="A70" s="15" t="s">
        <v>39</v>
      </c>
      <c r="B70" s="15" t="s">
        <v>78</v>
      </c>
      <c r="C70" s="2" t="s">
        <v>81</v>
      </c>
      <c r="D70" s="3">
        <f>SUMIFS('Extraction Offre de loisirs'!I:I, 'Extraction Offre de loisirs'!D:D,"grand est",'Extraction Offre de loisirs'!F:F,"jeux et divertissements")</f>
        <v>4459</v>
      </c>
      <c r="E70" s="3">
        <f t="shared" si="22"/>
        <v>3802</v>
      </c>
      <c r="F70" s="3">
        <f>SUMIFS('Extraction Offre de loisirs'!I:I, 'Extraction Offre de loisirs'!D:D,"grand est",'Extraction Offre de loisirs'!F:F,"jeux et divertissements",'Extraction Offre de loisirs'!B:B,"2017")</f>
        <v>1012</v>
      </c>
      <c r="G70" s="3">
        <f>SUMIFS('Extraction Offre de loisirs'!I:I, 'Extraction Offre de loisirs'!D:D,"grand est",'Extraction Offre de loisirs'!F:F,"jeux et divertissements",'Extraction Offre de loisirs'!B:B,"2016")</f>
        <v>1789</v>
      </c>
      <c r="H70" s="3">
        <f>SUMIFS('Extraction Offre de loisirs'!I:I, 'Extraction Offre de loisirs'!D:D,"grand est",'Extraction Offre de loisirs'!F:F,"jeux et divertissements",'Extraction Offre de loisirs'!B:B,"2015")</f>
        <v>1001</v>
      </c>
      <c r="I70" s="3">
        <f>SUMIFS('Extraction Offre de loisirs'!I:I, 'Extraction Offre de loisirs'!D:D,"grand est",'Extraction Offre de loisirs'!F:F,"jeux et divertissements",'Extraction Offre de loisirs'!B:B,"2014")</f>
        <v>406</v>
      </c>
      <c r="J70" s="3">
        <f>SUMIFS('Extraction Offre de loisirs'!I:I, 'Extraction Offre de loisirs'!D:D,"grand est",'Extraction Offre de loisirs'!F:F,"jeux et divertissements",'Extraction Offre de loisirs'!B:B,"2013")</f>
        <v>251</v>
      </c>
    </row>
    <row r="71" spans="1:10" hidden="1" x14ac:dyDescent="0.25">
      <c r="A71" s="15" t="s">
        <v>39</v>
      </c>
      <c r="B71" s="15" t="s">
        <v>78</v>
      </c>
      <c r="C71" s="2" t="s">
        <v>83</v>
      </c>
      <c r="D71" s="3">
        <f>SUMIFS('Extraction Offre de loisirs'!I:I, 'Extraction Offre de loisirs'!D:D,"grand est",'Extraction Offre de loisirs'!F:F,"shopping")</f>
        <v>3493</v>
      </c>
      <c r="E71" s="3">
        <f t="shared" si="22"/>
        <v>3025</v>
      </c>
      <c r="F71" s="3">
        <f>SUMIFS('Extraction Offre de loisirs'!I:I, 'Extraction Offre de loisirs'!D:D,"grand est",'Extraction Offre de loisirs'!F:F,"shopping",'Extraction Offre de loisirs'!B:B,"2017")</f>
        <v>648</v>
      </c>
      <c r="G71" s="3">
        <f>SUMIFS('Extraction Offre de loisirs'!I:I, 'Extraction Offre de loisirs'!D:D,"grand est",'Extraction Offre de loisirs'!F:F,"shopping",'Extraction Offre de loisirs'!B:B,"2016")</f>
        <v>1608</v>
      </c>
      <c r="H71" s="3">
        <f>SUMIFS('Extraction Offre de loisirs'!I:I, 'Extraction Offre de loisirs'!D:D,"grand est",'Extraction Offre de loisirs'!F:F,"shopping",'Extraction Offre de loisirs'!B:B,"2015")</f>
        <v>769</v>
      </c>
      <c r="I71" s="3">
        <f>SUMIFS('Extraction Offre de loisirs'!I:I, 'Extraction Offre de loisirs'!D:D,"grand est",'Extraction Offre de loisirs'!F:F,"shopping",'Extraction Offre de loisirs'!B:B,"2014")</f>
        <v>326</v>
      </c>
      <c r="J71" s="3">
        <f>SUMIFS('Extraction Offre de loisirs'!I:I, 'Extraction Offre de loisirs'!D:D,"grand est",'Extraction Offre de loisirs'!F:F,"shopping",'Extraction Offre de loisirs'!B:B,"2013")</f>
        <v>142</v>
      </c>
    </row>
    <row r="72" spans="1:10" hidden="1" x14ac:dyDescent="0.25">
      <c r="A72" s="15" t="s">
        <v>39</v>
      </c>
      <c r="B72" s="15" t="s">
        <v>78</v>
      </c>
      <c r="C72" s="2" t="s">
        <v>84</v>
      </c>
      <c r="D72" s="3">
        <f>SUMIFS('Extraction Offre de loisirs'!I:I, 'Extraction Offre de loisirs'!D:D,"grand est",'Extraction Offre de loisirs'!F:F,"vie nocturne")</f>
        <v>1898</v>
      </c>
      <c r="E72" s="3">
        <f t="shared" si="22"/>
        <v>1663</v>
      </c>
      <c r="F72" s="3">
        <f>SUMIFS('Extraction Offre de loisirs'!I:I, 'Extraction Offre de loisirs'!D:D,"grand est",'Extraction Offre de loisirs'!F:F,"vie nocturne",'Extraction Offre de loisirs'!B:B,"2017")</f>
        <v>336</v>
      </c>
      <c r="G72" s="3">
        <f>SUMIFS('Extraction Offre de loisirs'!I:I, 'Extraction Offre de loisirs'!D:D,"grand est",'Extraction Offre de loisirs'!F:F,"vie nocturne",'Extraction Offre de loisirs'!B:B,"2016")</f>
        <v>823</v>
      </c>
      <c r="H72" s="3">
        <f>SUMIFS('Extraction Offre de loisirs'!I:I, 'Extraction Offre de loisirs'!D:D,"grand est",'Extraction Offre de loisirs'!F:F,"vie nocturne",'Extraction Offre de loisirs'!B:B,"2015")</f>
        <v>504</v>
      </c>
      <c r="I72" s="3">
        <f>SUMIFS('Extraction Offre de loisirs'!I:I, 'Extraction Offre de loisirs'!D:D,"grand est",'Extraction Offre de loisirs'!F:F,"vie nocturne",'Extraction Offre de loisirs'!B:B,"2014")</f>
        <v>184</v>
      </c>
      <c r="J72" s="3">
        <f>SUMIFS('Extraction Offre de loisirs'!I:I, 'Extraction Offre de loisirs'!D:D,"grand est",'Extraction Offre de loisirs'!F:F,"vie nocturne",'Extraction Offre de loisirs'!B:B,"2013")</f>
        <v>51</v>
      </c>
    </row>
    <row r="73" spans="1:10" hidden="1" x14ac:dyDescent="0.25">
      <c r="A73" s="20" t="s">
        <v>39</v>
      </c>
      <c r="B73" s="17" t="s">
        <v>82</v>
      </c>
      <c r="C73" s="4" t="s">
        <v>101</v>
      </c>
      <c r="D73" s="11">
        <f>SUMIF('Extraction Patrimoine'!D:D,"grand est",'Extraction Patrimoine'!I:I)</f>
        <v>12953</v>
      </c>
      <c r="E73" s="11">
        <f t="shared" si="22"/>
        <v>10547</v>
      </c>
      <c r="F73" s="11">
        <f>SUMIFS('Extraction Patrimoine'!I:I, 'Extraction Patrimoine'!D:D,"grand est",'Extraction Patrimoine'!B:B,"2017")</f>
        <v>1683</v>
      </c>
      <c r="G73" s="11">
        <f>SUMIFS('Extraction Patrimoine'!I:I, 'Extraction Patrimoine'!D:D,"grand est",'Extraction Patrimoine'!B:B,"2016")</f>
        <v>5294</v>
      </c>
      <c r="H73" s="11">
        <f>SUMIFS('Extraction Patrimoine'!I:I, 'Extraction Patrimoine'!D:D,"grand est",'Extraction Patrimoine'!B:B,"2015")</f>
        <v>3570</v>
      </c>
      <c r="I73" s="11">
        <f>SUMIFS('Extraction Patrimoine'!I:I, 'Extraction Patrimoine'!D:D,"grand est",'Extraction Patrimoine'!B:B,"2014")</f>
        <v>1482</v>
      </c>
      <c r="J73" s="11">
        <f>SUMIFS('Extraction Patrimoine'!I:I, 'Extraction Patrimoine'!D:D,"grand est",'Extraction Patrimoine'!B:B,"2013")</f>
        <v>924</v>
      </c>
    </row>
    <row r="74" spans="1:10" hidden="1" x14ac:dyDescent="0.25">
      <c r="A74" s="15" t="s">
        <v>39</v>
      </c>
      <c r="B74" s="15" t="s">
        <v>82</v>
      </c>
      <c r="C74" s="15" t="s">
        <v>98</v>
      </c>
      <c r="D74" s="23">
        <f>SUMIFS('Extraction Patrimoine'!I:I, 'Extraction Patrimoine'!D:D,"grand est",'Extraction Patrimoine'!F:F,"nature et parcs")</f>
        <v>12953</v>
      </c>
      <c r="E74" s="23">
        <f t="shared" si="22"/>
        <v>10547</v>
      </c>
      <c r="F74" s="23">
        <f>SUMIFS('Extraction Patrimoine'!I:I, 'Extraction Patrimoine'!D:D,"grand est",'Extraction Patrimoine'!F:F,"nature et parcs",'Extraction Patrimoine'!B:B, "2017")</f>
        <v>1683</v>
      </c>
      <c r="G74" s="23">
        <f>SUMIFS('Extraction Patrimoine'!I:I, 'Extraction Patrimoine'!D:D,"grand est",'Extraction Patrimoine'!F:F,"nature et parcs",'Extraction Patrimoine'!B:B, "2016")</f>
        <v>5294</v>
      </c>
      <c r="H74" s="23">
        <f>SUMIFS('Extraction Patrimoine'!I:I, 'Extraction Patrimoine'!D:D,"grand est",'Extraction Patrimoine'!F:F,"nature et parcs",'Extraction Patrimoine'!B:B, "2015")</f>
        <v>3570</v>
      </c>
      <c r="I74" s="23">
        <f>SUMIFS('Extraction Patrimoine'!I:I, 'Extraction Patrimoine'!D:D,"grand est",'Extraction Patrimoine'!F:F,"nature et parcs",'Extraction Patrimoine'!B:B, "2014")</f>
        <v>1482</v>
      </c>
      <c r="J74" s="23">
        <f>SUMIFS('Extraction Patrimoine'!I:I, 'Extraction Patrimoine'!D:D,"grand est",'Extraction Patrimoine'!F:F,"nature et parcs",'Extraction Patrimoine'!B:B, "2013")</f>
        <v>924</v>
      </c>
    </row>
    <row r="75" spans="1:10" hidden="1" x14ac:dyDescent="0.25">
      <c r="A75" s="15" t="s">
        <v>39</v>
      </c>
      <c r="B75" s="15" t="s">
        <v>82</v>
      </c>
      <c r="C75" s="15" t="s">
        <v>99</v>
      </c>
      <c r="D75" s="23">
        <f>SUMIFS('Extraction Patrimoine'!I:I, 'Extraction Patrimoine'!D:D,"grand est",'Extraction Patrimoine'!F:F,"musées")</f>
        <v>0</v>
      </c>
      <c r="E75" s="23">
        <f t="shared" si="22"/>
        <v>0</v>
      </c>
      <c r="F75" s="23">
        <f>SUMIFS('Extraction Patrimoine'!I:I, 'Extraction Patrimoine'!D:D,"grand est",'Extraction Patrimoine'!F:F,"musées",'Extraction Patrimoine'!B:B, "2017")</f>
        <v>0</v>
      </c>
      <c r="G75" s="23">
        <f>SUMIFS('Extraction Patrimoine'!I:I, 'Extraction Patrimoine'!D:D,"grand est",'Extraction Patrimoine'!F:F,"musées",'Extraction Patrimoine'!B:B, "2016")</f>
        <v>0</v>
      </c>
      <c r="H75" s="23">
        <f>SUMIFS('Extraction Patrimoine'!I:I, 'Extraction Patrimoine'!D:D,"grand est",'Extraction Patrimoine'!F:F,"musées",'Extraction Patrimoine'!B:B, "2015")</f>
        <v>0</v>
      </c>
      <c r="I75" s="23">
        <f>SUMIFS('Extraction Patrimoine'!I:I, 'Extraction Patrimoine'!D:D,"grand est",'Extraction Patrimoine'!F:F,"musées",'Extraction Patrimoine'!B:B, "2014")</f>
        <v>0</v>
      </c>
      <c r="J75" s="23">
        <f>SUMIFS('Extraction Patrimoine'!I:I, 'Extraction Patrimoine'!D:D,"grand est",'Extraction Patrimoine'!F:F,"musées",'Extraction Patrimoine'!B:B, "2013")</f>
        <v>0</v>
      </c>
    </row>
    <row r="76" spans="1:10" hidden="1" x14ac:dyDescent="0.25">
      <c r="A76" s="15" t="s">
        <v>39</v>
      </c>
      <c r="B76" s="15" t="s">
        <v>82</v>
      </c>
      <c r="C76" s="15" t="s">
        <v>100</v>
      </c>
      <c r="D76" s="23">
        <f>SUMIFS('Extraction Patrimoine'!I:I, 'Extraction Patrimoine'!D:D,"grand est",'Extraction Patrimoine'!F:F,"sites et monuments")</f>
        <v>0</v>
      </c>
      <c r="E76" s="23">
        <f t="shared" si="22"/>
        <v>0</v>
      </c>
      <c r="F76" s="23">
        <f>SUMIFS('Extraction Patrimoine'!I:I, 'Extraction Patrimoine'!D:D,"grand est",'Extraction Patrimoine'!F:F,"sites et monuments",'Extraction Patrimoine'!B:B, "2017")</f>
        <v>0</v>
      </c>
      <c r="G76" s="23">
        <f>SUMIFS('Extraction Patrimoine'!I:I, 'Extraction Patrimoine'!D:D,"grand est",'Extraction Patrimoine'!F:F,"sites et monuments",'Extraction Patrimoine'!B:B, "2016")</f>
        <v>0</v>
      </c>
      <c r="H76" s="23">
        <f>SUMIFS('Extraction Patrimoine'!I:I, 'Extraction Patrimoine'!D:D,"grand est",'Extraction Patrimoine'!F:F,"sites et monuments",'Extraction Patrimoine'!B:B, "2015")</f>
        <v>0</v>
      </c>
      <c r="I76" s="23">
        <f>SUMIFS('Extraction Patrimoine'!I:I, 'Extraction Patrimoine'!D:D,"grand est",'Extraction Patrimoine'!F:F,"sites et monuments",'Extraction Patrimoine'!B:B, "2014")</f>
        <v>0</v>
      </c>
      <c r="J76" s="23">
        <f>SUMIFS('Extraction Patrimoine'!I:I, 'Extraction Patrimoine'!D:D,"grand est",'Extraction Patrimoine'!F:F,"sites et monuments",'Extraction Patrimoine'!B:B, "2013")</f>
        <v>0</v>
      </c>
    </row>
    <row r="77" spans="1:10" hidden="1" x14ac:dyDescent="0.25">
      <c r="A77" s="20" t="s">
        <v>39</v>
      </c>
      <c r="B77" s="17" t="s">
        <v>9</v>
      </c>
      <c r="C77" s="4" t="s">
        <v>101</v>
      </c>
      <c r="D77" s="11">
        <f>SUMIF('Extraction Offre de services'!D:D,"grand est",'Extraction Offre de services'!I:I)</f>
        <v>53405</v>
      </c>
      <c r="E77" s="11">
        <f t="shared" si="22"/>
        <v>46253</v>
      </c>
      <c r="F77" s="11">
        <f>SUMIFS('Extraction Offre de services'!I:I, 'Extraction Offre de services'!D:D,"grand est",'Extraction Offre de services'!B:B,"2017")</f>
        <v>13077</v>
      </c>
      <c r="G77" s="11">
        <f>SUMIFS('Extraction Offre de services'!I:I, 'Extraction Offre de services'!D:D,"grand est",'Extraction Offre de services'!B:B,"2016")</f>
        <v>24325</v>
      </c>
      <c r="H77" s="11">
        <f>SUMIFS('Extraction Offre de services'!I:I, 'Extraction Offre de services'!D:D,"grand est",'Extraction Offre de services'!B:B,"2015")</f>
        <v>8851</v>
      </c>
      <c r="I77" s="11">
        <f>SUMIFS('Extraction Offre de services'!I:I, 'Extraction Offre de services'!D:D,"grand est",'Extraction Offre de services'!B:B,"2014")</f>
        <v>3749</v>
      </c>
      <c r="J77" s="11">
        <f>SUMIFS('Extraction Offre de services'!I:I, 'Extraction Offre de services'!D:D,"grand est",'Extraction Offre de services'!B:B,"2013")</f>
        <v>3403</v>
      </c>
    </row>
    <row r="78" spans="1:10" hidden="1" x14ac:dyDescent="0.25">
      <c r="A78" s="15" t="s">
        <v>39</v>
      </c>
      <c r="B78" s="15" t="s">
        <v>9</v>
      </c>
      <c r="C78" s="2" t="s">
        <v>10</v>
      </c>
      <c r="D78" s="3">
        <f>SUMIFS('Extraction Offre de services'!I:I, 'Extraction Offre de services'!D:D,"grand est",'Extraction Offre de services'!F:F,"hebergement")</f>
        <v>27860</v>
      </c>
      <c r="E78" s="3">
        <f t="shared" si="22"/>
        <v>27860</v>
      </c>
      <c r="F78" s="3">
        <f>SUMIFS('Extraction Offre de services'!I:I, 'Extraction Offre de services'!D:D,"grand est",'Extraction Offre de services'!F:F,"hebergement",'Extraction Offre de services'!B:B,"2017")</f>
        <v>8711</v>
      </c>
      <c r="G78" s="3">
        <f>SUMIFS('Extraction Offre de services'!I:I, 'Extraction Offre de services'!D:D,"grand est",'Extraction Offre de services'!F:F,"hebergement",'Extraction Offre de services'!B:B,"2016")</f>
        <v>15334</v>
      </c>
      <c r="H78" s="3">
        <f>SUMIFS('Extraction Offre de services'!I:I, 'Extraction Offre de services'!D:D,"grand est",'Extraction Offre de services'!F:F,"hebergement",'Extraction Offre de services'!B:B,"2015")</f>
        <v>3815</v>
      </c>
      <c r="I78" s="3">
        <f>SUMIFS('Extraction Offre de services'!I:I, 'Extraction Offre de services'!D:D,"grand est",'Extraction Offre de services'!F:F,"hebergement",'Extraction Offre de services'!B:B,"2014")</f>
        <v>0</v>
      </c>
      <c r="J78" s="3">
        <f>SUMIFS('Extraction Offre de services'!I:I, 'Extraction Offre de services'!D:D,"grand est",'Extraction Offre de services'!F:F,"hebergement",'Extraction Offre de services'!B:B,"2013")</f>
        <v>0</v>
      </c>
    </row>
    <row r="79" spans="1:10" hidden="1" x14ac:dyDescent="0.25">
      <c r="A79" s="15" t="s">
        <v>39</v>
      </c>
      <c r="B79" s="15" t="s">
        <v>9</v>
      </c>
      <c r="C79" s="2" t="s">
        <v>48</v>
      </c>
      <c r="D79" s="3">
        <f>SUMIFS('Extraction Offre de services'!I:I, 'Extraction Offre de services'!D:D,"grand est",'Extraction Offre de services'!F:F,"restauration")</f>
        <v>25545</v>
      </c>
      <c r="E79" s="3">
        <f t="shared" si="22"/>
        <v>18393</v>
      </c>
      <c r="F79" s="3">
        <f>SUMIFS('Extraction Offre de services'!I:I,'Extraction Offre de services'!D:D,"grand est",'Extraction Offre de services'!F:F,"restauration",'Extraction Offre de services'!B:B,"2017")</f>
        <v>4366</v>
      </c>
      <c r="G79" s="3">
        <f>SUMIFS('Extraction Offre de services'!I:I,'Extraction Offre de services'!D:D,"grand est",'Extraction Offre de services'!F:F,"restauration",'Extraction Offre de services'!B:B,"2016")</f>
        <v>8991</v>
      </c>
      <c r="H79" s="3">
        <f>SUMIFS('Extraction Offre de services'!I:I,'Extraction Offre de services'!D:D,"grand est",'Extraction Offre de services'!F:F,"restauration",'Extraction Offre de services'!B:B,"2015")</f>
        <v>5036</v>
      </c>
      <c r="I79" s="3">
        <f>SUMIFS('Extraction Offre de services'!I:I,'Extraction Offre de services'!D:D,"grand est",'Extraction Offre de services'!F:F,"restauration",'Extraction Offre de services'!B:B,"2014")</f>
        <v>3749</v>
      </c>
      <c r="J79" s="3">
        <f>SUMIFS('Extraction Offre de services'!I:I,'Extraction Offre de services'!D:D,"grand est",'Extraction Offre de services'!F:F,"restauration",'Extraction Offre de services'!B:B,"2013")</f>
        <v>3403</v>
      </c>
    </row>
    <row r="80" spans="1:10" hidden="1" x14ac:dyDescent="0.25">
      <c r="A80" s="16" t="s">
        <v>93</v>
      </c>
      <c r="B80" s="16" t="s">
        <v>88</v>
      </c>
      <c r="C80" s="8" t="s">
        <v>101</v>
      </c>
      <c r="D80" s="10">
        <f>D81+D86+D90</f>
        <v>57017</v>
      </c>
      <c r="E80" s="10">
        <f t="shared" si="22"/>
        <v>48663</v>
      </c>
      <c r="F80" s="10">
        <f t="shared" ref="F80" si="28">F81+F86+F90</f>
        <v>12559</v>
      </c>
      <c r="G80" s="10">
        <f t="shared" ref="G80" si="29">G81+G86+G90</f>
        <v>24276</v>
      </c>
      <c r="H80" s="10">
        <f t="shared" ref="H80" si="30">H81+H86+H90</f>
        <v>11828</v>
      </c>
      <c r="I80" s="10">
        <f t="shared" ref="I80" si="31">I81+I86+I90</f>
        <v>5166</v>
      </c>
      <c r="J80" s="10">
        <f t="shared" ref="J80" si="32">J81+J86+J90</f>
        <v>3188</v>
      </c>
    </row>
    <row r="81" spans="1:10" hidden="1" x14ac:dyDescent="0.25">
      <c r="A81" s="20" t="s">
        <v>93</v>
      </c>
      <c r="B81" s="17" t="s">
        <v>78</v>
      </c>
      <c r="C81" s="4" t="s">
        <v>101</v>
      </c>
      <c r="D81" s="11">
        <f>SUMIF('Extraction Offre de loisirs'!D:D,"hauts-de-France",'Extraction Offre de loisirs'!I:I)</f>
        <v>16098</v>
      </c>
      <c r="E81" s="11">
        <f t="shared" si="22"/>
        <v>14027</v>
      </c>
      <c r="F81" s="11">
        <f>SUMIFS('Extraction Offre de loisirs'!I:I, 'Extraction Offre de loisirs'!D:D,"hauts-de-France",'Extraction Offre de loisirs'!B:B,"2017")</f>
        <v>3398</v>
      </c>
      <c r="G81" s="11">
        <f>SUMIFS('Extraction Offre de loisirs'!I:I, 'Extraction Offre de loisirs'!D:D,"hauts-de-France",'Extraction Offre de loisirs'!B:B,"2016")</f>
        <v>7343</v>
      </c>
      <c r="H81" s="11">
        <f>SUMIFS('Extraction Offre de loisirs'!I:I, 'Extraction Offre de loisirs'!D:D,"hauts-de-France",'Extraction Offre de loisirs'!B:B,"2015")</f>
        <v>3286</v>
      </c>
      <c r="I81" s="11">
        <f>SUMIFS('Extraction Offre de loisirs'!I:I, 'Extraction Offre de loisirs'!D:D,"hauts-de-France",'Extraction Offre de loisirs'!B:B,"2014")</f>
        <v>1385</v>
      </c>
      <c r="J81" s="11">
        <f>SUMIFS('Extraction Offre de loisirs'!I:I, 'Extraction Offre de loisirs'!D:D,"hauts-de-France",'Extraction Offre de loisirs'!B:B,"2013")</f>
        <v>686</v>
      </c>
    </row>
    <row r="82" spans="1:10" hidden="1" x14ac:dyDescent="0.25">
      <c r="A82" s="15" t="s">
        <v>40</v>
      </c>
      <c r="B82" s="15" t="s">
        <v>78</v>
      </c>
      <c r="C82" s="2" t="s">
        <v>79</v>
      </c>
      <c r="D82" s="3">
        <f>SUMIFS('Extraction Offre de loisirs'!I:I, 'Extraction Offre de loisirs'!D:D,"hauts-de-france",'Extraction Offre de loisirs'!F:F,"activites de plein air")</f>
        <v>6948</v>
      </c>
      <c r="E82" s="3">
        <f t="shared" si="22"/>
        <v>5745</v>
      </c>
      <c r="F82" s="3">
        <f>SUMIFS('Extraction Offre de loisirs'!I:I, 'Extraction Offre de loisirs'!D:D,"hauts-de-france",'Extraction Offre de loisirs'!F:F,"activites de plein air",'Extraction Offre de loisirs'!B:B,"2017")</f>
        <v>1144</v>
      </c>
      <c r="G82" s="3">
        <f>SUMIFS('Extraction Offre de loisirs'!I:I, 'Extraction Offre de loisirs'!D:D,"hauts-de-france",'Extraction Offre de loisirs'!F:F,"activites de plein air",'Extraction Offre de loisirs'!B:B,"2016")</f>
        <v>2989</v>
      </c>
      <c r="H82" s="3">
        <f>SUMIFS('Extraction Offre de loisirs'!I:I, 'Extraction Offre de loisirs'!D:D,"hauts-de-france",'Extraction Offre de loisirs'!F:F,"activites de plein air",'Extraction Offre de loisirs'!B:B,"2015")</f>
        <v>1612</v>
      </c>
      <c r="I82" s="3">
        <f>SUMIFS('Extraction Offre de loisirs'!I:I, 'Extraction Offre de loisirs'!D:D,"hauts-de-france",'Extraction Offre de loisirs'!F:F,"activites de plein air",'Extraction Offre de loisirs'!B:B,"2014")</f>
        <v>791</v>
      </c>
      <c r="J82" s="3">
        <f>SUMIFS('Extraction Offre de loisirs'!I:I, 'Extraction Offre de loisirs'!D:D,"hauts-de-france",'Extraction Offre de loisirs'!F:F,"activites de plein air",'Extraction Offre de loisirs'!B:B,"2013")</f>
        <v>412</v>
      </c>
    </row>
    <row r="83" spans="1:10" hidden="1" x14ac:dyDescent="0.25">
      <c r="A83" s="15" t="s">
        <v>40</v>
      </c>
      <c r="B83" s="15" t="s">
        <v>78</v>
      </c>
      <c r="C83" s="2" t="s">
        <v>81</v>
      </c>
      <c r="D83" s="3">
        <f>SUMIFS('Extraction Offre de loisirs'!I:I, 'Extraction Offre de loisirs'!D:D,"hauts-de-france",'Extraction Offre de loisirs'!F:F,"jeux et divertissements")</f>
        <v>6209</v>
      </c>
      <c r="E83" s="3">
        <f t="shared" si="22"/>
        <v>5723</v>
      </c>
      <c r="F83" s="3">
        <f>SUMIFS('Extraction Offre de loisirs'!I:I, 'Extraction Offre de loisirs'!D:D,"hauts-de-france",'Extraction Offre de loisirs'!F:F,"jeux et divertissements",'Extraction Offre de loisirs'!B:B,"2017")</f>
        <v>1675</v>
      </c>
      <c r="G83" s="3">
        <f>SUMIFS('Extraction Offre de loisirs'!I:I, 'Extraction Offre de loisirs'!D:D,"hauts-de-france",'Extraction Offre de loisirs'!F:F,"jeux et divertissements",'Extraction Offre de loisirs'!B:B,"2016")</f>
        <v>2993</v>
      </c>
      <c r="H83" s="3">
        <f>SUMIFS('Extraction Offre de loisirs'!I:I, 'Extraction Offre de loisirs'!D:D,"hauts-de-france",'Extraction Offre de loisirs'!F:F,"jeux et divertissements",'Extraction Offre de loisirs'!B:B,"2015")</f>
        <v>1055</v>
      </c>
      <c r="I83" s="3">
        <f>SUMIFS('Extraction Offre de loisirs'!I:I, 'Extraction Offre de loisirs'!D:D,"hauts-de-france",'Extraction Offre de loisirs'!F:F,"jeux et divertissements",'Extraction Offre de loisirs'!B:B,"2014")</f>
        <v>349</v>
      </c>
      <c r="J83" s="3">
        <f>SUMIFS('Extraction Offre de loisirs'!I:I, 'Extraction Offre de loisirs'!D:D,"hauts-de-france",'Extraction Offre de loisirs'!F:F,"jeux et divertissements",'Extraction Offre de loisirs'!B:B,"2013")</f>
        <v>137</v>
      </c>
    </row>
    <row r="84" spans="1:10" hidden="1" x14ac:dyDescent="0.25">
      <c r="A84" s="15" t="s">
        <v>40</v>
      </c>
      <c r="B84" s="15" t="s">
        <v>78</v>
      </c>
      <c r="C84" s="2" t="s">
        <v>83</v>
      </c>
      <c r="D84" s="3">
        <f>SUMIFS('Extraction Offre de loisirs'!I:I, 'Extraction Offre de loisirs'!D:D,"hauts-de-france",'Extraction Offre de loisirs'!F:F,"shopping")</f>
        <v>1407</v>
      </c>
      <c r="E84" s="3">
        <f t="shared" si="22"/>
        <v>1172</v>
      </c>
      <c r="F84" s="3">
        <f>SUMIFS('Extraction Offre de loisirs'!I:I, 'Extraction Offre de loisirs'!D:D,"hauts-de-france",'Extraction Offre de loisirs'!F:F,"shopping",'Extraction Offre de loisirs'!B:B,"2017")</f>
        <v>223</v>
      </c>
      <c r="G84" s="3">
        <f>SUMIFS('Extraction Offre de loisirs'!I:I, 'Extraction Offre de loisirs'!D:D,"hauts-de-france",'Extraction Offre de loisirs'!F:F,"shopping",'Extraction Offre de loisirs'!B:B,"2016")</f>
        <v>644</v>
      </c>
      <c r="H84" s="3">
        <f>SUMIFS('Extraction Offre de loisirs'!I:I, 'Extraction Offre de loisirs'!D:D,"hauts-de-france",'Extraction Offre de loisirs'!F:F,"shopping",'Extraction Offre de loisirs'!B:B,"2015")</f>
        <v>305</v>
      </c>
      <c r="I84" s="3">
        <f>SUMIFS('Extraction Offre de loisirs'!I:I, 'Extraction Offre de loisirs'!D:D,"hauts-de-france",'Extraction Offre de loisirs'!F:F,"shopping",'Extraction Offre de loisirs'!B:B,"2014")</f>
        <v>129</v>
      </c>
      <c r="J84" s="3">
        <f>SUMIFS('Extraction Offre de loisirs'!I:I, 'Extraction Offre de loisirs'!D:D,"hauts-de-france",'Extraction Offre de loisirs'!F:F,"shopping",'Extraction Offre de loisirs'!B:B,"2013")</f>
        <v>106</v>
      </c>
    </row>
    <row r="85" spans="1:10" hidden="1" x14ac:dyDescent="0.25">
      <c r="A85" s="15" t="s">
        <v>40</v>
      </c>
      <c r="B85" s="15" t="s">
        <v>78</v>
      </c>
      <c r="C85" s="2" t="s">
        <v>84</v>
      </c>
      <c r="D85" s="3">
        <f>SUMIFS('Extraction Offre de loisirs'!I:I, 'Extraction Offre de loisirs'!D:D,"hauts-de-france",'Extraction Offre de loisirs'!F:F,"vie nocturne")</f>
        <v>1534</v>
      </c>
      <c r="E85" s="3">
        <f t="shared" si="22"/>
        <v>1387</v>
      </c>
      <c r="F85" s="3">
        <f>SUMIFS('Extraction Offre de loisirs'!I:I, 'Extraction Offre de loisirs'!D:D,"hauts-de-france",'Extraction Offre de loisirs'!F:F,"vie nocturne",'Extraction Offre de loisirs'!B:B,"2017")</f>
        <v>356</v>
      </c>
      <c r="G85" s="3">
        <f>SUMIFS('Extraction Offre de loisirs'!I:I, 'Extraction Offre de loisirs'!D:D,"hauts-de-france",'Extraction Offre de loisirs'!F:F,"vie nocturne",'Extraction Offre de loisirs'!B:B,"2016")</f>
        <v>717</v>
      </c>
      <c r="H85" s="3">
        <f>SUMIFS('Extraction Offre de loisirs'!I:I, 'Extraction Offre de loisirs'!D:D,"hauts-de-france",'Extraction Offre de loisirs'!F:F,"vie nocturne",'Extraction Offre de loisirs'!B:B,"2015")</f>
        <v>314</v>
      </c>
      <c r="I85" s="3">
        <f>SUMIFS('Extraction Offre de loisirs'!I:I, 'Extraction Offre de loisirs'!D:D,"hauts-de-france",'Extraction Offre de loisirs'!F:F,"vie nocturne",'Extraction Offre de loisirs'!B:B,"2014")</f>
        <v>116</v>
      </c>
      <c r="J85" s="3">
        <f>SUMIFS('Extraction Offre de loisirs'!I:I, 'Extraction Offre de loisirs'!D:D,"hauts-de-france",'Extraction Offre de loisirs'!F:F,"vie nocturne",'Extraction Offre de loisirs'!B:B,"2013")</f>
        <v>31</v>
      </c>
    </row>
    <row r="86" spans="1:10" hidden="1" x14ac:dyDescent="0.25">
      <c r="A86" s="20" t="s">
        <v>93</v>
      </c>
      <c r="B86" s="17" t="s">
        <v>82</v>
      </c>
      <c r="C86" s="4" t="s">
        <v>101</v>
      </c>
      <c r="D86" s="11">
        <f>SUMIF('Extraction Patrimoine'!D:D,"hauts-de-France",'Extraction Patrimoine'!I:I)</f>
        <v>12285</v>
      </c>
      <c r="E86" s="11">
        <f t="shared" si="22"/>
        <v>9956</v>
      </c>
      <c r="F86" s="11">
        <f>SUMIFS('Extraction Patrimoine'!I:I, 'Extraction Patrimoine'!D:D,"hauts-de-France",'Extraction Patrimoine'!B:B,"2017")</f>
        <v>1944</v>
      </c>
      <c r="G86" s="11">
        <f>SUMIFS('Extraction Patrimoine'!I:I, 'Extraction Patrimoine'!D:D,"hauts-de-France",'Extraction Patrimoine'!B:B,"2016")</f>
        <v>4804</v>
      </c>
      <c r="H86" s="11">
        <f>SUMIFS('Extraction Patrimoine'!I:I, 'Extraction Patrimoine'!D:D,"hauts-de-France",'Extraction Patrimoine'!B:B,"2015")</f>
        <v>3208</v>
      </c>
      <c r="I86" s="11">
        <f>SUMIFS('Extraction Patrimoine'!I:I, 'Extraction Patrimoine'!D:D,"hauts-de-France",'Extraction Patrimoine'!B:B,"2014")</f>
        <v>1397</v>
      </c>
      <c r="J86" s="11">
        <f>SUMIFS('Extraction Patrimoine'!I:I, 'Extraction Patrimoine'!D:D,"hauts-de-France",'Extraction Patrimoine'!B:B,"2013")</f>
        <v>932</v>
      </c>
    </row>
    <row r="87" spans="1:10" hidden="1" x14ac:dyDescent="0.25">
      <c r="A87" s="15" t="s">
        <v>40</v>
      </c>
      <c r="B87" s="15" t="s">
        <v>82</v>
      </c>
      <c r="C87" s="15" t="s">
        <v>98</v>
      </c>
      <c r="D87" s="23">
        <f>SUMIFS('Extraction Patrimoine'!I:I, 'Extraction Patrimoine'!D:D,"hauts-de-france",'Extraction Patrimoine'!F:F,"nature et parcs")</f>
        <v>12285</v>
      </c>
      <c r="E87" s="23">
        <f t="shared" si="22"/>
        <v>9956</v>
      </c>
      <c r="F87" s="23">
        <f>SUMIFS('Extraction Patrimoine'!I:I, 'Extraction Patrimoine'!D:D,"hauts-de-france",'Extraction Patrimoine'!F:F,"nature et parcs",'Extraction Patrimoine'!B:B, "2017")</f>
        <v>1944</v>
      </c>
      <c r="G87" s="23">
        <f>SUMIFS('Extraction Patrimoine'!I:I, 'Extraction Patrimoine'!D:D,"hauts-de-france",'Extraction Patrimoine'!F:F,"nature et parcs",'Extraction Patrimoine'!B:B, "2016")</f>
        <v>4804</v>
      </c>
      <c r="H87" s="23">
        <f>SUMIFS('Extraction Patrimoine'!I:I, 'Extraction Patrimoine'!D:D,"hauts-de-france",'Extraction Patrimoine'!F:F,"nature et parcs",'Extraction Patrimoine'!B:B, "2015")</f>
        <v>3208</v>
      </c>
      <c r="I87" s="23">
        <f>SUMIFS('Extraction Patrimoine'!I:I, 'Extraction Patrimoine'!D:D,"hauts-de-france",'Extraction Patrimoine'!F:F,"nature et parcs",'Extraction Patrimoine'!B:B, "2014")</f>
        <v>1397</v>
      </c>
      <c r="J87" s="23">
        <f>SUMIFS('Extraction Patrimoine'!I:I, 'Extraction Patrimoine'!D:D,"hauts-de-france",'Extraction Patrimoine'!F:F,"nature et parcs",'Extraction Patrimoine'!B:B, "2013")</f>
        <v>932</v>
      </c>
    </row>
    <row r="88" spans="1:10" hidden="1" x14ac:dyDescent="0.25">
      <c r="A88" s="15" t="s">
        <v>40</v>
      </c>
      <c r="B88" s="15" t="s">
        <v>82</v>
      </c>
      <c r="C88" s="15" t="s">
        <v>99</v>
      </c>
      <c r="D88" s="23">
        <f>SUMIFS('Extraction Patrimoine'!I:I, 'Extraction Patrimoine'!D:D,"hauts-de-france",'Extraction Patrimoine'!F:F,"musées")</f>
        <v>0</v>
      </c>
      <c r="E88" s="23">
        <f t="shared" si="22"/>
        <v>0</v>
      </c>
      <c r="F88" s="23">
        <f>SUMIFS('Extraction Patrimoine'!I:I, 'Extraction Patrimoine'!D:D,"hauts-de-france",'Extraction Patrimoine'!F:F,"musées",'Extraction Patrimoine'!B:B, "2017")</f>
        <v>0</v>
      </c>
      <c r="G88" s="23">
        <f>SUMIFS('Extraction Patrimoine'!I:I, 'Extraction Patrimoine'!D:D,"hauts-de-france",'Extraction Patrimoine'!F:F,"musées",'Extraction Patrimoine'!B:B, "2016")</f>
        <v>0</v>
      </c>
      <c r="H88" s="23">
        <f>SUMIFS('Extraction Patrimoine'!I:I, 'Extraction Patrimoine'!D:D,"hauts-de-france",'Extraction Patrimoine'!F:F,"musées",'Extraction Patrimoine'!B:B, "2015")</f>
        <v>0</v>
      </c>
      <c r="I88" s="23">
        <f>SUMIFS('Extraction Patrimoine'!I:I, 'Extraction Patrimoine'!D:D,"hauts-de-france",'Extraction Patrimoine'!F:F,"musées",'Extraction Patrimoine'!B:B, "2014")</f>
        <v>0</v>
      </c>
      <c r="J88" s="23">
        <f>SUMIFS('Extraction Patrimoine'!I:I, 'Extraction Patrimoine'!D:D,"hauts-de-france",'Extraction Patrimoine'!F:F,"musées",'Extraction Patrimoine'!B:B, "2013")</f>
        <v>0</v>
      </c>
    </row>
    <row r="89" spans="1:10" hidden="1" x14ac:dyDescent="0.25">
      <c r="A89" s="15" t="s">
        <v>40</v>
      </c>
      <c r="B89" s="15" t="s">
        <v>82</v>
      </c>
      <c r="C89" s="15" t="s">
        <v>100</v>
      </c>
      <c r="D89" s="23">
        <f>SUMIFS('Extraction Patrimoine'!I:I, 'Extraction Patrimoine'!D:D,"hauts-de-france",'Extraction Patrimoine'!F:F,"sites et monuments")</f>
        <v>0</v>
      </c>
      <c r="E89" s="23">
        <f t="shared" si="22"/>
        <v>0</v>
      </c>
      <c r="F89" s="23">
        <f>SUMIFS('Extraction Patrimoine'!I:I, 'Extraction Patrimoine'!D:D,"hauts-de-france",'Extraction Patrimoine'!F:F,"sites et monuments",'Extraction Patrimoine'!B:B, "2017")</f>
        <v>0</v>
      </c>
      <c r="G89" s="23">
        <f>SUMIFS('Extraction Patrimoine'!I:I, 'Extraction Patrimoine'!D:D,"hauts-de-france",'Extraction Patrimoine'!F:F,"sites et monuments",'Extraction Patrimoine'!B:B, "2016")</f>
        <v>0</v>
      </c>
      <c r="H89" s="23">
        <f>SUMIFS('Extraction Patrimoine'!I:I, 'Extraction Patrimoine'!D:D,"hauts-de-france",'Extraction Patrimoine'!F:F,"sites et monuments",'Extraction Patrimoine'!B:B, "2015")</f>
        <v>0</v>
      </c>
      <c r="I89" s="23">
        <f>SUMIFS('Extraction Patrimoine'!I:I, 'Extraction Patrimoine'!D:D,"hauts-de-france",'Extraction Patrimoine'!F:F,"sites et monuments",'Extraction Patrimoine'!B:B, "2014")</f>
        <v>0</v>
      </c>
      <c r="J89" s="23">
        <f>SUMIFS('Extraction Patrimoine'!I:I, 'Extraction Patrimoine'!D:D,"hauts-de-france",'Extraction Patrimoine'!F:F,"sites et monuments",'Extraction Patrimoine'!B:B, "2013")</f>
        <v>0</v>
      </c>
    </row>
    <row r="90" spans="1:10" hidden="1" x14ac:dyDescent="0.25">
      <c r="A90" s="20" t="s">
        <v>93</v>
      </c>
      <c r="B90" s="17" t="s">
        <v>9</v>
      </c>
      <c r="C90" s="4" t="s">
        <v>101</v>
      </c>
      <c r="D90" s="11">
        <f>SUMIF('Extraction Offre de services'!D:D,"hauts-de-France",'Extraction Offre de services'!I:I)</f>
        <v>28634</v>
      </c>
      <c r="E90" s="11">
        <f t="shared" si="22"/>
        <v>24680</v>
      </c>
      <c r="F90" s="11">
        <f>SUMIFS('Extraction Offre de services'!I:I, 'Extraction Offre de services'!D:D,"hauts-de-France",'Extraction Offre de services'!B:B,"2017")</f>
        <v>7217</v>
      </c>
      <c r="G90" s="11">
        <f>SUMIFS('Extraction Offre de services'!I:I, 'Extraction Offre de services'!D:D,"hauts-de-France",'Extraction Offre de services'!B:B,"2016")</f>
        <v>12129</v>
      </c>
      <c r="H90" s="11">
        <f>SUMIFS('Extraction Offre de services'!I:I, 'Extraction Offre de services'!D:D,"hauts-de-France",'Extraction Offre de services'!B:B,"2015")</f>
        <v>5334</v>
      </c>
      <c r="I90" s="11">
        <f>SUMIFS('Extraction Offre de services'!I:I, 'Extraction Offre de services'!D:D,"hauts-de-France",'Extraction Offre de services'!B:B,"2014")</f>
        <v>2384</v>
      </c>
      <c r="J90" s="11">
        <f>SUMIFS('Extraction Offre de services'!I:I, 'Extraction Offre de services'!D:D,"hauts-de-France",'Extraction Offre de services'!B:B,"2013")</f>
        <v>1570</v>
      </c>
    </row>
    <row r="91" spans="1:10" hidden="1" x14ac:dyDescent="0.25">
      <c r="A91" s="15" t="s">
        <v>40</v>
      </c>
      <c r="B91" s="15" t="s">
        <v>9</v>
      </c>
      <c r="C91" s="2" t="s">
        <v>10</v>
      </c>
      <c r="D91" s="3">
        <f>SUMIFS('Extraction Offre de services'!I:I, 'Extraction Offre de services'!D:D,"hauts-de-france",'Extraction Offre de services'!F:F,"hebergement")</f>
        <v>14299</v>
      </c>
      <c r="E91" s="3">
        <f t="shared" si="22"/>
        <v>14299</v>
      </c>
      <c r="F91" s="3">
        <f>SUMIFS('Extraction Offre de services'!I:I, 'Extraction Offre de services'!D:D,"hauts-de-france",'Extraction Offre de services'!F:F,"hebergement",'Extraction Offre de services'!B:B,"2017")</f>
        <v>4816</v>
      </c>
      <c r="G91" s="3">
        <f>SUMIFS('Extraction Offre de services'!I:I, 'Extraction Offre de services'!D:D,"hauts-de-france",'Extraction Offre de services'!F:F,"hebergement",'Extraction Offre de services'!B:B,"2016")</f>
        <v>7481</v>
      </c>
      <c r="H91" s="3">
        <f>SUMIFS('Extraction Offre de services'!I:I, 'Extraction Offre de services'!D:D,"hauts-de-france",'Extraction Offre de services'!F:F,"hebergement",'Extraction Offre de services'!B:B,"2015")</f>
        <v>2002</v>
      </c>
      <c r="I91" s="3">
        <f>SUMIFS('Extraction Offre de services'!I:I, 'Extraction Offre de services'!D:D,"hauts-de-france",'Extraction Offre de services'!F:F,"hebergement",'Extraction Offre de services'!B:B,"2014")</f>
        <v>0</v>
      </c>
      <c r="J91" s="3">
        <f>SUMIFS('Extraction Offre de services'!I:I, 'Extraction Offre de services'!D:D,"hauts-de-france",'Extraction Offre de services'!F:F,"hebergement",'Extraction Offre de services'!B:B,"2013")</f>
        <v>0</v>
      </c>
    </row>
    <row r="92" spans="1:10" hidden="1" x14ac:dyDescent="0.25">
      <c r="A92" s="15" t="s">
        <v>40</v>
      </c>
      <c r="B92" s="15" t="s">
        <v>9</v>
      </c>
      <c r="C92" s="2" t="s">
        <v>48</v>
      </c>
      <c r="D92" s="3">
        <f>SUMIFS('Extraction Offre de services'!I:I, 'Extraction Offre de services'!D:D,"hauts-de-france",'Extraction Offre de services'!F:F,"restauration")</f>
        <v>14335</v>
      </c>
      <c r="E92" s="3">
        <f t="shared" si="22"/>
        <v>10381</v>
      </c>
      <c r="F92" s="3">
        <f>SUMIFS('Extraction Offre de services'!I:I,'Extraction Offre de services'!D:D,"hauts-de-france",'Extraction Offre de services'!F:F,"restauration",'Extraction Offre de services'!B:B,"2017")</f>
        <v>2401</v>
      </c>
      <c r="G92" s="3">
        <f>SUMIFS('Extraction Offre de services'!I:I,'Extraction Offre de services'!D:D,"hauts-de-france",'Extraction Offre de services'!F:F,"restauration",'Extraction Offre de services'!B:B,"2016")</f>
        <v>4648</v>
      </c>
      <c r="H92" s="3">
        <f>SUMIFS('Extraction Offre de services'!I:I,'Extraction Offre de services'!D:D,"hauts-de-france",'Extraction Offre de services'!F:F,"restauration",'Extraction Offre de services'!B:B,"2015")</f>
        <v>3332</v>
      </c>
      <c r="I92" s="3">
        <f>SUMIFS('Extraction Offre de services'!I:I,'Extraction Offre de services'!D:D,"hauts-de-france",'Extraction Offre de services'!F:F,"restauration",'Extraction Offre de services'!B:B,"2014")</f>
        <v>2384</v>
      </c>
      <c r="J92" s="3">
        <f>SUMIFS('Extraction Offre de services'!I:I,'Extraction Offre de services'!D:D,"hauts-de-france",'Extraction Offre de services'!F:F,"restauration",'Extraction Offre de services'!B:B,"2013")</f>
        <v>1570</v>
      </c>
    </row>
    <row r="93" spans="1:10" hidden="1" x14ac:dyDescent="0.25">
      <c r="A93" s="16" t="s">
        <v>94</v>
      </c>
      <c r="B93" s="16" t="s">
        <v>88</v>
      </c>
      <c r="C93" s="8" t="s">
        <v>101</v>
      </c>
      <c r="D93" s="10">
        <f>D94+D99+D103</f>
        <v>182385</v>
      </c>
      <c r="E93" s="10">
        <f t="shared" si="22"/>
        <v>156974</v>
      </c>
      <c r="F93" s="10">
        <f t="shared" ref="F93" si="33">F94+F99+F103</f>
        <v>42960</v>
      </c>
      <c r="G93" s="10">
        <f t="shared" ref="G93" si="34">G94+G99+G103</f>
        <v>77787</v>
      </c>
      <c r="H93" s="10">
        <f t="shared" ref="H93" si="35">H94+H99+H103</f>
        <v>36227</v>
      </c>
      <c r="I93" s="10">
        <f t="shared" ref="I93" si="36">I94+I99+I103</f>
        <v>15814</v>
      </c>
      <c r="J93" s="10">
        <f t="shared" ref="J93" si="37">J94+J99+J103</f>
        <v>9597</v>
      </c>
    </row>
    <row r="94" spans="1:10" hidden="1" x14ac:dyDescent="0.25">
      <c r="A94" s="20" t="s">
        <v>41</v>
      </c>
      <c r="B94" s="17" t="s">
        <v>78</v>
      </c>
      <c r="C94" s="4" t="s">
        <v>101</v>
      </c>
      <c r="D94" s="11">
        <f>SUMIF('Extraction Offre de loisirs'!D:D,"ile-de-france",'Extraction Offre de loisirs'!I:I)</f>
        <v>53674</v>
      </c>
      <c r="E94" s="11">
        <f t="shared" si="22"/>
        <v>45557</v>
      </c>
      <c r="F94" s="11">
        <f>SUMIFS('Extraction Offre de loisirs'!I:I, 'Extraction Offre de loisirs'!D:D,"ile-de-france",'Extraction Offre de loisirs'!B:B,"2017")</f>
        <v>11103</v>
      </c>
      <c r="G94" s="11">
        <f>SUMIFS('Extraction Offre de loisirs'!I:I, 'Extraction Offre de loisirs'!D:D,"ile-de-france",'Extraction Offre de loisirs'!B:B,"2016")</f>
        <v>22399</v>
      </c>
      <c r="H94" s="11">
        <f>SUMIFS('Extraction Offre de loisirs'!I:I, 'Extraction Offre de loisirs'!D:D,"ile-de-france",'Extraction Offre de loisirs'!B:B,"2015")</f>
        <v>12055</v>
      </c>
      <c r="I94" s="11">
        <f>SUMIFS('Extraction Offre de loisirs'!I:I, 'Extraction Offre de loisirs'!D:D,"ile-de-france",'Extraction Offre de loisirs'!B:B,"2014")</f>
        <v>5802</v>
      </c>
      <c r="J94" s="11">
        <f>SUMIFS('Extraction Offre de loisirs'!I:I, 'Extraction Offre de loisirs'!D:D,"ile-de-france",'Extraction Offre de loisirs'!B:B,"2013")</f>
        <v>2315</v>
      </c>
    </row>
    <row r="95" spans="1:10" hidden="1" x14ac:dyDescent="0.25">
      <c r="A95" s="15" t="s">
        <v>41</v>
      </c>
      <c r="B95" s="15" t="s">
        <v>78</v>
      </c>
      <c r="C95" s="2" t="s">
        <v>79</v>
      </c>
      <c r="D95" s="3">
        <f>SUMIFS('Extraction Offre de loisirs'!I:I, 'Extraction Offre de loisirs'!D:D,"ile-de-france",'Extraction Offre de loisirs'!F:F,"activites de plein air")</f>
        <v>11901</v>
      </c>
      <c r="E95" s="3">
        <f t="shared" si="22"/>
        <v>9213</v>
      </c>
      <c r="F95" s="3">
        <f>SUMIFS('Extraction Offre de loisirs'!I:I, 'Extraction Offre de loisirs'!D:D,"ile-de-france",'Extraction Offre de loisirs'!F:F,"activites de plein air",'Extraction Offre de loisirs'!B:B,"2017")</f>
        <v>1874</v>
      </c>
      <c r="G95" s="3">
        <f>SUMIFS('Extraction Offre de loisirs'!I:I, 'Extraction Offre de loisirs'!D:D,"ile-de-france",'Extraction Offre de loisirs'!F:F,"activites de plein air",'Extraction Offre de loisirs'!B:B,"2016")</f>
        <v>4346</v>
      </c>
      <c r="H95" s="3">
        <f>SUMIFS('Extraction Offre de loisirs'!I:I, 'Extraction Offre de loisirs'!D:D,"ile-de-france",'Extraction Offre de loisirs'!F:F,"activites de plein air",'Extraction Offre de loisirs'!B:B,"2015")</f>
        <v>2993</v>
      </c>
      <c r="I95" s="3">
        <f>SUMIFS('Extraction Offre de loisirs'!I:I, 'Extraction Offre de loisirs'!D:D,"ile-de-france",'Extraction Offre de loisirs'!F:F,"activites de plein air",'Extraction Offre de loisirs'!B:B,"2014")</f>
        <v>1873</v>
      </c>
      <c r="J95" s="3">
        <f>SUMIFS('Extraction Offre de loisirs'!I:I, 'Extraction Offre de loisirs'!D:D,"ile-de-france",'Extraction Offre de loisirs'!F:F,"activites de plein air",'Extraction Offre de loisirs'!B:B,"2013")</f>
        <v>815</v>
      </c>
    </row>
    <row r="96" spans="1:10" hidden="1" x14ac:dyDescent="0.25">
      <c r="A96" s="15" t="s">
        <v>41</v>
      </c>
      <c r="B96" s="15" t="s">
        <v>78</v>
      </c>
      <c r="C96" s="2" t="s">
        <v>81</v>
      </c>
      <c r="D96" s="3">
        <f>SUMIFS('Extraction Offre de loisirs'!I:I, 'Extraction Offre de loisirs'!D:D,"ile-de-france",'Extraction Offre de loisirs'!F:F,"jeux et divertissements")</f>
        <v>23891</v>
      </c>
      <c r="E96" s="3">
        <f t="shared" si="22"/>
        <v>21902</v>
      </c>
      <c r="F96" s="3">
        <f>SUMIFS('Extraction Offre de loisirs'!I:I, 'Extraction Offre de loisirs'!D:D,"ile-de-france",'Extraction Offre de loisirs'!F:F,"jeux et divertissements",'Extraction Offre de loisirs'!B:B,"2017")</f>
        <v>6070</v>
      </c>
      <c r="G96" s="3">
        <f>SUMIFS('Extraction Offre de loisirs'!I:I, 'Extraction Offre de loisirs'!D:D,"ile-de-france",'Extraction Offre de loisirs'!F:F,"jeux et divertissements",'Extraction Offre de loisirs'!B:B,"2016")</f>
        <v>11231</v>
      </c>
      <c r="H96" s="3">
        <f>SUMIFS('Extraction Offre de loisirs'!I:I, 'Extraction Offre de loisirs'!D:D,"ile-de-france",'Extraction Offre de loisirs'!F:F,"jeux et divertissements",'Extraction Offre de loisirs'!B:B,"2015")</f>
        <v>4601</v>
      </c>
      <c r="I96" s="3">
        <f>SUMIFS('Extraction Offre de loisirs'!I:I, 'Extraction Offre de loisirs'!D:D,"ile-de-france",'Extraction Offre de loisirs'!F:F,"jeux et divertissements",'Extraction Offre de loisirs'!B:B,"2014")</f>
        <v>1641</v>
      </c>
      <c r="J96" s="3">
        <f>SUMIFS('Extraction Offre de loisirs'!I:I, 'Extraction Offre de loisirs'!D:D,"ile-de-france",'Extraction Offre de loisirs'!F:F,"jeux et divertissements",'Extraction Offre de loisirs'!B:B,"2013")</f>
        <v>348</v>
      </c>
    </row>
    <row r="97" spans="1:10" hidden="1" x14ac:dyDescent="0.25">
      <c r="A97" s="15" t="s">
        <v>41</v>
      </c>
      <c r="B97" s="15" t="s">
        <v>78</v>
      </c>
      <c r="C97" s="2" t="s">
        <v>83</v>
      </c>
      <c r="D97" s="3">
        <f>SUMIFS('Extraction Offre de loisirs'!I:I, 'Extraction Offre de loisirs'!D:D,"ile-de-france",'Extraction Offre de loisirs'!F:F,"shopping")</f>
        <v>9818</v>
      </c>
      <c r="E97" s="3">
        <f t="shared" si="22"/>
        <v>8051</v>
      </c>
      <c r="F97" s="3">
        <f>SUMIFS('Extraction Offre de loisirs'!I:I, 'Extraction Offre de loisirs'!D:D,"ile-de-france",'Extraction Offre de loisirs'!F:F,"shopping",'Extraction Offre de loisirs'!B:B,"2017")</f>
        <v>1743</v>
      </c>
      <c r="G97" s="3">
        <f>SUMIFS('Extraction Offre de loisirs'!I:I, 'Extraction Offre de loisirs'!D:D,"ile-de-france",'Extraction Offre de loisirs'!F:F,"shopping",'Extraction Offre de loisirs'!B:B,"2016")</f>
        <v>3795</v>
      </c>
      <c r="H97" s="3">
        <f>SUMIFS('Extraction Offre de loisirs'!I:I, 'Extraction Offre de loisirs'!D:D,"ile-de-france",'Extraction Offre de loisirs'!F:F,"shopping",'Extraction Offre de loisirs'!B:B,"2015")</f>
        <v>2513</v>
      </c>
      <c r="I97" s="3">
        <f>SUMIFS('Extraction Offre de loisirs'!I:I, 'Extraction Offre de loisirs'!D:D,"ile-de-france",'Extraction Offre de loisirs'!F:F,"shopping",'Extraction Offre de loisirs'!B:B,"2014")</f>
        <v>1148</v>
      </c>
      <c r="J97" s="3">
        <f>SUMIFS('Extraction Offre de loisirs'!I:I, 'Extraction Offre de loisirs'!D:D,"ile-de-france",'Extraction Offre de loisirs'!F:F,"shopping",'Extraction Offre de loisirs'!B:B,"2013")</f>
        <v>619</v>
      </c>
    </row>
    <row r="98" spans="1:10" hidden="1" x14ac:dyDescent="0.25">
      <c r="A98" s="15" t="s">
        <v>41</v>
      </c>
      <c r="B98" s="15" t="s">
        <v>78</v>
      </c>
      <c r="C98" s="2" t="s">
        <v>84</v>
      </c>
      <c r="D98" s="3">
        <f>SUMIFS('Extraction Offre de loisirs'!I:I, 'Extraction Offre de loisirs'!D:D,"ile-de-france",'Extraction Offre de loisirs'!F:F,"vie nocturne")</f>
        <v>8064</v>
      </c>
      <c r="E98" s="3">
        <f t="shared" si="22"/>
        <v>6391</v>
      </c>
      <c r="F98" s="3">
        <f>SUMIFS('Extraction Offre de loisirs'!I:I, 'Extraction Offre de loisirs'!D:D,"ile-de-france",'Extraction Offre de loisirs'!F:F,"vie nocturne",'Extraction Offre de loisirs'!B:B,"2017")</f>
        <v>1416</v>
      </c>
      <c r="G98" s="3">
        <f>SUMIFS('Extraction Offre de loisirs'!I:I, 'Extraction Offre de loisirs'!D:D,"ile-de-france",'Extraction Offre de loisirs'!F:F,"vie nocturne",'Extraction Offre de loisirs'!B:B,"2016")</f>
        <v>3027</v>
      </c>
      <c r="H98" s="3">
        <f>SUMIFS('Extraction Offre de loisirs'!I:I, 'Extraction Offre de loisirs'!D:D,"ile-de-france",'Extraction Offre de loisirs'!F:F,"vie nocturne",'Extraction Offre de loisirs'!B:B,"2015")</f>
        <v>1948</v>
      </c>
      <c r="I98" s="3">
        <f>SUMIFS('Extraction Offre de loisirs'!I:I, 'Extraction Offre de loisirs'!D:D,"ile-de-france",'Extraction Offre de loisirs'!F:F,"vie nocturne",'Extraction Offre de loisirs'!B:B,"2014")</f>
        <v>1140</v>
      </c>
      <c r="J98" s="3">
        <f>SUMIFS('Extraction Offre de loisirs'!I:I, 'Extraction Offre de loisirs'!D:D,"ile-de-france",'Extraction Offre de loisirs'!F:F,"vie nocturne",'Extraction Offre de loisirs'!B:B,"2013")</f>
        <v>533</v>
      </c>
    </row>
    <row r="99" spans="1:10" hidden="1" x14ac:dyDescent="0.25">
      <c r="A99" s="20" t="s">
        <v>41</v>
      </c>
      <c r="B99" s="17" t="s">
        <v>82</v>
      </c>
      <c r="C99" s="4" t="s">
        <v>101</v>
      </c>
      <c r="D99" s="11">
        <f>SUMIF('Extraction Patrimoine'!D:D,"ile-de-france",'Extraction Patrimoine'!I:I)</f>
        <v>20127</v>
      </c>
      <c r="E99" s="11">
        <f t="shared" si="22"/>
        <v>15603</v>
      </c>
      <c r="F99" s="11">
        <f>SUMIFS('Extraction Patrimoine'!I:I, 'Extraction Patrimoine'!D:D,"ile-de-france",'Extraction Patrimoine'!B:B,"2017")</f>
        <v>2774</v>
      </c>
      <c r="G99" s="11">
        <f>SUMIFS('Extraction Patrimoine'!I:I, 'Extraction Patrimoine'!D:D,"ile-de-france",'Extraction Patrimoine'!B:B,"2016")</f>
        <v>7149</v>
      </c>
      <c r="H99" s="11">
        <f>SUMIFS('Extraction Patrimoine'!I:I, 'Extraction Patrimoine'!D:D,"ile-de-france",'Extraction Patrimoine'!B:B,"2015")</f>
        <v>5680</v>
      </c>
      <c r="I99" s="11">
        <f>SUMIFS('Extraction Patrimoine'!I:I, 'Extraction Patrimoine'!D:D,"ile-de-france",'Extraction Patrimoine'!B:B,"2014")</f>
        <v>2819</v>
      </c>
      <c r="J99" s="11">
        <f>SUMIFS('Extraction Patrimoine'!I:I, 'Extraction Patrimoine'!D:D,"ile-de-france",'Extraction Patrimoine'!B:B,"2013")</f>
        <v>1705</v>
      </c>
    </row>
    <row r="100" spans="1:10" hidden="1" x14ac:dyDescent="0.25">
      <c r="A100" s="15" t="s">
        <v>41</v>
      </c>
      <c r="B100" s="15" t="s">
        <v>82</v>
      </c>
      <c r="C100" s="15" t="s">
        <v>98</v>
      </c>
      <c r="D100" s="23">
        <f>SUMIFS('Extraction Patrimoine'!I:I, 'Extraction Patrimoine'!D:D,"ile-de-france",'Extraction Patrimoine'!F:F,"nature et parcs")</f>
        <v>20127</v>
      </c>
      <c r="E100" s="23">
        <f t="shared" si="22"/>
        <v>15603</v>
      </c>
      <c r="F100" s="23">
        <f>SUMIFS('Extraction Patrimoine'!I:I, 'Extraction Patrimoine'!D:D,"ile-de-france",'Extraction Patrimoine'!F:F,"nature et parcs",'Extraction Patrimoine'!B:B, "2017")</f>
        <v>2774</v>
      </c>
      <c r="G100" s="23">
        <f>SUMIFS('Extraction Patrimoine'!I:I, 'Extraction Patrimoine'!D:D,"ile-de-france",'Extraction Patrimoine'!F:F,"nature et parcs",'Extraction Patrimoine'!B:B, "2016")</f>
        <v>7149</v>
      </c>
      <c r="H100" s="23">
        <f>SUMIFS('Extraction Patrimoine'!I:I, 'Extraction Patrimoine'!D:D,"ile-de-france",'Extraction Patrimoine'!F:F,"nature et parcs",'Extraction Patrimoine'!B:B, "2015")</f>
        <v>5680</v>
      </c>
      <c r="I100" s="23">
        <f>SUMIFS('Extraction Patrimoine'!I:I, 'Extraction Patrimoine'!D:D,"ile-de-france",'Extraction Patrimoine'!F:F,"nature et parcs",'Extraction Patrimoine'!B:B, "2014")</f>
        <v>2819</v>
      </c>
      <c r="J100" s="23">
        <f>SUMIFS('Extraction Patrimoine'!I:I, 'Extraction Patrimoine'!D:D,"ile-de-france",'Extraction Patrimoine'!F:F,"nature et parcs",'Extraction Patrimoine'!B:B, "2013")</f>
        <v>1705</v>
      </c>
    </row>
    <row r="101" spans="1:10" hidden="1" x14ac:dyDescent="0.25">
      <c r="A101" s="15" t="s">
        <v>41</v>
      </c>
      <c r="B101" s="15" t="s">
        <v>82</v>
      </c>
      <c r="C101" s="15" t="s">
        <v>99</v>
      </c>
      <c r="D101" s="23">
        <f>SUMIFS('Extraction Patrimoine'!I:I, 'Extraction Patrimoine'!D:D,"ile-de-france",'Extraction Patrimoine'!F:F,"musées")</f>
        <v>0</v>
      </c>
      <c r="E101" s="23">
        <f t="shared" si="22"/>
        <v>0</v>
      </c>
      <c r="F101" s="23">
        <f>SUMIFS('Extraction Patrimoine'!I:I, 'Extraction Patrimoine'!D:D,"ile-de-france",'Extraction Patrimoine'!F:F,"musées",'Extraction Patrimoine'!B:B, "2017")</f>
        <v>0</v>
      </c>
      <c r="G101" s="23">
        <f>SUMIFS('Extraction Patrimoine'!I:I, 'Extraction Patrimoine'!D:D,"ile-de-france",'Extraction Patrimoine'!F:F,"musées",'Extraction Patrimoine'!B:B, "2016")</f>
        <v>0</v>
      </c>
      <c r="H101" s="23">
        <f>SUMIFS('Extraction Patrimoine'!I:I, 'Extraction Patrimoine'!D:D,"ile-de-france",'Extraction Patrimoine'!F:F,"musées",'Extraction Patrimoine'!B:B, "2015")</f>
        <v>0</v>
      </c>
      <c r="I101" s="23">
        <f>SUMIFS('Extraction Patrimoine'!I:I, 'Extraction Patrimoine'!D:D,"ile-de-france",'Extraction Patrimoine'!F:F,"musées",'Extraction Patrimoine'!B:B, "2014")</f>
        <v>0</v>
      </c>
      <c r="J101" s="23">
        <f>SUMIFS('Extraction Patrimoine'!I:I, 'Extraction Patrimoine'!D:D,"ile-de-france",'Extraction Patrimoine'!F:F,"musées",'Extraction Patrimoine'!B:B, "2013")</f>
        <v>0</v>
      </c>
    </row>
    <row r="102" spans="1:10" hidden="1" x14ac:dyDescent="0.25">
      <c r="A102" s="15" t="s">
        <v>41</v>
      </c>
      <c r="B102" s="15" t="s">
        <v>82</v>
      </c>
      <c r="C102" s="15" t="s">
        <v>100</v>
      </c>
      <c r="D102" s="23">
        <f>SUMIFS('Extraction Patrimoine'!I:I, 'Extraction Patrimoine'!D:D,"ile-de-france",'Extraction Patrimoine'!F:F,"sites et monuments")</f>
        <v>0</v>
      </c>
      <c r="E102" s="23">
        <f t="shared" si="22"/>
        <v>0</v>
      </c>
      <c r="F102" s="23">
        <f>SUMIFS('Extraction Patrimoine'!I:I, 'Extraction Patrimoine'!D:D,"ile-de-france",'Extraction Patrimoine'!F:F,"sites et monuments",'Extraction Patrimoine'!B:B, "2017")</f>
        <v>0</v>
      </c>
      <c r="G102" s="23">
        <f>SUMIFS('Extraction Patrimoine'!I:I, 'Extraction Patrimoine'!D:D,"ile-de-france",'Extraction Patrimoine'!F:F,"sites et monuments",'Extraction Patrimoine'!B:B, "2016")</f>
        <v>0</v>
      </c>
      <c r="H102" s="23">
        <f>SUMIFS('Extraction Patrimoine'!I:I, 'Extraction Patrimoine'!D:D,"ile-de-france",'Extraction Patrimoine'!F:F,"sites et monuments",'Extraction Patrimoine'!B:B, "2015")</f>
        <v>0</v>
      </c>
      <c r="I102" s="23">
        <f>SUMIFS('Extraction Patrimoine'!I:I, 'Extraction Patrimoine'!D:D,"ile-de-france",'Extraction Patrimoine'!F:F,"sites et monuments",'Extraction Patrimoine'!B:B, "2014")</f>
        <v>0</v>
      </c>
      <c r="J102" s="23">
        <f>SUMIFS('Extraction Patrimoine'!I:I, 'Extraction Patrimoine'!D:D,"ile-de-france",'Extraction Patrimoine'!F:F,"sites et monuments",'Extraction Patrimoine'!B:B, "2013")</f>
        <v>0</v>
      </c>
    </row>
    <row r="103" spans="1:10" hidden="1" x14ac:dyDescent="0.25">
      <c r="A103" s="20" t="s">
        <v>41</v>
      </c>
      <c r="B103" s="17" t="s">
        <v>9</v>
      </c>
      <c r="C103" s="4" t="s">
        <v>101</v>
      </c>
      <c r="D103" s="11">
        <f>SUMIF('Extraction Offre de services'!D:D,"ile-de-france",'Extraction Offre de services'!I:I)</f>
        <v>108584</v>
      </c>
      <c r="E103" s="11">
        <f t="shared" si="22"/>
        <v>95814</v>
      </c>
      <c r="F103" s="11">
        <f>SUMIFS('Extraction Offre de services'!I:I, 'Extraction Offre de services'!D:D,"ile-de-france",'Extraction Offre de services'!B:B,"2017")</f>
        <v>29083</v>
      </c>
      <c r="G103" s="11">
        <f>SUMIFS('Extraction Offre de services'!I:I, 'Extraction Offre de services'!D:D,"ile-de-france",'Extraction Offre de services'!B:B,"2016")</f>
        <v>48239</v>
      </c>
      <c r="H103" s="11">
        <f>SUMIFS('Extraction Offre de services'!I:I, 'Extraction Offre de services'!D:D,"ile-de-france",'Extraction Offre de services'!B:B,"2015")</f>
        <v>18492</v>
      </c>
      <c r="I103" s="11">
        <f>SUMIFS('Extraction Offre de services'!I:I, 'Extraction Offre de services'!D:D,"ile-de-france",'Extraction Offre de services'!B:B,"2014")</f>
        <v>7193</v>
      </c>
      <c r="J103" s="11">
        <f>SUMIFS('Extraction Offre de services'!I:I, 'Extraction Offre de services'!D:D,"ile-de-france",'Extraction Offre de services'!B:B,"2013")</f>
        <v>5577</v>
      </c>
    </row>
    <row r="104" spans="1:10" hidden="1" x14ac:dyDescent="0.25">
      <c r="A104" s="15" t="s">
        <v>41</v>
      </c>
      <c r="B104" s="15" t="s">
        <v>9</v>
      </c>
      <c r="C104" s="2" t="s">
        <v>10</v>
      </c>
      <c r="D104" s="3">
        <f>SUMIFS('Extraction Offre de services'!I:I, 'Extraction Offre de services'!D:D,"ile-de-france",'Extraction Offre de services'!F:F,"hebergement")</f>
        <v>71704</v>
      </c>
      <c r="E104" s="3">
        <f t="shared" si="22"/>
        <v>71704</v>
      </c>
      <c r="F104" s="3">
        <f>SUMIFS('Extraction Offre de services'!I:I, 'Extraction Offre de services'!D:D,"ile-de-france",'Extraction Offre de services'!F:F,"hebergement",'Extraction Offre de services'!B:B,"2017")</f>
        <v>24066</v>
      </c>
      <c r="G104" s="3">
        <f>SUMIFS('Extraction Offre de services'!I:I, 'Extraction Offre de services'!D:D,"ile-de-france",'Extraction Offre de services'!F:F,"hebergement",'Extraction Offre de services'!B:B,"2016")</f>
        <v>37798</v>
      </c>
      <c r="H104" s="3">
        <f>SUMIFS('Extraction Offre de services'!I:I, 'Extraction Offre de services'!D:D,"ile-de-france",'Extraction Offre de services'!F:F,"hebergement",'Extraction Offre de services'!B:B,"2015")</f>
        <v>9840</v>
      </c>
      <c r="I104" s="3">
        <f>SUMIFS('Extraction Offre de services'!I:I, 'Extraction Offre de services'!D:D,"ile-de-france",'Extraction Offre de services'!F:F,"hebergement",'Extraction Offre de services'!B:B,"2014")</f>
        <v>0</v>
      </c>
      <c r="J104" s="3">
        <f>SUMIFS('Extraction Offre de services'!I:I, 'Extraction Offre de services'!D:D,"ile-de-france",'Extraction Offre de services'!F:F,"hebergement",'Extraction Offre de services'!B:B,"2013")</f>
        <v>0</v>
      </c>
    </row>
    <row r="105" spans="1:10" hidden="1" x14ac:dyDescent="0.25">
      <c r="A105" s="15" t="s">
        <v>41</v>
      </c>
      <c r="B105" s="15" t="s">
        <v>9</v>
      </c>
      <c r="C105" s="2" t="s">
        <v>48</v>
      </c>
      <c r="D105" s="3">
        <f>SUMIFS('Extraction Offre de services'!I:I, 'Extraction Offre de services'!D:D,"ile-de-france",'Extraction Offre de services'!F:F,"restauration")</f>
        <v>36880</v>
      </c>
      <c r="E105" s="3">
        <f t="shared" si="22"/>
        <v>24110</v>
      </c>
      <c r="F105" s="3">
        <f>SUMIFS('Extraction Offre de services'!I:I,'Extraction Offre de services'!D:D,"ile-de-france",'Extraction Offre de services'!F:F,"restauration",'Extraction Offre de services'!B:B,"2017")</f>
        <v>5017</v>
      </c>
      <c r="G105" s="3">
        <f>SUMIFS('Extraction Offre de services'!I:I,'Extraction Offre de services'!D:D,"ile-de-france",'Extraction Offre de services'!F:F,"restauration",'Extraction Offre de services'!B:B,"2016")</f>
        <v>10441</v>
      </c>
      <c r="H105" s="3">
        <f>SUMIFS('Extraction Offre de services'!I:I,'Extraction Offre de services'!D:D,"ile-de-france",'Extraction Offre de services'!F:F,"restauration",'Extraction Offre de services'!B:B,"2015")</f>
        <v>8652</v>
      </c>
      <c r="I105" s="3">
        <f>SUMIFS('Extraction Offre de services'!I:I,'Extraction Offre de services'!D:D,"ile-de-france",'Extraction Offre de services'!F:F,"restauration",'Extraction Offre de services'!B:B,"2014")</f>
        <v>7193</v>
      </c>
      <c r="J105" s="3">
        <f>SUMIFS('Extraction Offre de services'!I:I,'Extraction Offre de services'!D:D,"ile-de-france",'Extraction Offre de services'!F:F,"restauration",'Extraction Offre de services'!B:B,"2013")</f>
        <v>5577</v>
      </c>
    </row>
    <row r="106" spans="1:10" hidden="1" x14ac:dyDescent="0.25">
      <c r="A106" s="16" t="s">
        <v>42</v>
      </c>
      <c r="B106" s="16" t="s">
        <v>88</v>
      </c>
      <c r="C106" s="8" t="s">
        <v>101</v>
      </c>
      <c r="D106" s="10">
        <f>D107+D112+D116</f>
        <v>67063</v>
      </c>
      <c r="E106" s="10">
        <f t="shared" si="22"/>
        <v>59639</v>
      </c>
      <c r="F106" s="10">
        <f t="shared" ref="F106" si="38">F107+F112+F116</f>
        <v>21226</v>
      </c>
      <c r="G106" s="10">
        <f t="shared" ref="G106" si="39">G107+G112+G116</f>
        <v>25623</v>
      </c>
      <c r="H106" s="10">
        <f t="shared" ref="H106" si="40">H107+H112+H116</f>
        <v>12790</v>
      </c>
      <c r="I106" s="10">
        <f t="shared" ref="I106" si="41">I107+I112+I116</f>
        <v>4437</v>
      </c>
      <c r="J106" s="10">
        <f t="shared" ref="J106" si="42">J107+J112+J116</f>
        <v>2987</v>
      </c>
    </row>
    <row r="107" spans="1:10" hidden="1" x14ac:dyDescent="0.25">
      <c r="A107" s="20" t="s">
        <v>42</v>
      </c>
      <c r="B107" s="17" t="s">
        <v>78</v>
      </c>
      <c r="C107" s="4" t="s">
        <v>101</v>
      </c>
      <c r="D107" s="11">
        <f>SUMIF('Extraction Offre de loisirs'!D:D,"normandie",'Extraction Offre de loisirs'!I:I)</f>
        <v>14015</v>
      </c>
      <c r="E107" s="11">
        <f t="shared" si="22"/>
        <v>11799</v>
      </c>
      <c r="F107" s="11">
        <f>SUMIFS('Extraction Offre de loisirs'!I:I, 'Extraction Offre de loisirs'!D:D,"normandie",'Extraction Offre de loisirs'!B:B,"2017")</f>
        <v>2378</v>
      </c>
      <c r="G107" s="11">
        <f>SUMIFS('Extraction Offre de loisirs'!I:I, 'Extraction Offre de loisirs'!D:D,"normandie",'Extraction Offre de loisirs'!B:B,"2016")</f>
        <v>5540</v>
      </c>
      <c r="H107" s="11">
        <f>SUMIFS('Extraction Offre de loisirs'!I:I, 'Extraction Offre de loisirs'!D:D,"normandie",'Extraction Offre de loisirs'!B:B,"2015")</f>
        <v>3881</v>
      </c>
      <c r="I107" s="11">
        <f>SUMIFS('Extraction Offre de loisirs'!I:I, 'Extraction Offre de loisirs'!D:D,"normandie",'Extraction Offre de loisirs'!B:B,"2014")</f>
        <v>1450</v>
      </c>
      <c r="J107" s="11">
        <f>SUMIFS('Extraction Offre de loisirs'!I:I, 'Extraction Offre de loisirs'!D:D,"normandie",'Extraction Offre de loisirs'!B:B,"2013")</f>
        <v>766</v>
      </c>
    </row>
    <row r="108" spans="1:10" hidden="1" x14ac:dyDescent="0.25">
      <c r="A108" s="15" t="s">
        <v>42</v>
      </c>
      <c r="B108" s="15" t="s">
        <v>78</v>
      </c>
      <c r="C108" s="2" t="s">
        <v>79</v>
      </c>
      <c r="D108" s="3">
        <f>SUMIFS('Extraction Offre de loisirs'!I:I, 'Extraction Offre de loisirs'!D:D,"normandie",'Extraction Offre de loisirs'!F:F,"activites de plein air")</f>
        <v>6882</v>
      </c>
      <c r="E108" s="3">
        <f t="shared" si="22"/>
        <v>5763</v>
      </c>
      <c r="F108" s="3">
        <f>SUMIFS('Extraction Offre de loisirs'!I:I, 'Extraction Offre de loisirs'!D:D,"normandie",'Extraction Offre de loisirs'!F:F,"activites de plein air",'Extraction Offre de loisirs'!B:B,"2017")</f>
        <v>1050</v>
      </c>
      <c r="G108" s="3">
        <f>SUMIFS('Extraction Offre de loisirs'!I:I, 'Extraction Offre de loisirs'!D:D,"normandie",'Extraction Offre de loisirs'!F:F,"activites de plein air",'Extraction Offre de loisirs'!B:B,"2016")</f>
        <v>2796</v>
      </c>
      <c r="H108" s="3">
        <f>SUMIFS('Extraction Offre de loisirs'!I:I, 'Extraction Offre de loisirs'!D:D,"normandie",'Extraction Offre de loisirs'!F:F,"activites de plein air",'Extraction Offre de loisirs'!B:B,"2015")</f>
        <v>1917</v>
      </c>
      <c r="I108" s="3">
        <f>SUMIFS('Extraction Offre de loisirs'!I:I, 'Extraction Offre de loisirs'!D:D,"normandie",'Extraction Offre de loisirs'!F:F,"activites de plein air",'Extraction Offre de loisirs'!B:B,"2014")</f>
        <v>775</v>
      </c>
      <c r="J108" s="3">
        <f>SUMIFS('Extraction Offre de loisirs'!I:I, 'Extraction Offre de loisirs'!D:D,"normandie",'Extraction Offre de loisirs'!F:F,"activites de plein air",'Extraction Offre de loisirs'!B:B,"2013")</f>
        <v>344</v>
      </c>
    </row>
    <row r="109" spans="1:10" hidden="1" x14ac:dyDescent="0.25">
      <c r="A109" s="15" t="s">
        <v>42</v>
      </c>
      <c r="B109" s="15" t="s">
        <v>78</v>
      </c>
      <c r="C109" s="2" t="s">
        <v>81</v>
      </c>
      <c r="D109" s="3">
        <f>SUMIFS('Extraction Offre de loisirs'!I:I, 'Extraction Offre de loisirs'!D:D,"normandie",'Extraction Offre de loisirs'!F:F,"jeux et divertissements")</f>
        <v>4110</v>
      </c>
      <c r="E109" s="3">
        <f t="shared" si="22"/>
        <v>3336</v>
      </c>
      <c r="F109" s="3">
        <f>SUMIFS('Extraction Offre de loisirs'!I:I, 'Extraction Offre de loisirs'!D:D,"normandie",'Extraction Offre de loisirs'!F:F,"jeux et divertissements",'Extraction Offre de loisirs'!B:B,"2017")</f>
        <v>823</v>
      </c>
      <c r="G109" s="3">
        <f>SUMIFS('Extraction Offre de loisirs'!I:I, 'Extraction Offre de loisirs'!D:D,"normandie",'Extraction Offre de loisirs'!F:F,"jeux et divertissements",'Extraction Offre de loisirs'!B:B,"2016")</f>
        <v>1533</v>
      </c>
      <c r="H109" s="3">
        <f>SUMIFS('Extraction Offre de loisirs'!I:I, 'Extraction Offre de loisirs'!D:D,"normandie",'Extraction Offre de loisirs'!F:F,"jeux et divertissements",'Extraction Offre de loisirs'!B:B,"2015")</f>
        <v>980</v>
      </c>
      <c r="I109" s="3">
        <f>SUMIFS('Extraction Offre de loisirs'!I:I, 'Extraction Offre de loisirs'!D:D,"normandie",'Extraction Offre de loisirs'!F:F,"jeux et divertissements",'Extraction Offre de loisirs'!B:B,"2014")</f>
        <v>479</v>
      </c>
      <c r="J109" s="3">
        <f>SUMIFS('Extraction Offre de loisirs'!I:I, 'Extraction Offre de loisirs'!D:D,"normandie",'Extraction Offre de loisirs'!F:F,"jeux et divertissements",'Extraction Offre de loisirs'!B:B,"2013")</f>
        <v>295</v>
      </c>
    </row>
    <row r="110" spans="1:10" hidden="1" x14ac:dyDescent="0.25">
      <c r="A110" s="15" t="s">
        <v>42</v>
      </c>
      <c r="B110" s="15" t="s">
        <v>78</v>
      </c>
      <c r="C110" s="2" t="s">
        <v>83</v>
      </c>
      <c r="D110" s="3">
        <f>SUMIFS('Extraction Offre de loisirs'!I:I, 'Extraction Offre de loisirs'!D:D,"normandie",'Extraction Offre de loisirs'!F:F,"shopping")</f>
        <v>2312</v>
      </c>
      <c r="E110" s="3">
        <f t="shared" si="22"/>
        <v>2051</v>
      </c>
      <c r="F110" s="3">
        <f>SUMIFS('Extraction Offre de loisirs'!I:I, 'Extraction Offre de loisirs'!D:D,"normandie",'Extraction Offre de loisirs'!F:F,"shopping",'Extraction Offre de loisirs'!B:B,"2017")</f>
        <v>382</v>
      </c>
      <c r="G110" s="3">
        <f>SUMIFS('Extraction Offre de loisirs'!I:I, 'Extraction Offre de loisirs'!D:D,"normandie",'Extraction Offre de loisirs'!F:F,"shopping",'Extraction Offre de loisirs'!B:B,"2016")</f>
        <v>894</v>
      </c>
      <c r="H110" s="3">
        <f>SUMIFS('Extraction Offre de loisirs'!I:I, 'Extraction Offre de loisirs'!D:D,"normandie",'Extraction Offre de loisirs'!F:F,"shopping",'Extraction Offre de loisirs'!B:B,"2015")</f>
        <v>775</v>
      </c>
      <c r="I110" s="3">
        <f>SUMIFS('Extraction Offre de loisirs'!I:I, 'Extraction Offre de loisirs'!D:D,"normandie",'Extraction Offre de loisirs'!F:F,"shopping",'Extraction Offre de loisirs'!B:B,"2014")</f>
        <v>148</v>
      </c>
      <c r="J110" s="3">
        <f>SUMIFS('Extraction Offre de loisirs'!I:I, 'Extraction Offre de loisirs'!D:D,"normandie",'Extraction Offre de loisirs'!F:F,"shopping",'Extraction Offre de loisirs'!B:B,"2013")</f>
        <v>113</v>
      </c>
    </row>
    <row r="111" spans="1:10" hidden="1" x14ac:dyDescent="0.25">
      <c r="A111" s="15" t="s">
        <v>42</v>
      </c>
      <c r="B111" s="15" t="s">
        <v>78</v>
      </c>
      <c r="C111" s="2" t="s">
        <v>84</v>
      </c>
      <c r="D111" s="3">
        <f>SUMIFS('Extraction Offre de loisirs'!I:I, 'Extraction Offre de loisirs'!D:D,"normandie",'Extraction Offre de loisirs'!F:F,"vie nocturne")</f>
        <v>711</v>
      </c>
      <c r="E111" s="3">
        <f t="shared" si="22"/>
        <v>649</v>
      </c>
      <c r="F111" s="3">
        <f>SUMIFS('Extraction Offre de loisirs'!I:I, 'Extraction Offre de loisirs'!D:D,"normandie",'Extraction Offre de loisirs'!F:F,"vie nocturne",'Extraction Offre de loisirs'!B:B,"2017")</f>
        <v>123</v>
      </c>
      <c r="G111" s="3">
        <f>SUMIFS('Extraction Offre de loisirs'!I:I, 'Extraction Offre de loisirs'!D:D,"normandie",'Extraction Offre de loisirs'!F:F,"vie nocturne",'Extraction Offre de loisirs'!B:B,"2016")</f>
        <v>317</v>
      </c>
      <c r="H111" s="3">
        <f>SUMIFS('Extraction Offre de loisirs'!I:I, 'Extraction Offre de loisirs'!D:D,"normandie",'Extraction Offre de loisirs'!F:F,"vie nocturne",'Extraction Offre de loisirs'!B:B,"2015")</f>
        <v>209</v>
      </c>
      <c r="I111" s="3">
        <f>SUMIFS('Extraction Offre de loisirs'!I:I, 'Extraction Offre de loisirs'!D:D,"normandie",'Extraction Offre de loisirs'!F:F,"vie nocturne",'Extraction Offre de loisirs'!B:B,"2014")</f>
        <v>48</v>
      </c>
      <c r="J111" s="3">
        <f>SUMIFS('Extraction Offre de loisirs'!I:I, 'Extraction Offre de loisirs'!D:D,"normandie",'Extraction Offre de loisirs'!F:F,"vie nocturne",'Extraction Offre de loisirs'!B:B,"2013")</f>
        <v>14</v>
      </c>
    </row>
    <row r="112" spans="1:10" hidden="1" x14ac:dyDescent="0.25">
      <c r="A112" s="20" t="s">
        <v>42</v>
      </c>
      <c r="B112" s="17" t="s">
        <v>82</v>
      </c>
      <c r="C112" s="4" t="s">
        <v>101</v>
      </c>
      <c r="D112" s="11">
        <f>SUMIF('Extraction Patrimoine'!D:D,"normandie",'Extraction Patrimoine'!I:I)</f>
        <v>20004</v>
      </c>
      <c r="E112" s="11">
        <f t="shared" si="22"/>
        <v>18091</v>
      </c>
      <c r="F112" s="11">
        <f>SUMIFS('Extraction Patrimoine'!I:I, 'Extraction Patrimoine'!D:D,"normandie",'Extraction Patrimoine'!B:B,"2017")</f>
        <v>10606</v>
      </c>
      <c r="G112" s="11">
        <f>SUMIFS('Extraction Patrimoine'!I:I, 'Extraction Patrimoine'!D:D,"normandie",'Extraction Patrimoine'!B:B,"2016")</f>
        <v>4423</v>
      </c>
      <c r="H112" s="11">
        <f>SUMIFS('Extraction Patrimoine'!I:I, 'Extraction Patrimoine'!D:D,"normandie",'Extraction Patrimoine'!B:B,"2015")</f>
        <v>3062</v>
      </c>
      <c r="I112" s="11">
        <f>SUMIFS('Extraction Patrimoine'!I:I, 'Extraction Patrimoine'!D:D,"normandie",'Extraction Patrimoine'!B:B,"2014")</f>
        <v>1154</v>
      </c>
      <c r="J112" s="11">
        <f>SUMIFS('Extraction Patrimoine'!I:I, 'Extraction Patrimoine'!D:D,"normandie",'Extraction Patrimoine'!B:B,"2013")</f>
        <v>759</v>
      </c>
    </row>
    <row r="113" spans="1:10" hidden="1" x14ac:dyDescent="0.25">
      <c r="A113" s="15" t="s">
        <v>42</v>
      </c>
      <c r="B113" s="15" t="s">
        <v>82</v>
      </c>
      <c r="C113" s="15" t="s">
        <v>98</v>
      </c>
      <c r="D113" s="23">
        <f>SUMIFS('Extraction Patrimoine'!I:I, 'Extraction Patrimoine'!D:D,"normandie",'Extraction Patrimoine'!F:F,"nature et parcs")</f>
        <v>20004</v>
      </c>
      <c r="E113" s="23">
        <f t="shared" si="22"/>
        <v>18091</v>
      </c>
      <c r="F113" s="23">
        <f>SUMIFS('Extraction Patrimoine'!I:I, 'Extraction Patrimoine'!D:D,"normandie",'Extraction Patrimoine'!F:F,"nature et parcs",'Extraction Patrimoine'!B:B, "2017")</f>
        <v>10606</v>
      </c>
      <c r="G113" s="23">
        <f>SUMIFS('Extraction Patrimoine'!I:I, 'Extraction Patrimoine'!D:D,"normandie",'Extraction Patrimoine'!F:F,"nature et parcs",'Extraction Patrimoine'!B:B, "2016")</f>
        <v>4423</v>
      </c>
      <c r="H113" s="23">
        <f>SUMIFS('Extraction Patrimoine'!I:I, 'Extraction Patrimoine'!D:D,"normandie",'Extraction Patrimoine'!F:F,"nature et parcs",'Extraction Patrimoine'!B:B, "2015")</f>
        <v>3062</v>
      </c>
      <c r="I113" s="23">
        <f>SUMIFS('Extraction Patrimoine'!I:I, 'Extraction Patrimoine'!D:D,"normandie",'Extraction Patrimoine'!F:F,"nature et parcs",'Extraction Patrimoine'!B:B, "2014")</f>
        <v>1154</v>
      </c>
      <c r="J113" s="23">
        <f>SUMIFS('Extraction Patrimoine'!I:I, 'Extraction Patrimoine'!D:D,"normandie",'Extraction Patrimoine'!F:F,"nature et parcs",'Extraction Patrimoine'!B:B, "2013")</f>
        <v>759</v>
      </c>
    </row>
    <row r="114" spans="1:10" hidden="1" x14ac:dyDescent="0.25">
      <c r="A114" s="15" t="s">
        <v>42</v>
      </c>
      <c r="B114" s="15" t="s">
        <v>82</v>
      </c>
      <c r="C114" s="15" t="s">
        <v>99</v>
      </c>
      <c r="D114" s="23">
        <f>SUMIFS('Extraction Patrimoine'!I:I, 'Extraction Patrimoine'!D:D,"normandie",'Extraction Patrimoine'!F:F,"musées")</f>
        <v>0</v>
      </c>
      <c r="E114" s="23">
        <f t="shared" si="22"/>
        <v>0</v>
      </c>
      <c r="F114" s="23">
        <f>SUMIFS('Extraction Patrimoine'!I:I, 'Extraction Patrimoine'!D:D,"normandie",'Extraction Patrimoine'!F:F,"musées",'Extraction Patrimoine'!B:B, "2017")</f>
        <v>0</v>
      </c>
      <c r="G114" s="23">
        <f>SUMIFS('Extraction Patrimoine'!I:I, 'Extraction Patrimoine'!D:D,"normandie",'Extraction Patrimoine'!F:F,"musées",'Extraction Patrimoine'!B:B, "2016")</f>
        <v>0</v>
      </c>
      <c r="H114" s="23">
        <f>SUMIFS('Extraction Patrimoine'!I:I, 'Extraction Patrimoine'!D:D,"normandie",'Extraction Patrimoine'!F:F,"musées",'Extraction Patrimoine'!B:B, "2015")</f>
        <v>0</v>
      </c>
      <c r="I114" s="23">
        <f>SUMIFS('Extraction Patrimoine'!I:I, 'Extraction Patrimoine'!D:D,"normandie",'Extraction Patrimoine'!F:F,"musées",'Extraction Patrimoine'!B:B, "2014")</f>
        <v>0</v>
      </c>
      <c r="J114" s="23">
        <f>SUMIFS('Extraction Patrimoine'!I:I, 'Extraction Patrimoine'!D:D,"normandie",'Extraction Patrimoine'!F:F,"musées",'Extraction Patrimoine'!B:B, "2013")</f>
        <v>0</v>
      </c>
    </row>
    <row r="115" spans="1:10" hidden="1" x14ac:dyDescent="0.25">
      <c r="A115" s="15" t="s">
        <v>42</v>
      </c>
      <c r="B115" s="15" t="s">
        <v>82</v>
      </c>
      <c r="C115" s="15" t="s">
        <v>100</v>
      </c>
      <c r="D115" s="23">
        <f>SUMIFS('Extraction Patrimoine'!I:I, 'Extraction Patrimoine'!D:D,"normandie",'Extraction Patrimoine'!F:F,"sites et monuments")</f>
        <v>0</v>
      </c>
      <c r="E115" s="23">
        <f t="shared" si="22"/>
        <v>0</v>
      </c>
      <c r="F115" s="23">
        <f>SUMIFS('Extraction Patrimoine'!I:I, 'Extraction Patrimoine'!D:D,"normandie",'Extraction Patrimoine'!F:F,"sites et monuments",'Extraction Patrimoine'!B:B, "2017")</f>
        <v>0</v>
      </c>
      <c r="G115" s="23">
        <f>SUMIFS('Extraction Patrimoine'!I:I, 'Extraction Patrimoine'!D:D,"normandie",'Extraction Patrimoine'!F:F,"sites et monuments",'Extraction Patrimoine'!B:B, "2016")</f>
        <v>0</v>
      </c>
      <c r="H115" s="23">
        <f>SUMIFS('Extraction Patrimoine'!I:I, 'Extraction Patrimoine'!D:D,"normandie",'Extraction Patrimoine'!F:F,"sites et monuments",'Extraction Patrimoine'!B:B, "2015")</f>
        <v>0</v>
      </c>
      <c r="I115" s="23">
        <f>SUMIFS('Extraction Patrimoine'!I:I, 'Extraction Patrimoine'!D:D,"normandie",'Extraction Patrimoine'!F:F,"sites et monuments",'Extraction Patrimoine'!B:B, "2014")</f>
        <v>0</v>
      </c>
      <c r="J115" s="23">
        <f>SUMIFS('Extraction Patrimoine'!I:I, 'Extraction Patrimoine'!D:D,"normandie",'Extraction Patrimoine'!F:F,"sites et monuments",'Extraction Patrimoine'!B:B, "2013")</f>
        <v>0</v>
      </c>
    </row>
    <row r="116" spans="1:10" hidden="1" x14ac:dyDescent="0.25">
      <c r="A116" s="20" t="s">
        <v>42</v>
      </c>
      <c r="B116" s="17" t="s">
        <v>9</v>
      </c>
      <c r="C116" s="4" t="s">
        <v>101</v>
      </c>
      <c r="D116" s="11">
        <f>SUMIF('Extraction Offre de services'!D:D,"normandie",'Extraction Offre de services'!I:I)</f>
        <v>33044</v>
      </c>
      <c r="E116" s="11">
        <f t="shared" si="22"/>
        <v>29749</v>
      </c>
      <c r="F116" s="11">
        <f>SUMIFS('Extraction Offre de services'!I:I, 'Extraction Offre de services'!D:D,"normandie",'Extraction Offre de services'!B:B,"2017")</f>
        <v>8242</v>
      </c>
      <c r="G116" s="11">
        <f>SUMIFS('Extraction Offre de services'!I:I, 'Extraction Offre de services'!D:D,"normandie",'Extraction Offre de services'!B:B,"2016")</f>
        <v>15660</v>
      </c>
      <c r="H116" s="11">
        <f>SUMIFS('Extraction Offre de services'!I:I, 'Extraction Offre de services'!D:D,"normandie",'Extraction Offre de services'!B:B,"2015")</f>
        <v>5847</v>
      </c>
      <c r="I116" s="11">
        <f>SUMIFS('Extraction Offre de services'!I:I, 'Extraction Offre de services'!D:D,"normandie",'Extraction Offre de services'!B:B,"2014")</f>
        <v>1833</v>
      </c>
      <c r="J116" s="11">
        <f>SUMIFS('Extraction Offre de services'!I:I, 'Extraction Offre de services'!D:D,"normandie",'Extraction Offre de services'!B:B,"2013")</f>
        <v>1462</v>
      </c>
    </row>
    <row r="117" spans="1:10" hidden="1" x14ac:dyDescent="0.25">
      <c r="A117" s="15" t="s">
        <v>42</v>
      </c>
      <c r="B117" s="15" t="s">
        <v>9</v>
      </c>
      <c r="C117" s="2" t="s">
        <v>10</v>
      </c>
      <c r="D117" s="3">
        <f>SUMIFS('Extraction Offre de services'!I:I, 'Extraction Offre de services'!D:D,"normandie",'Extraction Offre de services'!F:F,"hebergement")</f>
        <v>22185</v>
      </c>
      <c r="E117" s="3">
        <f t="shared" si="22"/>
        <v>22185</v>
      </c>
      <c r="F117" s="3">
        <f>SUMIFS('Extraction Offre de services'!I:I, 'Extraction Offre de services'!D:D,"normandie",'Extraction Offre de services'!F:F,"hebergement",'Extraction Offre de services'!B:B,"2017")</f>
        <v>6564</v>
      </c>
      <c r="G117" s="3">
        <f>SUMIFS('Extraction Offre de services'!I:I, 'Extraction Offre de services'!D:D,"normandie",'Extraction Offre de services'!F:F,"hebergement",'Extraction Offre de services'!B:B,"2016")</f>
        <v>12279</v>
      </c>
      <c r="H117" s="3">
        <f>SUMIFS('Extraction Offre de services'!I:I, 'Extraction Offre de services'!D:D,"normandie",'Extraction Offre de services'!F:F,"hebergement",'Extraction Offre de services'!B:B,"2015")</f>
        <v>3342</v>
      </c>
      <c r="I117" s="3">
        <f>SUMIFS('Extraction Offre de services'!I:I, 'Extraction Offre de services'!D:D,"normandie",'Extraction Offre de services'!F:F,"hebergement",'Extraction Offre de services'!B:B,"2014")</f>
        <v>0</v>
      </c>
      <c r="J117" s="3">
        <f>SUMIFS('Extraction Offre de services'!I:I, 'Extraction Offre de services'!D:D,"normandie",'Extraction Offre de services'!F:F,"hebergement",'Extraction Offre de services'!B:B,"2013")</f>
        <v>0</v>
      </c>
    </row>
    <row r="118" spans="1:10" hidden="1" x14ac:dyDescent="0.25">
      <c r="A118" s="15" t="s">
        <v>42</v>
      </c>
      <c r="B118" s="15" t="s">
        <v>9</v>
      </c>
      <c r="C118" s="2" t="s">
        <v>48</v>
      </c>
      <c r="D118" s="3">
        <f>SUMIFS('Extraction Offre de services'!I:I, 'Extraction Offre de services'!D:D,"normandie",'Extraction Offre de services'!F:F,"restauration")</f>
        <v>10859</v>
      </c>
      <c r="E118" s="3">
        <f t="shared" si="22"/>
        <v>7564</v>
      </c>
      <c r="F118" s="3">
        <f>SUMIFS('Extraction Offre de services'!I:I,'Extraction Offre de services'!D:D,"normandie",'Extraction Offre de services'!F:F,"restauration",'Extraction Offre de services'!B:B,"2017")</f>
        <v>1678</v>
      </c>
      <c r="G118" s="3">
        <f>SUMIFS('Extraction Offre de services'!I:I,'Extraction Offre de services'!D:D,"normandie",'Extraction Offre de services'!F:F,"restauration",'Extraction Offre de services'!B:B,"2016")</f>
        <v>3381</v>
      </c>
      <c r="H118" s="3">
        <f>SUMIFS('Extraction Offre de services'!I:I,'Extraction Offre de services'!D:D,"normandie",'Extraction Offre de services'!F:F,"restauration",'Extraction Offre de services'!B:B,"2015")</f>
        <v>2505</v>
      </c>
      <c r="I118" s="3">
        <f>SUMIFS('Extraction Offre de services'!I:I,'Extraction Offre de services'!D:D,"normandie",'Extraction Offre de services'!F:F,"restauration",'Extraction Offre de services'!B:B,"2014")</f>
        <v>1833</v>
      </c>
      <c r="J118" s="3">
        <f>SUMIFS('Extraction Offre de services'!I:I,'Extraction Offre de services'!D:D,"normandie",'Extraction Offre de services'!F:F,"restauration",'Extraction Offre de services'!B:B,"2013")</f>
        <v>1462</v>
      </c>
    </row>
    <row r="119" spans="1:10" hidden="1" x14ac:dyDescent="0.25">
      <c r="A119" s="16" t="s">
        <v>43</v>
      </c>
      <c r="B119" s="16" t="s">
        <v>88</v>
      </c>
      <c r="C119" s="8" t="s">
        <v>101</v>
      </c>
      <c r="D119" s="10">
        <f>D120+D125+D129</f>
        <v>123956</v>
      </c>
      <c r="E119" s="10">
        <f t="shared" si="22"/>
        <v>109081</v>
      </c>
      <c r="F119" s="10">
        <f t="shared" ref="F119" si="43">F120+F125+F129</f>
        <v>30728</v>
      </c>
      <c r="G119" s="10">
        <f t="shared" ref="G119" si="44">G120+G125+G129</f>
        <v>51421</v>
      </c>
      <c r="H119" s="10">
        <f t="shared" ref="H119" si="45">H120+H125+H129</f>
        <v>26932</v>
      </c>
      <c r="I119" s="10">
        <f t="shared" ref="I119" si="46">I120+I125+I129</f>
        <v>9893</v>
      </c>
      <c r="J119" s="10">
        <f t="shared" ref="J119" si="47">J120+J125+J129</f>
        <v>4982</v>
      </c>
    </row>
    <row r="120" spans="1:10" hidden="1" x14ac:dyDescent="0.25">
      <c r="A120" s="20" t="s">
        <v>43</v>
      </c>
      <c r="B120" s="17" t="s">
        <v>78</v>
      </c>
      <c r="C120" s="4" t="s">
        <v>101</v>
      </c>
      <c r="D120" s="11">
        <f>SUMIF('Extraction Offre de loisirs'!D:D,"nouvelle-aquitaine",'Extraction Offre de loisirs'!I:I)</f>
        <v>43702</v>
      </c>
      <c r="E120" s="11">
        <f t="shared" si="22"/>
        <v>37608</v>
      </c>
      <c r="F120" s="11">
        <f>SUMIFS('Extraction Offre de loisirs'!I:I, 'Extraction Offre de loisirs'!D:D,"nouvelle-aquitaine",'Extraction Offre de loisirs'!B:B,"2017")</f>
        <v>6721</v>
      </c>
      <c r="G120" s="11">
        <f>SUMIFS('Extraction Offre de loisirs'!I:I, 'Extraction Offre de loisirs'!D:D,"nouvelle-aquitaine",'Extraction Offre de loisirs'!B:B,"2016")</f>
        <v>19511</v>
      </c>
      <c r="H120" s="11">
        <f>SUMIFS('Extraction Offre de loisirs'!I:I, 'Extraction Offre de loisirs'!D:D,"nouvelle-aquitaine",'Extraction Offre de loisirs'!B:B,"2015")</f>
        <v>11376</v>
      </c>
      <c r="I120" s="11">
        <f>SUMIFS('Extraction Offre de loisirs'!I:I, 'Extraction Offre de loisirs'!D:D,"nouvelle-aquitaine",'Extraction Offre de loisirs'!B:B,"2014")</f>
        <v>4414</v>
      </c>
      <c r="J120" s="11">
        <f>SUMIFS('Extraction Offre de loisirs'!I:I, 'Extraction Offre de loisirs'!D:D,"nouvelle-aquitaine",'Extraction Offre de loisirs'!B:B,"2013")</f>
        <v>1680</v>
      </c>
    </row>
    <row r="121" spans="1:10" hidden="1" x14ac:dyDescent="0.25">
      <c r="A121" s="15" t="s">
        <v>43</v>
      </c>
      <c r="B121" s="15" t="s">
        <v>78</v>
      </c>
      <c r="C121" s="2" t="s">
        <v>79</v>
      </c>
      <c r="D121" s="3">
        <f>SUMIFS('Extraction Offre de loisirs'!I:I, 'Extraction Offre de loisirs'!D:D,"nouvelle-aquitaine",'Extraction Offre de loisirs'!F:F,"activites de plein air")</f>
        <v>25762</v>
      </c>
      <c r="E121" s="3">
        <f t="shared" si="22"/>
        <v>21688</v>
      </c>
      <c r="F121" s="3">
        <f>SUMIFS('Extraction Offre de loisirs'!I:I, 'Extraction Offre de loisirs'!D:D,"nouvelle-aquitaine",'Extraction Offre de loisirs'!F:F,"activites de plein air",'Extraction Offre de loisirs'!B:B,"2017")</f>
        <v>3276</v>
      </c>
      <c r="G121" s="3">
        <f>SUMIFS('Extraction Offre de loisirs'!I:I, 'Extraction Offre de loisirs'!D:D,"nouvelle-aquitaine",'Extraction Offre de loisirs'!F:F,"activites de plein air",'Extraction Offre de loisirs'!B:B,"2016")</f>
        <v>11050</v>
      </c>
      <c r="H121" s="3">
        <f>SUMIFS('Extraction Offre de loisirs'!I:I, 'Extraction Offre de loisirs'!D:D,"nouvelle-aquitaine",'Extraction Offre de loisirs'!F:F,"activites de plein air",'Extraction Offre de loisirs'!B:B,"2015")</f>
        <v>7362</v>
      </c>
      <c r="I121" s="3">
        <f>SUMIFS('Extraction Offre de loisirs'!I:I, 'Extraction Offre de loisirs'!D:D,"nouvelle-aquitaine",'Extraction Offre de loisirs'!F:F,"activites de plein air",'Extraction Offre de loisirs'!B:B,"2014")</f>
        <v>2937</v>
      </c>
      <c r="J121" s="3">
        <f>SUMIFS('Extraction Offre de loisirs'!I:I, 'Extraction Offre de loisirs'!D:D,"nouvelle-aquitaine",'Extraction Offre de loisirs'!F:F,"activites de plein air",'Extraction Offre de loisirs'!B:B,"2013")</f>
        <v>1137</v>
      </c>
    </row>
    <row r="122" spans="1:10" hidden="1" x14ac:dyDescent="0.25">
      <c r="A122" s="15" t="s">
        <v>43</v>
      </c>
      <c r="B122" s="15" t="s">
        <v>78</v>
      </c>
      <c r="C122" s="2" t="s">
        <v>81</v>
      </c>
      <c r="D122" s="3">
        <f>SUMIFS('Extraction Offre de loisirs'!I:I, 'Extraction Offre de loisirs'!D:D,"nouvelle-aquitaine",'Extraction Offre de loisirs'!F:F,"jeux et divertissements")</f>
        <v>10198</v>
      </c>
      <c r="E122" s="3">
        <f t="shared" si="22"/>
        <v>9111</v>
      </c>
      <c r="F122" s="3">
        <f>SUMIFS('Extraction Offre de loisirs'!I:I, 'Extraction Offre de loisirs'!D:D,"nouvelle-aquitaine",'Extraction Offre de loisirs'!F:F,"jeux et divertissements",'Extraction Offre de loisirs'!B:B,"2017")</f>
        <v>2325</v>
      </c>
      <c r="G122" s="3">
        <f>SUMIFS('Extraction Offre de loisirs'!I:I, 'Extraction Offre de loisirs'!D:D,"nouvelle-aquitaine",'Extraction Offre de loisirs'!F:F,"jeux et divertissements",'Extraction Offre de loisirs'!B:B,"2016")</f>
        <v>4802</v>
      </c>
      <c r="H122" s="3">
        <f>SUMIFS('Extraction Offre de loisirs'!I:I, 'Extraction Offre de loisirs'!D:D,"nouvelle-aquitaine",'Extraction Offre de loisirs'!F:F,"jeux et divertissements",'Extraction Offre de loisirs'!B:B,"2015")</f>
        <v>1984</v>
      </c>
      <c r="I122" s="3">
        <f>SUMIFS('Extraction Offre de loisirs'!I:I, 'Extraction Offre de loisirs'!D:D,"nouvelle-aquitaine",'Extraction Offre de loisirs'!F:F,"jeux et divertissements",'Extraction Offre de loisirs'!B:B,"2014")</f>
        <v>804</v>
      </c>
      <c r="J122" s="3">
        <f>SUMIFS('Extraction Offre de loisirs'!I:I, 'Extraction Offre de loisirs'!D:D,"nouvelle-aquitaine",'Extraction Offre de loisirs'!F:F,"jeux et divertissements",'Extraction Offre de loisirs'!B:B,"2013")</f>
        <v>283</v>
      </c>
    </row>
    <row r="123" spans="1:10" hidden="1" x14ac:dyDescent="0.25">
      <c r="A123" s="15" t="s">
        <v>43</v>
      </c>
      <c r="B123" s="15" t="s">
        <v>78</v>
      </c>
      <c r="C123" s="2" t="s">
        <v>83</v>
      </c>
      <c r="D123" s="3">
        <f>SUMIFS('Extraction Offre de loisirs'!I:I, 'Extraction Offre de loisirs'!D:D,"nouvelle-aquitaine",'Extraction Offre de loisirs'!F:F,"shopping")</f>
        <v>5151</v>
      </c>
      <c r="E123" s="3">
        <f t="shared" si="22"/>
        <v>4513</v>
      </c>
      <c r="F123" s="3">
        <f>SUMIFS('Extraction Offre de loisirs'!I:I, 'Extraction Offre de loisirs'!D:D,"nouvelle-aquitaine",'Extraction Offre de loisirs'!F:F,"shopping",'Extraction Offre de loisirs'!B:B,"2017")</f>
        <v>674</v>
      </c>
      <c r="G123" s="3">
        <f>SUMIFS('Extraction Offre de loisirs'!I:I, 'Extraction Offre de loisirs'!D:D,"nouvelle-aquitaine",'Extraction Offre de loisirs'!F:F,"shopping",'Extraction Offre de loisirs'!B:B,"2016")</f>
        <v>2495</v>
      </c>
      <c r="H123" s="3">
        <f>SUMIFS('Extraction Offre de loisirs'!I:I, 'Extraction Offre de loisirs'!D:D,"nouvelle-aquitaine",'Extraction Offre de loisirs'!F:F,"shopping",'Extraction Offre de loisirs'!B:B,"2015")</f>
        <v>1344</v>
      </c>
      <c r="I123" s="3">
        <f>SUMIFS('Extraction Offre de loisirs'!I:I, 'Extraction Offre de loisirs'!D:D,"nouvelle-aquitaine",'Extraction Offre de loisirs'!F:F,"shopping",'Extraction Offre de loisirs'!B:B,"2014")</f>
        <v>472</v>
      </c>
      <c r="J123" s="3">
        <f>SUMIFS('Extraction Offre de loisirs'!I:I, 'Extraction Offre de loisirs'!D:D,"nouvelle-aquitaine",'Extraction Offre de loisirs'!F:F,"shopping",'Extraction Offre de loisirs'!B:B,"2013")</f>
        <v>166</v>
      </c>
    </row>
    <row r="124" spans="1:10" hidden="1" x14ac:dyDescent="0.25">
      <c r="A124" s="15" t="s">
        <v>43</v>
      </c>
      <c r="B124" s="15" t="s">
        <v>78</v>
      </c>
      <c r="C124" s="2" t="s">
        <v>84</v>
      </c>
      <c r="D124" s="3">
        <f>SUMIFS('Extraction Offre de loisirs'!I:I, 'Extraction Offre de loisirs'!D:D,"nouvelle-aquitaine",'Extraction Offre de loisirs'!F:F,"vie nocturne")</f>
        <v>2591</v>
      </c>
      <c r="E124" s="3">
        <f t="shared" si="22"/>
        <v>2296</v>
      </c>
      <c r="F124" s="3">
        <f>SUMIFS('Extraction Offre de loisirs'!I:I, 'Extraction Offre de loisirs'!D:D,"nouvelle-aquitaine",'Extraction Offre de loisirs'!F:F,"vie nocturne",'Extraction Offre de loisirs'!B:B,"2017")</f>
        <v>446</v>
      </c>
      <c r="G124" s="3">
        <f>SUMIFS('Extraction Offre de loisirs'!I:I, 'Extraction Offre de loisirs'!D:D,"nouvelle-aquitaine",'Extraction Offre de loisirs'!F:F,"vie nocturne",'Extraction Offre de loisirs'!B:B,"2016")</f>
        <v>1164</v>
      </c>
      <c r="H124" s="3">
        <f>SUMIFS('Extraction Offre de loisirs'!I:I, 'Extraction Offre de loisirs'!D:D,"nouvelle-aquitaine",'Extraction Offre de loisirs'!F:F,"vie nocturne",'Extraction Offre de loisirs'!B:B,"2015")</f>
        <v>686</v>
      </c>
      <c r="I124" s="3">
        <f>SUMIFS('Extraction Offre de loisirs'!I:I, 'Extraction Offre de loisirs'!D:D,"nouvelle-aquitaine",'Extraction Offre de loisirs'!F:F,"vie nocturne",'Extraction Offre de loisirs'!B:B,"2014")</f>
        <v>201</v>
      </c>
      <c r="J124" s="3">
        <f>SUMIFS('Extraction Offre de loisirs'!I:I, 'Extraction Offre de loisirs'!D:D,"nouvelle-aquitaine",'Extraction Offre de loisirs'!F:F,"vie nocturne",'Extraction Offre de loisirs'!B:B,"2013")</f>
        <v>94</v>
      </c>
    </row>
    <row r="125" spans="1:10" hidden="1" x14ac:dyDescent="0.25">
      <c r="A125" s="20" t="s">
        <v>43</v>
      </c>
      <c r="B125" s="17" t="s">
        <v>82</v>
      </c>
      <c r="C125" s="4" t="s">
        <v>101</v>
      </c>
      <c r="D125" s="11">
        <f>SUMIF('Extraction Patrimoine'!D:D,"nouvelle-aquitaine",'Extraction Patrimoine'!I:I)</f>
        <v>41646</v>
      </c>
      <c r="E125" s="11">
        <f t="shared" si="22"/>
        <v>35249</v>
      </c>
      <c r="F125" s="11">
        <f>SUMIFS('Extraction Patrimoine'!I:I, 'Extraction Patrimoine'!D:D,"nouvelle-aquitaine",'Extraction Patrimoine'!B:B,"2017")</f>
        <v>12787</v>
      </c>
      <c r="G125" s="11">
        <f>SUMIFS('Extraction Patrimoine'!I:I, 'Extraction Patrimoine'!D:D,"nouvelle-aquitaine",'Extraction Patrimoine'!B:B,"2016")</f>
        <v>13152</v>
      </c>
      <c r="H125" s="11">
        <f>SUMIFS('Extraction Patrimoine'!I:I, 'Extraction Patrimoine'!D:D,"nouvelle-aquitaine",'Extraction Patrimoine'!B:B,"2015")</f>
        <v>9310</v>
      </c>
      <c r="I125" s="11">
        <f>SUMIFS('Extraction Patrimoine'!I:I, 'Extraction Patrimoine'!D:D,"nouvelle-aquitaine",'Extraction Patrimoine'!B:B,"2014")</f>
        <v>4130</v>
      </c>
      <c r="J125" s="11">
        <f>SUMIFS('Extraction Patrimoine'!I:I, 'Extraction Patrimoine'!D:D,"nouvelle-aquitaine",'Extraction Patrimoine'!B:B,"2013")</f>
        <v>2267</v>
      </c>
    </row>
    <row r="126" spans="1:10" hidden="1" x14ac:dyDescent="0.25">
      <c r="A126" s="15" t="s">
        <v>43</v>
      </c>
      <c r="B126" s="15" t="s">
        <v>82</v>
      </c>
      <c r="C126" s="15" t="s">
        <v>98</v>
      </c>
      <c r="D126" s="23">
        <f>SUMIFS('Extraction Patrimoine'!I:I, 'Extraction Patrimoine'!D:D,"nouvelle-aquitaine",'Extraction Patrimoine'!F:F,"nature et parcs")</f>
        <v>41646</v>
      </c>
      <c r="E126" s="23">
        <f t="shared" si="22"/>
        <v>35249</v>
      </c>
      <c r="F126" s="23">
        <f>SUMIFS('Extraction Patrimoine'!I:I, 'Extraction Patrimoine'!D:D,"nouvelle-aquitaine",'Extraction Patrimoine'!F:F,"nature et parcs",'Extraction Patrimoine'!B:B, "2017")</f>
        <v>12787</v>
      </c>
      <c r="G126" s="23">
        <f>SUMIFS('Extraction Patrimoine'!I:I, 'Extraction Patrimoine'!D:D,"nouvelle-aquitaine",'Extraction Patrimoine'!F:F,"nature et parcs",'Extraction Patrimoine'!B:B, "2016")</f>
        <v>13152</v>
      </c>
      <c r="H126" s="23">
        <f>SUMIFS('Extraction Patrimoine'!I:I, 'Extraction Patrimoine'!D:D,"nouvelle-aquitaine",'Extraction Patrimoine'!F:F,"nature et parcs",'Extraction Patrimoine'!B:B, "2015")</f>
        <v>9310</v>
      </c>
      <c r="I126" s="23">
        <f>SUMIFS('Extraction Patrimoine'!I:I, 'Extraction Patrimoine'!D:D,"nouvelle-aquitaine",'Extraction Patrimoine'!F:F,"nature et parcs",'Extraction Patrimoine'!B:B, "2014")</f>
        <v>4130</v>
      </c>
      <c r="J126" s="23">
        <f>SUMIFS('Extraction Patrimoine'!I:I, 'Extraction Patrimoine'!D:D,"nouvelle-aquitaine",'Extraction Patrimoine'!F:F,"nature et parcs",'Extraction Patrimoine'!B:B, "2013")</f>
        <v>2267</v>
      </c>
    </row>
    <row r="127" spans="1:10" hidden="1" x14ac:dyDescent="0.25">
      <c r="A127" s="15" t="s">
        <v>43</v>
      </c>
      <c r="B127" s="15" t="s">
        <v>82</v>
      </c>
      <c r="C127" s="15" t="s">
        <v>99</v>
      </c>
      <c r="D127" s="23">
        <f>SUMIFS('Extraction Patrimoine'!I:I, 'Extraction Patrimoine'!D:D,"nouvelle-aquitaine",'Extraction Patrimoine'!F:F,"musées")</f>
        <v>0</v>
      </c>
      <c r="E127" s="23">
        <f t="shared" si="22"/>
        <v>0</v>
      </c>
      <c r="F127" s="23">
        <f>SUMIFS('Extraction Patrimoine'!I:I, 'Extraction Patrimoine'!D:D,"nouvelle-aquitaine",'Extraction Patrimoine'!F:F,"musées",'Extraction Patrimoine'!B:B, "2017")</f>
        <v>0</v>
      </c>
      <c r="G127" s="23">
        <f>SUMIFS('Extraction Patrimoine'!I:I, 'Extraction Patrimoine'!D:D,"nouvelle-aquitaine",'Extraction Patrimoine'!F:F,"musées",'Extraction Patrimoine'!B:B, "2016")</f>
        <v>0</v>
      </c>
      <c r="H127" s="23">
        <f>SUMIFS('Extraction Patrimoine'!I:I, 'Extraction Patrimoine'!D:D,"nouvelle-aquitaine",'Extraction Patrimoine'!F:F,"musées",'Extraction Patrimoine'!B:B, "2015")</f>
        <v>0</v>
      </c>
      <c r="I127" s="23">
        <f>SUMIFS('Extraction Patrimoine'!I:I, 'Extraction Patrimoine'!D:D,"nouvelle-aquitaine",'Extraction Patrimoine'!F:F,"musées",'Extraction Patrimoine'!B:B, "2014")</f>
        <v>0</v>
      </c>
      <c r="J127" s="23">
        <f>SUMIFS('Extraction Patrimoine'!I:I, 'Extraction Patrimoine'!D:D,"nouvelle-aquitaine",'Extraction Patrimoine'!F:F,"musées",'Extraction Patrimoine'!B:B, "2013")</f>
        <v>0</v>
      </c>
    </row>
    <row r="128" spans="1:10" hidden="1" x14ac:dyDescent="0.25">
      <c r="A128" s="15" t="s">
        <v>43</v>
      </c>
      <c r="B128" s="15" t="s">
        <v>82</v>
      </c>
      <c r="C128" s="15" t="s">
        <v>100</v>
      </c>
      <c r="D128" s="23">
        <f>SUMIFS('Extraction Patrimoine'!I:I, 'Extraction Patrimoine'!D:D,"nouvelle-aquitaine",'Extraction Patrimoine'!F:F,"sites et monuments")</f>
        <v>0</v>
      </c>
      <c r="E128" s="23">
        <f t="shared" si="22"/>
        <v>0</v>
      </c>
      <c r="F128" s="23">
        <f>SUMIFS('Extraction Patrimoine'!I:I, 'Extraction Patrimoine'!D:D,"nouvelle-aquitaine",'Extraction Patrimoine'!F:F,"sites et monuments",'Extraction Patrimoine'!B:B, "2017")</f>
        <v>0</v>
      </c>
      <c r="G128" s="23">
        <f>SUMIFS('Extraction Patrimoine'!I:I, 'Extraction Patrimoine'!D:D,"nouvelle-aquitaine",'Extraction Patrimoine'!F:F,"sites et monuments",'Extraction Patrimoine'!B:B, "2016")</f>
        <v>0</v>
      </c>
      <c r="H128" s="23">
        <f>SUMIFS('Extraction Patrimoine'!I:I, 'Extraction Patrimoine'!D:D,"nouvelle-aquitaine",'Extraction Patrimoine'!F:F,"sites et monuments",'Extraction Patrimoine'!B:B, "2015")</f>
        <v>0</v>
      </c>
      <c r="I128" s="23">
        <f>SUMIFS('Extraction Patrimoine'!I:I, 'Extraction Patrimoine'!D:D,"nouvelle-aquitaine",'Extraction Patrimoine'!F:F,"sites et monuments",'Extraction Patrimoine'!B:B, "2014")</f>
        <v>0</v>
      </c>
      <c r="J128" s="23">
        <f>SUMIFS('Extraction Patrimoine'!I:I, 'Extraction Patrimoine'!D:D,"nouvelle-aquitaine",'Extraction Patrimoine'!F:F,"sites et monuments",'Extraction Patrimoine'!B:B, "2013")</f>
        <v>0</v>
      </c>
    </row>
    <row r="129" spans="1:10" hidden="1" x14ac:dyDescent="0.25">
      <c r="A129" s="20" t="s">
        <v>43</v>
      </c>
      <c r="B129" s="17" t="s">
        <v>9</v>
      </c>
      <c r="C129" s="4" t="s">
        <v>101</v>
      </c>
      <c r="D129" s="11">
        <f>SUMIF('Extraction Offre de services'!D:D,"nouvelle-aquitaine",'Extraction Offre de services'!I:I)</f>
        <v>38608</v>
      </c>
      <c r="E129" s="11">
        <f t="shared" si="22"/>
        <v>36224</v>
      </c>
      <c r="F129" s="11">
        <f>SUMIFS('Extraction Offre de services'!I:I, 'Extraction Offre de services'!D:D,"nouvelle-aquitaine",'Extraction Offre de services'!B:B,"2017")</f>
        <v>11220</v>
      </c>
      <c r="G129" s="11">
        <f>SUMIFS('Extraction Offre de services'!I:I, 'Extraction Offre de services'!D:D,"nouvelle-aquitaine",'Extraction Offre de services'!B:B,"2016")</f>
        <v>18758</v>
      </c>
      <c r="H129" s="11">
        <f>SUMIFS('Extraction Offre de services'!I:I, 'Extraction Offre de services'!D:D,"nouvelle-aquitaine",'Extraction Offre de services'!B:B,"2015")</f>
        <v>6246</v>
      </c>
      <c r="I129" s="11">
        <f>SUMIFS('Extraction Offre de services'!I:I, 'Extraction Offre de services'!D:D,"nouvelle-aquitaine",'Extraction Offre de services'!B:B,"2014")</f>
        <v>1349</v>
      </c>
      <c r="J129" s="11">
        <f>SUMIFS('Extraction Offre de services'!I:I, 'Extraction Offre de services'!D:D,"nouvelle-aquitaine",'Extraction Offre de services'!B:B,"2013")</f>
        <v>1035</v>
      </c>
    </row>
    <row r="130" spans="1:10" hidden="1" x14ac:dyDescent="0.25">
      <c r="A130" s="15" t="s">
        <v>43</v>
      </c>
      <c r="B130" s="15" t="s">
        <v>9</v>
      </c>
      <c r="C130" s="2" t="s">
        <v>10</v>
      </c>
      <c r="D130" s="3">
        <f>SUMIFS('Extraction Offre de services'!I:I, 'Extraction Offre de services'!D:D,"nouvelle-aquitaine",'Extraction Offre de services'!F:F,"hebergement")</f>
        <v>27625</v>
      </c>
      <c r="E130" s="3">
        <f t="shared" si="22"/>
        <v>27625</v>
      </c>
      <c r="F130" s="3">
        <f>SUMIFS('Extraction Offre de services'!I:I, 'Extraction Offre de services'!D:D,"nouvelle-aquitaine",'Extraction Offre de services'!F:F,"hebergement",'Extraction Offre de services'!B:B,"2017")</f>
        <v>8966</v>
      </c>
      <c r="G130" s="3">
        <f>SUMIFS('Extraction Offre de services'!I:I, 'Extraction Offre de services'!D:D,"nouvelle-aquitaine",'Extraction Offre de services'!F:F,"hebergement",'Extraction Offre de services'!B:B,"2016")</f>
        <v>14691</v>
      </c>
      <c r="H130" s="3">
        <f>SUMIFS('Extraction Offre de services'!I:I, 'Extraction Offre de services'!D:D,"nouvelle-aquitaine",'Extraction Offre de services'!F:F,"hebergement",'Extraction Offre de services'!B:B,"2015")</f>
        <v>3968</v>
      </c>
      <c r="I130" s="3">
        <f>SUMIFS('Extraction Offre de services'!I:I, 'Extraction Offre de services'!D:D,"nouvelle-aquitaine",'Extraction Offre de services'!F:F,"hebergement",'Extraction Offre de services'!B:B,"2014")</f>
        <v>0</v>
      </c>
      <c r="J130" s="3">
        <f>SUMIFS('Extraction Offre de services'!I:I, 'Extraction Offre de services'!D:D,"nouvelle-aquitaine",'Extraction Offre de services'!F:F,"hebergement",'Extraction Offre de services'!B:B,"2013")</f>
        <v>0</v>
      </c>
    </row>
    <row r="131" spans="1:10" hidden="1" x14ac:dyDescent="0.25">
      <c r="A131" s="15" t="s">
        <v>43</v>
      </c>
      <c r="B131" s="15" t="s">
        <v>9</v>
      </c>
      <c r="C131" s="2" t="s">
        <v>48</v>
      </c>
      <c r="D131" s="3">
        <f>SUMIFS('Extraction Offre de services'!I:I, 'Extraction Offre de services'!D:D,"nouvelle-aquitaine",'Extraction Offre de services'!F:F,"restauration")</f>
        <v>10983</v>
      </c>
      <c r="E131" s="3">
        <f t="shared" ref="E131:E170" si="48">F131+G131+H131</f>
        <v>8599</v>
      </c>
      <c r="F131" s="3">
        <f>SUMIFS('Extraction Offre de services'!I:I,'Extraction Offre de services'!D:D,"nouvelle-aquitaine",'Extraction Offre de services'!F:F,"restauration",'Extraction Offre de services'!B:B,"2017")</f>
        <v>2254</v>
      </c>
      <c r="G131" s="3">
        <f>SUMIFS('Extraction Offre de services'!I:I,'Extraction Offre de services'!D:D,"nouvelle-aquitaine",'Extraction Offre de services'!F:F,"restauration",'Extraction Offre de services'!B:B,"2016")</f>
        <v>4067</v>
      </c>
      <c r="H131" s="3">
        <f>SUMIFS('Extraction Offre de services'!I:I,'Extraction Offre de services'!D:D,"nouvelle-aquitaine",'Extraction Offre de services'!F:F,"restauration",'Extraction Offre de services'!B:B,"2015")</f>
        <v>2278</v>
      </c>
      <c r="I131" s="3">
        <f>SUMIFS('Extraction Offre de services'!I:I,'Extraction Offre de services'!D:D,"nouvelle-aquitaine",'Extraction Offre de services'!F:F,"restauration",'Extraction Offre de services'!B:B,"2014")</f>
        <v>1349</v>
      </c>
      <c r="J131" s="3">
        <f>SUMIFS('Extraction Offre de services'!I:I,'Extraction Offre de services'!D:D,"nouvelle-aquitaine",'Extraction Offre de services'!F:F,"restauration",'Extraction Offre de services'!B:B,"2013")</f>
        <v>1035</v>
      </c>
    </row>
    <row r="132" spans="1:10" hidden="1" x14ac:dyDescent="0.25">
      <c r="A132" s="16" t="s">
        <v>44</v>
      </c>
      <c r="B132" s="16" t="s">
        <v>88</v>
      </c>
      <c r="C132" s="8" t="s">
        <v>101</v>
      </c>
      <c r="D132" s="10">
        <f>D133+D138+D142</f>
        <v>137748</v>
      </c>
      <c r="E132" s="10">
        <f t="shared" si="48"/>
        <v>121397</v>
      </c>
      <c r="F132" s="10">
        <f t="shared" ref="F132" si="49">F133+F138+F142</f>
        <v>31768</v>
      </c>
      <c r="G132" s="10">
        <f t="shared" ref="G132" si="50">G133+G138+G142</f>
        <v>59811</v>
      </c>
      <c r="H132" s="10">
        <f t="shared" ref="H132" si="51">H133+H138+H142</f>
        <v>29818</v>
      </c>
      <c r="I132" s="10">
        <f t="shared" ref="I132" si="52">I133+I138+I142</f>
        <v>11081</v>
      </c>
      <c r="J132" s="10">
        <f t="shared" ref="J132" si="53">J133+J138+J142</f>
        <v>5270</v>
      </c>
    </row>
    <row r="133" spans="1:10" hidden="1" x14ac:dyDescent="0.25">
      <c r="A133" s="20" t="s">
        <v>44</v>
      </c>
      <c r="B133" s="17" t="s">
        <v>78</v>
      </c>
      <c r="C133" s="4" t="s">
        <v>101</v>
      </c>
      <c r="D133" s="11">
        <f>SUMIF('Extraction Offre de loisirs'!D:D,"occitanie",'Extraction Offre de loisirs'!I:I)</f>
        <v>45798</v>
      </c>
      <c r="E133" s="11">
        <f t="shared" si="48"/>
        <v>38497</v>
      </c>
      <c r="F133" s="11">
        <f>SUMIFS('Extraction Offre de loisirs'!I:I, 'Extraction Offre de loisirs'!D:D,"occitanie",'Extraction Offre de loisirs'!B:B,"2017")</f>
        <v>6507</v>
      </c>
      <c r="G133" s="11">
        <f>SUMIFS('Extraction Offre de loisirs'!I:I, 'Extraction Offre de loisirs'!D:D,"occitanie",'Extraction Offre de loisirs'!B:B,"2016")</f>
        <v>20226</v>
      </c>
      <c r="H133" s="11">
        <f>SUMIFS('Extraction Offre de loisirs'!I:I, 'Extraction Offre de loisirs'!D:D,"occitanie",'Extraction Offre de loisirs'!B:B,"2015")</f>
        <v>11764</v>
      </c>
      <c r="I133" s="11">
        <f>SUMIFS('Extraction Offre de loisirs'!I:I, 'Extraction Offre de loisirs'!D:D,"occitanie",'Extraction Offre de loisirs'!B:B,"2014")</f>
        <v>5319</v>
      </c>
      <c r="J133" s="11">
        <f>SUMIFS('Extraction Offre de loisirs'!I:I, 'Extraction Offre de loisirs'!D:D,"occitanie",'Extraction Offre de loisirs'!B:B,"2013")</f>
        <v>1982</v>
      </c>
    </row>
    <row r="134" spans="1:10" hidden="1" x14ac:dyDescent="0.25">
      <c r="A134" s="15" t="s">
        <v>44</v>
      </c>
      <c r="B134" s="15" t="s">
        <v>78</v>
      </c>
      <c r="C134" s="2" t="s">
        <v>79</v>
      </c>
      <c r="D134" s="3">
        <f>SUMIFS('Extraction Offre de loisirs'!I:I, 'Extraction Offre de loisirs'!D:D,"occitanie",'Extraction Offre de loisirs'!F:F,"activites de plein air")</f>
        <v>27743</v>
      </c>
      <c r="E134" s="3">
        <f t="shared" si="48"/>
        <v>22520</v>
      </c>
      <c r="F134" s="3">
        <f>SUMIFS('Extraction Offre de loisirs'!I:I, 'Extraction Offre de loisirs'!D:D,"occitanie",'Extraction Offre de loisirs'!F:F,"activites de plein air",'Extraction Offre de loisirs'!B:B,"2017")</f>
        <v>3245</v>
      </c>
      <c r="G134" s="3">
        <f>SUMIFS('Extraction Offre de loisirs'!I:I, 'Extraction Offre de loisirs'!D:D,"occitanie",'Extraction Offre de loisirs'!F:F,"activites de plein air",'Extraction Offre de loisirs'!B:B,"2016")</f>
        <v>11698</v>
      </c>
      <c r="H134" s="3">
        <f>SUMIFS('Extraction Offre de loisirs'!I:I, 'Extraction Offre de loisirs'!D:D,"occitanie",'Extraction Offre de loisirs'!F:F,"activites de plein air",'Extraction Offre de loisirs'!B:B,"2015")</f>
        <v>7577</v>
      </c>
      <c r="I134" s="3">
        <f>SUMIFS('Extraction Offre de loisirs'!I:I, 'Extraction Offre de loisirs'!D:D,"occitanie",'Extraction Offre de loisirs'!F:F,"activites de plein air",'Extraction Offre de loisirs'!B:B,"2014")</f>
        <v>3815</v>
      </c>
      <c r="J134" s="3">
        <f>SUMIFS('Extraction Offre de loisirs'!I:I, 'Extraction Offre de loisirs'!D:D,"occitanie",'Extraction Offre de loisirs'!F:F,"activites de plein air",'Extraction Offre de loisirs'!B:B,"2013")</f>
        <v>1408</v>
      </c>
    </row>
    <row r="135" spans="1:10" hidden="1" x14ac:dyDescent="0.25">
      <c r="A135" s="15" t="s">
        <v>44</v>
      </c>
      <c r="B135" s="15" t="s">
        <v>78</v>
      </c>
      <c r="C135" s="2" t="s">
        <v>81</v>
      </c>
      <c r="D135" s="3">
        <f>SUMIFS('Extraction Offre de loisirs'!I:I, 'Extraction Offre de loisirs'!D:D,"occitanie",'Extraction Offre de loisirs'!F:F,"jeux et divertissements")</f>
        <v>9727</v>
      </c>
      <c r="E135" s="3">
        <f t="shared" si="48"/>
        <v>8583</v>
      </c>
      <c r="F135" s="3">
        <f>SUMIFS('Extraction Offre de loisirs'!I:I, 'Extraction Offre de loisirs'!D:D,"occitanie",'Extraction Offre de loisirs'!F:F,"jeux et divertissements",'Extraction Offre de loisirs'!B:B,"2017")</f>
        <v>1851</v>
      </c>
      <c r="G135" s="3">
        <f>SUMIFS('Extraction Offre de loisirs'!I:I, 'Extraction Offre de loisirs'!D:D,"occitanie",'Extraction Offre de loisirs'!F:F,"jeux et divertissements",'Extraction Offre de loisirs'!B:B,"2016")</f>
        <v>4663</v>
      </c>
      <c r="H135" s="3">
        <f>SUMIFS('Extraction Offre de loisirs'!I:I, 'Extraction Offre de loisirs'!D:D,"occitanie",'Extraction Offre de loisirs'!F:F,"jeux et divertissements",'Extraction Offre de loisirs'!B:B,"2015")</f>
        <v>2069</v>
      </c>
      <c r="I135" s="3">
        <f>SUMIFS('Extraction Offre de loisirs'!I:I, 'Extraction Offre de loisirs'!D:D,"occitanie",'Extraction Offre de loisirs'!F:F,"jeux et divertissements",'Extraction Offre de loisirs'!B:B,"2014")</f>
        <v>840</v>
      </c>
      <c r="J135" s="3">
        <f>SUMIFS('Extraction Offre de loisirs'!I:I, 'Extraction Offre de loisirs'!D:D,"occitanie",'Extraction Offre de loisirs'!F:F,"jeux et divertissements",'Extraction Offre de loisirs'!B:B,"2013")</f>
        <v>304</v>
      </c>
    </row>
    <row r="136" spans="1:10" hidden="1" x14ac:dyDescent="0.25">
      <c r="A136" s="15" t="s">
        <v>44</v>
      </c>
      <c r="B136" s="15" t="s">
        <v>78</v>
      </c>
      <c r="C136" s="2" t="s">
        <v>83</v>
      </c>
      <c r="D136" s="3">
        <f>SUMIFS('Extraction Offre de loisirs'!I:I, 'Extraction Offre de loisirs'!D:D,"occitanie",'Extraction Offre de loisirs'!F:F,"shopping")</f>
        <v>5207</v>
      </c>
      <c r="E136" s="3">
        <f t="shared" si="48"/>
        <v>4626</v>
      </c>
      <c r="F136" s="3">
        <f>SUMIFS('Extraction Offre de loisirs'!I:I, 'Extraction Offre de loisirs'!D:D,"occitanie",'Extraction Offre de loisirs'!F:F,"shopping",'Extraction Offre de loisirs'!B:B,"2017")</f>
        <v>899</v>
      </c>
      <c r="G136" s="3">
        <f>SUMIFS('Extraction Offre de loisirs'!I:I, 'Extraction Offre de loisirs'!D:D,"occitanie",'Extraction Offre de loisirs'!F:F,"shopping",'Extraction Offre de loisirs'!B:B,"2016")</f>
        <v>2486</v>
      </c>
      <c r="H136" s="3">
        <f>SUMIFS('Extraction Offre de loisirs'!I:I, 'Extraction Offre de loisirs'!D:D,"occitanie",'Extraction Offre de loisirs'!F:F,"shopping",'Extraction Offre de loisirs'!B:B,"2015")</f>
        <v>1241</v>
      </c>
      <c r="I136" s="3">
        <f>SUMIFS('Extraction Offre de loisirs'!I:I, 'Extraction Offre de loisirs'!D:D,"occitanie",'Extraction Offre de loisirs'!F:F,"shopping",'Extraction Offre de loisirs'!B:B,"2014")</f>
        <v>392</v>
      </c>
      <c r="J136" s="3">
        <f>SUMIFS('Extraction Offre de loisirs'!I:I, 'Extraction Offre de loisirs'!D:D,"occitanie",'Extraction Offre de loisirs'!F:F,"shopping",'Extraction Offre de loisirs'!B:B,"2013")</f>
        <v>189</v>
      </c>
    </row>
    <row r="137" spans="1:10" hidden="1" x14ac:dyDescent="0.25">
      <c r="A137" s="15" t="s">
        <v>44</v>
      </c>
      <c r="B137" s="15" t="s">
        <v>78</v>
      </c>
      <c r="C137" s="2" t="s">
        <v>84</v>
      </c>
      <c r="D137" s="3">
        <f>SUMIFS('Extraction Offre de loisirs'!I:I, 'Extraction Offre de loisirs'!D:D,"occitanie",'Extraction Offre de loisirs'!F:F,"vie nocturne")</f>
        <v>3121</v>
      </c>
      <c r="E137" s="3">
        <f t="shared" si="48"/>
        <v>2768</v>
      </c>
      <c r="F137" s="3">
        <f>SUMIFS('Extraction Offre de loisirs'!I:I, 'Extraction Offre de loisirs'!D:D,"occitanie",'Extraction Offre de loisirs'!F:F,"vie nocturne",'Extraction Offre de loisirs'!B:B,"2017")</f>
        <v>512</v>
      </c>
      <c r="G137" s="3">
        <f>SUMIFS('Extraction Offre de loisirs'!I:I, 'Extraction Offre de loisirs'!D:D,"occitanie",'Extraction Offre de loisirs'!F:F,"vie nocturne",'Extraction Offre de loisirs'!B:B,"2016")</f>
        <v>1379</v>
      </c>
      <c r="H137" s="3">
        <f>SUMIFS('Extraction Offre de loisirs'!I:I, 'Extraction Offre de loisirs'!D:D,"occitanie",'Extraction Offre de loisirs'!F:F,"vie nocturne",'Extraction Offre de loisirs'!B:B,"2015")</f>
        <v>877</v>
      </c>
      <c r="I137" s="3">
        <f>SUMIFS('Extraction Offre de loisirs'!I:I, 'Extraction Offre de loisirs'!D:D,"occitanie",'Extraction Offre de loisirs'!F:F,"vie nocturne",'Extraction Offre de loisirs'!B:B,"2014")</f>
        <v>272</v>
      </c>
      <c r="J137" s="3">
        <f>SUMIFS('Extraction Offre de loisirs'!I:I, 'Extraction Offre de loisirs'!D:D,"occitanie",'Extraction Offre de loisirs'!F:F,"vie nocturne",'Extraction Offre de loisirs'!B:B,"2013")</f>
        <v>81</v>
      </c>
    </row>
    <row r="138" spans="1:10" hidden="1" x14ac:dyDescent="0.25">
      <c r="A138" s="20" t="s">
        <v>44</v>
      </c>
      <c r="B138" s="17" t="s">
        <v>82</v>
      </c>
      <c r="C138" s="4" t="s">
        <v>101</v>
      </c>
      <c r="D138" s="11">
        <f>SUMIF('Extraction Patrimoine'!D:D,"occitanie",'Extraction Patrimoine'!I:I)</f>
        <v>42144</v>
      </c>
      <c r="E138" s="11">
        <f t="shared" si="48"/>
        <v>35449</v>
      </c>
      <c r="F138" s="11">
        <f>SUMIFS('Extraction Patrimoine'!I:I, 'Extraction Patrimoine'!D:D,"occitanie",'Extraction Patrimoine'!B:B,"2017")</f>
        <v>12410</v>
      </c>
      <c r="G138" s="11">
        <f>SUMIFS('Extraction Patrimoine'!I:I, 'Extraction Patrimoine'!D:D,"occitanie",'Extraction Patrimoine'!B:B,"2016")</f>
        <v>13715</v>
      </c>
      <c r="H138" s="11">
        <f>SUMIFS('Extraction Patrimoine'!I:I, 'Extraction Patrimoine'!D:D,"occitanie",'Extraction Patrimoine'!B:B,"2015")</f>
        <v>9324</v>
      </c>
      <c r="I138" s="11">
        <f>SUMIFS('Extraction Patrimoine'!I:I, 'Extraction Patrimoine'!D:D,"occitanie",'Extraction Patrimoine'!B:B,"2014")</f>
        <v>4485</v>
      </c>
      <c r="J138" s="11">
        <f>SUMIFS('Extraction Patrimoine'!I:I, 'Extraction Patrimoine'!D:D,"occitanie",'Extraction Patrimoine'!B:B,"2013")</f>
        <v>2210</v>
      </c>
    </row>
    <row r="139" spans="1:10" hidden="1" x14ac:dyDescent="0.25">
      <c r="A139" s="15" t="s">
        <v>44</v>
      </c>
      <c r="B139" s="15" t="s">
        <v>82</v>
      </c>
      <c r="C139" s="15" t="s">
        <v>98</v>
      </c>
      <c r="D139" s="23">
        <f>SUMIFS('Extraction Patrimoine'!I:I, 'Extraction Patrimoine'!D:D,"occitanie",'Extraction Patrimoine'!F:F,"nature et parcs")</f>
        <v>42144</v>
      </c>
      <c r="E139" s="23">
        <f t="shared" si="48"/>
        <v>35449</v>
      </c>
      <c r="F139" s="23">
        <f>SUMIFS('Extraction Patrimoine'!I:I, 'Extraction Patrimoine'!D:D,"occitanie",'Extraction Patrimoine'!F:F,"nature et parcs",'Extraction Patrimoine'!B:B, "2017")</f>
        <v>12410</v>
      </c>
      <c r="G139" s="23">
        <f>SUMIFS('Extraction Patrimoine'!I:I, 'Extraction Patrimoine'!D:D,"occitanie",'Extraction Patrimoine'!F:F,"nature et parcs",'Extraction Patrimoine'!B:B, "2016")</f>
        <v>13715</v>
      </c>
      <c r="H139" s="23">
        <f>SUMIFS('Extraction Patrimoine'!I:I, 'Extraction Patrimoine'!D:D,"occitanie",'Extraction Patrimoine'!F:F,"nature et parcs",'Extraction Patrimoine'!B:B, "2015")</f>
        <v>9324</v>
      </c>
      <c r="I139" s="23">
        <f>SUMIFS('Extraction Patrimoine'!I:I, 'Extraction Patrimoine'!D:D,"occitanie",'Extraction Patrimoine'!F:F,"nature et parcs",'Extraction Patrimoine'!B:B, "2014")</f>
        <v>4485</v>
      </c>
      <c r="J139" s="23">
        <f>SUMIFS('Extraction Patrimoine'!I:I, 'Extraction Patrimoine'!D:D,"occitanie",'Extraction Patrimoine'!F:F,"nature et parcs",'Extraction Patrimoine'!B:B, "2013")</f>
        <v>2210</v>
      </c>
    </row>
    <row r="140" spans="1:10" hidden="1" x14ac:dyDescent="0.25">
      <c r="A140" s="15" t="s">
        <v>44</v>
      </c>
      <c r="B140" s="15" t="s">
        <v>82</v>
      </c>
      <c r="C140" s="15" t="s">
        <v>99</v>
      </c>
      <c r="D140" s="23">
        <f>SUMIFS('Extraction Patrimoine'!I:I, 'Extraction Patrimoine'!D:D,"occitanie",'Extraction Patrimoine'!F:F,"musées")</f>
        <v>0</v>
      </c>
      <c r="E140" s="23">
        <f t="shared" si="48"/>
        <v>0</v>
      </c>
      <c r="F140" s="23">
        <f>SUMIFS('Extraction Patrimoine'!I:I, 'Extraction Patrimoine'!D:D,"occitanie",'Extraction Patrimoine'!F:F,"musées",'Extraction Patrimoine'!B:B, "2017")</f>
        <v>0</v>
      </c>
      <c r="G140" s="23">
        <f>SUMIFS('Extraction Patrimoine'!I:I, 'Extraction Patrimoine'!D:D,"occitanie",'Extraction Patrimoine'!F:F,"musées",'Extraction Patrimoine'!B:B, "2016")</f>
        <v>0</v>
      </c>
      <c r="H140" s="23">
        <f>SUMIFS('Extraction Patrimoine'!I:I, 'Extraction Patrimoine'!D:D,"occitanie",'Extraction Patrimoine'!F:F,"musées",'Extraction Patrimoine'!B:B, "2015")</f>
        <v>0</v>
      </c>
      <c r="I140" s="23">
        <f>SUMIFS('Extraction Patrimoine'!I:I, 'Extraction Patrimoine'!D:D,"occitanie",'Extraction Patrimoine'!F:F,"musées",'Extraction Patrimoine'!B:B, "2014")</f>
        <v>0</v>
      </c>
      <c r="J140" s="23">
        <f>SUMIFS('Extraction Patrimoine'!I:I, 'Extraction Patrimoine'!D:D,"occitanie",'Extraction Patrimoine'!F:F,"musées",'Extraction Patrimoine'!B:B, "2013")</f>
        <v>0</v>
      </c>
    </row>
    <row r="141" spans="1:10" hidden="1" x14ac:dyDescent="0.25">
      <c r="A141" s="15" t="s">
        <v>44</v>
      </c>
      <c r="B141" s="15" t="s">
        <v>82</v>
      </c>
      <c r="C141" s="15" t="s">
        <v>100</v>
      </c>
      <c r="D141" s="23">
        <f>SUMIFS('Extraction Patrimoine'!I:I, 'Extraction Patrimoine'!D:D,"occitanie",'Extraction Patrimoine'!F:F,"sites et monuments")</f>
        <v>0</v>
      </c>
      <c r="E141" s="23">
        <f t="shared" si="48"/>
        <v>0</v>
      </c>
      <c r="F141" s="23">
        <f>SUMIFS('Extraction Patrimoine'!I:I, 'Extraction Patrimoine'!D:D,"occitanie",'Extraction Patrimoine'!F:F,"sites et monuments",'Extraction Patrimoine'!B:B, "2017")</f>
        <v>0</v>
      </c>
      <c r="G141" s="23">
        <f>SUMIFS('Extraction Patrimoine'!I:I, 'Extraction Patrimoine'!D:D,"occitanie",'Extraction Patrimoine'!F:F,"sites et monuments",'Extraction Patrimoine'!B:B, "2016")</f>
        <v>0</v>
      </c>
      <c r="H141" s="23">
        <f>SUMIFS('Extraction Patrimoine'!I:I, 'Extraction Patrimoine'!D:D,"occitanie",'Extraction Patrimoine'!F:F,"sites et monuments",'Extraction Patrimoine'!B:B, "2015")</f>
        <v>0</v>
      </c>
      <c r="I141" s="23">
        <f>SUMIFS('Extraction Patrimoine'!I:I, 'Extraction Patrimoine'!D:D,"occitanie",'Extraction Patrimoine'!F:F,"sites et monuments",'Extraction Patrimoine'!B:B, "2014")</f>
        <v>0</v>
      </c>
      <c r="J141" s="23">
        <f>SUMIFS('Extraction Patrimoine'!I:I, 'Extraction Patrimoine'!D:D,"occitanie",'Extraction Patrimoine'!F:F,"sites et monuments",'Extraction Patrimoine'!B:B, "2013")</f>
        <v>0</v>
      </c>
    </row>
    <row r="142" spans="1:10" hidden="1" x14ac:dyDescent="0.25">
      <c r="A142" s="20" t="s">
        <v>44</v>
      </c>
      <c r="B142" s="17" t="s">
        <v>9</v>
      </c>
      <c r="C142" s="4" t="s">
        <v>101</v>
      </c>
      <c r="D142" s="11">
        <f>SUMIF('Extraction Offre de services'!D:D,"occitanie",'Extraction Offre de services'!I:I)</f>
        <v>49806</v>
      </c>
      <c r="E142" s="11">
        <f t="shared" si="48"/>
        <v>47451</v>
      </c>
      <c r="F142" s="11">
        <f>SUMIFS('Extraction Offre de services'!I:I, 'Extraction Offre de services'!D:D,"occitanie",'Extraction Offre de services'!B:B,"2017")</f>
        <v>12851</v>
      </c>
      <c r="G142" s="11">
        <f>SUMIFS('Extraction Offre de services'!I:I, 'Extraction Offre de services'!D:D,"occitanie",'Extraction Offre de services'!B:B,"2016")</f>
        <v>25870</v>
      </c>
      <c r="H142" s="11">
        <f>SUMIFS('Extraction Offre de services'!I:I, 'Extraction Offre de services'!D:D,"occitanie",'Extraction Offre de services'!B:B,"2015")</f>
        <v>8730</v>
      </c>
      <c r="I142" s="11">
        <f>SUMIFS('Extraction Offre de services'!I:I, 'Extraction Offre de services'!D:D,"occitanie",'Extraction Offre de services'!B:B,"2014")</f>
        <v>1277</v>
      </c>
      <c r="J142" s="11">
        <f>SUMIFS('Extraction Offre de services'!I:I, 'Extraction Offre de services'!D:D,"occitanie",'Extraction Offre de services'!B:B,"2013")</f>
        <v>1078</v>
      </c>
    </row>
    <row r="143" spans="1:10" hidden="1" x14ac:dyDescent="0.25">
      <c r="A143" s="15" t="s">
        <v>44</v>
      </c>
      <c r="B143" s="15" t="s">
        <v>9</v>
      </c>
      <c r="C143" s="2" t="s">
        <v>10</v>
      </c>
      <c r="D143" s="3">
        <f>SUMIFS('Extraction Offre de services'!I:I, 'Extraction Offre de services'!D:D,"occitanie",'Extraction Offre de services'!F:F,"hebergement")</f>
        <v>39122</v>
      </c>
      <c r="E143" s="3">
        <f t="shared" si="48"/>
        <v>39122</v>
      </c>
      <c r="F143" s="3">
        <f>SUMIFS('Extraction Offre de services'!I:I, 'Extraction Offre de services'!D:D,"occitanie",'Extraction Offre de services'!F:F,"hebergement",'Extraction Offre de services'!B:B,"2017")</f>
        <v>10771</v>
      </c>
      <c r="G143" s="3">
        <f>SUMIFS('Extraction Offre de services'!I:I, 'Extraction Offre de services'!D:D,"occitanie",'Extraction Offre de services'!F:F,"hebergement",'Extraction Offre de services'!B:B,"2016")</f>
        <v>21869</v>
      </c>
      <c r="H143" s="3">
        <f>SUMIFS('Extraction Offre de services'!I:I, 'Extraction Offre de services'!D:D,"occitanie",'Extraction Offre de services'!F:F,"hebergement",'Extraction Offre de services'!B:B,"2015")</f>
        <v>6482</v>
      </c>
      <c r="I143" s="3">
        <f>SUMIFS('Extraction Offre de services'!I:I, 'Extraction Offre de services'!D:D,"occitanie",'Extraction Offre de services'!F:F,"hebergement",'Extraction Offre de services'!B:B,"2014")</f>
        <v>0</v>
      </c>
      <c r="J143" s="3">
        <f>SUMIFS('Extraction Offre de services'!I:I, 'Extraction Offre de services'!D:D,"occitanie",'Extraction Offre de services'!F:F,"hebergement",'Extraction Offre de services'!B:B,"2013")</f>
        <v>0</v>
      </c>
    </row>
    <row r="144" spans="1:10" hidden="1" x14ac:dyDescent="0.25">
      <c r="A144" s="15" t="s">
        <v>44</v>
      </c>
      <c r="B144" s="15" t="s">
        <v>9</v>
      </c>
      <c r="C144" s="2" t="s">
        <v>48</v>
      </c>
      <c r="D144" s="3">
        <f>SUMIFS('Extraction Offre de services'!I:I, 'Extraction Offre de services'!D:D,"occitanie",'Extraction Offre de services'!F:F,"restauration")</f>
        <v>10684</v>
      </c>
      <c r="E144" s="3">
        <f t="shared" si="48"/>
        <v>8329</v>
      </c>
      <c r="F144" s="3">
        <f>SUMIFS('Extraction Offre de services'!I:I,'Extraction Offre de services'!D:D,"occitanie",'Extraction Offre de services'!F:F,"restauration",'Extraction Offre de services'!B:B,"2017")</f>
        <v>2080</v>
      </c>
      <c r="G144" s="3">
        <f>SUMIFS('Extraction Offre de services'!I:I,'Extraction Offre de services'!D:D,"occitanie",'Extraction Offre de services'!F:F,"restauration",'Extraction Offre de services'!B:B,"2016")</f>
        <v>4001</v>
      </c>
      <c r="H144" s="3">
        <f>SUMIFS('Extraction Offre de services'!I:I,'Extraction Offre de services'!D:D,"occitanie",'Extraction Offre de services'!F:F,"restauration",'Extraction Offre de services'!B:B,"2015")</f>
        <v>2248</v>
      </c>
      <c r="I144" s="3">
        <f>SUMIFS('Extraction Offre de services'!I:I,'Extraction Offre de services'!D:D,"occitanie",'Extraction Offre de services'!F:F,"restauration",'Extraction Offre de services'!B:B,"2014")</f>
        <v>1277</v>
      </c>
      <c r="J144" s="3">
        <f>SUMIFS('Extraction Offre de services'!I:I,'Extraction Offre de services'!D:D,"occitanie",'Extraction Offre de services'!F:F,"restauration",'Extraction Offre de services'!B:B,"2013")</f>
        <v>1078</v>
      </c>
    </row>
    <row r="145" spans="1:10" hidden="1" x14ac:dyDescent="0.25">
      <c r="A145" s="16" t="s">
        <v>45</v>
      </c>
      <c r="B145" s="16" t="s">
        <v>88</v>
      </c>
      <c r="C145" s="8" t="s">
        <v>101</v>
      </c>
      <c r="D145" s="10">
        <f>D146+D151+D155</f>
        <v>60969</v>
      </c>
      <c r="E145" s="10">
        <f t="shared" si="48"/>
        <v>53494</v>
      </c>
      <c r="F145" s="10">
        <f t="shared" ref="F145" si="54">F146+F151+F155</f>
        <v>13967</v>
      </c>
      <c r="G145" s="10">
        <f t="shared" ref="G145" si="55">G146+G151+G155</f>
        <v>26397</v>
      </c>
      <c r="H145" s="10">
        <f t="shared" ref="H145" si="56">H146+H151+H155</f>
        <v>13130</v>
      </c>
      <c r="I145" s="10">
        <f t="shared" ref="I145" si="57">I146+I151+I155</f>
        <v>4894</v>
      </c>
      <c r="J145" s="10">
        <f t="shared" ref="J145" si="58">J146+J151+J155</f>
        <v>2581</v>
      </c>
    </row>
    <row r="146" spans="1:10" hidden="1" x14ac:dyDescent="0.25">
      <c r="A146" s="20" t="s">
        <v>45</v>
      </c>
      <c r="B146" s="17" t="s">
        <v>78</v>
      </c>
      <c r="C146" s="4" t="s">
        <v>101</v>
      </c>
      <c r="D146" s="11">
        <f>SUMIF('Extraction Offre de loisirs'!D:D,"pays de la loire",'Extraction Offre de loisirs'!I:I)</f>
        <v>18828</v>
      </c>
      <c r="E146" s="11">
        <f t="shared" si="48"/>
        <v>16283</v>
      </c>
      <c r="F146" s="11">
        <f>SUMIFS('Extraction Offre de loisirs'!I:I, 'Extraction Offre de loisirs'!D:D,"pays de la loire",'Extraction Offre de loisirs'!B:B,"2017")</f>
        <v>3399</v>
      </c>
      <c r="G146" s="11">
        <f>SUMIFS('Extraction Offre de loisirs'!I:I, 'Extraction Offre de loisirs'!D:D,"pays de la loire",'Extraction Offre de loisirs'!B:B,"2016")</f>
        <v>8208</v>
      </c>
      <c r="H146" s="11">
        <f>SUMIFS('Extraction Offre de loisirs'!I:I, 'Extraction Offre de loisirs'!D:D,"pays de la loire",'Extraction Offre de loisirs'!B:B,"2015")</f>
        <v>4676</v>
      </c>
      <c r="I146" s="11">
        <f>SUMIFS('Extraction Offre de loisirs'!I:I, 'Extraction Offre de loisirs'!D:D,"pays de la loire",'Extraction Offre de loisirs'!B:B,"2014")</f>
        <v>1767</v>
      </c>
      <c r="J146" s="11">
        <f>SUMIFS('Extraction Offre de loisirs'!I:I, 'Extraction Offre de loisirs'!D:D,"pays de la loire",'Extraction Offre de loisirs'!B:B,"2013")</f>
        <v>778</v>
      </c>
    </row>
    <row r="147" spans="1:10" hidden="1" x14ac:dyDescent="0.25">
      <c r="A147" s="15" t="s">
        <v>45</v>
      </c>
      <c r="B147" s="15" t="s">
        <v>78</v>
      </c>
      <c r="C147" s="2" t="s">
        <v>79</v>
      </c>
      <c r="D147" s="3">
        <f>SUMIFS('Extraction Offre de loisirs'!I:I, 'Extraction Offre de loisirs'!D:D,"pays de la loire",'Extraction Offre de loisirs'!F:F,"activites de plein air")</f>
        <v>9787</v>
      </c>
      <c r="E147" s="3">
        <f t="shared" si="48"/>
        <v>8133</v>
      </c>
      <c r="F147" s="3">
        <f>SUMIFS('Extraction Offre de loisirs'!I:I, 'Extraction Offre de loisirs'!D:D,"pays de la loire",'Extraction Offre de loisirs'!F:F,"activites de plein air",'Extraction Offre de loisirs'!B:B,"2017")</f>
        <v>1311</v>
      </c>
      <c r="G147" s="3">
        <f>SUMIFS('Extraction Offre de loisirs'!I:I, 'Extraction Offre de loisirs'!D:D,"pays de la loire",'Extraction Offre de loisirs'!F:F,"activites de plein air",'Extraction Offre de loisirs'!B:B,"2016")</f>
        <v>4168</v>
      </c>
      <c r="H147" s="3">
        <f>SUMIFS('Extraction Offre de loisirs'!I:I, 'Extraction Offre de loisirs'!D:D,"pays de la loire",'Extraction Offre de loisirs'!F:F,"activites de plein air",'Extraction Offre de loisirs'!B:B,"2015")</f>
        <v>2654</v>
      </c>
      <c r="I147" s="3">
        <f>SUMIFS('Extraction Offre de loisirs'!I:I, 'Extraction Offre de loisirs'!D:D,"pays de la loire",'Extraction Offre de loisirs'!F:F,"activites de plein air",'Extraction Offre de loisirs'!B:B,"2014")</f>
        <v>1166</v>
      </c>
      <c r="J147" s="3">
        <f>SUMIFS('Extraction Offre de loisirs'!I:I, 'Extraction Offre de loisirs'!D:D,"pays de la loire",'Extraction Offre de loisirs'!F:F,"activites de plein air",'Extraction Offre de loisirs'!B:B,"2013")</f>
        <v>488</v>
      </c>
    </row>
    <row r="148" spans="1:10" hidden="1" x14ac:dyDescent="0.25">
      <c r="A148" s="15" t="s">
        <v>45</v>
      </c>
      <c r="B148" s="15" t="s">
        <v>78</v>
      </c>
      <c r="C148" s="2" t="s">
        <v>81</v>
      </c>
      <c r="D148" s="3">
        <f>SUMIFS('Extraction Offre de loisirs'!I:I, 'Extraction Offre de loisirs'!D:D,"pays de la loire",'Extraction Offre de loisirs'!F:F,"jeux et divertissements")</f>
        <v>4431</v>
      </c>
      <c r="E148" s="3">
        <f t="shared" si="48"/>
        <v>4072</v>
      </c>
      <c r="F148" s="3">
        <f>SUMIFS('Extraction Offre de loisirs'!I:I, 'Extraction Offre de loisirs'!D:D,"pays de la loire",'Extraction Offre de loisirs'!F:F,"jeux et divertissements",'Extraction Offre de loisirs'!B:B,"2017")</f>
        <v>1226</v>
      </c>
      <c r="G148" s="3">
        <f>SUMIFS('Extraction Offre de loisirs'!I:I, 'Extraction Offre de loisirs'!D:D,"pays de la loire",'Extraction Offre de loisirs'!F:F,"jeux et divertissements",'Extraction Offre de loisirs'!B:B,"2016")</f>
        <v>1952</v>
      </c>
      <c r="H148" s="3">
        <f>SUMIFS('Extraction Offre de loisirs'!I:I, 'Extraction Offre de loisirs'!D:D,"pays de la loire",'Extraction Offre de loisirs'!F:F,"jeux et divertissements",'Extraction Offre de loisirs'!B:B,"2015")</f>
        <v>894</v>
      </c>
      <c r="I148" s="3">
        <f>SUMIFS('Extraction Offre de loisirs'!I:I, 'Extraction Offre de loisirs'!D:D,"pays de la loire",'Extraction Offre de loisirs'!F:F,"jeux et divertissements",'Extraction Offre de loisirs'!B:B,"2014")</f>
        <v>259</v>
      </c>
      <c r="J148" s="3">
        <f>SUMIFS('Extraction Offre de loisirs'!I:I, 'Extraction Offre de loisirs'!D:D,"pays de la loire",'Extraction Offre de loisirs'!F:F,"jeux et divertissements",'Extraction Offre de loisirs'!B:B,"2013")</f>
        <v>100</v>
      </c>
    </row>
    <row r="149" spans="1:10" hidden="1" x14ac:dyDescent="0.25">
      <c r="A149" s="15" t="s">
        <v>45</v>
      </c>
      <c r="B149" s="15" t="s">
        <v>78</v>
      </c>
      <c r="C149" s="2" t="s">
        <v>83</v>
      </c>
      <c r="D149" s="3">
        <f>SUMIFS('Extraction Offre de loisirs'!I:I, 'Extraction Offre de loisirs'!D:D,"pays de la loire",'Extraction Offre de loisirs'!F:F,"shopping")</f>
        <v>2553</v>
      </c>
      <c r="E149" s="3">
        <f t="shared" si="48"/>
        <v>2281</v>
      </c>
      <c r="F149" s="3">
        <f>SUMIFS('Extraction Offre de loisirs'!I:I, 'Extraction Offre de loisirs'!D:D,"pays de la loire",'Extraction Offre de loisirs'!F:F,"shopping",'Extraction Offre de loisirs'!B:B,"2017")</f>
        <v>469</v>
      </c>
      <c r="G149" s="3">
        <f>SUMIFS('Extraction Offre de loisirs'!I:I, 'Extraction Offre de loisirs'!D:D,"pays de la loire",'Extraction Offre de loisirs'!F:F,"shopping",'Extraction Offre de loisirs'!B:B,"2016")</f>
        <v>1176</v>
      </c>
      <c r="H149" s="3">
        <f>SUMIFS('Extraction Offre de loisirs'!I:I, 'Extraction Offre de loisirs'!D:D,"pays de la loire",'Extraction Offre de loisirs'!F:F,"shopping",'Extraction Offre de loisirs'!B:B,"2015")</f>
        <v>636</v>
      </c>
      <c r="I149" s="3">
        <f>SUMIFS('Extraction Offre de loisirs'!I:I, 'Extraction Offre de loisirs'!D:D,"pays de la loire",'Extraction Offre de loisirs'!F:F,"shopping",'Extraction Offre de loisirs'!B:B,"2014")</f>
        <v>169</v>
      </c>
      <c r="J149" s="3">
        <f>SUMIFS('Extraction Offre de loisirs'!I:I, 'Extraction Offre de loisirs'!D:D,"pays de la loire",'Extraction Offre de loisirs'!F:F,"shopping",'Extraction Offre de loisirs'!B:B,"2013")</f>
        <v>103</v>
      </c>
    </row>
    <row r="150" spans="1:10" hidden="1" x14ac:dyDescent="0.25">
      <c r="A150" s="15" t="s">
        <v>45</v>
      </c>
      <c r="B150" s="15" t="s">
        <v>78</v>
      </c>
      <c r="C150" s="2" t="s">
        <v>84</v>
      </c>
      <c r="D150" s="3">
        <f>SUMIFS('Extraction Offre de loisirs'!I:I, 'Extraction Offre de loisirs'!D:D,"pays de la loire",'Extraction Offre de loisirs'!F:F,"vie nocturne")</f>
        <v>2057</v>
      </c>
      <c r="E150" s="3">
        <f t="shared" si="48"/>
        <v>1797</v>
      </c>
      <c r="F150" s="3">
        <f>SUMIFS('Extraction Offre de loisirs'!I:I, 'Extraction Offre de loisirs'!D:D,"pays de la loire",'Extraction Offre de loisirs'!F:F,"vie nocturne",'Extraction Offre de loisirs'!B:B,"2017")</f>
        <v>393</v>
      </c>
      <c r="G150" s="3">
        <f>SUMIFS('Extraction Offre de loisirs'!I:I, 'Extraction Offre de loisirs'!D:D,"pays de la loire",'Extraction Offre de loisirs'!F:F,"vie nocturne",'Extraction Offre de loisirs'!B:B,"2016")</f>
        <v>912</v>
      </c>
      <c r="H150" s="3">
        <f>SUMIFS('Extraction Offre de loisirs'!I:I, 'Extraction Offre de loisirs'!D:D,"pays de la loire",'Extraction Offre de loisirs'!F:F,"vie nocturne",'Extraction Offre de loisirs'!B:B,"2015")</f>
        <v>492</v>
      </c>
      <c r="I150" s="3">
        <f>SUMIFS('Extraction Offre de loisirs'!I:I, 'Extraction Offre de loisirs'!D:D,"pays de la loire",'Extraction Offre de loisirs'!F:F,"vie nocturne",'Extraction Offre de loisirs'!B:B,"2014")</f>
        <v>173</v>
      </c>
      <c r="J150" s="3">
        <f>SUMIFS('Extraction Offre de loisirs'!I:I, 'Extraction Offre de loisirs'!D:D,"pays de la loire",'Extraction Offre de loisirs'!F:F,"vie nocturne",'Extraction Offre de loisirs'!B:B,"2013")</f>
        <v>87</v>
      </c>
    </row>
    <row r="151" spans="1:10" hidden="1" x14ac:dyDescent="0.25">
      <c r="A151" s="20" t="s">
        <v>45</v>
      </c>
      <c r="B151" s="17" t="s">
        <v>82</v>
      </c>
      <c r="C151" s="4" t="s">
        <v>101</v>
      </c>
      <c r="D151" s="11">
        <f>SUMIF('Extraction Patrimoine'!D:D,"pays de la loire",'Extraction Patrimoine'!I:I)</f>
        <v>17047</v>
      </c>
      <c r="E151" s="11">
        <f t="shared" si="48"/>
        <v>14405</v>
      </c>
      <c r="F151" s="11">
        <f>SUMIFS('Extraction Patrimoine'!I:I, 'Extraction Patrimoine'!D:D,"pays de la loire",'Extraction Patrimoine'!B:B,"2017")</f>
        <v>4261</v>
      </c>
      <c r="G151" s="11">
        <f>SUMIFS('Extraction Patrimoine'!I:I, 'Extraction Patrimoine'!D:D,"pays de la loire",'Extraction Patrimoine'!B:B,"2016")</f>
        <v>6042</v>
      </c>
      <c r="H151" s="11">
        <f>SUMIFS('Extraction Patrimoine'!I:I, 'Extraction Patrimoine'!D:D,"pays de la loire",'Extraction Patrimoine'!B:B,"2015")</f>
        <v>4102</v>
      </c>
      <c r="I151" s="11">
        <f>SUMIFS('Extraction Patrimoine'!I:I, 'Extraction Patrimoine'!D:D,"pays de la loire",'Extraction Patrimoine'!B:B,"2014")</f>
        <v>1791</v>
      </c>
      <c r="J151" s="11">
        <f>SUMIFS('Extraction Patrimoine'!I:I, 'Extraction Patrimoine'!D:D,"pays de la loire",'Extraction Patrimoine'!B:B,"2013")</f>
        <v>851</v>
      </c>
    </row>
    <row r="152" spans="1:10" hidden="1" x14ac:dyDescent="0.25">
      <c r="A152" s="15" t="s">
        <v>45</v>
      </c>
      <c r="B152" s="15" t="s">
        <v>82</v>
      </c>
      <c r="C152" s="15" t="s">
        <v>98</v>
      </c>
      <c r="D152" s="23">
        <f>SUMIFS('Extraction Patrimoine'!I:I, 'Extraction Patrimoine'!D:D,"pays de la loire",'Extraction Patrimoine'!F:F,"nature et parcs")</f>
        <v>17047</v>
      </c>
      <c r="E152" s="23">
        <f t="shared" si="48"/>
        <v>14405</v>
      </c>
      <c r="F152" s="23">
        <f>SUMIFS('Extraction Patrimoine'!I:I, 'Extraction Patrimoine'!D:D,"pays de la loire",'Extraction Patrimoine'!F:F,"nature et parcs",'Extraction Patrimoine'!B:B, "2017")</f>
        <v>4261</v>
      </c>
      <c r="G152" s="23">
        <f>SUMIFS('Extraction Patrimoine'!I:I, 'Extraction Patrimoine'!D:D,"pays de la loire",'Extraction Patrimoine'!F:F,"nature et parcs",'Extraction Patrimoine'!B:B, "2016")</f>
        <v>6042</v>
      </c>
      <c r="H152" s="23">
        <f>SUMIFS('Extraction Patrimoine'!I:I, 'Extraction Patrimoine'!D:D,"pays de la loire",'Extraction Patrimoine'!F:F,"nature et parcs",'Extraction Patrimoine'!B:B, "2015")</f>
        <v>4102</v>
      </c>
      <c r="I152" s="23">
        <f>SUMIFS('Extraction Patrimoine'!I:I, 'Extraction Patrimoine'!D:D,"pays de la loire",'Extraction Patrimoine'!F:F,"nature et parcs",'Extraction Patrimoine'!B:B, "2014")</f>
        <v>1791</v>
      </c>
      <c r="J152" s="23">
        <f>SUMIFS('Extraction Patrimoine'!I:I, 'Extraction Patrimoine'!D:D,"pays de la loire",'Extraction Patrimoine'!F:F,"nature et parcs",'Extraction Patrimoine'!B:B, "2013")</f>
        <v>851</v>
      </c>
    </row>
    <row r="153" spans="1:10" hidden="1" x14ac:dyDescent="0.25">
      <c r="A153" s="15" t="s">
        <v>45</v>
      </c>
      <c r="B153" s="15" t="s">
        <v>82</v>
      </c>
      <c r="C153" s="15" t="s">
        <v>99</v>
      </c>
      <c r="D153" s="23">
        <f>SUMIFS('Extraction Patrimoine'!I:I, 'Extraction Patrimoine'!D:D,"pays de la loire",'Extraction Patrimoine'!F:F,"musées")</f>
        <v>0</v>
      </c>
      <c r="E153" s="23">
        <f t="shared" si="48"/>
        <v>0</v>
      </c>
      <c r="F153" s="23">
        <f>SUMIFS('Extraction Patrimoine'!I:I, 'Extraction Patrimoine'!D:D,"pays de la loire",'Extraction Patrimoine'!F:F,"musées",'Extraction Patrimoine'!B:B, "2017")</f>
        <v>0</v>
      </c>
      <c r="G153" s="23">
        <f>SUMIFS('Extraction Patrimoine'!I:I, 'Extraction Patrimoine'!D:D,"pays de la loire",'Extraction Patrimoine'!F:F,"musées",'Extraction Patrimoine'!B:B, "2016")</f>
        <v>0</v>
      </c>
      <c r="H153" s="23">
        <f>SUMIFS('Extraction Patrimoine'!I:I, 'Extraction Patrimoine'!D:D,"pays de la loire",'Extraction Patrimoine'!F:F,"musées",'Extraction Patrimoine'!B:B, "2015")</f>
        <v>0</v>
      </c>
      <c r="I153" s="23">
        <f>SUMIFS('Extraction Patrimoine'!I:I, 'Extraction Patrimoine'!D:D,"pays de la loire",'Extraction Patrimoine'!F:F,"musées",'Extraction Patrimoine'!B:B, "2014")</f>
        <v>0</v>
      </c>
      <c r="J153" s="23">
        <f>SUMIFS('Extraction Patrimoine'!I:I, 'Extraction Patrimoine'!D:D,"pays de la loire",'Extraction Patrimoine'!F:F,"musées",'Extraction Patrimoine'!B:B, "2013")</f>
        <v>0</v>
      </c>
    </row>
    <row r="154" spans="1:10" hidden="1" x14ac:dyDescent="0.25">
      <c r="A154" s="15" t="s">
        <v>45</v>
      </c>
      <c r="B154" s="15" t="s">
        <v>82</v>
      </c>
      <c r="C154" s="15" t="s">
        <v>100</v>
      </c>
      <c r="D154" s="23">
        <f>SUMIFS('Extraction Patrimoine'!I:I, 'Extraction Patrimoine'!D:D,"pays de la loire",'Extraction Patrimoine'!F:F,"sites et monuments")</f>
        <v>0</v>
      </c>
      <c r="E154" s="23">
        <f t="shared" si="48"/>
        <v>0</v>
      </c>
      <c r="F154" s="23">
        <f>SUMIFS('Extraction Patrimoine'!I:I, 'Extraction Patrimoine'!D:D,"pays de la loire",'Extraction Patrimoine'!F:F,"sites et monuments",'Extraction Patrimoine'!B:B, "2017")</f>
        <v>0</v>
      </c>
      <c r="G154" s="23">
        <f>SUMIFS('Extraction Patrimoine'!I:I, 'Extraction Patrimoine'!D:D,"pays de la loire",'Extraction Patrimoine'!F:F,"sites et monuments",'Extraction Patrimoine'!B:B, "2016")</f>
        <v>0</v>
      </c>
      <c r="H154" s="23">
        <f>SUMIFS('Extraction Patrimoine'!I:I, 'Extraction Patrimoine'!D:D,"pays de la loire",'Extraction Patrimoine'!F:F,"sites et monuments",'Extraction Patrimoine'!B:B, "2015")</f>
        <v>0</v>
      </c>
      <c r="I154" s="23">
        <f>SUMIFS('Extraction Patrimoine'!I:I, 'Extraction Patrimoine'!D:D,"pays de la loire",'Extraction Patrimoine'!F:F,"sites et monuments",'Extraction Patrimoine'!B:B, "2014")</f>
        <v>0</v>
      </c>
      <c r="J154" s="23">
        <f>SUMIFS('Extraction Patrimoine'!I:I, 'Extraction Patrimoine'!D:D,"pays de la loire",'Extraction Patrimoine'!F:F,"sites et monuments",'Extraction Patrimoine'!B:B, "2013")</f>
        <v>0</v>
      </c>
    </row>
    <row r="155" spans="1:10" hidden="1" x14ac:dyDescent="0.25">
      <c r="A155" s="20" t="s">
        <v>45</v>
      </c>
      <c r="B155" s="17" t="s">
        <v>9</v>
      </c>
      <c r="C155" s="4" t="s">
        <v>101</v>
      </c>
      <c r="D155" s="11">
        <f>SUMIF('Extraction Offre de services'!D:D,"pays de la loire",'Extraction Offre de services'!I:I)</f>
        <v>25094</v>
      </c>
      <c r="E155" s="11">
        <f t="shared" si="48"/>
        <v>22806</v>
      </c>
      <c r="F155" s="11">
        <f>SUMIFS('Extraction Offre de services'!I:I, 'Extraction Offre de services'!D:D,"pays de la loire",'Extraction Offre de services'!B:B,"2017")</f>
        <v>6307</v>
      </c>
      <c r="G155" s="11">
        <f>SUMIFS('Extraction Offre de services'!I:I, 'Extraction Offre de services'!D:D,"pays de la loire",'Extraction Offre de services'!B:B,"2016")</f>
        <v>12147</v>
      </c>
      <c r="H155" s="11">
        <f>SUMIFS('Extraction Offre de services'!I:I, 'Extraction Offre de services'!D:D,"pays de la loire",'Extraction Offre de services'!B:B,"2015")</f>
        <v>4352</v>
      </c>
      <c r="I155" s="11">
        <f>SUMIFS('Extraction Offre de services'!I:I, 'Extraction Offre de services'!D:D,"pays de la loire",'Extraction Offre de services'!B:B,"2014")</f>
        <v>1336</v>
      </c>
      <c r="J155" s="11">
        <f>SUMIFS('Extraction Offre de services'!I:I, 'Extraction Offre de services'!D:D,"pays de la loire",'Extraction Offre de services'!B:B,"2013")</f>
        <v>952</v>
      </c>
    </row>
    <row r="156" spans="1:10" hidden="1" x14ac:dyDescent="0.25">
      <c r="A156" s="15" t="s">
        <v>45</v>
      </c>
      <c r="B156" s="15" t="s">
        <v>9</v>
      </c>
      <c r="C156" s="2" t="s">
        <v>10</v>
      </c>
      <c r="D156" s="3">
        <f>SUMIFS('Extraction Offre de services'!I:I, 'Extraction Offre de services'!D:D,"pays de la loire",'Extraction Offre de services'!F:F,"hebergement")</f>
        <v>15523</v>
      </c>
      <c r="E156" s="3">
        <f t="shared" si="48"/>
        <v>15523</v>
      </c>
      <c r="F156" s="3">
        <f>SUMIFS('Extraction Offre de services'!I:I, 'Extraction Offre de services'!D:D,"pays de la loire",'Extraction Offre de services'!F:F,"hebergement",'Extraction Offre de services'!B:B,"2017")</f>
        <v>4801</v>
      </c>
      <c r="G156" s="3">
        <f>SUMIFS('Extraction Offre de services'!I:I, 'Extraction Offre de services'!D:D,"pays de la loire",'Extraction Offre de services'!F:F,"hebergement",'Extraction Offre de services'!B:B,"2016")</f>
        <v>8548</v>
      </c>
      <c r="H156" s="3">
        <f>SUMIFS('Extraction Offre de services'!I:I, 'Extraction Offre de services'!D:D,"pays de la loire",'Extraction Offre de services'!F:F,"hebergement",'Extraction Offre de services'!B:B,"2015")</f>
        <v>2174</v>
      </c>
      <c r="I156" s="3">
        <f>SUMIFS('Extraction Offre de services'!I:I, 'Extraction Offre de services'!D:D,"pays de la loire",'Extraction Offre de services'!F:F,"hebergement",'Extraction Offre de services'!B:B,"2014")</f>
        <v>0</v>
      </c>
      <c r="J156" s="3">
        <f>SUMIFS('Extraction Offre de services'!I:I, 'Extraction Offre de services'!D:D,"pays de la loire",'Extraction Offre de services'!F:F,"hebergement",'Extraction Offre de services'!B:B,"2013")</f>
        <v>0</v>
      </c>
    </row>
    <row r="157" spans="1:10" hidden="1" x14ac:dyDescent="0.25">
      <c r="A157" s="15" t="s">
        <v>45</v>
      </c>
      <c r="B157" s="15" t="s">
        <v>9</v>
      </c>
      <c r="C157" s="2" t="s">
        <v>48</v>
      </c>
      <c r="D157" s="3">
        <f>SUMIFS('Extraction Offre de services'!I:I, 'Extraction Offre de services'!D:D,"pays de la loire",'Extraction Offre de services'!F:F,"restauration")</f>
        <v>9571</v>
      </c>
      <c r="E157" s="3">
        <f t="shared" si="48"/>
        <v>7283</v>
      </c>
      <c r="F157" s="3">
        <f>SUMIFS('Extraction Offre de services'!I:I,'Extraction Offre de services'!D:D,"pays de la loire",'Extraction Offre de services'!F:F,"restauration",'Extraction Offre de services'!B:B,"2017")</f>
        <v>1506</v>
      </c>
      <c r="G157" s="3">
        <f>SUMIFS('Extraction Offre de services'!I:I,'Extraction Offre de services'!D:D,"pays de la loire",'Extraction Offre de services'!F:F,"restauration",'Extraction Offre de services'!B:B,"2016")</f>
        <v>3599</v>
      </c>
      <c r="H157" s="3">
        <f>SUMIFS('Extraction Offre de services'!I:I,'Extraction Offre de services'!D:D,"pays de la loire",'Extraction Offre de services'!F:F,"restauration",'Extraction Offre de services'!B:B,"2015")</f>
        <v>2178</v>
      </c>
      <c r="I157" s="3">
        <f>SUMIFS('Extraction Offre de services'!I:I,'Extraction Offre de services'!D:D,"pays de la loire",'Extraction Offre de services'!F:F,"restauration",'Extraction Offre de services'!B:B,"2014")</f>
        <v>1336</v>
      </c>
      <c r="J157" s="3">
        <f>SUMIFS('Extraction Offre de services'!I:I,'Extraction Offre de services'!D:D,"pays de la loire",'Extraction Offre de services'!F:F,"restauration",'Extraction Offre de services'!B:B,"2013")</f>
        <v>952</v>
      </c>
    </row>
    <row r="158" spans="1:10" x14ac:dyDescent="0.25">
      <c r="A158" s="16" t="s">
        <v>46</v>
      </c>
      <c r="B158" s="16" t="s">
        <v>88</v>
      </c>
      <c r="C158" s="8" t="s">
        <v>101</v>
      </c>
      <c r="D158" s="10">
        <f>D159+D164+D168</f>
        <v>151843</v>
      </c>
      <c r="E158" s="10">
        <f t="shared" si="48"/>
        <v>131369</v>
      </c>
      <c r="F158" s="10">
        <f t="shared" ref="F158" si="59">F159+F164+F168</f>
        <v>30181</v>
      </c>
      <c r="G158" s="10">
        <f t="shared" ref="G158" si="60">G159+G164+G168</f>
        <v>66913</v>
      </c>
      <c r="H158" s="10">
        <f t="shared" ref="H158" si="61">H159+H164+H168</f>
        <v>34275</v>
      </c>
      <c r="I158" s="10">
        <f t="shared" ref="I158" si="62">I159+I164+I168</f>
        <v>13297</v>
      </c>
      <c r="J158" s="10">
        <f t="shared" ref="J158" si="63">J159+J164+J168</f>
        <v>7177</v>
      </c>
    </row>
    <row r="159" spans="1:10" x14ac:dyDescent="0.25">
      <c r="A159" s="20" t="s">
        <v>46</v>
      </c>
      <c r="B159" s="17" t="s">
        <v>78</v>
      </c>
      <c r="C159" s="4" t="s">
        <v>101</v>
      </c>
      <c r="D159" s="11">
        <f>SUMIF('Extraction Offre de loisirs'!D:D,"provence-alpes-cote d'azur",'Extraction Offre de loisirs'!I:I)</f>
        <v>57134</v>
      </c>
      <c r="E159" s="11">
        <f t="shared" si="48"/>
        <v>47339</v>
      </c>
      <c r="F159" s="11">
        <f>SUMIFS('Extraction Offre de loisirs'!I:I, 'Extraction Offre de loisirs'!D:D,"provence-alpes-cote d'azur",'Extraction Offre de loisirs'!B:B,"2017")</f>
        <v>8752</v>
      </c>
      <c r="G159" s="11">
        <f>SUMIFS('Extraction Offre de loisirs'!I:I, 'Extraction Offre de loisirs'!D:D,"provence-alpes-cote d'azur",'Extraction Offre de loisirs'!B:B,"2016")</f>
        <v>23847</v>
      </c>
      <c r="H159" s="11">
        <f>SUMIFS('Extraction Offre de loisirs'!I:I, 'Extraction Offre de loisirs'!D:D,"provence-alpes-cote d'azur",'Extraction Offre de loisirs'!B:B,"2015")</f>
        <v>14740</v>
      </c>
      <c r="I159" s="11">
        <f>SUMIFS('Extraction Offre de loisirs'!I:I, 'Extraction Offre de loisirs'!D:D,"provence-alpes-cote d'azur",'Extraction Offre de loisirs'!B:B,"2014")</f>
        <v>6931</v>
      </c>
      <c r="J159" s="11">
        <f>SUMIFS('Extraction Offre de loisirs'!I:I, 'Extraction Offre de loisirs'!D:D,"provence-alpes-cote d'azur",'Extraction Offre de loisirs'!B:B,"2013")</f>
        <v>2864</v>
      </c>
    </row>
    <row r="160" spans="1:10" x14ac:dyDescent="0.25">
      <c r="A160" s="15" t="s">
        <v>46</v>
      </c>
      <c r="B160" s="15" t="s">
        <v>78</v>
      </c>
      <c r="C160" s="2" t="s">
        <v>79</v>
      </c>
      <c r="D160" s="3">
        <f>SUMIFS('Extraction Offre de loisirs'!I:I, 'Extraction Offre de loisirs'!D:D,"provence-alpes-cote d'azur",'Extraction Offre de loisirs'!F:F,"activites de plein air")</f>
        <v>36032</v>
      </c>
      <c r="E160" s="3">
        <f t="shared" si="48"/>
        <v>28945</v>
      </c>
      <c r="F160" s="3">
        <f>SUMIFS('Extraction Offre de loisirs'!I:I, 'Extraction Offre de loisirs'!D:D,"provence-alpes-cote d'azur",'Extraction Offre de loisirs'!F:F,"activites de plein air",'Extraction Offre de loisirs'!B:B,"2017")</f>
        <v>5012</v>
      </c>
      <c r="G160" s="3">
        <f>SUMIFS('Extraction Offre de loisirs'!I:I, 'Extraction Offre de loisirs'!D:D,"provence-alpes-cote d'azur",'Extraction Offre de loisirs'!F:F,"activites de plein air",'Extraction Offre de loisirs'!B:B,"2016")</f>
        <v>14325</v>
      </c>
      <c r="H160" s="3">
        <f>SUMIFS('Extraction Offre de loisirs'!I:I, 'Extraction Offre de loisirs'!D:D,"provence-alpes-cote d'azur",'Extraction Offre de loisirs'!F:F,"activites de plein air",'Extraction Offre de loisirs'!B:B,"2015")</f>
        <v>9608</v>
      </c>
      <c r="I160" s="3">
        <f>SUMIFS('Extraction Offre de loisirs'!I:I, 'Extraction Offre de loisirs'!D:D,"provence-alpes-cote d'azur",'Extraction Offre de loisirs'!F:F,"activites de plein air",'Extraction Offre de loisirs'!B:B,"2014")</f>
        <v>4980</v>
      </c>
      <c r="J160" s="3">
        <f>SUMIFS('Extraction Offre de loisirs'!I:I, 'Extraction Offre de loisirs'!D:D,"provence-alpes-cote d'azur",'Extraction Offre de loisirs'!F:F,"activites de plein air",'Extraction Offre de loisirs'!B:B,"2013")</f>
        <v>2107</v>
      </c>
    </row>
    <row r="161" spans="1:12" x14ac:dyDescent="0.25">
      <c r="A161" s="15" t="s">
        <v>46</v>
      </c>
      <c r="B161" s="15" t="s">
        <v>78</v>
      </c>
      <c r="C161" s="2" t="s">
        <v>81</v>
      </c>
      <c r="D161" s="3">
        <f>SUMIFS('Extraction Offre de loisirs'!I:I, 'Extraction Offre de loisirs'!D:D,"provence-alpes-cote d'azur",'Extraction Offre de loisirs'!F:F,"jeux et divertissements")</f>
        <v>9237</v>
      </c>
      <c r="E161" s="3">
        <f t="shared" si="48"/>
        <v>8128</v>
      </c>
      <c r="F161" s="3">
        <f>SUMIFS('Extraction Offre de loisirs'!I:I, 'Extraction Offre de loisirs'!D:D,"provence-alpes-cote d'azur",'Extraction Offre de loisirs'!F:F,"jeux et divertissements",'Extraction Offre de loisirs'!B:B,"2017")</f>
        <v>1801</v>
      </c>
      <c r="G161" s="3">
        <f>SUMIFS('Extraction Offre de loisirs'!I:I, 'Extraction Offre de loisirs'!D:D,"provence-alpes-cote d'azur",'Extraction Offre de loisirs'!F:F,"jeux et divertissements",'Extraction Offre de loisirs'!B:B,"2016")</f>
        <v>4133</v>
      </c>
      <c r="H161" s="3">
        <f>SUMIFS('Extraction Offre de loisirs'!I:I, 'Extraction Offre de loisirs'!D:D,"provence-alpes-cote d'azur",'Extraction Offre de loisirs'!F:F,"jeux et divertissements",'Extraction Offre de loisirs'!B:B,"2015")</f>
        <v>2194</v>
      </c>
      <c r="I161" s="3">
        <f>SUMIFS('Extraction Offre de loisirs'!I:I, 'Extraction Offre de loisirs'!D:D,"provence-alpes-cote d'azur",'Extraction Offre de loisirs'!F:F,"jeux et divertissements",'Extraction Offre de loisirs'!B:B,"2014")</f>
        <v>818</v>
      </c>
      <c r="J161" s="3">
        <f>SUMIFS('Extraction Offre de loisirs'!I:I, 'Extraction Offre de loisirs'!D:D,"provence-alpes-cote d'azur",'Extraction Offre de loisirs'!F:F,"jeux et divertissements",'Extraction Offre de loisirs'!B:B,"2013")</f>
        <v>291</v>
      </c>
    </row>
    <row r="162" spans="1:12" x14ac:dyDescent="0.25">
      <c r="A162" s="15" t="s">
        <v>46</v>
      </c>
      <c r="B162" s="15" t="s">
        <v>78</v>
      </c>
      <c r="C162" s="2" t="s">
        <v>83</v>
      </c>
      <c r="D162" s="3">
        <f>SUMIFS('Extraction Offre de loisirs'!I:I, 'Extraction Offre de loisirs'!D:D,"provence-alpes-cote d'azur",'Extraction Offre de loisirs'!F:F,"shopping")</f>
        <v>7647</v>
      </c>
      <c r="E162" s="3">
        <f t="shared" si="48"/>
        <v>6691</v>
      </c>
      <c r="F162" s="3">
        <f>SUMIFS('Extraction Offre de loisirs'!I:I, 'Extraction Offre de loisirs'!D:D,"provence-alpes-cote d'azur",'Extraction Offre de loisirs'!F:F,"shopping",'Extraction Offre de loisirs'!B:B,"2017")</f>
        <v>1345</v>
      </c>
      <c r="G162" s="3">
        <f>SUMIFS('Extraction Offre de loisirs'!I:I, 'Extraction Offre de loisirs'!D:D,"provence-alpes-cote d'azur",'Extraction Offre de loisirs'!F:F,"shopping",'Extraction Offre de loisirs'!B:B,"2016")</f>
        <v>3570</v>
      </c>
      <c r="H162" s="3">
        <f>SUMIFS('Extraction Offre de loisirs'!I:I, 'Extraction Offre de loisirs'!D:D,"provence-alpes-cote d'azur",'Extraction Offre de loisirs'!F:F,"shopping",'Extraction Offre de loisirs'!B:B,"2015")</f>
        <v>1776</v>
      </c>
      <c r="I162" s="3">
        <f>SUMIFS('Extraction Offre de loisirs'!I:I, 'Extraction Offre de loisirs'!D:D,"provence-alpes-cote d'azur",'Extraction Offre de loisirs'!F:F,"shopping",'Extraction Offre de loisirs'!B:B,"2014")</f>
        <v>689</v>
      </c>
      <c r="J162" s="3">
        <f>SUMIFS('Extraction Offre de loisirs'!I:I, 'Extraction Offre de loisirs'!D:D,"provence-alpes-cote d'azur",'Extraction Offre de loisirs'!F:F,"shopping",'Extraction Offre de loisirs'!B:B,"2013")</f>
        <v>267</v>
      </c>
    </row>
    <row r="163" spans="1:12" x14ac:dyDescent="0.25">
      <c r="A163" s="15" t="s">
        <v>46</v>
      </c>
      <c r="B163" s="15" t="s">
        <v>78</v>
      </c>
      <c r="C163" s="2" t="s">
        <v>84</v>
      </c>
      <c r="D163" s="3">
        <f>SUMIFS('Extraction Offre de loisirs'!I:I, 'Extraction Offre de loisirs'!D:D,"provence-alpes-cote d'azur",'Extraction Offre de loisirs'!F:F,"vie nocturne")</f>
        <v>4218</v>
      </c>
      <c r="E163" s="3">
        <f t="shared" si="48"/>
        <v>3575</v>
      </c>
      <c r="F163" s="3">
        <f>SUMIFS('Extraction Offre de loisirs'!I:I, 'Extraction Offre de loisirs'!D:D,"provence-alpes-cote d'azur",'Extraction Offre de loisirs'!F:F,"vie nocturne",'Extraction Offre de loisirs'!B:B,"2017")</f>
        <v>594</v>
      </c>
      <c r="G163" s="3">
        <f>SUMIFS('Extraction Offre de loisirs'!I:I, 'Extraction Offre de loisirs'!D:D,"provence-alpes-cote d'azur",'Extraction Offre de loisirs'!F:F,"vie nocturne",'Extraction Offre de loisirs'!B:B,"2016")</f>
        <v>1819</v>
      </c>
      <c r="H163" s="3">
        <f>SUMIFS('Extraction Offre de loisirs'!I:I, 'Extraction Offre de loisirs'!D:D,"provence-alpes-cote d'azur",'Extraction Offre de loisirs'!F:F,"vie nocturne",'Extraction Offre de loisirs'!B:B,"2015")</f>
        <v>1162</v>
      </c>
      <c r="I163" s="3">
        <f>SUMIFS('Extraction Offre de loisirs'!I:I, 'Extraction Offre de loisirs'!D:D,"provence-alpes-cote d'azur",'Extraction Offre de loisirs'!F:F,"vie nocturne",'Extraction Offre de loisirs'!B:B,"2014")</f>
        <v>444</v>
      </c>
      <c r="J163" s="3">
        <f>SUMIFS('Extraction Offre de loisirs'!I:I, 'Extraction Offre de loisirs'!D:D,"provence-alpes-cote d'azur",'Extraction Offre de loisirs'!F:F,"vie nocturne",'Extraction Offre de loisirs'!B:B,"2013")</f>
        <v>199</v>
      </c>
    </row>
    <row r="164" spans="1:12" x14ac:dyDescent="0.25">
      <c r="A164" s="20" t="s">
        <v>46</v>
      </c>
      <c r="B164" s="17" t="s">
        <v>82</v>
      </c>
      <c r="C164" s="4" t="s">
        <v>101</v>
      </c>
      <c r="D164" s="11">
        <f>SUMIF('Extraction Patrimoine'!D:D,"provence-alpes-cote d'azur",'Extraction Patrimoine'!I:I)</f>
        <v>35802</v>
      </c>
      <c r="E164" s="11">
        <f t="shared" si="48"/>
        <v>28765</v>
      </c>
      <c r="F164" s="11">
        <f>SUMIFS('Extraction Patrimoine'!I:I, 'Extraction Patrimoine'!D:D,"provence-alpes-cote d'azur",'Extraction Patrimoine'!B:B,"2017")</f>
        <v>5073</v>
      </c>
      <c r="G164" s="11">
        <f>SUMIFS('Extraction Patrimoine'!I:I, 'Extraction Patrimoine'!D:D,"provence-alpes-cote d'azur",'Extraction Patrimoine'!B:B,"2016")</f>
        <v>14251</v>
      </c>
      <c r="H164" s="11">
        <f>SUMIFS('Extraction Patrimoine'!I:I, 'Extraction Patrimoine'!D:D,"provence-alpes-cote d'azur",'Extraction Patrimoine'!B:B,"2015")</f>
        <v>9441</v>
      </c>
      <c r="I164" s="11">
        <f>SUMIFS('Extraction Patrimoine'!I:I, 'Extraction Patrimoine'!D:D,"provence-alpes-cote d'azur",'Extraction Patrimoine'!B:B,"2014")</f>
        <v>4261</v>
      </c>
      <c r="J164" s="11">
        <f>SUMIFS('Extraction Patrimoine'!I:I, 'Extraction Patrimoine'!D:D,"provence-alpes-cote d'azur",'Extraction Patrimoine'!B:B,"2013")</f>
        <v>2776</v>
      </c>
    </row>
    <row r="165" spans="1:12" x14ac:dyDescent="0.25">
      <c r="A165" s="15" t="s">
        <v>46</v>
      </c>
      <c r="B165" s="15" t="s">
        <v>82</v>
      </c>
      <c r="C165" s="15" t="s">
        <v>98</v>
      </c>
      <c r="D165" s="23">
        <f>SUMIFS('Extraction Patrimoine'!I:I, 'Extraction Patrimoine'!D:D,"provence-alpes-cote d'azur",'Extraction Patrimoine'!F:F,"nature et parcs")</f>
        <v>35802</v>
      </c>
      <c r="E165" s="23">
        <f t="shared" si="48"/>
        <v>28765</v>
      </c>
      <c r="F165" s="23">
        <f>SUMIFS('Extraction Patrimoine'!I:I, 'Extraction Patrimoine'!D:D,"provence-alpes-cote d'azur",'Extraction Patrimoine'!F:F,"nature et parcs",'Extraction Patrimoine'!B:B, "2017")</f>
        <v>5073</v>
      </c>
      <c r="G165" s="23">
        <f>SUMIFS('Extraction Patrimoine'!I:I, 'Extraction Patrimoine'!D:D,"provence-alpes-cote d'azur",'Extraction Patrimoine'!F:F,"nature et parcs",'Extraction Patrimoine'!B:B, "2016")</f>
        <v>14251</v>
      </c>
      <c r="H165" s="23">
        <f>SUMIFS('Extraction Patrimoine'!I:I, 'Extraction Patrimoine'!D:D,"provence-alpes-cote d'azur",'Extraction Patrimoine'!F:F,"nature et parcs",'Extraction Patrimoine'!B:B, "2015")</f>
        <v>9441</v>
      </c>
      <c r="I165" s="23">
        <f>SUMIFS('Extraction Patrimoine'!I:I, 'Extraction Patrimoine'!D:D,"provence-alpes-cote d'azur",'Extraction Patrimoine'!F:F,"nature et parcs",'Extraction Patrimoine'!B:B, "2014")</f>
        <v>4261</v>
      </c>
      <c r="J165" s="23">
        <f>SUMIFS('Extraction Patrimoine'!I:I, 'Extraction Patrimoine'!D:D,"provence-alpes-cote d'azur",'Extraction Patrimoine'!F:F,"nature et parcs",'Extraction Patrimoine'!B:B, "2013")</f>
        <v>2776</v>
      </c>
    </row>
    <row r="166" spans="1:12" x14ac:dyDescent="0.25">
      <c r="A166" s="15" t="s">
        <v>46</v>
      </c>
      <c r="B166" s="15" t="s">
        <v>82</v>
      </c>
      <c r="C166" s="15" t="s">
        <v>99</v>
      </c>
      <c r="D166" s="23">
        <f>SUMIFS('Extraction Patrimoine'!I:I, 'Extraction Patrimoine'!D:D,"provence-alpes-cote d'azur",'Extraction Patrimoine'!F:F,"musées")</f>
        <v>0</v>
      </c>
      <c r="E166" s="23">
        <f t="shared" si="48"/>
        <v>0</v>
      </c>
      <c r="F166" s="23">
        <f>SUMIFS('Extraction Patrimoine'!I:I, 'Extraction Patrimoine'!D:D,"provence-alpes-cote d'azur",'Extraction Patrimoine'!F:F,"musées",'Extraction Patrimoine'!B:B, "2017")</f>
        <v>0</v>
      </c>
      <c r="G166" s="23">
        <f>SUMIFS('Extraction Patrimoine'!I:I, 'Extraction Patrimoine'!D:D,"provence-alpes-cote d'azur",'Extraction Patrimoine'!F:F,"musées",'Extraction Patrimoine'!B:B, "2016")</f>
        <v>0</v>
      </c>
      <c r="H166" s="23">
        <f>SUMIFS('Extraction Patrimoine'!I:I, 'Extraction Patrimoine'!D:D,"provence-alpes-cote d'azur",'Extraction Patrimoine'!F:F,"musées",'Extraction Patrimoine'!B:B, "2015")</f>
        <v>0</v>
      </c>
      <c r="I166" s="23">
        <f>SUMIFS('Extraction Patrimoine'!I:I, 'Extraction Patrimoine'!D:D,"provence-alpes-cote d'azur",'Extraction Patrimoine'!F:F,"musées",'Extraction Patrimoine'!B:B, "2014")</f>
        <v>0</v>
      </c>
      <c r="J166" s="23">
        <f>SUMIFS('Extraction Patrimoine'!I:I, 'Extraction Patrimoine'!D:D,"provence-alpes-cote d'azur",'Extraction Patrimoine'!F:F,"musées",'Extraction Patrimoine'!B:B, "2013")</f>
        <v>0</v>
      </c>
    </row>
    <row r="167" spans="1:12" x14ac:dyDescent="0.25">
      <c r="A167" s="15" t="s">
        <v>46</v>
      </c>
      <c r="B167" s="15" t="s">
        <v>82</v>
      </c>
      <c r="C167" s="15" t="s">
        <v>100</v>
      </c>
      <c r="D167" s="23">
        <f>SUMIFS('Extraction Patrimoine'!I:I, 'Extraction Patrimoine'!D:D,"provence-alpes-cote d'azur",'Extraction Patrimoine'!F:F,"sites et monuments")</f>
        <v>0</v>
      </c>
      <c r="E167" s="23">
        <f t="shared" si="48"/>
        <v>0</v>
      </c>
      <c r="F167" s="23">
        <f>SUMIFS('Extraction Patrimoine'!I:I, 'Extraction Patrimoine'!D:D,"provence-alpes-cote d'azur",'Extraction Patrimoine'!F:F,"sites et monuments",'Extraction Patrimoine'!B:B, "2017")</f>
        <v>0</v>
      </c>
      <c r="G167" s="23">
        <f>SUMIFS('Extraction Patrimoine'!I:I, 'Extraction Patrimoine'!D:D,"provence-alpes-cote d'azur",'Extraction Patrimoine'!F:F,"sites et monuments",'Extraction Patrimoine'!B:B, "2016")</f>
        <v>0</v>
      </c>
      <c r="H167" s="23">
        <f>SUMIFS('Extraction Patrimoine'!I:I, 'Extraction Patrimoine'!D:D,"provence-alpes-cote d'azur",'Extraction Patrimoine'!F:F,"sites et monuments",'Extraction Patrimoine'!B:B, "2015")</f>
        <v>0</v>
      </c>
      <c r="I167" s="23">
        <f>SUMIFS('Extraction Patrimoine'!I:I, 'Extraction Patrimoine'!D:D,"provence-alpes-cote d'azur",'Extraction Patrimoine'!F:F,"sites et monuments",'Extraction Patrimoine'!B:B, "2014")</f>
        <v>0</v>
      </c>
      <c r="J167" s="23">
        <f>SUMIFS('Extraction Patrimoine'!I:I, 'Extraction Patrimoine'!D:D,"provence-alpes-cote d'azur",'Extraction Patrimoine'!F:F,"sites et monuments",'Extraction Patrimoine'!B:B, "2013")</f>
        <v>0</v>
      </c>
    </row>
    <row r="168" spans="1:12" x14ac:dyDescent="0.25">
      <c r="A168" s="20" t="s">
        <v>46</v>
      </c>
      <c r="B168" s="17" t="s">
        <v>9</v>
      </c>
      <c r="C168" s="4" t="s">
        <v>101</v>
      </c>
      <c r="D168" s="11">
        <f>SUMIF('Extraction Offre de services'!D:D,"provence-alpes-cote d'azur",'Extraction Offre de services'!I:I)</f>
        <v>58907</v>
      </c>
      <c r="E168" s="11">
        <f t="shared" si="48"/>
        <v>55265</v>
      </c>
      <c r="F168" s="11">
        <f>SUMIFS('Extraction Offre de services'!I:I, 'Extraction Offre de services'!D:D,"provence-alpes-cote d'azur",'Extraction Offre de services'!B:B,"2017")</f>
        <v>16356</v>
      </c>
      <c r="G168" s="11">
        <f>SUMIFS('Extraction Offre de services'!I:I, 'Extraction Offre de services'!D:D,"provence-alpes-cote d'azur",'Extraction Offre de services'!B:B,"2016")</f>
        <v>28815</v>
      </c>
      <c r="H168" s="11">
        <f>SUMIFS('Extraction Offre de services'!I:I, 'Extraction Offre de services'!D:D,"provence-alpes-cote d'azur",'Extraction Offre de services'!B:B,"2015")</f>
        <v>10094</v>
      </c>
      <c r="I168" s="11">
        <f>SUMIFS('Extraction Offre de services'!I:I, 'Extraction Offre de services'!D:D,"provence-alpes-cote d'azur",'Extraction Offre de services'!B:B,"2014")</f>
        <v>2105</v>
      </c>
      <c r="J168" s="11">
        <f>SUMIFS('Extraction Offre de services'!I:I, 'Extraction Offre de services'!D:D,"provence-alpes-cote d'azur",'Extraction Offre de services'!B:B,"2013")</f>
        <v>1537</v>
      </c>
    </row>
    <row r="169" spans="1:12" x14ac:dyDescent="0.25">
      <c r="A169" s="15" t="s">
        <v>46</v>
      </c>
      <c r="B169" s="15" t="s">
        <v>9</v>
      </c>
      <c r="C169" s="2" t="s">
        <v>10</v>
      </c>
      <c r="D169" s="3">
        <f>SUMIFS('Extraction Offre de services'!I:I, 'Extraction Offre de services'!D:D,"provence-alpes-cote d'azur",'Extraction Offre de services'!F:F,"hebergement")</f>
        <v>44435</v>
      </c>
      <c r="E169" s="3">
        <f t="shared" si="48"/>
        <v>44435</v>
      </c>
      <c r="F169" s="3">
        <f>SUMIFS('Extraction Offre de services'!I:I, 'Extraction Offre de services'!D:D,"provence-alpes-cote d'azur",'Extraction Offre de services'!F:F,"hebergement",'Extraction Offre de services'!B:B,"2017")</f>
        <v>13294</v>
      </c>
      <c r="G169" s="3">
        <f>SUMIFS('Extraction Offre de services'!I:I, 'Extraction Offre de services'!D:D,"provence-alpes-cote d'azur",'Extraction Offre de services'!F:F,"hebergement",'Extraction Offre de services'!B:B,"2016")</f>
        <v>24187</v>
      </c>
      <c r="H169" s="3">
        <f>SUMIFS('Extraction Offre de services'!I:I, 'Extraction Offre de services'!D:D,"provence-alpes-cote d'azur",'Extraction Offre de services'!F:F,"hebergement",'Extraction Offre de services'!B:B,"2015")</f>
        <v>6954</v>
      </c>
      <c r="I169" s="3">
        <f>SUMIFS('Extraction Offre de services'!I:I, 'Extraction Offre de services'!D:D,"provence-alpes-cote d'azur",'Extraction Offre de services'!F:F,"hebergement",'Extraction Offre de services'!B:B,"2014")</f>
        <v>0</v>
      </c>
      <c r="J169" s="3">
        <f>SUMIFS('Extraction Offre de services'!I:I, 'Extraction Offre de services'!D:D,"provence-alpes-cote d'azur",'Extraction Offre de services'!F:F,"hebergement",'Extraction Offre de services'!B:B,"2013")</f>
        <v>0</v>
      </c>
    </row>
    <row r="170" spans="1:12" x14ac:dyDescent="0.25">
      <c r="A170" s="15" t="s">
        <v>46</v>
      </c>
      <c r="B170" s="15" t="s">
        <v>9</v>
      </c>
      <c r="C170" s="2" t="s">
        <v>48</v>
      </c>
      <c r="D170" s="3">
        <f>SUMIFS('Extraction Offre de services'!I:I, 'Extraction Offre de services'!D:D,"provence-alpes-cote d'azur",'Extraction Offre de services'!F:F,"restauration")</f>
        <v>14472</v>
      </c>
      <c r="E170" s="3">
        <f t="shared" si="48"/>
        <v>10830</v>
      </c>
      <c r="F170" s="3">
        <f>SUMIFS('Extraction Offre de services'!I:I,'Extraction Offre de services'!D:D,"provence-alpes-cote d'azur",'Extraction Offre de services'!F:F,"restauration",'Extraction Offre de services'!B:B,"2017")</f>
        <v>3062</v>
      </c>
      <c r="G170" s="3">
        <f>SUMIFS('Extraction Offre de services'!I:I,'Extraction Offre de services'!D:D,"provence-alpes-cote d'azur",'Extraction Offre de services'!F:F,"restauration",'Extraction Offre de services'!B:B,"2016")</f>
        <v>4628</v>
      </c>
      <c r="H170" s="3">
        <f>SUMIFS('Extraction Offre de services'!I:I,'Extraction Offre de services'!D:D,"provence-alpes-cote d'azur",'Extraction Offre de services'!F:F,"restauration",'Extraction Offre de services'!B:B,"2015")</f>
        <v>3140</v>
      </c>
      <c r="I170" s="3">
        <f>SUMIFS('Extraction Offre de services'!I:I,'Extraction Offre de services'!D:D,"provence-alpes-cote d'azur",'Extraction Offre de services'!F:F,"restauration",'Extraction Offre de services'!B:B,"2014")</f>
        <v>2105</v>
      </c>
      <c r="J170" s="3">
        <f>SUMIFS('Extraction Offre de services'!I:I,'Extraction Offre de services'!D:D,"provence-alpes-cote d'azur",'Extraction Offre de services'!F:F,"restauration",'Extraction Offre de services'!B:B,"2013")</f>
        <v>1537</v>
      </c>
    </row>
    <row r="171" spans="1:12" x14ac:dyDescent="0.25"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x14ac:dyDescent="0.25">
      <c r="C172" s="15"/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x14ac:dyDescent="0.25">
      <c r="C173" s="15"/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x14ac:dyDescent="0.25">
      <c r="C174" s="15"/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x14ac:dyDescent="0.25">
      <c r="C175" s="15"/>
      <c r="D175" s="15"/>
      <c r="E175" s="15"/>
      <c r="F175" s="15"/>
      <c r="G175" s="15"/>
      <c r="H175" s="15"/>
      <c r="I175" s="15"/>
      <c r="J175" s="15"/>
      <c r="K175" s="15"/>
      <c r="L175" s="15"/>
    </row>
  </sheetData>
  <autoFilter ref="A1:C170">
    <filterColumn colId="0">
      <filters>
        <filter val="provence-alpes-cote d'azur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showGridLines="0" tabSelected="1" workbookViewId="0">
      <selection activeCell="J18" sqref="J18"/>
    </sheetView>
  </sheetViews>
  <sheetFormatPr baseColWidth="10" defaultRowHeight="15" x14ac:dyDescent="0.25"/>
  <cols>
    <col min="2" max="2" width="28.7109375" customWidth="1"/>
    <col min="3" max="4" width="15.7109375" style="15" customWidth="1"/>
    <col min="5" max="7" width="14" style="15" bestFit="1" customWidth="1"/>
    <col min="8" max="10" width="15.7109375" style="15" customWidth="1"/>
    <col min="11" max="20" width="15.7109375" customWidth="1"/>
  </cols>
  <sheetData>
    <row r="2" spans="2:11" ht="15.75" x14ac:dyDescent="0.25">
      <c r="C2" s="58" t="s">
        <v>118</v>
      </c>
      <c r="D2" s="58"/>
      <c r="E2" s="58"/>
      <c r="F2" s="58"/>
      <c r="G2" s="58"/>
      <c r="H2" s="58"/>
      <c r="I2" s="58"/>
    </row>
    <row r="3" spans="2:11" s="25" customFormat="1" ht="60" x14ac:dyDescent="0.25">
      <c r="C3" s="24" t="s">
        <v>117</v>
      </c>
      <c r="D3" s="27" t="s">
        <v>122</v>
      </c>
      <c r="E3" s="75" t="s">
        <v>132</v>
      </c>
      <c r="F3" s="75" t="s">
        <v>133</v>
      </c>
      <c r="G3" s="75" t="s">
        <v>134</v>
      </c>
      <c r="H3" s="24" t="s">
        <v>123</v>
      </c>
      <c r="I3" s="27" t="s">
        <v>124</v>
      </c>
      <c r="J3" s="26"/>
    </row>
    <row r="4" spans="2:11" x14ac:dyDescent="0.25">
      <c r="B4" t="s">
        <v>104</v>
      </c>
      <c r="C4" s="64">
        <f>AVERAGE(D4,H4,I4)</f>
        <v>4.1207355827511316</v>
      </c>
      <c r="D4" s="56">
        <f>AVERAGE('Carte identité AURA'!E14,'Carte identité AURA'!H14,'Carte identité AURA'!K14)</f>
        <v>4.0718570181746259</v>
      </c>
      <c r="E4" s="76">
        <f>AVERAGE('Carte identité AURA'!E17,'Carte identité AURA'!H17,'Carte identité AURA'!K17)</f>
        <v>4.4667727164002384</v>
      </c>
      <c r="F4" s="76">
        <f>AVERAGE('Carte identité AURA'!E18,'Carte identité AURA'!H18,'Carte identité AURA'!K18)</f>
        <v>4.5478251259897968</v>
      </c>
      <c r="G4" s="76">
        <f>AVERAGE('Carte identité AURA'!E19,'Carte identité AURA'!H19,'Carte identité AURA'!K19)</f>
        <v>4.2821863467574657</v>
      </c>
      <c r="H4" s="56">
        <f>AVERAGE('Carte identité AURA'!E5,'Carte identité AURA'!H5,'Carte identité AURA'!K5)</f>
        <v>4.0991489052898649</v>
      </c>
      <c r="I4" s="56">
        <f>AVERAGE('Carte identité AURA'!E10,'Carte identité AURA'!H10,'Carte identité AURA'!K10)</f>
        <v>4.1912008247889032</v>
      </c>
    </row>
    <row r="5" spans="2:11" x14ac:dyDescent="0.25">
      <c r="B5" s="78" t="s">
        <v>105</v>
      </c>
      <c r="C5" s="79">
        <f t="shared" ref="C5:C16" si="0">AVERAGE(D5,H5,I5)</f>
        <v>4.1794421017133701</v>
      </c>
      <c r="D5" s="80">
        <f>AVERAGE('Carte identité BFC'!E14,'Carte identité BFC'!H14,'Carte identité BFC'!K14)</f>
        <v>4.0281713352675528</v>
      </c>
      <c r="E5" s="81">
        <f>AVERAGE('Carte identité BFC'!E17,'Carte identité BFC'!H17,'Carte identité BFC'!K17)</f>
        <v>4.411287693984395</v>
      </c>
      <c r="F5" s="81">
        <f>AVERAGE('Carte identité BFC'!E18,'Carte identité BFC'!H18,'Carte identité BFC'!K18)</f>
        <v>4.4311806400354206</v>
      </c>
      <c r="G5" s="81">
        <f>AVERAGE('Carte identité BFC'!E19,'Carte identité BFC'!H19,'Carte identité BFC'!K19)</f>
        <v>4.1689043852899133</v>
      </c>
      <c r="H5" s="80">
        <f>AVERAGE('Carte identité BFC'!E5,'Carte identité BFC'!H5,'Carte identité BFC'!K5)</f>
        <v>4.3832911356830051</v>
      </c>
      <c r="I5" s="80">
        <f>AVERAGE('Carte identité BFC'!E10,'Carte identité BFC'!H10,'Carte identité BFC'!K10)</f>
        <v>4.126863834189554</v>
      </c>
    </row>
    <row r="6" spans="2:11" x14ac:dyDescent="0.25">
      <c r="B6" t="s">
        <v>106</v>
      </c>
      <c r="C6" s="64">
        <f t="shared" si="0"/>
        <v>4.2195287457945261</v>
      </c>
      <c r="D6" s="56">
        <f>AVERAGE('Carte identité Bretagne'!E14,'Carte identité Bretagne'!H14,'Carte identité Bretagne'!K14)</f>
        <v>4.1278960865700078</v>
      </c>
      <c r="E6" s="76">
        <f>AVERAGE('Carte identité Bretagne'!E17,'Carte identité Bretagne'!H17,'Carte identité Bretagne'!K17)</f>
        <v>4.4365351916489697</v>
      </c>
      <c r="F6" s="76">
        <f>AVERAGE('Carte identité Bretagne'!E18,'Carte identité Bretagne'!H18,'Carte identité Bretagne'!K18)</f>
        <v>4.4549400529730283</v>
      </c>
      <c r="G6" s="76">
        <f>AVERAGE('Carte identité Bretagne'!E19,'Carte identité Bretagne'!H19,'Carte identité Bretagne'!K19)</f>
        <v>4.2870536658885205</v>
      </c>
      <c r="H6" s="56">
        <f>AVERAGE('Carte identité Bretagne'!E5,'Carte identité Bretagne'!H5,'Carte identité Bretagne'!K5)</f>
        <v>4.449926087646312</v>
      </c>
      <c r="I6" s="56">
        <f>AVERAGE('Carte identité Bretagne'!E10,'Carte identité Bretagne'!H10,'Carte identité Bretagne'!K10)</f>
        <v>4.0807640631672575</v>
      </c>
    </row>
    <row r="7" spans="2:11" x14ac:dyDescent="0.25">
      <c r="B7" s="78" t="s">
        <v>107</v>
      </c>
      <c r="C7" s="79">
        <f t="shared" si="0"/>
        <v>4.1449935630695656</v>
      </c>
      <c r="D7" s="80">
        <f>AVERAGE('Carte identité Centre Val de L'!E14,'Carte identité Centre Val de L'!H14,'Carte identité Centre Val de L'!K14)</f>
        <v>4.1446309591299286</v>
      </c>
      <c r="E7" s="81">
        <f>AVERAGE('Carte identité Centre Val de L'!E17,'Carte identité Centre Val de L'!H17,'Carte identité Centre Val de L'!K17)</f>
        <v>4.3489778110473054</v>
      </c>
      <c r="F7" s="81">
        <f>AVERAGE('Carte identité Centre Val de L'!E18,'Carte identité Centre Val de L'!H18,'Carte identité Centre Val de L'!K18)</f>
        <v>4.3912141593187668</v>
      </c>
      <c r="G7" s="81">
        <f>AVERAGE('Carte identité Centre Val de L'!E19,'Carte identité Centre Val de L'!H19,'Carte identité Centre Val de L'!K19)</f>
        <v>4.1750902888416048</v>
      </c>
      <c r="H7" s="80">
        <f>AVERAGE('Carte identité AURA'!E5,'Carte identité AURA'!H5,'Carte identité AURA'!K5)</f>
        <v>4.0991489052898649</v>
      </c>
      <c r="I7" s="80">
        <f>AVERAGE('Carte identité AURA'!E10,'Carte identité AURA'!H10,'Carte identité AURA'!K10)</f>
        <v>4.1912008247889032</v>
      </c>
    </row>
    <row r="8" spans="2:11" x14ac:dyDescent="0.25">
      <c r="B8" t="s">
        <v>115</v>
      </c>
      <c r="C8" s="64">
        <f t="shared" si="0"/>
        <v>4.2695227793846442</v>
      </c>
      <c r="D8" s="56">
        <f>AVERAGE('Carte identité Corse'!E14,'Carte identité Corse'!H14,'Carte identité Corse'!K14)</f>
        <v>4.0632702943718719</v>
      </c>
      <c r="E8" s="76">
        <f>AVERAGE('Carte identité Corse'!E17,'Carte identité Corse'!H17,'Carte identité Corse'!K17)</f>
        <v>4.3150604185086943</v>
      </c>
      <c r="F8" s="76">
        <f>AVERAGE('Carte identité Corse'!E18,'Carte identité Corse'!H18,'Carte identité Corse'!K18)</f>
        <v>4.5450688489982802</v>
      </c>
      <c r="G8" s="76">
        <f>AVERAGE('Carte identité Corse'!E19,'Carte identité Corse'!H19,'Carte identité Corse'!K19)</f>
        <v>4.4975085504355752</v>
      </c>
      <c r="H8" s="56">
        <f>AVERAGE('Carte identité Corse'!E5,'Carte identité Corse'!H5,'Carte identité Corse'!K5)</f>
        <v>4.6410870748730586</v>
      </c>
      <c r="I8" s="56">
        <f>AVERAGE('Carte identité Corse'!E10,'Carte identité Corse'!H10,'Carte identité Corse'!K10)</f>
        <v>4.1042109689090021</v>
      </c>
    </row>
    <row r="9" spans="2:11" x14ac:dyDescent="0.25">
      <c r="B9" s="78" t="s">
        <v>108</v>
      </c>
      <c r="C9" s="79">
        <f t="shared" si="0"/>
        <v>4.1087834552301397</v>
      </c>
      <c r="D9" s="80">
        <f>AVERAGE('Carte identité Grand Est'!E14,'Carte identité Grand Est'!H14,'Carte identité Grand Est'!K14)</f>
        <v>4.1523908394686293</v>
      </c>
      <c r="E9" s="81">
        <f>AVERAGE('Carte identité Grand Est'!E17,'Carte identité Grand Est'!H17,'Carte identité Grand Est'!K17)</f>
        <v>4.4602733158315635</v>
      </c>
      <c r="F9" s="81">
        <f>AVERAGE('Carte identité Grand Est'!E18,'Carte identité Grand Est'!H18,'Carte identité Grand Est'!K18)</f>
        <v>4.4665557139005072</v>
      </c>
      <c r="G9" s="81">
        <f>AVERAGE('Carte identité Grand Est'!E19,'Carte identité Grand Est'!H19,'Carte identité Grand Est'!K19)</f>
        <v>4.2638516970510549</v>
      </c>
      <c r="H9" s="80">
        <f>AVERAGE('Carte identité Grand Est'!E5,'Carte identité Grand Est'!H5,'Carte identité Grand Est'!K5)</f>
        <v>4.2357174193826044</v>
      </c>
      <c r="I9" s="80">
        <f>AVERAGE('Carte identité Grand Est'!E10,'Carte identité Grand Est'!H10,'Carte identité Grand Est'!K10)</f>
        <v>3.9382421068391871</v>
      </c>
    </row>
    <row r="10" spans="2:11" x14ac:dyDescent="0.25">
      <c r="B10" t="s">
        <v>109</v>
      </c>
      <c r="C10" s="64">
        <f t="shared" si="0"/>
        <v>4.2135317714107048</v>
      </c>
      <c r="D10" s="56">
        <f>AVERAGE('Carte identité Hauts de France'!E14,'Carte identité Hauts de France'!H14,'Carte identité Hauts de France'!K14)</f>
        <v>4.1892982692864642</v>
      </c>
      <c r="E10" s="76">
        <f>AVERAGE('Carte identité Hauts de France'!E17,'Carte identité Hauts de France'!H17,'Carte identité Hauts de France'!K17)</f>
        <v>4.4576778830538855</v>
      </c>
      <c r="F10" s="76">
        <f>AVERAGE('Carte identité Hauts de France'!E18,'Carte identité Hauts de France'!H18,'Carte identité Hauts de France'!K18)</f>
        <v>4.5154932762384528</v>
      </c>
      <c r="G10" s="76">
        <f>AVERAGE('Carte identité Hauts de France'!E19,'Carte identité Hauts de France'!H19,'Carte identité Hauts de France'!K19)</f>
        <v>4.2674182778594592</v>
      </c>
      <c r="H10" s="56">
        <f>AVERAGE('Carte identité Hauts de France'!E5,'Carte identité Hauts de France'!H5,'Carte identité Hauts de France'!K5)</f>
        <v>4.472012972415607</v>
      </c>
      <c r="I10" s="56">
        <f>AVERAGE('Carte identité Hauts de France'!E10,'Carte identité Hauts de France'!H10,'Carte identité Hauts de France'!K10)</f>
        <v>3.9792840725300418</v>
      </c>
    </row>
    <row r="11" spans="2:11" x14ac:dyDescent="0.25">
      <c r="B11" s="78" t="s">
        <v>110</v>
      </c>
      <c r="C11" s="79">
        <f t="shared" si="0"/>
        <v>4.3173860625861025</v>
      </c>
      <c r="D11" s="80">
        <f>AVERAGE('Carte identité Ile de France'!E14,'Carte identité Ile de France'!H14,'Carte identité Ile de France'!K14)</f>
        <v>4.1036523282245723</v>
      </c>
      <c r="E11" s="81">
        <f>AVERAGE('Carte identité Ile de France'!E17,'Carte identité Ile de France'!H17,'Carte identité Ile de France'!K17)</f>
        <v>4.5003691425384593</v>
      </c>
      <c r="F11" s="81">
        <f>AVERAGE('Carte identité Ile de France'!E18,'Carte identité Ile de France'!H18,'Carte identité Ile de France'!K18)</f>
        <v>4.5588159010614371</v>
      </c>
      <c r="G11" s="81">
        <f>AVERAGE('Carte identité Ile de France'!E19,'Carte identité Ile de France'!H19,'Carte identité Ile de France'!K19)</f>
        <v>4.269463201756948</v>
      </c>
      <c r="H11" s="80">
        <f>AVERAGE('Carte identité Ile de France'!E5,'Carte identité Ile de France'!H5,'Carte identité Ile de France'!K5)</f>
        <v>4.4888196863411478</v>
      </c>
      <c r="I11" s="80">
        <f>AVERAGE('Carte identité Ile de France'!E10,'Carte identité Ile de France'!H10,'Carte identité Ile de France'!K10)</f>
        <v>4.3596861731925864</v>
      </c>
    </row>
    <row r="12" spans="2:11" x14ac:dyDescent="0.25">
      <c r="B12" t="s">
        <v>111</v>
      </c>
      <c r="C12" s="64">
        <f t="shared" si="0"/>
        <v>4.2535421248174679</v>
      </c>
      <c r="D12" s="56">
        <f>AVERAGE('Carte identité Normandie'!E14,'Carte identité Normandie'!H14,'Carte identité Normandie'!K14)</f>
        <v>4.1381232708687277</v>
      </c>
      <c r="E12" s="76">
        <f>AVERAGE('Carte identité Normandie'!E17,'Carte identité Normandie'!H17,'Carte identité Normandie'!K17)</f>
        <v>4.4861483017482975</v>
      </c>
      <c r="F12" s="76">
        <f>AVERAGE('Carte identité Normandie'!E18,'Carte identité Normandie'!H18,'Carte identité Normandie'!K18)</f>
        <v>4.504219488806446</v>
      </c>
      <c r="G12" s="76">
        <f>AVERAGE('Carte identité Normandie'!E19,'Carte identité Normandie'!H19,'Carte identité Normandie'!K19)</f>
        <v>4.3221054932958056</v>
      </c>
      <c r="H12" s="56">
        <f>AVERAGE('Carte identité Normandie'!E5,'Carte identité Normandie'!H5,'Carte identité Normandie'!K5)</f>
        <v>4.3494996448611936</v>
      </c>
      <c r="I12" s="56">
        <f>AVERAGE('Carte identité Normandie'!E10,'Carte identité Normandie'!H10,'Carte identité Normandie'!K10)</f>
        <v>4.2730034587224814</v>
      </c>
      <c r="K12" s="15"/>
    </row>
    <row r="13" spans="2:11" x14ac:dyDescent="0.25">
      <c r="B13" s="78" t="s">
        <v>112</v>
      </c>
      <c r="C13" s="79">
        <f t="shared" si="0"/>
        <v>4.3451351748765852</v>
      </c>
      <c r="D13" s="80">
        <f>AVERAGE('Carte identité Nvelle Aquitaine'!E14,'Carte identité Nvelle Aquitaine'!H14,'Carte identité Nvelle Aquitaine'!K14)</f>
        <v>4.1446415785015329</v>
      </c>
      <c r="E13" s="81">
        <f>AVERAGE('Carte identité Nvelle Aquitaine'!E17,'Carte identité Nvelle Aquitaine'!H17,'Carte identité Nvelle Aquitaine'!K17)</f>
        <v>4.5282067370625878</v>
      </c>
      <c r="F13" s="81">
        <f>AVERAGE('Carte identité Nvelle Aquitaine'!E18,'Carte identité Nvelle Aquitaine'!H18,'Carte identité Nvelle Aquitaine'!K18)</f>
        <v>4.5720436161611158</v>
      </c>
      <c r="G13" s="81">
        <f>AVERAGE('Carte identité Nvelle Aquitaine'!E19,'Carte identité Nvelle Aquitaine'!H19,'Carte identité Nvelle Aquitaine'!K19)</f>
        <v>4.3543957179284618</v>
      </c>
      <c r="H13" s="80">
        <f>AVERAGE('Carte identité Nvelle Aquitaine'!E5,'Carte identité Nvelle Aquitaine'!H5,'Carte identité Nvelle Aquitaine'!K5)</f>
        <v>4.4808274344563692</v>
      </c>
      <c r="I13" s="80">
        <f>AVERAGE('Carte identité Nvelle Aquitaine'!E10,'Carte identité Nvelle Aquitaine'!H10,'Carte identité Nvelle Aquitaine'!K10)</f>
        <v>4.4099365116718543</v>
      </c>
      <c r="K13" s="15"/>
    </row>
    <row r="14" spans="2:11" x14ac:dyDescent="0.25">
      <c r="B14" t="s">
        <v>113</v>
      </c>
      <c r="C14" s="64">
        <f t="shared" si="0"/>
        <v>4.2253516743097448</v>
      </c>
      <c r="D14" s="29">
        <f>AVERAGE('Carte identité Occitanie'!E14,'Carte identité Occitanie'!H14,'Carte identité Occitanie'!K14)</f>
        <v>3.8795220891827831</v>
      </c>
      <c r="E14" s="77">
        <f>AVERAGE('Carte identité Occitanie'!E17,'Carte identité Occitanie'!H17,'Carte identité Occitanie'!K17)</f>
        <v>3.2394543171474752</v>
      </c>
      <c r="F14" s="77">
        <f>AVERAGE('Carte identité Occitanie'!E18,'Carte identité Occitanie'!H18,'Carte identité Occitanie'!K18)</f>
        <v>3.3020248471755291</v>
      </c>
      <c r="G14" s="77">
        <f>AVERAGE('Carte identité Occitanie'!E19,'Carte identité Occitanie'!H19,'Carte identité Occitanie'!K19)</f>
        <v>3.1348686785242141</v>
      </c>
      <c r="H14" s="29">
        <f>AVERAGE('Carte identité Occitanie'!E5,'Carte identité Occitanie'!H5,'Carte identité Occitanie'!K5)</f>
        <v>4.4403706182104825</v>
      </c>
      <c r="I14" s="29">
        <f>AVERAGE('Carte identité Occitanie'!E10,'Carte identité Occitanie'!H10,'Carte identité Occitanie'!K10)</f>
        <v>4.3561623155359674</v>
      </c>
      <c r="K14" s="15"/>
    </row>
    <row r="15" spans="2:11" x14ac:dyDescent="0.25">
      <c r="B15" s="78" t="s">
        <v>116</v>
      </c>
      <c r="C15" s="79">
        <f t="shared" si="0"/>
        <v>4.2912090187877396</v>
      </c>
      <c r="D15" s="82">
        <f>AVERAGE('Carte identité Pays de la Loire'!E14,'Carte identité Pays de la Loire'!H14,'Carte identité Pays de la Loire'!K14)</f>
        <v>4.1395817058687205</v>
      </c>
      <c r="E15" s="83">
        <f>AVERAGE('Carte identité Pays de la Loire'!E17,'Carte identité Pays de la Loire'!H17,'Carte identité Pays de la Loire'!K17)</f>
        <v>4.4606016576450029</v>
      </c>
      <c r="F15" s="83">
        <f>AVERAGE('Carte identité Pays de la Loire'!E18,'Carte identité Pays de la Loire'!H18,'Carte identité Pays de la Loire'!K18)</f>
        <v>4.5334603017431538</v>
      </c>
      <c r="G15" s="83">
        <f>AVERAGE('Carte identité Pays de la Loire'!E19,'Carte identité Pays de la Loire'!H19,'Carte identité Pays de la Loire'!K19)</f>
        <v>4.3220490829332538</v>
      </c>
      <c r="H15" s="82">
        <f>AVERAGE('Carte identité Pays de la Loire'!E5,'Carte identité Pays de la Loire'!H5,'Carte identité Pays de la Loire'!K5)</f>
        <v>4.3858997044831556</v>
      </c>
      <c r="I15" s="82">
        <f>AVERAGE('Carte identité Pays de la Loire'!E10,'Carte identité Pays de la Loire'!H10,'Carte identité Pays de la Loire'!K10)</f>
        <v>4.3481456460113428</v>
      </c>
    </row>
    <row r="16" spans="2:11" x14ac:dyDescent="0.25">
      <c r="B16" t="s">
        <v>114</v>
      </c>
      <c r="C16" s="64">
        <f t="shared" si="0"/>
        <v>4.2966154965688128</v>
      </c>
      <c r="D16" s="29">
        <f>AVERAGE('Carte identité PACA'!E14,'Carte identité PACA'!H14,'Carte identité PACA'!K14)</f>
        <v>4.0560748805258875</v>
      </c>
      <c r="E16" s="77">
        <f>AVERAGE('Carte identité PACA'!E17,'Carte identité PACA'!H17,'Carte identité PACA'!K17)</f>
        <v>4.5507206446290631</v>
      </c>
      <c r="F16" s="77">
        <f>AVERAGE('Carte identité PACA'!E18,'Carte identité PACA'!H18,'Carte identité PACA'!K18)</f>
        <v>4.5947470016670247</v>
      </c>
      <c r="G16" s="77">
        <f>AVERAGE('Carte identité PACA'!E19,'Carte identité PACA'!H19,'Carte identité PACA'!K19)</f>
        <v>4.2914645879482256</v>
      </c>
      <c r="H16" s="29">
        <f>AVERAGE('Carte identité PACA'!E5,'Carte identité PACA'!H5,'Carte identité PACA'!K5)</f>
        <v>4.4463534329943117</v>
      </c>
      <c r="I16" s="29">
        <f>AVERAGE('Carte identité PACA'!E10,'Carte identité PACA'!H10,'Carte identité PACA'!K10)</f>
        <v>4.3874181761862401</v>
      </c>
    </row>
  </sheetData>
  <mergeCells count="1">
    <mergeCell ref="C2:I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0"/>
  <sheetViews>
    <sheetView showGridLines="0" workbookViewId="0">
      <selection activeCell="E19" activeCellId="2" sqref="K19 H19 E19"/>
    </sheetView>
  </sheetViews>
  <sheetFormatPr baseColWidth="10" defaultRowHeight="15" x14ac:dyDescent="0.25"/>
  <cols>
    <col min="1" max="1" width="1.5703125" customWidth="1"/>
    <col min="2" max="2" width="15.7109375" bestFit="1" customWidth="1"/>
    <col min="3" max="3" width="22.140625" bestFit="1" customWidth="1"/>
    <col min="4" max="4" width="7.5703125" bestFit="1" customWidth="1"/>
    <col min="5" max="5" width="15" customWidth="1"/>
    <col min="6" max="7" width="8.7109375" customWidth="1"/>
    <col min="9" max="10" width="8.7109375" customWidth="1"/>
    <col min="12" max="13" width="8.7109375" customWidth="1"/>
    <col min="15" max="16" width="8.7109375" customWidth="1"/>
    <col min="18" max="19" width="8.7109375" customWidth="1"/>
  </cols>
  <sheetData>
    <row r="2" spans="2:19" x14ac:dyDescent="0.25">
      <c r="B2" s="62" t="s">
        <v>86</v>
      </c>
      <c r="C2" s="62" t="s">
        <v>87</v>
      </c>
      <c r="D2" s="62" t="s">
        <v>128</v>
      </c>
      <c r="E2" s="60">
        <v>2017</v>
      </c>
      <c r="F2" s="60"/>
      <c r="G2" s="61"/>
      <c r="H2" s="59">
        <v>2016</v>
      </c>
      <c r="I2" s="63"/>
      <c r="J2" s="61"/>
      <c r="K2" s="59">
        <v>2015</v>
      </c>
      <c r="L2" s="63"/>
      <c r="M2" s="61"/>
      <c r="N2" s="59">
        <v>2014</v>
      </c>
      <c r="O2" s="60"/>
      <c r="P2" s="61"/>
      <c r="Q2" s="59">
        <v>2013</v>
      </c>
      <c r="R2" s="60"/>
      <c r="S2" s="60"/>
    </row>
    <row r="3" spans="2:19" ht="30" x14ac:dyDescent="0.25">
      <c r="B3" s="62"/>
      <c r="C3" s="62"/>
      <c r="D3" s="62"/>
      <c r="E3" s="22" t="s">
        <v>95</v>
      </c>
      <c r="F3" s="22" t="s">
        <v>119</v>
      </c>
      <c r="G3" s="36" t="s">
        <v>120</v>
      </c>
      <c r="H3" s="22" t="s">
        <v>95</v>
      </c>
      <c r="I3" s="22" t="s">
        <v>119</v>
      </c>
      <c r="J3" s="36" t="s">
        <v>120</v>
      </c>
      <c r="K3" s="22" t="s">
        <v>95</v>
      </c>
      <c r="L3" s="22" t="s">
        <v>119</v>
      </c>
      <c r="M3" s="36" t="s">
        <v>120</v>
      </c>
      <c r="N3" s="22" t="s">
        <v>95</v>
      </c>
      <c r="O3" s="22" t="s">
        <v>119</v>
      </c>
      <c r="P3" s="36" t="s">
        <v>120</v>
      </c>
      <c r="Q3" s="22" t="s">
        <v>95</v>
      </c>
      <c r="R3" s="22" t="s">
        <v>119</v>
      </c>
      <c r="S3" s="22" t="s">
        <v>120</v>
      </c>
    </row>
    <row r="4" spans="2:19" x14ac:dyDescent="0.25">
      <c r="B4" s="16" t="s">
        <v>88</v>
      </c>
      <c r="C4" s="8" t="s">
        <v>101</v>
      </c>
      <c r="D4" s="8"/>
      <c r="E4" s="51">
        <f>AVERAGE(E5,E10,E14)</f>
        <v>4.2395751619487658</v>
      </c>
      <c r="F4" s="46">
        <f>Pondération!F2</f>
        <v>31835</v>
      </c>
      <c r="G4" s="47"/>
      <c r="H4" s="51">
        <f>AVERAGE(H5,H10,H14)</f>
        <v>4.2443932674855063</v>
      </c>
      <c r="I4" s="10">
        <f>Pondération!G2</f>
        <v>60972</v>
      </c>
      <c r="J4" s="40"/>
      <c r="K4" s="51">
        <f>AVERAGE(K5,K10,K14)</f>
        <v>3.8782383188191218</v>
      </c>
      <c r="L4" s="46">
        <f>Pondération!H2</f>
        <v>29925</v>
      </c>
      <c r="M4" s="37"/>
      <c r="N4" s="51">
        <f>AVERAGE(N5,N10,N14)</f>
        <v>4.3726367625623803</v>
      </c>
      <c r="O4" s="10">
        <f>Pondération!I2</f>
        <v>12660</v>
      </c>
      <c r="P4" s="40"/>
      <c r="Q4" s="51">
        <f>AVERAGE(Q5,Q10,Q14)</f>
        <v>4.3697973371469017</v>
      </c>
      <c r="R4" s="10">
        <f>Pondération!J2</f>
        <v>6778</v>
      </c>
      <c r="S4" s="28"/>
    </row>
    <row r="5" spans="2:19" x14ac:dyDescent="0.25">
      <c r="B5" s="17" t="s">
        <v>78</v>
      </c>
      <c r="C5" s="4" t="s">
        <v>101</v>
      </c>
      <c r="D5" s="4"/>
      <c r="E5" s="50">
        <f>(E6*G6)+(E7*G7)+(E8*G8)+(E9*G9)</f>
        <v>4.4991929358146594</v>
      </c>
      <c r="F5" s="34">
        <f>SUMIFS('Extraction Offre de loisirs'!I:I,'Extraction Offre de loisirs'!D:D,"auvergne-rhone-alpes", 'Extraction Offre de loisirs'!E:E,"offre de loisirs", 'Extraction Offre de loisirs'!B:B,"2017")</f>
        <v>10532</v>
      </c>
      <c r="G5" s="38">
        <f>F5/$F$4</f>
        <v>0.33083084655253653</v>
      </c>
      <c r="H5" s="50">
        <f>(H6*J6)+(H7*J7)+(H8*J8)+(H9*J9)</f>
        <v>4.4993636363636353</v>
      </c>
      <c r="I5" s="34">
        <f>SUMIFS('Extraction Offre de loisirs'!I:I,'Extraction Offre de loisirs'!D:D,"auvergne-rhone-alpes", 'Extraction Offre de loisirs'!E:E,"offre de loisirs", 'Extraction Offre de loisirs'!B:B,"2016")</f>
        <v>22000</v>
      </c>
      <c r="J5" s="38">
        <f>I5/$I$4</f>
        <v>0.36082136062454895</v>
      </c>
      <c r="K5" s="50">
        <f>(K6*M6)+(K7*M7)+(K8*M8)+(K9*M9)</f>
        <v>3.2988901436913003</v>
      </c>
      <c r="L5" s="34">
        <f>SUMIFS('Extraction Offre de loisirs'!I:I,'Extraction Offre de loisirs'!D:D,"auvergne-rhone-alpes", 'Extraction Offre de loisirs'!E:E,"offre de loisirs", 'Extraction Offre de loisirs'!B:B,"2015")</f>
        <v>11745</v>
      </c>
      <c r="M5" s="38">
        <f>L5/$L$4</f>
        <v>0.39248120300751882</v>
      </c>
      <c r="N5" s="50">
        <f>(N6*P6)+(N7*P7)+(N8*P8)+(N9*P9)</f>
        <v>4.5158988256549222</v>
      </c>
      <c r="O5" s="11">
        <f>SUMIFS('Extraction Offre de loisirs'!I:I,'Extraction Offre de loisirs'!D:D,"auvergne-rhone-alpes", 'Extraction Offre de loisirs'!E:E,"offre de loisirs", 'Extraction Offre de loisirs'!B:B,"2014")</f>
        <v>5535</v>
      </c>
      <c r="P5" s="38">
        <f>O5/$O$4</f>
        <v>0.4372037914691943</v>
      </c>
      <c r="Q5" s="50">
        <f>(Q6*S6)+(Q7*S7)+(Q8*S8)+(Q9*S9)</f>
        <v>4.4919798350137494</v>
      </c>
      <c r="R5" s="11">
        <f>SUMIFS('Extraction Offre de loisirs'!I:I,'Extraction Offre de loisirs'!D:D,"auvergne-rhone-alpes", 'Extraction Offre de loisirs'!E:E,"offre de loisirs", 'Extraction Offre de loisirs'!B:B,"2013")</f>
        <v>2182</v>
      </c>
      <c r="S5" s="35">
        <f>R5/$R$4</f>
        <v>0.32192387134848038</v>
      </c>
    </row>
    <row r="6" spans="2:19" x14ac:dyDescent="0.25">
      <c r="B6" s="15" t="s">
        <v>78</v>
      </c>
      <c r="C6" s="2" t="s">
        <v>79</v>
      </c>
      <c r="D6" s="2"/>
      <c r="E6" s="29">
        <f>SUMIFS('Extraction Offre de loisirs'!G:G,'Extraction Offre de loisirs'!D:D,"auvergne-rhone-alpes", 'Extraction Offre de loisirs'!F:F,"activites de plein air", 'Extraction Offre de loisirs'!B:B,"2017")</f>
        <v>4.4566210045662089</v>
      </c>
      <c r="F6" s="33">
        <f>SUMIFS('Extraction Offre de loisirs'!I:I,'Extraction Offre de loisirs'!D:D,"auvergne-rhone-alpes", 'Extraction Offre de loisirs'!F:F,"activites de plein air", 'Extraction Offre de loisirs'!B:B,"2017")</f>
        <v>5475</v>
      </c>
      <c r="G6" s="39">
        <f>F6/$F$5</f>
        <v>0.51984428408659322</v>
      </c>
      <c r="H6" s="30">
        <f>SUMIFS('Extraction Offre de loisirs'!G:G,'Extraction Offre de loisirs'!D:D,"auvergne-rhone-alpes", 'Extraction Offre de loisirs'!F:F,"activites de plein air", 'Extraction Offre de loisirs'!B:B,"2016")</f>
        <v>4.5096836419753084</v>
      </c>
      <c r="I6" s="33">
        <f>SUMIFS('Extraction Offre de loisirs'!I:I,'Extraction Offre de loisirs'!D:D,"auvergne-rhone-alpes", 'Extraction Offre de loisirs'!F:F,"activites de plein air", 'Extraction Offre de loisirs'!B:B,"2016")</f>
        <v>12960</v>
      </c>
      <c r="J6" s="39">
        <f>I6/$I$5</f>
        <v>0.58909090909090911</v>
      </c>
      <c r="K6" s="29">
        <f>SUMIFS('Extraction Offre de loisirs'!G:G,'Extraction Offre de loisirs'!D:D,"auvergne-rhone-alpes", 'Extraction Offre de loisirs'!F:F,"activites de plein air", 'Extraction Offre de loisirs'!B:B,"2015")</f>
        <v>2.729668209876543</v>
      </c>
      <c r="L6" s="33">
        <f>SUMIFS('Extraction Offre de loisirs'!I:I,'Extraction Offre de loisirs'!D:D,"auvergne-rhone-alpes", 'Extraction Offre de loisirs'!F:F,"activites de plein air", 'Extraction Offre de loisirs'!B:B,"2015")</f>
        <v>7822</v>
      </c>
      <c r="M6" s="39">
        <f>L6/$L$5</f>
        <v>0.66598552575564074</v>
      </c>
      <c r="N6" s="30">
        <f>SUMIFS('Extraction Offre de loisirs'!G:G,'Extraction Offre de loisirs'!D:D,"auvergne-rhone-alpes", 'Extraction Offre de loisirs'!F:F,"activites de plein air", 'Extraction Offre de loisirs'!B:B,"2014")</f>
        <v>4.5247653806047961</v>
      </c>
      <c r="O6" s="33">
        <f>SUMIFS('Extraction Offre de loisirs'!I:I,'Extraction Offre de loisirs'!D:D,"auvergne-rhone-alpes", 'Extraction Offre de loisirs'!F:F,"activites de plein air", 'Extraction Offre de loisirs'!B:B,"2014")</f>
        <v>3836</v>
      </c>
      <c r="P6" s="39">
        <f>O6/$O$5</f>
        <v>0.69304426377597106</v>
      </c>
      <c r="Q6" s="29">
        <f>SUMIFS('Extraction Offre de loisirs'!G:G,'Extraction Offre de loisirs'!D:D,"auvergne-rhone-alpes", 'Extraction Offre de loisirs'!F:F,"activites de plein air", 'Extraction Offre de loisirs'!B:B,"2013")</f>
        <v>4.5075282308657467</v>
      </c>
      <c r="R6" s="33">
        <f>SUMIFS('Extraction Offre de loisirs'!I:I,'Extraction Offre de loisirs'!D:D,"auvergne-rhone-alpes", 'Extraction Offre de loisirs'!F:F,"activites de plein air", 'Extraction Offre de loisirs'!B:B,"2013")</f>
        <v>1594</v>
      </c>
      <c r="S6" s="31">
        <f>R6/$R$5</f>
        <v>0.73052245646196146</v>
      </c>
    </row>
    <row r="7" spans="2:19" x14ac:dyDescent="0.25">
      <c r="B7" s="15" t="s">
        <v>78</v>
      </c>
      <c r="C7" s="2" t="s">
        <v>81</v>
      </c>
      <c r="D7" s="2"/>
      <c r="E7" s="29">
        <f>SUMIFS('Extraction Offre de loisirs'!G:G,'Extraction Offre de loisirs'!D:D,"auvergne-rhone-alpes", 'Extraction Offre de loisirs'!F:F,"jeux et divertissements", 'Extraction Offre de loisirs'!B:B,"2017")</f>
        <v>4.6010294117647064</v>
      </c>
      <c r="F7" s="33">
        <f>SUMIFS('Extraction Offre de loisirs'!I:I,'Extraction Offre de loisirs'!D:D,"auvergne-rhone-alpes", 'Extraction Offre de loisirs'!F:F,"jeux et divertissements", 'Extraction Offre de loisirs'!B:B,"2017")</f>
        <v>3400</v>
      </c>
      <c r="G7" s="39">
        <f>F7/$F$5</f>
        <v>0.32282567413596658</v>
      </c>
      <c r="H7" s="30">
        <f>SUMIFS('Extraction Offre de loisirs'!G:G,'Extraction Offre de loisirs'!D:D,"auvergne-rhone-alpes", 'Extraction Offre de loisirs'!F:F,"jeux et divertissements", 'Extraction Offre de loisirs'!B:B,"2016")</f>
        <v>4.5204978038067347</v>
      </c>
      <c r="I7" s="33">
        <f>SUMIFS('Extraction Offre de loisirs'!I:I,'Extraction Offre de loisirs'!D:D,"auvergne-rhone-alpes", 'Extraction Offre de loisirs'!F:F,"jeux et divertissements", 'Extraction Offre de loisirs'!B:B,"2016")</f>
        <v>5464</v>
      </c>
      <c r="J7" s="39">
        <f>I7/$I$5</f>
        <v>0.24836363636363637</v>
      </c>
      <c r="K7" s="29">
        <f>SUMIFS('Extraction Offre de loisirs'!G:G,'Extraction Offre de loisirs'!D:D,"auvergne-rhone-alpes", 'Extraction Offre de loisirs'!F:F,"jeux et divertissements", 'Extraction Offre de loisirs'!B:B,"2015")</f>
        <v>4.4521164021164026</v>
      </c>
      <c r="L7" s="33">
        <f>SUMIFS('Extraction Offre de loisirs'!I:I,'Extraction Offre de loisirs'!D:D,"auvergne-rhone-alpes", 'Extraction Offre de loisirs'!F:F,"jeux et divertissements", 'Extraction Offre de loisirs'!B:B,"2015")</f>
        <v>1890</v>
      </c>
      <c r="M7" s="39">
        <f>L7/$L$5</f>
        <v>0.16091954022988506</v>
      </c>
      <c r="N7" s="30">
        <f>SUMIFS('Extraction Offre de loisirs'!G:G,'Extraction Offre de loisirs'!D:D,"auvergne-rhone-alpes", 'Extraction Offre de loisirs'!F:F,"jeux et divertissements", 'Extraction Offre de loisirs'!B:B,"2014")</f>
        <v>4.560724779627817</v>
      </c>
      <c r="O7" s="33">
        <f>SUMIFS('Extraction Offre de loisirs'!I:I,'Extraction Offre de loisirs'!D:D,"auvergne-rhone-alpes", 'Extraction Offre de loisirs'!F:F,"jeux et divertissements", 'Extraction Offre de loisirs'!B:B,"2014")</f>
        <v>1021</v>
      </c>
      <c r="P7" s="39">
        <f>O7/$O$5</f>
        <v>0.1844625112917796</v>
      </c>
      <c r="Q7" s="29">
        <f>SUMIFS('Extraction Offre de loisirs'!G:G,'Extraction Offre de loisirs'!D:D,"auvergne-rhone-alpes", 'Extraction Offre de loisirs'!F:F,"jeux et divertissements", 'Extraction Offre de loisirs'!B:B,"2013")</f>
        <v>4.4809688581314884</v>
      </c>
      <c r="R7" s="33">
        <f>SUMIFS('Extraction Offre de loisirs'!I:I,'Extraction Offre de loisirs'!D:D,"auvergne-rhone-alpes", 'Extraction Offre de loisirs'!F:F,"jeux et divertissements", 'Extraction Offre de loisirs'!B:B,"2013")</f>
        <v>289</v>
      </c>
      <c r="S7" s="31">
        <f>R7/$R$5</f>
        <v>0.13244729605866179</v>
      </c>
    </row>
    <row r="8" spans="2:19" x14ac:dyDescent="0.25">
      <c r="B8" s="15" t="s">
        <v>78</v>
      </c>
      <c r="C8" s="2" t="s">
        <v>83</v>
      </c>
      <c r="D8" s="2"/>
      <c r="E8" s="29">
        <f>SUMIFS('Extraction Offre de loisirs'!G:G,'Extraction Offre de loisirs'!D:D,"auvergne-rhone-alpes", 'Extraction Offre de loisirs'!F:F,"shopping", 'Extraction Offre de loisirs'!B:B,"2017")</f>
        <v>4.4523381294964031</v>
      </c>
      <c r="F8" s="33">
        <f>SUMIFS('Extraction Offre de loisirs'!I:I,'Extraction Offre de loisirs'!D:D,"auvergne-rhone-alpes", 'Extraction Offre de loisirs'!F:F,"shopping", 'Extraction Offre de loisirs'!B:B,"2017")</f>
        <v>1112</v>
      </c>
      <c r="G8" s="39">
        <f>F8/$F$5</f>
        <v>0.10558298518799848</v>
      </c>
      <c r="H8" s="30">
        <f>SUMIFS('Extraction Offre de loisirs'!G:G,'Extraction Offre de loisirs'!D:D,"auvergne-rhone-alpes", 'Extraction Offre de loisirs'!F:F,"shopping", 'Extraction Offre de loisirs'!B:B,"2016")</f>
        <v>4.4454619454619451</v>
      </c>
      <c r="I8" s="33">
        <f>SUMIFS('Extraction Offre de loisirs'!I:I,'Extraction Offre de loisirs'!D:D,"auvergne-rhone-alpes", 'Extraction Offre de loisirs'!F:F,"shopping", 'Extraction Offre de loisirs'!B:B,"2016")</f>
        <v>2457</v>
      </c>
      <c r="J8" s="39">
        <f>I8/$I$5</f>
        <v>0.11168181818181819</v>
      </c>
      <c r="K8" s="29">
        <f>SUMIFS('Extraction Offre de loisirs'!G:G,'Extraction Offre de loisirs'!D:D,"auvergne-rhone-alpes", 'Extraction Offre de loisirs'!F:F,"shopping", 'Extraction Offre de loisirs'!B:B,"2015")</f>
        <v>4.4301412872841448</v>
      </c>
      <c r="L8" s="33">
        <f>SUMIFS('Extraction Offre de loisirs'!I:I,'Extraction Offre de loisirs'!D:D,"auvergne-rhone-alpes", 'Extraction Offre de loisirs'!F:F,"shopping", 'Extraction Offre de loisirs'!B:B,"2015")</f>
        <v>1274</v>
      </c>
      <c r="M8" s="39">
        <f>L8/$L$5</f>
        <v>0.10847169008088549</v>
      </c>
      <c r="N8" s="30">
        <f>SUMIFS('Extraction Offre de loisirs'!G:G,'Extraction Offre de loisirs'!D:D,"auvergne-rhone-alpes", 'Extraction Offre de loisirs'!F:F,"shopping", 'Extraction Offre de loisirs'!B:B,"2014")</f>
        <v>4.3850710900473926</v>
      </c>
      <c r="O8" s="33">
        <f>SUMIFS('Extraction Offre de loisirs'!I:I,'Extraction Offre de loisirs'!D:D,"auvergne-rhone-alpes", 'Extraction Offre de loisirs'!F:F,"shopping", 'Extraction Offre de loisirs'!B:B,"2014")</f>
        <v>422</v>
      </c>
      <c r="P8" s="39">
        <f>O8/$O$5</f>
        <v>7.6242095754290876E-2</v>
      </c>
      <c r="Q8" s="29">
        <f>SUMIFS('Extraction Offre de loisirs'!G:G,'Extraction Offre de loisirs'!D:D,"auvergne-rhone-alpes", 'Extraction Offre de loisirs'!F:F,"shopping", 'Extraction Offre de loisirs'!B:B,"2013")</f>
        <v>4.3950276243093924</v>
      </c>
      <c r="R8" s="33">
        <f>SUMIFS('Extraction Offre de loisirs'!I:I,'Extraction Offre de loisirs'!D:D,"auvergne-rhone-alpes", 'Extraction Offre de loisirs'!F:F,"shopping", 'Extraction Offre de loisirs'!B:B,"2013")</f>
        <v>181</v>
      </c>
      <c r="S8" s="31">
        <f>R8/$R$5</f>
        <v>8.2951420714940424E-2</v>
      </c>
    </row>
    <row r="9" spans="2:19" x14ac:dyDescent="0.25">
      <c r="B9" s="15" t="s">
        <v>78</v>
      </c>
      <c r="C9" s="2" t="s">
        <v>84</v>
      </c>
      <c r="D9" s="2"/>
      <c r="E9" s="29">
        <f>SUMIFS('Extraction Offre de loisirs'!G:G,'Extraction Offre de loisirs'!D:D,"auvergne-rhone-alpes", 'Extraction Offre de loisirs'!F:F,"vie nocturne", 'Extraction Offre de loisirs'!B:B,"2017")</f>
        <v>4.387155963302753</v>
      </c>
      <c r="F9" s="33">
        <f>SUMIFS('Extraction Offre de loisirs'!I:I,'Extraction Offre de loisirs'!D:D,"auvergne-rhone-alpes", 'Extraction Offre de loisirs'!F:F,"vie nocturne", 'Extraction Offre de loisirs'!B:B,"2017")</f>
        <v>545</v>
      </c>
      <c r="G9" s="39">
        <f>F9/$F$5</f>
        <v>5.1747056589441703E-2</v>
      </c>
      <c r="H9" s="30">
        <f>SUMIFS('Extraction Offre de loisirs'!G:G,'Extraction Offre de loisirs'!D:D,"auvergne-rhone-alpes", 'Extraction Offre de loisirs'!F:F,"vie nocturne", 'Extraction Offre de loisirs'!B:B,"2016")</f>
        <v>4.3949955317247538</v>
      </c>
      <c r="I9" s="33">
        <f>SUMIFS('Extraction Offre de loisirs'!I:I,'Extraction Offre de loisirs'!D:D,"auvergne-rhone-alpes", 'Extraction Offre de loisirs'!F:F,"vie nocturne", 'Extraction Offre de loisirs'!B:B,"2016")</f>
        <v>1119</v>
      </c>
      <c r="J9" s="39">
        <f>I9/$I$5</f>
        <v>5.0863636363636361E-2</v>
      </c>
      <c r="K9" s="29">
        <f>SUMIFS('Extraction Offre de loisirs'!G:G,'Extraction Offre de loisirs'!D:D,"auvergne-rhone-alpes", 'Extraction Offre de loisirs'!F:F,"vie nocturne", 'Extraction Offre de loisirs'!B:B,"2015")</f>
        <v>4.3945981554677198</v>
      </c>
      <c r="L9" s="33">
        <f>SUMIFS('Extraction Offre de loisirs'!I:I,'Extraction Offre de loisirs'!D:D,"auvergne-rhone-alpes", 'Extraction Offre de loisirs'!F:F,"vie nocturne", 'Extraction Offre de loisirs'!B:B,"2015")</f>
        <v>759</v>
      </c>
      <c r="M9" s="39">
        <f>L9/$L$5</f>
        <v>6.4623243933588759E-2</v>
      </c>
      <c r="N9" s="30">
        <f>SUMIFS('Extraction Offre de loisirs'!G:G,'Extraction Offre de loisirs'!D:D,"auvergne-rhone-alpes", 'Extraction Offre de loisirs'!F:F,"vie nocturne", 'Extraction Offre de loisirs'!B:B,"2014")</f>
        <v>4.419921875</v>
      </c>
      <c r="O9" s="33">
        <f>SUMIFS('Extraction Offre de loisirs'!I:I,'Extraction Offre de loisirs'!D:D,"auvergne-rhone-alpes", 'Extraction Offre de loisirs'!F:F,"vie nocturne", 'Extraction Offre de loisirs'!B:B,"2014")</f>
        <v>256</v>
      </c>
      <c r="P9" s="39">
        <f>O9/$O$5</f>
        <v>4.6251129177958449E-2</v>
      </c>
      <c r="Q9" s="29">
        <f>SUMIFS('Extraction Offre de loisirs'!G:G,'Extraction Offre de loisirs'!D:D,"auvergne-rhone-alpes", 'Extraction Offre de loisirs'!F:F,"vie nocturne", 'Extraction Offre de loisirs'!B:B,"2013")</f>
        <v>4.4576271186440675</v>
      </c>
      <c r="R9" s="33">
        <f>SUMIFS('Extraction Offre de loisirs'!I:I,'Extraction Offre de loisirs'!D:D,"auvergne-rhone-alpes", 'Extraction Offre de loisirs'!F:F,"vie nocturne", 'Extraction Offre de loisirs'!B:B,"2013")</f>
        <v>118</v>
      </c>
      <c r="S9" s="31">
        <f>R9/$R$5</f>
        <v>5.4078826764436295E-2</v>
      </c>
    </row>
    <row r="10" spans="2:19" x14ac:dyDescent="0.25">
      <c r="B10" s="17" t="s">
        <v>82</v>
      </c>
      <c r="C10" s="4" t="s">
        <v>101</v>
      </c>
      <c r="D10" s="4"/>
      <c r="E10" s="50">
        <f>(E11*G11)+(E12*G12)+(E13*G13)</f>
        <v>4.1853040841804887</v>
      </c>
      <c r="F10" s="34">
        <f>SUMIFS('Extraction Patrimoine'!I:I,'Extraction Patrimoine'!D:D,"auvergne-rhone-alpes", 'Extraction Patrimoine'!E:E,"patrimoine", 'Extraction Patrimoine'!B:B,"2017")</f>
        <v>5607</v>
      </c>
      <c r="G10" s="38">
        <f>F10/$F$4</f>
        <v>0.17612690435055756</v>
      </c>
      <c r="H10" s="50">
        <f>(H11*J11)+(H12*J12)+(H13*J13)</f>
        <v>4.188959057688213</v>
      </c>
      <c r="I10" s="11">
        <f>SUMIFS('Extraction Patrimoine'!I:I,'Extraction Patrimoine'!D:D,"auvergne-rhone-alpes", 'Extraction Patrimoine'!E:E,"patrimoine", 'Extraction Patrimoine'!B:B,"2016")</f>
        <v>14093</v>
      </c>
      <c r="J10" s="48">
        <f>I10/$I$4</f>
        <v>0.23113888342189859</v>
      </c>
      <c r="K10" s="50">
        <f>(K11*M11)+(K12*M12)+(K13*M13)</f>
        <v>4.1993393324980062</v>
      </c>
      <c r="L10" s="34">
        <f>SUMIFS('Extraction Patrimoine'!I:I,'Extraction Patrimoine'!D:D,"auvergne-rhone-alpes", 'Extraction Patrimoine'!E:E,"patrimoine", 'Extraction Patrimoine'!B:B,"2015")</f>
        <v>8779</v>
      </c>
      <c r="M10" s="38">
        <f>L10/$L$4</f>
        <v>0.2933667502088555</v>
      </c>
      <c r="N10" s="50">
        <f>(N11*P11)+(N12*P12)+(N13*P13)</f>
        <v>4.1974601593625493</v>
      </c>
      <c r="O10" s="11">
        <f>SUMIFS('Extraction Patrimoine'!I:I,'Extraction Patrimoine'!D:D,"auvergne-rhone-alpes", 'Extraction Patrimoine'!E:E,"patrimoine", 'Extraction Patrimoine'!B:B,"2014")</f>
        <v>4016</v>
      </c>
      <c r="P10" s="48">
        <f>O10/$O$4</f>
        <v>0.31721958925750393</v>
      </c>
      <c r="Q10" s="50">
        <f>(Q11*S11)+(Q12*S12)+(Q13*S13)</f>
        <v>4.20734693877551</v>
      </c>
      <c r="R10" s="11">
        <f>SUMIFS('Extraction Patrimoine'!I:I,'Extraction Patrimoine'!D:D,"auvergne-rhone-alpes", 'Extraction Patrimoine'!E:E,"patrimoine", 'Extraction Patrimoine'!B:B,"2013")</f>
        <v>2450</v>
      </c>
      <c r="S10" s="49">
        <f>R10/$R$4</f>
        <v>0.36146355857185009</v>
      </c>
    </row>
    <row r="11" spans="2:19" x14ac:dyDescent="0.25">
      <c r="B11" s="15" t="s">
        <v>82</v>
      </c>
      <c r="C11" s="15" t="s">
        <v>98</v>
      </c>
      <c r="D11" s="15"/>
      <c r="E11" s="29">
        <f>SUMIFS('Extraction Patrimoine'!G:G,'Extraction Patrimoine'!D:D,"auvergne-rhone-alpes", 'Extraction Patrimoine'!F:F,"nature et parcs", 'Extraction Patrimoine'!B:B,"2017")</f>
        <v>4.1853040841804887</v>
      </c>
      <c r="F11" s="23">
        <f>SUMIFS('Extraction Patrimoine'!I:I,'Extraction Patrimoine'!D:D,"auvergne-rhone-alpes", 'Extraction Patrimoine'!F:F,"nature et parcs", 'Extraction Patrimoine'!B:B,"2017")</f>
        <v>5607</v>
      </c>
      <c r="G11" s="39">
        <f>F11/$F$10</f>
        <v>1</v>
      </c>
      <c r="H11" s="29">
        <f>SUMIFS('Extraction Patrimoine'!G:G,'Extraction Patrimoine'!D:D,"auvergne-rhone-alpes", 'Extraction Patrimoine'!F:F,"nature et parcs", 'Extraction Patrimoine'!B:B,"2016")</f>
        <v>4.188959057688213</v>
      </c>
      <c r="I11" s="23">
        <f>SUMIFS('Extraction Patrimoine'!I:I,'Extraction Patrimoine'!D:D,"auvergne-rhone-alpes", 'Extraction Patrimoine'!F:F,"nature et parcs", 'Extraction Patrimoine'!B:B,"2016")</f>
        <v>14093</v>
      </c>
      <c r="J11" s="39">
        <f>I11/$I$10</f>
        <v>1</v>
      </c>
      <c r="K11" s="29">
        <f>SUMIFS('Extraction Patrimoine'!G:G,'Extraction Patrimoine'!D:D,"auvergne-rhone-alpes", 'Extraction Patrimoine'!F:F,"nature et parcs", 'Extraction Patrimoine'!B:B,"2015")</f>
        <v>4.1993393324980062</v>
      </c>
      <c r="L11" s="23">
        <f>SUMIFS('Extraction Patrimoine'!I:I,'Extraction Patrimoine'!D:D,"auvergne-rhone-alpes", 'Extraction Patrimoine'!F:F,"nature et parcs", 'Extraction Patrimoine'!B:B,"2015")</f>
        <v>8779</v>
      </c>
      <c r="M11" s="39">
        <f>L11/$L$10</f>
        <v>1</v>
      </c>
      <c r="N11" s="29">
        <f>SUMIFS('Extraction Patrimoine'!G:G,'Extraction Patrimoine'!D:D,"auvergne-rhone-alpes", 'Extraction Patrimoine'!F:F,"nature et parcs", 'Extraction Patrimoine'!B:B,"2014")</f>
        <v>4.1974601593625493</v>
      </c>
      <c r="O11" s="23">
        <f>SUMIFS('Extraction Patrimoine'!I:I,'Extraction Patrimoine'!D:D,"auvergne-rhone-alpes", 'Extraction Patrimoine'!F:F,"nature et parcs", 'Extraction Patrimoine'!B:B,"2014")</f>
        <v>4016</v>
      </c>
      <c r="P11" s="39">
        <f>O11/$O$10</f>
        <v>1</v>
      </c>
      <c r="Q11" s="29">
        <f>SUMIFS('Extraction Patrimoine'!G:G,'Extraction Patrimoine'!D:D,"auvergne-rhone-alpes", 'Extraction Patrimoine'!F:F,"nature et parcs", 'Extraction Patrimoine'!B:B,"2013")</f>
        <v>4.20734693877551</v>
      </c>
      <c r="R11" s="23">
        <f>SUMIFS('Extraction Patrimoine'!I:I,'Extraction Patrimoine'!D:D,"auvergne-rhone-alpes", 'Extraction Patrimoine'!F:F,"nature et parcs", 'Extraction Patrimoine'!B:B,"2013")</f>
        <v>2450</v>
      </c>
      <c r="S11" s="43">
        <f>R11/$R$10</f>
        <v>1</v>
      </c>
    </row>
    <row r="12" spans="2:19" x14ac:dyDescent="0.25">
      <c r="B12" s="15" t="s">
        <v>82</v>
      </c>
      <c r="C12" s="15" t="s">
        <v>99</v>
      </c>
      <c r="D12" s="15"/>
      <c r="E12" s="29">
        <f>SUMIFS('Extraction Patrimoine'!G:G,'Extraction Patrimoine'!D:D,"auvergne-rhone-alpes", 'Extraction Patrimoine'!F:F,"musées", 'Extraction Patrimoine'!B:B,"2017")</f>
        <v>0</v>
      </c>
      <c r="F12" s="23">
        <f>SUMIFS('Extraction Patrimoine'!I:I,'Extraction Patrimoine'!D:D,"auvergne-rhone-alpes", 'Extraction Patrimoine'!F:F,"musées", 'Extraction Patrimoine'!B:B,"2017")</f>
        <v>0</v>
      </c>
      <c r="G12" s="39">
        <f>F12/$F$10</f>
        <v>0</v>
      </c>
      <c r="H12" s="29">
        <f>SUMIFS('Extraction Patrimoine'!G:G,'Extraction Patrimoine'!D:D,"auvergne-rhone-alpes", 'Extraction Patrimoine'!F:F,"musées", 'Extraction Patrimoine'!B:B,"2016")</f>
        <v>0</v>
      </c>
      <c r="I12" s="23">
        <f>SUMIFS('Extraction Patrimoine'!I:I,'Extraction Patrimoine'!D:D,"auvergne-rhone-alpes", 'Extraction Patrimoine'!F:F,"musées", 'Extraction Patrimoine'!B:B,"2016")</f>
        <v>0</v>
      </c>
      <c r="J12" s="39">
        <f t="shared" ref="J12:J13" si="0">I12/$I$10</f>
        <v>0</v>
      </c>
      <c r="K12" s="29">
        <f>SUMIFS('Extraction Patrimoine'!G:G,'Extraction Patrimoine'!D:D,"auvergne-rhone-alpes", 'Extraction Patrimoine'!F:F,"musées", 'Extraction Patrimoine'!B:B,"2015")</f>
        <v>0</v>
      </c>
      <c r="L12" s="23">
        <f>SUMIFS('Extraction Patrimoine'!I:I,'Extraction Patrimoine'!D:D,"auvergne-rhone-alpes", 'Extraction Patrimoine'!F:F,"musées", 'Extraction Patrimoine'!B:B,"2015")</f>
        <v>0</v>
      </c>
      <c r="M12" s="39">
        <f t="shared" ref="M12:M13" si="1">L12/$L$10</f>
        <v>0</v>
      </c>
      <c r="N12" s="29">
        <f>SUMIFS('Extraction Patrimoine'!G:G,'Extraction Patrimoine'!D:D,"auvergne-rhone-alpes", 'Extraction Patrimoine'!F:F,"musées", 'Extraction Patrimoine'!B:B,"2014")</f>
        <v>0</v>
      </c>
      <c r="O12" s="23">
        <f>SUMIFS('Extraction Patrimoine'!I:I,'Extraction Patrimoine'!D:D,"auvergne-rhone-alpes", 'Extraction Patrimoine'!F:F,"musées", 'Extraction Patrimoine'!B:B,"2014")</f>
        <v>0</v>
      </c>
      <c r="P12" s="39">
        <f t="shared" ref="P12:P13" si="2">O12/$O$10</f>
        <v>0</v>
      </c>
      <c r="Q12" s="29">
        <f>SUMIFS('Extraction Patrimoine'!G:G,'Extraction Patrimoine'!D:D,"auvergne-rhone-alpes", 'Extraction Patrimoine'!F:F,"musées", 'Extraction Patrimoine'!B:B,"2013")</f>
        <v>0</v>
      </c>
      <c r="R12" s="23">
        <f>SUMIFS('Extraction Patrimoine'!I:I,'Extraction Patrimoine'!D:D,"auvergne-rhone-alpes", 'Extraction Patrimoine'!F:F,"musées", 'Extraction Patrimoine'!B:B,"2013")</f>
        <v>0</v>
      </c>
      <c r="S12" s="43">
        <f t="shared" ref="S12:S13" si="3">R12/$R$10</f>
        <v>0</v>
      </c>
    </row>
    <row r="13" spans="2:19" x14ac:dyDescent="0.25">
      <c r="B13" s="15" t="s">
        <v>82</v>
      </c>
      <c r="C13" s="15" t="s">
        <v>100</v>
      </c>
      <c r="D13" s="15"/>
      <c r="E13" s="29">
        <f>SUMIFS('Extraction Patrimoine'!G:G,'Extraction Patrimoine'!D:D,"auvergne-rhone-alpes", 'Extraction Patrimoine'!F:F,"sites et monuments", 'Extraction Patrimoine'!B:B,"2017")</f>
        <v>0</v>
      </c>
      <c r="F13" s="23">
        <f>SUMIFS('Extraction Patrimoine'!I:I,'Extraction Patrimoine'!D:D,"auvergne-rhone-alpes", 'Extraction Patrimoine'!F:F,"sites et monuments", 'Extraction Patrimoine'!B:B,"2017")</f>
        <v>0</v>
      </c>
      <c r="G13" s="39">
        <f>F13/$F$10</f>
        <v>0</v>
      </c>
      <c r="H13" s="29">
        <f>SUMIFS('Extraction Patrimoine'!G:G,'Extraction Patrimoine'!D:D,"auvergne-rhone-alpes", 'Extraction Patrimoine'!F:F,"sites et monuments", 'Extraction Patrimoine'!B:B,"2016")</f>
        <v>0</v>
      </c>
      <c r="I13" s="23">
        <f>SUMIFS('Extraction Patrimoine'!I:I,'Extraction Patrimoine'!D:D,"auvergne-rhone-alpes", 'Extraction Patrimoine'!F:F,"sites et monuments", 'Extraction Patrimoine'!B:B,"2016")</f>
        <v>0</v>
      </c>
      <c r="J13" s="39">
        <f t="shared" si="0"/>
        <v>0</v>
      </c>
      <c r="K13" s="29">
        <f>SUMIFS('Extraction Patrimoine'!G:G,'Extraction Patrimoine'!D:D,"auvergne-rhone-alpes", 'Extraction Patrimoine'!F:F,"sites et monuments", 'Extraction Patrimoine'!B:B,"2015")</f>
        <v>0</v>
      </c>
      <c r="L13" s="23">
        <f>SUMIFS('Extraction Patrimoine'!I:I,'Extraction Patrimoine'!D:D,"auvergne-rhone-alpes", 'Extraction Patrimoine'!F:F,"sites et monuments", 'Extraction Patrimoine'!B:B,"2015")</f>
        <v>0</v>
      </c>
      <c r="M13" s="39">
        <f t="shared" si="1"/>
        <v>0</v>
      </c>
      <c r="N13" s="29">
        <f>SUMIFS('Extraction Patrimoine'!G:G,'Extraction Patrimoine'!D:D,"auvergne-rhone-alpes", 'Extraction Patrimoine'!F:F,"sites et monuments", 'Extraction Patrimoine'!B:B,"2014")</f>
        <v>0</v>
      </c>
      <c r="O13" s="23">
        <f>SUMIFS('Extraction Patrimoine'!I:I,'Extraction Patrimoine'!D:D,"auvergne-rhone-alpes", 'Extraction Patrimoine'!F:F,"sites et monuments", 'Extraction Patrimoine'!B:B,"2014")</f>
        <v>0</v>
      </c>
      <c r="P13" s="39">
        <f t="shared" si="2"/>
        <v>0</v>
      </c>
      <c r="Q13" s="29">
        <f>SUMIFS('Extraction Patrimoine'!G:G,'Extraction Patrimoine'!D:D,"auvergne-rhone-alpes", 'Extraction Patrimoine'!F:F,"sites et monuments", 'Extraction Patrimoine'!B:B,"2013")</f>
        <v>0</v>
      </c>
      <c r="R13" s="23">
        <f>SUMIFS('Extraction Patrimoine'!I:I,'Extraction Patrimoine'!D:D,"auvergne-rhone-alpes", 'Extraction Patrimoine'!F:F,"sites et monuments", 'Extraction Patrimoine'!B:B,"2013")</f>
        <v>0</v>
      </c>
      <c r="S13" s="43">
        <f t="shared" si="3"/>
        <v>0</v>
      </c>
    </row>
    <row r="14" spans="2:19" x14ac:dyDescent="0.25">
      <c r="B14" s="17" t="s">
        <v>9</v>
      </c>
      <c r="C14" s="4" t="s">
        <v>101</v>
      </c>
      <c r="D14" s="4"/>
      <c r="E14" s="50">
        <f>(E15*G15)+(E16*G16)</f>
        <v>4.0342284658511485</v>
      </c>
      <c r="F14" s="34">
        <f>SUMIFS('Extraction Offre de services'!I:I,'Extraction Offre de services'!D:D,"auvergne-rhone-alpes", 'Extraction Offre de services'!E:E,"Offre de services", 'Extraction Offre de services'!B:B,"2017")</f>
        <v>15696</v>
      </c>
      <c r="G14" s="38">
        <f>F14/$F$4</f>
        <v>0.49304224909690592</v>
      </c>
      <c r="H14" s="50">
        <f>(H15*J15)+(H16*J16)</f>
        <v>4.0448571084046705</v>
      </c>
      <c r="I14" s="11">
        <f>SUMIFS('Extraction Offre de services'!I:I,'Extraction Offre de services'!D:D,"auvergne-rhone-alpes", 'Extraction Offre de services'!E:E,"Offre de services", 'Extraction Offre de services'!B:B,"2016")</f>
        <v>24879</v>
      </c>
      <c r="J14" s="48">
        <f>I14/$I$4</f>
        <v>0.40803975595355246</v>
      </c>
      <c r="K14" s="50">
        <f>(K15*M15)+(K16*M16)</f>
        <v>4.1364854802680577</v>
      </c>
      <c r="L14" s="11">
        <f>SUMIFS('Extraction Offre de services'!I:I,'Extraction Offre de services'!D:D,"auvergne-rhone-alpes", 'Extraction Offre de services'!E:E,"Offre de services", 'Extraction Offre de services'!B:B,"2015")</f>
        <v>9401</v>
      </c>
      <c r="M14" s="38">
        <f>L14/$L$4</f>
        <v>0.31415204678362574</v>
      </c>
      <c r="N14" s="50">
        <f>(N15*P15)+(N16*P16)</f>
        <v>4.4045513026696694</v>
      </c>
      <c r="O14" s="11">
        <f>SUMIFS('Extraction Offre de services'!I:I,'Extraction Offre de services'!D:D,"auvergne-rhone-alpes", 'Extraction Offre de services'!E:E,"Offre de services", 'Extraction Offre de services'!B:B,"2014")</f>
        <v>3109</v>
      </c>
      <c r="P14" s="48">
        <f>O14/$O$4</f>
        <v>0.24557661927330174</v>
      </c>
      <c r="Q14" s="50">
        <f>(Q15*S15)+(Q16*S16)</f>
        <v>4.4100652376514446</v>
      </c>
      <c r="R14" s="11">
        <f>SUMIFS('Extraction Offre de services'!I:I,'Extraction Offre de services'!D:D,"auvergne-rhone-alpes", 'Extraction Offre de services'!E:E,"Offre de services", 'Extraction Offre de services'!B:B,"2013")</f>
        <v>2146</v>
      </c>
      <c r="S14" s="49">
        <f>R14/$R$4</f>
        <v>0.31661257007966953</v>
      </c>
    </row>
    <row r="15" spans="2:19" x14ac:dyDescent="0.25">
      <c r="B15" s="15" t="s">
        <v>9</v>
      </c>
      <c r="C15" s="2" t="s">
        <v>10</v>
      </c>
      <c r="D15" s="2"/>
      <c r="E15" s="29">
        <f>SUMIFS('Extraction Offre de services'!G:G,'Extraction Offre de services'!D:D,"auvergne-rhone-alpes", 'Extraction Offre de services'!F:F,"hebergement", 'Extraction Offre de services'!B:B,"2017")</f>
        <v>3.9279365079364785</v>
      </c>
      <c r="F15" s="23">
        <f>SUMIFS('Extraction Offre de services'!I:I,'Extraction Offre de services'!D:D,"auvergne-rhone-alpes", 'Extraction Offre de services'!F:F,"hebergement", 'Extraction Offre de services'!B:B,"2017")</f>
        <v>12600</v>
      </c>
      <c r="G15" s="39">
        <f>F15/$F$14</f>
        <v>0.80275229357798161</v>
      </c>
      <c r="H15" s="30">
        <f>SUMIFS('Extraction Offre de services'!G:G,'Extraction Offre de services'!D:D,"auvergne-rhone-alpes", 'Extraction Offre de services'!F:F,"hebergement", 'Extraction Offre de services'!B:B,"2016")</f>
        <v>3.9025824116825825</v>
      </c>
      <c r="I15" s="23">
        <f>SUMIFS('Extraction Offre de services'!I:I,'Extraction Offre de services'!D:D,"auvergne-rhone-alpes", 'Extraction Offre de services'!F:F,"hebergement", 'Extraction Offre de services'!B:B,"2016")</f>
        <v>18626</v>
      </c>
      <c r="J15" s="45">
        <f>I15/$I$14</f>
        <v>0.74866353149242337</v>
      </c>
      <c r="K15" s="29">
        <f>SUMIFS('Extraction Offre de services'!G:G,'Extraction Offre de services'!D:D,"auvergne-rhone-alpes", 'Extraction Offre de services'!F:F,"hebergement", 'Extraction Offre de services'!B:B,"2015")</f>
        <v>3.9600579920260981</v>
      </c>
      <c r="L15" s="23">
        <f>SUMIFS('Extraction Offre de services'!I:I,'Extraction Offre de services'!D:D,"auvergne-rhone-alpes", 'Extraction Offre de services'!F:F,"hebergement", 'Extraction Offre de services'!B:B,"2015")</f>
        <v>5518</v>
      </c>
      <c r="M15" s="45">
        <f>L15/$L$14</f>
        <v>0.58695883416657801</v>
      </c>
      <c r="N15" s="30">
        <f>SUMIFS('Extraction Offre de services'!G:G,'Extraction Offre de services'!D:D,"auvergne-rhone-alpes", 'Extraction Offre de services'!F:F,"hebergement", 'Extraction Offre de services'!B:B,"2014")</f>
        <v>0</v>
      </c>
      <c r="O15" s="23">
        <f>SUMIFS('Extraction Offre de services'!I:I,'Extraction Offre de services'!D:D,"auvergne-rhone-alpes", 'Extraction Offre de services'!F:F,"hebergement", 'Extraction Offre de services'!B:B,"2014")</f>
        <v>0</v>
      </c>
      <c r="P15" s="45">
        <f>O15/$O$14</f>
        <v>0</v>
      </c>
      <c r="Q15" s="29">
        <f>SUMIFS('Extraction Offre de services'!G:G,'Extraction Offre de services'!D:D,"auvergne-rhone-alpes", 'Extraction Offre de services'!F:F,"hebergement", 'Extraction Offre de services'!B:B,"2013")</f>
        <v>0</v>
      </c>
      <c r="R15" s="23">
        <f>SUMIFS('Extraction Offre de services'!I:I,'Extraction Offre de services'!D:D,"auvergne-rhone-alpes", 'Extraction Offre de services'!F:F,"hebergement", 'Extraction Offre de services'!B:B,"2013")</f>
        <v>0</v>
      </c>
      <c r="S15" s="42">
        <f>R15/$R$14</f>
        <v>0</v>
      </c>
    </row>
    <row r="16" spans="2:19" x14ac:dyDescent="0.25">
      <c r="B16" s="15" t="s">
        <v>9</v>
      </c>
      <c r="C16" s="2" t="s">
        <v>48</v>
      </c>
      <c r="D16" s="2"/>
      <c r="E16" s="29">
        <f>SUMIFS('Extraction Offre de services'!G:G,'Extraction Offre de services'!D:D,"auvergne-rhone-alpes", 'Extraction Offre de services'!F:F,"restauration", 'Extraction Offre de services'!B:B,"2017")</f>
        <v>4.4668120155038764</v>
      </c>
      <c r="F16" s="23">
        <f>SUMIFS('Extraction Offre de services'!I:I,'Extraction Offre de services'!D:D,"auvergne-rhone-alpes", 'Extraction Offre de services'!F:F,"restauration", 'Extraction Offre de services'!B:B,"2017")</f>
        <v>3096</v>
      </c>
      <c r="G16" s="39">
        <f>F16/$F$14</f>
        <v>0.19724770642201836</v>
      </c>
      <c r="H16" s="30">
        <f>SUMIFS('Extraction Offre de services'!G:G,'Extraction Offre de services'!D:D,"auvergne-rhone-alpes", 'Extraction Offre de services'!F:F,"restauration", 'Extraction Offre de services'!B:B,"2016")</f>
        <v>4.4686550455781218</v>
      </c>
      <c r="I16" s="23">
        <f>SUMIFS('Extraction Offre de services'!I:I,'Extraction Offre de services'!D:D,"auvergne-rhone-alpes", 'Extraction Offre de services'!F:F,"restauration", 'Extraction Offre de services'!B:B,"2016")</f>
        <v>6253</v>
      </c>
      <c r="J16" s="45">
        <f>I16/$I$14</f>
        <v>0.25133646850757668</v>
      </c>
      <c r="K16" s="29">
        <f>SUMIFS('Extraction Offre de services'!G:G,'Extraction Offre de services'!D:D,"auvergne-rhone-alpes", 'Extraction Offre de services'!F:F,"restauration", 'Extraction Offre de services'!B:B,"2015")</f>
        <v>4.387200618078805</v>
      </c>
      <c r="L16" s="23">
        <f>SUMIFS('Extraction Offre de services'!I:I,'Extraction Offre de services'!D:D,"auvergne-rhone-alpes", 'Extraction Offre de services'!F:F,"restauration", 'Extraction Offre de services'!B:B,"2015")</f>
        <v>3883</v>
      </c>
      <c r="M16" s="45">
        <f>L16/$L$14</f>
        <v>0.41304116583342199</v>
      </c>
      <c r="N16" s="30">
        <f>SUMIFS('Extraction Offre de services'!G:G,'Extraction Offre de services'!D:D,"auvergne-rhone-alpes", 'Extraction Offre de services'!F:F,"restauration", 'Extraction Offre de services'!B:B,"2014")</f>
        <v>4.4045513026696694</v>
      </c>
      <c r="O16" s="23">
        <f>SUMIFS('Extraction Offre de services'!I:I,'Extraction Offre de services'!D:D,"auvergne-rhone-alpes", 'Extraction Offre de services'!F:F,"restauration", 'Extraction Offre de services'!B:B,"2014")</f>
        <v>3109</v>
      </c>
      <c r="P16" s="45">
        <f>O16/$O$14</f>
        <v>1</v>
      </c>
      <c r="Q16" s="29">
        <f>SUMIFS('Extraction Offre de services'!G:G,'Extraction Offre de services'!D:D,"auvergne-rhone-alpes", 'Extraction Offre de services'!F:F,"restauration", 'Extraction Offre de services'!B:B,"2013")</f>
        <v>4.4100652376514446</v>
      </c>
      <c r="R16" s="23">
        <f>SUMIFS('Extraction Offre de services'!I:I,'Extraction Offre de services'!D:D,"auvergne-rhone-alpes", 'Extraction Offre de services'!F:F,"restauration", 'Extraction Offre de services'!B:B,"2013")</f>
        <v>2146</v>
      </c>
      <c r="S16" s="42">
        <f>R16/$R$14</f>
        <v>1</v>
      </c>
    </row>
    <row r="17" spans="2:19" x14ac:dyDescent="0.25">
      <c r="B17" s="68" t="s">
        <v>9</v>
      </c>
      <c r="C17" s="69" t="s">
        <v>48</v>
      </c>
      <c r="D17" s="69" t="s">
        <v>125</v>
      </c>
      <c r="E17" s="70">
        <f>SUMIFS('Extraction Offre de services'!L:L,'Extraction Offre de services'!D:D,"auvergne-rhone-alpes", 'Extraction Offre de services'!F:F,"restauration", 'Extraction Offre de services'!B:B,"2017")</f>
        <v>4.4941860465116283</v>
      </c>
      <c r="F17" s="71"/>
      <c r="G17" s="72"/>
      <c r="H17" s="70">
        <f>SUMIFS('Extraction Offre de services'!L:L,'Extraction Offre de services'!D:D,"auvergne-rhone-alpes", 'Extraction Offre de services'!F:F,"restauration", 'Extraction Offre de services'!B:B,"2016")</f>
        <v>4.4871261794338722</v>
      </c>
      <c r="I17" s="71"/>
      <c r="J17" s="72"/>
      <c r="K17" s="70">
        <f>SUMIFS('Extraction Offre de services'!L:L,'Extraction Offre de services'!D:D,"auvergne-rhone-alpes", 'Extraction Offre de services'!F:F,"restauration", 'Extraction Offre de services'!B:B,"2015")</f>
        <v>4.4190059232552148</v>
      </c>
      <c r="L17" s="68"/>
      <c r="M17" s="72"/>
      <c r="N17" s="70">
        <f>SUMIFS('Extraction Offre de services'!L:L,'Extraction Offre de services'!D:D,"auvergne-rhone-alpes", 'Extraction Offre de services'!F:F,"restauration", 'Extraction Offre de services'!B:B,"2014")</f>
        <v>4.4448375683499526</v>
      </c>
      <c r="O17" s="68"/>
      <c r="P17" s="68"/>
      <c r="Q17" s="73">
        <f>SUMIFS('Extraction Offre de services'!L:L,'Extraction Offre de services'!D:D,"auvergne-rhone-alpes", 'Extraction Offre de services'!F:F,"restauration", 'Extraction Offre de services'!B:B,"2013")</f>
        <v>4.4384902143522833</v>
      </c>
      <c r="R17" s="68"/>
      <c r="S17" s="68"/>
    </row>
    <row r="18" spans="2:19" x14ac:dyDescent="0.25">
      <c r="B18" s="68" t="s">
        <v>9</v>
      </c>
      <c r="C18" s="69" t="s">
        <v>48</v>
      </c>
      <c r="D18" s="74" t="s">
        <v>127</v>
      </c>
      <c r="E18" s="70">
        <f>SUMIFS('Extraction Offre de services'!N:N,'Extraction Offre de services'!D:D,"auvergne-rhone-alpes", 'Extraction Offre de services'!F:F,"restauration", 'Extraction Offre de services'!B:B,"2017")</f>
        <v>4.5749354005167957</v>
      </c>
      <c r="F18" s="68"/>
      <c r="G18" s="72"/>
      <c r="H18" s="70">
        <f>SUMIFS('Extraction Offre de services'!N:N,'Extraction Offre de services'!D:D,"auvergne-rhone-alpes", 'Extraction Offre de services'!F:F,"restauration", 'Extraction Offre de services'!B:B,"2016")</f>
        <v>4.5864385095154319</v>
      </c>
      <c r="I18" s="68"/>
      <c r="J18" s="72"/>
      <c r="K18" s="70">
        <f>SUMIFS('Extraction Offre de services'!N:N,'Extraction Offre de services'!D:D,"auvergne-rhone-alpes", 'Extraction Offre de services'!F:F,"restauration", 'Extraction Offre de services'!B:B,"2015")</f>
        <v>4.482101467937162</v>
      </c>
      <c r="L18" s="68"/>
      <c r="M18" s="72"/>
      <c r="N18" s="70">
        <f>SUMIFS('Extraction Offre de services'!N:N,'Extraction Offre de services'!D:D,"auvergne-rhone-alpes", 'Extraction Offre de services'!F:F,"restauration", 'Extraction Offre de services'!B:B,"2014")</f>
        <v>4.5043422322290132</v>
      </c>
      <c r="O18" s="68"/>
      <c r="P18" s="72"/>
      <c r="Q18" s="70">
        <f>SUMIFS('Extraction Offre de services'!N:N,'Extraction Offre de services'!D:D,"auvergne-rhone-alpes", 'Extraction Offre de services'!F:F,"restauration", 'Extraction Offre de services'!B:B,"2013")</f>
        <v>4.5498602050326191</v>
      </c>
      <c r="R18" s="68"/>
      <c r="S18" s="68"/>
    </row>
    <row r="19" spans="2:19" x14ac:dyDescent="0.25">
      <c r="B19" s="68" t="s">
        <v>9</v>
      </c>
      <c r="C19" s="69" t="s">
        <v>48</v>
      </c>
      <c r="D19" s="74" t="s">
        <v>126</v>
      </c>
      <c r="E19" s="70">
        <f>SUMIFS('Extraction Offre de services'!P:P,'Extraction Offre de services'!D:D,"auvergne-rhone-alpes", 'Extraction Offre de services'!F:F,"restauration", 'Extraction Offre de services'!B:B,"2017")</f>
        <v>4.3039405684754524</v>
      </c>
      <c r="F19" s="68"/>
      <c r="G19" s="72"/>
      <c r="H19" s="70">
        <f>SUMIFS('Extraction Offre de services'!P:P,'Extraction Offre de services'!D:D,"auvergne-rhone-alpes", 'Extraction Offre de services'!F:F,"restauration", 'Extraction Offre de services'!B:B,"2016")</f>
        <v>4.3139293139293144</v>
      </c>
      <c r="I19" s="68"/>
      <c r="J19" s="72"/>
      <c r="K19" s="70">
        <f>SUMIFS('Extraction Offre de services'!P:P,'Extraction Offre de services'!D:D,"auvergne-rhone-alpes", 'Extraction Offre de services'!F:F,"restauration", 'Extraction Offre de services'!B:B,"2015")</f>
        <v>4.2286891578676284</v>
      </c>
      <c r="L19" s="68"/>
      <c r="M19" s="72"/>
      <c r="N19" s="70">
        <f>SUMIFS('Extraction Offre de services'!P:P,'Extraction Offre de services'!D:D,"auvergne-rhone-alpes", 'Extraction Offre de services'!F:F,"restauration", 'Extraction Offre de services'!B:B,"2014")</f>
        <v>4.2241878417497585</v>
      </c>
      <c r="O19" s="68"/>
      <c r="P19" s="72"/>
      <c r="Q19" s="70">
        <f>SUMIFS('Extraction Offre de services'!P:P,'Extraction Offre de services'!D:D,"auvergne-rhone-alpes", 'Extraction Offre de services'!F:F,"restauration", 'Extraction Offre de services'!B:B,"2013")</f>
        <v>4.2134203168685938</v>
      </c>
      <c r="R19" s="68"/>
      <c r="S19" s="68"/>
    </row>
    <row r="20" spans="2:19" x14ac:dyDescent="0.25">
      <c r="Q20" s="67"/>
    </row>
  </sheetData>
  <mergeCells count="8">
    <mergeCell ref="N2:P2"/>
    <mergeCell ref="Q2:S2"/>
    <mergeCell ref="B2:B3"/>
    <mergeCell ref="C2:C3"/>
    <mergeCell ref="E2:G2"/>
    <mergeCell ref="H2:J2"/>
    <mergeCell ref="K2:M2"/>
    <mergeCell ref="D2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topLeftCell="C1" workbookViewId="0">
      <selection activeCell="A17" sqref="A17:XFD19"/>
    </sheetView>
  </sheetViews>
  <sheetFormatPr baseColWidth="10" defaultRowHeight="15" x14ac:dyDescent="0.25"/>
  <cols>
    <col min="1" max="1" width="1.5703125" customWidth="1"/>
    <col min="2" max="2" width="15.7109375" bestFit="1" customWidth="1"/>
    <col min="3" max="3" width="22.140625" bestFit="1" customWidth="1"/>
    <col min="4" max="4" width="7.7109375" style="15" bestFit="1" customWidth="1"/>
    <col min="5" max="5" width="15" customWidth="1"/>
    <col min="6" max="7" width="8.7109375" customWidth="1"/>
    <col min="9" max="10" width="8.7109375" customWidth="1"/>
    <col min="12" max="13" width="8.7109375" customWidth="1"/>
    <col min="15" max="16" width="8.7109375" customWidth="1"/>
    <col min="18" max="19" width="8.7109375" customWidth="1"/>
  </cols>
  <sheetData>
    <row r="2" spans="2:19" x14ac:dyDescent="0.25">
      <c r="B2" s="62" t="s">
        <v>86</v>
      </c>
      <c r="C2" s="62" t="s">
        <v>87</v>
      </c>
      <c r="D2" s="62" t="s">
        <v>128</v>
      </c>
      <c r="E2" s="60">
        <v>2017</v>
      </c>
      <c r="F2" s="60"/>
      <c r="G2" s="61"/>
      <c r="H2" s="59">
        <v>2016</v>
      </c>
      <c r="I2" s="63"/>
      <c r="J2" s="61"/>
      <c r="K2" s="59">
        <v>2015</v>
      </c>
      <c r="L2" s="63"/>
      <c r="M2" s="61"/>
      <c r="N2" s="59">
        <v>2014</v>
      </c>
      <c r="O2" s="60"/>
      <c r="P2" s="61"/>
      <c r="Q2" s="59">
        <v>2013</v>
      </c>
      <c r="R2" s="60"/>
      <c r="S2" s="60"/>
    </row>
    <row r="3" spans="2:19" ht="30" x14ac:dyDescent="0.25">
      <c r="B3" s="62"/>
      <c r="C3" s="62"/>
      <c r="D3" s="62"/>
      <c r="E3" s="32" t="s">
        <v>95</v>
      </c>
      <c r="F3" s="32" t="s">
        <v>119</v>
      </c>
      <c r="G3" s="41" t="s">
        <v>120</v>
      </c>
      <c r="H3" s="32" t="s">
        <v>95</v>
      </c>
      <c r="I3" s="32" t="s">
        <v>119</v>
      </c>
      <c r="J3" s="41" t="s">
        <v>120</v>
      </c>
      <c r="K3" s="32" t="s">
        <v>95</v>
      </c>
      <c r="L3" s="32" t="s">
        <v>119</v>
      </c>
      <c r="M3" s="41" t="s">
        <v>120</v>
      </c>
      <c r="N3" s="32" t="s">
        <v>95</v>
      </c>
      <c r="O3" s="32" t="s">
        <v>119</v>
      </c>
      <c r="P3" s="41" t="s">
        <v>120</v>
      </c>
      <c r="Q3" s="32" t="s">
        <v>95</v>
      </c>
      <c r="R3" s="32" t="s">
        <v>119</v>
      </c>
      <c r="S3" s="32" t="s">
        <v>120</v>
      </c>
    </row>
    <row r="4" spans="2:19" x14ac:dyDescent="0.25">
      <c r="B4" s="16" t="s">
        <v>88</v>
      </c>
      <c r="C4" s="8" t="s">
        <v>101</v>
      </c>
      <c r="D4" s="16"/>
      <c r="E4" s="51">
        <f>AVERAGE(E5,E10,E14)</f>
        <v>4.189563260321159</v>
      </c>
      <c r="F4" s="46">
        <f>Pondération!F15</f>
        <v>9741</v>
      </c>
      <c r="G4" s="47"/>
      <c r="H4" s="51">
        <f>AVERAGE(H5,H10,H14)</f>
        <v>4.1624898275964695</v>
      </c>
      <c r="I4" s="10">
        <f>Pondération!G15</f>
        <v>23100</v>
      </c>
      <c r="J4" s="40"/>
      <c r="K4" s="51">
        <f>AVERAGE(K5,K10,K14)</f>
        <v>4.1862732172224835</v>
      </c>
      <c r="L4" s="46">
        <f>Pondération!H15</f>
        <v>11465</v>
      </c>
      <c r="M4" s="37"/>
      <c r="N4" s="51">
        <f>AVERAGE(N5,N10,N14)</f>
        <v>4.2848581801402528</v>
      </c>
      <c r="O4" s="10">
        <f>Pondération!I15</f>
        <v>4483</v>
      </c>
      <c r="P4" s="40"/>
      <c r="Q4" s="51">
        <f>AVERAGE(Q5,Q10,Q14)</f>
        <v>4.2756308667869263</v>
      </c>
      <c r="R4" s="10">
        <f>Pondération!J15</f>
        <v>2557</v>
      </c>
      <c r="S4" s="28"/>
    </row>
    <row r="5" spans="2:19" x14ac:dyDescent="0.25">
      <c r="B5" s="17" t="s">
        <v>78</v>
      </c>
      <c r="C5" s="4" t="s">
        <v>101</v>
      </c>
      <c r="D5" s="17"/>
      <c r="E5" s="50">
        <f>(E6*G6)+(E7*G7)+(E8*G8)+(E9*G9)</f>
        <v>4.3833192923336144</v>
      </c>
      <c r="F5" s="34">
        <f>SUMIFS('Extraction Offre de loisirs'!I:I,'Extraction Offre de loisirs'!D:D,"bourgogne-franche-comte", 'Extraction Offre de loisirs'!E:E,"offre de loisirs", 'Extraction Offre de loisirs'!B:B,"2017")</f>
        <v>1187</v>
      </c>
      <c r="G5" s="38">
        <f>F5/$F$4</f>
        <v>0.12185607227184067</v>
      </c>
      <c r="H5" s="50">
        <f>(H6*J6)+(H7*J7)+(H8*J8)+(H9*J9)</f>
        <v>4.3863072011351543</v>
      </c>
      <c r="I5" s="34">
        <f>SUMIFS('Extraction Offre de loisirs'!I:I,'Extraction Offre de loisirs'!D:D,"bourgogne-franche-comte", 'Extraction Offre de loisirs'!E:E,"offre de loisirs", 'Extraction Offre de loisirs'!B:B,"2016")</f>
        <v>2819</v>
      </c>
      <c r="J5" s="38">
        <f>I5/$I$4</f>
        <v>0.12203463203463204</v>
      </c>
      <c r="K5" s="50">
        <f>(K6*M6)+(K7*M7)+(K8*M8)+(K9*M9)</f>
        <v>4.3802469135802475</v>
      </c>
      <c r="L5" s="34">
        <f>SUMIFS('Extraction Offre de loisirs'!I:I,'Extraction Offre de loisirs'!D:D,"bourgogne-franche-comte", 'Extraction Offre de loisirs'!E:E,"offre de loisirs", 'Extraction Offre de loisirs'!B:B,"2015")</f>
        <v>1620</v>
      </c>
      <c r="M5" s="38">
        <f>L5/$L$4</f>
        <v>0.14129960750109027</v>
      </c>
      <c r="N5" s="50">
        <f>(N6*P6)+(N7*P7)+(N8*P8)+(N9*P9)</f>
        <v>4.3192133131618764</v>
      </c>
      <c r="O5" s="11">
        <f>SUMIFS('Extraction Offre de loisirs'!I:I,'Extraction Offre de loisirs'!D:D,"bourgogne-franche-comte", 'Extraction Offre de loisirs'!E:E,"offre de loisirs", 'Extraction Offre de loisirs'!B:B,"2014")</f>
        <v>661</v>
      </c>
      <c r="P5" s="38">
        <f>O5/$O$4</f>
        <v>0.14744590675886682</v>
      </c>
      <c r="Q5" s="50">
        <f>(Q6*S6)+(Q7*S7)+(Q8*S8)+(Q9*S9)</f>
        <v>4.3012048192771077</v>
      </c>
      <c r="R5" s="11">
        <f>SUMIFS('Extraction Offre de loisirs'!I:I,'Extraction Offre de loisirs'!D:D,"bourgogne-franche-comte", 'Extraction Offre de loisirs'!E:E,"offre de loisirs", 'Extraction Offre de loisirs'!B:B,"2013")</f>
        <v>249</v>
      </c>
      <c r="S5" s="35">
        <f>R5/$R$4</f>
        <v>9.7379741885021506E-2</v>
      </c>
    </row>
    <row r="6" spans="2:19" x14ac:dyDescent="0.25">
      <c r="B6" s="15" t="s">
        <v>78</v>
      </c>
      <c r="C6" s="2" t="s">
        <v>79</v>
      </c>
      <c r="E6" s="29">
        <f>SUMIFS('Extraction Offre de loisirs'!G:G,'Extraction Offre de loisirs'!D:D,"bourgogne-franche-comte", 'Extraction Offre de loisirs'!F:F,"activites de plein air", 'Extraction Offre de loisirs'!B:B,"2017")</f>
        <v>4.4879227053140101</v>
      </c>
      <c r="F6" s="33">
        <f>SUMIFS('Extraction Offre de loisirs'!I:I,'Extraction Offre de loisirs'!D:D,"bourgogne-franche-comte", 'Extraction Offre de loisirs'!F:F,"activites de plein air", 'Extraction Offre de loisirs'!B:B,"2017")</f>
        <v>414</v>
      </c>
      <c r="G6" s="39">
        <f>F6/$F$5</f>
        <v>0.34877843302443134</v>
      </c>
      <c r="H6" s="30">
        <f>SUMIFS('Extraction Offre de loisirs'!G:G,'Extraction Offre de loisirs'!D:D,"bourgogne-franche-comte", 'Extraction Offre de loisirs'!F:F,"activites de plein air", 'Extraction Offre de loisirs'!B:B,"2016")</f>
        <v>4.4536505332239535</v>
      </c>
      <c r="I6" s="33">
        <f>SUMIFS('Extraction Offre de loisirs'!I:I,'Extraction Offre de loisirs'!D:D,"bourgogne-franche-comte", 'Extraction Offre de loisirs'!F:F,"activites de plein air", 'Extraction Offre de loisirs'!B:B,"2016")</f>
        <v>1219</v>
      </c>
      <c r="J6" s="39">
        <f>I6/$I$5</f>
        <v>0.43242284498048955</v>
      </c>
      <c r="K6" s="29">
        <f>SUMIFS('Extraction Offre de loisirs'!G:G,'Extraction Offre de loisirs'!D:D,"bourgogne-franche-comte", 'Extraction Offre de loisirs'!F:F,"activites de plein air", 'Extraction Offre de loisirs'!B:B,"2015")</f>
        <v>4.4423503325942351</v>
      </c>
      <c r="L6" s="33">
        <f>SUMIFS('Extraction Offre de loisirs'!I:I,'Extraction Offre de loisirs'!D:D,"bourgogne-franche-comte", 'Extraction Offre de loisirs'!F:F,"activites de plein air", 'Extraction Offre de loisirs'!B:B,"2015")</f>
        <v>902</v>
      </c>
      <c r="M6" s="39">
        <f>L6/$L$5</f>
        <v>0.55679012345679013</v>
      </c>
      <c r="N6" s="30">
        <f>SUMIFS('Extraction Offre de loisirs'!G:G,'Extraction Offre de loisirs'!D:D,"bourgogne-franche-comte", 'Extraction Offre de loisirs'!F:F,"activites de plein air", 'Extraction Offre de loisirs'!B:B,"2014")</f>
        <v>4.3536585365853657</v>
      </c>
      <c r="O6" s="33">
        <f>SUMIFS('Extraction Offre de loisirs'!I:I,'Extraction Offre de loisirs'!D:D,"bourgogne-franche-comte", 'Extraction Offre de loisirs'!F:F,"activites de plein air", 'Extraction Offre de loisirs'!B:B,"2014")</f>
        <v>369</v>
      </c>
      <c r="P6" s="39">
        <f>O6/$O$5</f>
        <v>0.55824508320726174</v>
      </c>
      <c r="Q6" s="29">
        <f>SUMIFS('Extraction Offre de loisirs'!G:G,'Extraction Offre de loisirs'!D:D,"bourgogne-franche-comte", 'Extraction Offre de loisirs'!F:F,"activites de plein air", 'Extraction Offre de loisirs'!B:B,"2013")</f>
        <v>4.3344370860927146</v>
      </c>
      <c r="R6" s="33">
        <f>SUMIFS('Extraction Offre de loisirs'!I:I,'Extraction Offre de loisirs'!D:D,"bourgogne-franche-comte", 'Extraction Offre de loisirs'!F:F,"activites de plein air", 'Extraction Offre de loisirs'!B:B,"2013")</f>
        <v>151</v>
      </c>
      <c r="S6" s="31">
        <f>R6/$R$5</f>
        <v>0.60642570281124497</v>
      </c>
    </row>
    <row r="7" spans="2:19" x14ac:dyDescent="0.25">
      <c r="B7" s="15" t="s">
        <v>78</v>
      </c>
      <c r="C7" s="2" t="s">
        <v>81</v>
      </c>
      <c r="E7" s="29">
        <f>SUMIFS('Extraction Offre de loisirs'!G:G,'Extraction Offre de loisirs'!D:D,"bourgogne-franche-comte", 'Extraction Offre de loisirs'!F:F,"jeux et divertissements", 'Extraction Offre de loisirs'!B:B,"2017")</f>
        <v>4.3020134228187921</v>
      </c>
      <c r="F7" s="33">
        <f>SUMIFS('Extraction Offre de loisirs'!I:I,'Extraction Offre de loisirs'!D:D,"bourgogne-franche-comte", 'Extraction Offre de loisirs'!F:F,"jeux et divertissements", 'Extraction Offre de loisirs'!B:B,"2017")</f>
        <v>447</v>
      </c>
      <c r="G7" s="39">
        <f>F7/$F$5</f>
        <v>0.37657961246840777</v>
      </c>
      <c r="H7" s="30">
        <f>SUMIFS('Extraction Offre de loisirs'!G:G,'Extraction Offre de loisirs'!D:D,"bourgogne-franche-comte", 'Extraction Offre de loisirs'!F:F,"jeux et divertissements", 'Extraction Offre de loisirs'!B:B,"2016")</f>
        <v>4.2910271546635181</v>
      </c>
      <c r="I7" s="33">
        <f>SUMIFS('Extraction Offre de loisirs'!I:I,'Extraction Offre de loisirs'!D:D,"bourgogne-franche-comte", 'Extraction Offre de loisirs'!F:F,"jeux et divertissements", 'Extraction Offre de loisirs'!B:B,"2016")</f>
        <v>847</v>
      </c>
      <c r="J7" s="39">
        <f>I7/$I$5</f>
        <v>0.30046115643845334</v>
      </c>
      <c r="K7" s="29">
        <f>SUMIFS('Extraction Offre de loisirs'!G:G,'Extraction Offre de loisirs'!D:D,"bourgogne-franche-comte", 'Extraction Offre de loisirs'!F:F,"jeux et divertissements", 'Extraction Offre de loisirs'!B:B,"2015")</f>
        <v>4.2262996941896027</v>
      </c>
      <c r="L7" s="33">
        <f>SUMIFS('Extraction Offre de loisirs'!I:I,'Extraction Offre de loisirs'!D:D,"bourgogne-franche-comte", 'Extraction Offre de loisirs'!F:F,"jeux et divertissements", 'Extraction Offre de loisirs'!B:B,"2015")</f>
        <v>327</v>
      </c>
      <c r="M7" s="39">
        <f>L7/$L$5</f>
        <v>0.20185185185185187</v>
      </c>
      <c r="N7" s="30">
        <f>SUMIFS('Extraction Offre de loisirs'!G:G,'Extraction Offre de loisirs'!D:D,"bourgogne-franche-comte", 'Extraction Offre de loisirs'!F:F,"jeux et divertissements", 'Extraction Offre de loisirs'!B:B,"2014")</f>
        <v>4.2057142857142864</v>
      </c>
      <c r="O7" s="33">
        <f>SUMIFS('Extraction Offre de loisirs'!I:I,'Extraction Offre de loisirs'!D:D,"bourgogne-franche-comte", 'Extraction Offre de loisirs'!F:F,"jeux et divertissements", 'Extraction Offre de loisirs'!B:B,"2014")</f>
        <v>175</v>
      </c>
      <c r="P7" s="39">
        <f>O7/$O$5</f>
        <v>0.264750378214826</v>
      </c>
      <c r="Q7" s="29">
        <f>SUMIFS('Extraction Offre de loisirs'!G:G,'Extraction Offre de loisirs'!D:D,"bourgogne-franche-comte", 'Extraction Offre de loisirs'!F:F,"jeux et divertissements", 'Extraction Offre de loisirs'!B:B,"2013")</f>
        <v>4.140350877192982</v>
      </c>
      <c r="R7" s="33">
        <f>SUMIFS('Extraction Offre de loisirs'!I:I,'Extraction Offre de loisirs'!D:D,"bourgogne-franche-comte", 'Extraction Offre de loisirs'!F:F,"jeux et divertissements", 'Extraction Offre de loisirs'!B:B,"2013")</f>
        <v>57</v>
      </c>
      <c r="S7" s="31">
        <f>R7/$R$5</f>
        <v>0.2289156626506024</v>
      </c>
    </row>
    <row r="8" spans="2:19" x14ac:dyDescent="0.25">
      <c r="B8" s="15" t="s">
        <v>78</v>
      </c>
      <c r="C8" s="2" t="s">
        <v>83</v>
      </c>
      <c r="E8" s="29">
        <f>SUMIFS('Extraction Offre de loisirs'!G:G,'Extraction Offre de loisirs'!D:D,"bourgogne-franche-comte", 'Extraction Offre de loisirs'!F:F,"shopping", 'Extraction Offre de loisirs'!B:B,"2017")</f>
        <v>4.3589743589743586</v>
      </c>
      <c r="F8" s="33">
        <f>SUMIFS('Extraction Offre de loisirs'!I:I,'Extraction Offre de loisirs'!D:D,"bourgogne-franche-comte", 'Extraction Offre de loisirs'!F:F,"shopping", 'Extraction Offre de loisirs'!B:B,"2017")</f>
        <v>234</v>
      </c>
      <c r="G8" s="39">
        <f>F8/$F$5</f>
        <v>0.19713563605728729</v>
      </c>
      <c r="H8" s="30">
        <f>SUMIFS('Extraction Offre de loisirs'!G:G,'Extraction Offre de loisirs'!D:D,"bourgogne-franche-comte", 'Extraction Offre de loisirs'!F:F,"shopping", 'Extraction Offre de loisirs'!B:B,"2016")</f>
        <v>4.3434782608695652</v>
      </c>
      <c r="I8" s="33">
        <f>SUMIFS('Extraction Offre de loisirs'!I:I,'Extraction Offre de loisirs'!D:D,"bourgogne-franche-comte", 'Extraction Offre de loisirs'!F:F,"shopping", 'Extraction Offre de loisirs'!B:B,"2016")</f>
        <v>575</v>
      </c>
      <c r="J8" s="39">
        <f>I8/$I$5</f>
        <v>0.20397304008513659</v>
      </c>
      <c r="K8" s="29">
        <f>SUMIFS('Extraction Offre de loisirs'!G:G,'Extraction Offre de loisirs'!D:D,"bourgogne-franche-comte", 'Extraction Offre de loisirs'!F:F,"shopping", 'Extraction Offre de loisirs'!B:B,"2015")</f>
        <v>4.3234200743494426</v>
      </c>
      <c r="L8" s="33">
        <f>SUMIFS('Extraction Offre de loisirs'!I:I,'Extraction Offre de loisirs'!D:D,"bourgogne-franche-comte", 'Extraction Offre de loisirs'!F:F,"shopping", 'Extraction Offre de loisirs'!B:B,"2015")</f>
        <v>269</v>
      </c>
      <c r="M8" s="39">
        <f>L8/$L$5</f>
        <v>0.16604938271604938</v>
      </c>
      <c r="N8" s="30">
        <f>SUMIFS('Extraction Offre de loisirs'!G:G,'Extraction Offre de loisirs'!D:D,"bourgogne-franche-comte", 'Extraction Offre de loisirs'!F:F,"shopping", 'Extraction Offre de loisirs'!B:B,"2014")</f>
        <v>4.3160919540229887</v>
      </c>
      <c r="O8" s="33">
        <f>SUMIFS('Extraction Offre de loisirs'!I:I,'Extraction Offre de loisirs'!D:D,"bourgogne-franche-comte", 'Extraction Offre de loisirs'!F:F,"shopping", 'Extraction Offre de loisirs'!B:B,"2014")</f>
        <v>87</v>
      </c>
      <c r="P8" s="39">
        <f>O8/$O$5</f>
        <v>0.13161875945537066</v>
      </c>
      <c r="Q8" s="29">
        <f>SUMIFS('Extraction Offre de loisirs'!G:G,'Extraction Offre de loisirs'!D:D,"bourgogne-franche-comte", 'Extraction Offre de loisirs'!F:F,"shopping", 'Extraction Offre de loisirs'!B:B,"2013")</f>
        <v>4.34375</v>
      </c>
      <c r="R8" s="33">
        <f>SUMIFS('Extraction Offre de loisirs'!I:I,'Extraction Offre de loisirs'!D:D,"bourgogne-franche-comte", 'Extraction Offre de loisirs'!F:F,"shopping", 'Extraction Offre de loisirs'!B:B,"2013")</f>
        <v>32</v>
      </c>
      <c r="S8" s="31">
        <f>R8/$R$5</f>
        <v>0.12851405622489959</v>
      </c>
    </row>
    <row r="9" spans="2:19" x14ac:dyDescent="0.25">
      <c r="B9" s="15" t="s">
        <v>78</v>
      </c>
      <c r="C9" s="2" t="s">
        <v>84</v>
      </c>
      <c r="E9" s="29">
        <f>SUMIFS('Extraction Offre de loisirs'!G:G,'Extraction Offre de loisirs'!D:D,"bourgogne-franche-comte", 'Extraction Offre de loisirs'!F:F,"vie nocturne", 'Extraction Offre de loisirs'!B:B,"2017")</f>
        <v>4.3695652173913047</v>
      </c>
      <c r="F9" s="33">
        <f>SUMIFS('Extraction Offre de loisirs'!I:I,'Extraction Offre de loisirs'!D:D,"bourgogne-franche-comte", 'Extraction Offre de loisirs'!F:F,"vie nocturne", 'Extraction Offre de loisirs'!B:B,"2017")</f>
        <v>92</v>
      </c>
      <c r="G9" s="39">
        <f>F9/$F$5</f>
        <v>7.7506318449873629E-2</v>
      </c>
      <c r="H9" s="30">
        <f>SUMIFS('Extraction Offre de loisirs'!G:G,'Extraction Offre de loisirs'!D:D,"bourgogne-franche-comte", 'Extraction Offre de loisirs'!F:F,"vie nocturne", 'Extraction Offre de loisirs'!B:B,"2016")</f>
        <v>4.5168539325842687</v>
      </c>
      <c r="I9" s="33">
        <f>SUMIFS('Extraction Offre de loisirs'!I:I,'Extraction Offre de loisirs'!D:D,"bourgogne-franche-comte", 'Extraction Offre de loisirs'!F:F,"vie nocturne", 'Extraction Offre de loisirs'!B:B,"2016")</f>
        <v>178</v>
      </c>
      <c r="J9" s="39">
        <f>I9/$I$5</f>
        <v>6.314295849592054E-2</v>
      </c>
      <c r="K9" s="29">
        <f>SUMIFS('Extraction Offre de loisirs'!G:G,'Extraction Offre de loisirs'!D:D,"bourgogne-franche-comte", 'Extraction Offre de loisirs'!F:F,"vie nocturne", 'Extraction Offre de loisirs'!B:B,"2015")</f>
        <v>4.4590163934426226</v>
      </c>
      <c r="L9" s="33">
        <f>SUMIFS('Extraction Offre de loisirs'!I:I,'Extraction Offre de loisirs'!D:D,"bourgogne-franche-comte", 'Extraction Offre de loisirs'!F:F,"vie nocturne", 'Extraction Offre de loisirs'!B:B,"2015")</f>
        <v>122</v>
      </c>
      <c r="M9" s="39">
        <f>L9/$L$5</f>
        <v>7.5308641975308649E-2</v>
      </c>
      <c r="N9" s="30">
        <f>SUMIFS('Extraction Offre de loisirs'!G:G,'Extraction Offre de loisirs'!D:D,"bourgogne-franche-comte", 'Extraction Offre de loisirs'!F:F,"vie nocturne", 'Extraction Offre de loisirs'!B:B,"2014")</f>
        <v>4.5666666666666664</v>
      </c>
      <c r="O9" s="33">
        <f>SUMIFS('Extraction Offre de loisirs'!I:I,'Extraction Offre de loisirs'!D:D,"bourgogne-franche-comte", 'Extraction Offre de loisirs'!F:F,"vie nocturne", 'Extraction Offre de loisirs'!B:B,"2014")</f>
        <v>30</v>
      </c>
      <c r="P9" s="39">
        <f>O9/$O$5</f>
        <v>4.5385779122541603E-2</v>
      </c>
      <c r="Q9" s="29">
        <f>SUMIFS('Extraction Offre de loisirs'!G:G,'Extraction Offre de loisirs'!D:D,"bourgogne-franche-comte", 'Extraction Offre de loisirs'!F:F,"vie nocturne", 'Extraction Offre de loisirs'!B:B,"2013")</f>
        <v>4.6111111111111107</v>
      </c>
      <c r="R9" s="33">
        <f>SUMIFS('Extraction Offre de loisirs'!I:I,'Extraction Offre de loisirs'!D:D,"bourgogne-franche-comte", 'Extraction Offre de loisirs'!F:F,"vie nocturne", 'Extraction Offre de loisirs'!B:B,"2013")</f>
        <v>9</v>
      </c>
      <c r="S9" s="31">
        <f>R9/$R$5</f>
        <v>3.614457831325301E-2</v>
      </c>
    </row>
    <row r="10" spans="2:19" x14ac:dyDescent="0.25">
      <c r="B10" s="17" t="s">
        <v>82</v>
      </c>
      <c r="C10" s="4" t="s">
        <v>101</v>
      </c>
      <c r="D10" s="17"/>
      <c r="E10" s="50">
        <f>(E11*G11)+(E12*G12)+(E13*G13)</f>
        <v>4.1404617253948972</v>
      </c>
      <c r="F10" s="34">
        <f>SUMIFS('Extraction Patrimoine'!I:I,'Extraction Patrimoine'!D:D,"bourgogne-franche-comte", 'Extraction Patrimoine'!E:E,"patrimoine", 'Extraction Patrimoine'!B:B,"2017")</f>
        <v>4115</v>
      </c>
      <c r="G10" s="38">
        <f>F10/$F$4</f>
        <v>0.42244122780002052</v>
      </c>
      <c r="H10" s="50">
        <f>(H11*J11)+(H12*J12)+(H13*J13)</f>
        <v>4.1150790260572405</v>
      </c>
      <c r="I10" s="11">
        <f>SUMIFS('Extraction Patrimoine'!I:I,'Extraction Patrimoine'!D:D,"bourgogne-franche-comte", 'Extraction Patrimoine'!E:E,"patrimoine", 'Extraction Patrimoine'!B:B,"2016")</f>
        <v>11705</v>
      </c>
      <c r="J10" s="48">
        <f>I10/$I$4</f>
        <v>0.50670995670995667</v>
      </c>
      <c r="K10" s="50">
        <f>(K11*M11)+(K12*M12)+(K13*M13)</f>
        <v>4.1250507511165244</v>
      </c>
      <c r="L10" s="34">
        <f>SUMIFS('Extraction Patrimoine'!I:I,'Extraction Patrimoine'!D:D,"bourgogne-franche-comte", 'Extraction Patrimoine'!E:E,"patrimoine", 'Extraction Patrimoine'!B:B,"2015")</f>
        <v>7389</v>
      </c>
      <c r="M10" s="38">
        <f>L10/$L$4</f>
        <v>0.64448320976886175</v>
      </c>
      <c r="N10" s="50">
        <f>(N11*P11)+(N12*P12)+(N13*P13)</f>
        <v>4.1355467560158399</v>
      </c>
      <c r="O10" s="11">
        <f>SUMIFS('Extraction Patrimoine'!I:I,'Extraction Patrimoine'!D:D,"bourgogne-franche-comte", 'Extraction Patrimoine'!E:E,"patrimoine", 'Extraction Patrimoine'!B:B,"2014")</f>
        <v>3283</v>
      </c>
      <c r="P10" s="48">
        <f>O10/$O$4</f>
        <v>0.73232210573276824</v>
      </c>
      <c r="Q10" s="50">
        <f>(Q11*S11)+(Q12*S12)+(Q13*S13)</f>
        <v>4.1684370257966616</v>
      </c>
      <c r="R10" s="11">
        <f>SUMIFS('Extraction Patrimoine'!I:I,'Extraction Patrimoine'!D:D,"bourgogne-franche-comte", 'Extraction Patrimoine'!E:E,"patrimoine", 'Extraction Patrimoine'!B:B,"2013")</f>
        <v>1977</v>
      </c>
      <c r="S10" s="49">
        <f>R10/$R$4</f>
        <v>0.77317168556902616</v>
      </c>
    </row>
    <row r="11" spans="2:19" x14ac:dyDescent="0.25">
      <c r="B11" s="15" t="s">
        <v>82</v>
      </c>
      <c r="C11" s="15" t="s">
        <v>98</v>
      </c>
      <c r="E11" s="29">
        <f>SUMIFS('Extraction Patrimoine'!G:G,'Extraction Patrimoine'!D:D,"bourgogne-franche-comte", 'Extraction Patrimoine'!F:F,"nature et parcs", 'Extraction Patrimoine'!B:B,"2017")</f>
        <v>4.1404617253948972</v>
      </c>
      <c r="F11" s="23">
        <f>SUMIFS('Extraction Patrimoine'!I:I,'Extraction Patrimoine'!D:D,"bourgogne-franche-comte", 'Extraction Patrimoine'!F:F,"nature et parcs", 'Extraction Patrimoine'!B:B,"2017")</f>
        <v>4115</v>
      </c>
      <c r="G11" s="39">
        <f>F11/$F$10</f>
        <v>1</v>
      </c>
      <c r="H11" s="29">
        <f>SUMIFS('Extraction Patrimoine'!G:G,'Extraction Patrimoine'!D:D,"bourgogne-franche-comte", 'Extraction Patrimoine'!F:F,"nature et parcs", 'Extraction Patrimoine'!B:B,"2016")</f>
        <v>4.1150790260572405</v>
      </c>
      <c r="I11" s="23">
        <f>SUMIFS('Extraction Patrimoine'!I:I,'Extraction Patrimoine'!D:D,"bourgogne-franche-comte", 'Extraction Patrimoine'!F:F,"nature et parcs", 'Extraction Patrimoine'!B:B,"2016")</f>
        <v>11705</v>
      </c>
      <c r="J11" s="39">
        <f>I11/$I$10</f>
        <v>1</v>
      </c>
      <c r="K11" s="29">
        <f>SUMIFS('Extraction Patrimoine'!G:G,'Extraction Patrimoine'!D:D,"bourgogne-franche-comte", 'Extraction Patrimoine'!F:F,"nature et parcs", 'Extraction Patrimoine'!B:B,"2015")</f>
        <v>4.1250507511165244</v>
      </c>
      <c r="L11" s="23">
        <f>SUMIFS('Extraction Patrimoine'!I:I,'Extraction Patrimoine'!D:D,"bourgogne-franche-comte", 'Extraction Patrimoine'!F:F,"nature et parcs", 'Extraction Patrimoine'!B:B,"2015")</f>
        <v>7389</v>
      </c>
      <c r="M11" s="39">
        <f>L11/$L$10</f>
        <v>1</v>
      </c>
      <c r="N11" s="29">
        <f>SUMIFS('Extraction Patrimoine'!G:G,'Extraction Patrimoine'!D:D,"bourgogne-franche-comte", 'Extraction Patrimoine'!F:F,"nature et parcs", 'Extraction Patrimoine'!B:B,"2014")</f>
        <v>4.1355467560158399</v>
      </c>
      <c r="O11" s="23">
        <f>SUMIFS('Extraction Patrimoine'!I:I,'Extraction Patrimoine'!D:D,"bourgogne-franche-comte", 'Extraction Patrimoine'!F:F,"nature et parcs", 'Extraction Patrimoine'!B:B,"2014")</f>
        <v>3283</v>
      </c>
      <c r="P11" s="39">
        <f>O11/$O$10</f>
        <v>1</v>
      </c>
      <c r="Q11" s="29">
        <f>SUMIFS('Extraction Patrimoine'!G:G,'Extraction Patrimoine'!D:D,"bourgogne-franche-comte", 'Extraction Patrimoine'!F:F,"nature et parcs", 'Extraction Patrimoine'!B:B,"2013")</f>
        <v>4.1684370257966616</v>
      </c>
      <c r="R11" s="23">
        <f>SUMIFS('Extraction Patrimoine'!I:I,'Extraction Patrimoine'!D:D,"bourgogne-franche-comte", 'Extraction Patrimoine'!F:F,"nature et parcs", 'Extraction Patrimoine'!B:B,"2013")</f>
        <v>1977</v>
      </c>
      <c r="S11" s="43">
        <f>R11/$R$10</f>
        <v>1</v>
      </c>
    </row>
    <row r="12" spans="2:19" x14ac:dyDescent="0.25">
      <c r="B12" s="15" t="s">
        <v>82</v>
      </c>
      <c r="C12" s="15" t="s">
        <v>99</v>
      </c>
      <c r="E12" s="29">
        <f>SUMIFS('Extraction Patrimoine'!G:G,'Extraction Patrimoine'!D:D,"bourgogne-franche-comte", 'Extraction Patrimoine'!F:F,"musées", 'Extraction Patrimoine'!B:B,"2017")</f>
        <v>0</v>
      </c>
      <c r="F12" s="23">
        <f>SUMIFS('Extraction Patrimoine'!I:I,'Extraction Patrimoine'!D:D,"bourgogne-franche-comte", 'Extraction Patrimoine'!F:F,"musées", 'Extraction Patrimoine'!B:B,"2017")</f>
        <v>0</v>
      </c>
      <c r="G12" s="39">
        <f>F12/$F$10</f>
        <v>0</v>
      </c>
      <c r="H12" s="29">
        <f>SUMIFS('Extraction Patrimoine'!G:G,'Extraction Patrimoine'!D:D,"bourgogne-franche-comte", 'Extraction Patrimoine'!F:F,"musées", 'Extraction Patrimoine'!B:B,"2016")</f>
        <v>0</v>
      </c>
      <c r="I12" s="23">
        <f>SUMIFS('Extraction Patrimoine'!I:I,'Extraction Patrimoine'!D:D,"bourgogne-franche-comte", 'Extraction Patrimoine'!F:F,"musées", 'Extraction Patrimoine'!B:B,"2016")</f>
        <v>0</v>
      </c>
      <c r="J12" s="39">
        <f t="shared" ref="J12:J13" si="0">I12/$I$10</f>
        <v>0</v>
      </c>
      <c r="K12" s="29">
        <f>SUMIFS('Extraction Patrimoine'!G:G,'Extraction Patrimoine'!D:D,"bourgogne-franche-comte", 'Extraction Patrimoine'!F:F,"musées", 'Extraction Patrimoine'!B:B,"2015")</f>
        <v>0</v>
      </c>
      <c r="L12" s="23">
        <f>SUMIFS('Extraction Patrimoine'!I:I,'Extraction Patrimoine'!D:D,"bourgogne-franche-comte", 'Extraction Patrimoine'!F:F,"musées", 'Extraction Patrimoine'!B:B,"2015")</f>
        <v>0</v>
      </c>
      <c r="M12" s="39">
        <f t="shared" ref="M12:M13" si="1">L12/$L$10</f>
        <v>0</v>
      </c>
      <c r="N12" s="29">
        <f>SUMIFS('Extraction Patrimoine'!G:G,'Extraction Patrimoine'!D:D,"bourgogne-franche-comte", 'Extraction Patrimoine'!F:F,"musées", 'Extraction Patrimoine'!B:B,"2014")</f>
        <v>0</v>
      </c>
      <c r="O12" s="23">
        <f>SUMIFS('Extraction Patrimoine'!I:I,'Extraction Patrimoine'!D:D,"bourgogne-franche-comte", 'Extraction Patrimoine'!F:F,"musées", 'Extraction Patrimoine'!B:B,"2014")</f>
        <v>0</v>
      </c>
      <c r="P12" s="39">
        <f t="shared" ref="P12:P13" si="2">O12/$O$10</f>
        <v>0</v>
      </c>
      <c r="Q12" s="29">
        <f>SUMIFS('Extraction Patrimoine'!G:G,'Extraction Patrimoine'!D:D,"bourgogne-franche-comte", 'Extraction Patrimoine'!F:F,"musées", 'Extraction Patrimoine'!B:B,"2013")</f>
        <v>0</v>
      </c>
      <c r="R12" s="23">
        <f>SUMIFS('Extraction Patrimoine'!I:I,'Extraction Patrimoine'!D:D,"bourgogne-franche-comte", 'Extraction Patrimoine'!F:F,"musées", 'Extraction Patrimoine'!B:B,"2013")</f>
        <v>0</v>
      </c>
      <c r="S12" s="43">
        <f t="shared" ref="S12:S13" si="3">R12/$R$10</f>
        <v>0</v>
      </c>
    </row>
    <row r="13" spans="2:19" x14ac:dyDescent="0.25">
      <c r="B13" s="15" t="s">
        <v>82</v>
      </c>
      <c r="C13" s="15" t="s">
        <v>100</v>
      </c>
      <c r="E13" s="29">
        <f>SUMIFS('Extraction Patrimoine'!G:G,'Extraction Patrimoine'!D:D,"bourgogne-franche-comte", 'Extraction Patrimoine'!F:F,"sites et monuments", 'Extraction Patrimoine'!B:B,"2017")</f>
        <v>0</v>
      </c>
      <c r="F13" s="23">
        <f>SUMIFS('Extraction Patrimoine'!I:I,'Extraction Patrimoine'!D:D,"bourgogne-franche-comte", 'Extraction Patrimoine'!F:F,"sites et monuments", 'Extraction Patrimoine'!B:B,"2017")</f>
        <v>0</v>
      </c>
      <c r="G13" s="39">
        <f>F13/$F$10</f>
        <v>0</v>
      </c>
      <c r="H13" s="29">
        <f>SUMIFS('Extraction Patrimoine'!G:G,'Extraction Patrimoine'!D:D,"bourgogne-franche-comte", 'Extraction Patrimoine'!F:F,"sites et monuments", 'Extraction Patrimoine'!B:B,"2016")</f>
        <v>0</v>
      </c>
      <c r="I13" s="23">
        <f>SUMIFS('Extraction Patrimoine'!I:I,'Extraction Patrimoine'!D:D,"bourgogne-franche-comte", 'Extraction Patrimoine'!F:F,"sites et monuments", 'Extraction Patrimoine'!B:B,"2016")</f>
        <v>0</v>
      </c>
      <c r="J13" s="39">
        <f t="shared" si="0"/>
        <v>0</v>
      </c>
      <c r="K13" s="29">
        <f>SUMIFS('Extraction Patrimoine'!G:G,'Extraction Patrimoine'!D:D,"bourgogne-franche-comte", 'Extraction Patrimoine'!F:F,"sites et monuments", 'Extraction Patrimoine'!B:B,"2015")</f>
        <v>0</v>
      </c>
      <c r="L13" s="23">
        <f>SUMIFS('Extraction Patrimoine'!I:I,'Extraction Patrimoine'!D:D,"bourgogne-franche-comte", 'Extraction Patrimoine'!F:F,"sites et monuments", 'Extraction Patrimoine'!B:B,"2015")</f>
        <v>0</v>
      </c>
      <c r="M13" s="39">
        <f t="shared" si="1"/>
        <v>0</v>
      </c>
      <c r="N13" s="29">
        <f>SUMIFS('Extraction Patrimoine'!G:G,'Extraction Patrimoine'!D:D,"bourgogne-franche-comte", 'Extraction Patrimoine'!F:F,"sites et monuments", 'Extraction Patrimoine'!B:B,"2014")</f>
        <v>0</v>
      </c>
      <c r="O13" s="23">
        <f>SUMIFS('Extraction Patrimoine'!I:I,'Extraction Patrimoine'!D:D,"bourgogne-franche-comte", 'Extraction Patrimoine'!F:F,"sites et monuments", 'Extraction Patrimoine'!B:B,"2014")</f>
        <v>0</v>
      </c>
      <c r="P13" s="39">
        <f t="shared" si="2"/>
        <v>0</v>
      </c>
      <c r="Q13" s="29">
        <f>SUMIFS('Extraction Patrimoine'!G:G,'Extraction Patrimoine'!D:D,"bourgogne-franche-comte", 'Extraction Patrimoine'!F:F,"sites et monuments", 'Extraction Patrimoine'!B:B,"2013")</f>
        <v>0</v>
      </c>
      <c r="R13" s="23">
        <f>SUMIFS('Extraction Patrimoine'!I:I,'Extraction Patrimoine'!D:D,"bourgogne-franche-comte", 'Extraction Patrimoine'!F:F,"sites et monuments", 'Extraction Patrimoine'!B:B,"2013")</f>
        <v>0</v>
      </c>
      <c r="S13" s="43">
        <f t="shared" si="3"/>
        <v>0</v>
      </c>
    </row>
    <row r="14" spans="2:19" x14ac:dyDescent="0.25">
      <c r="B14" s="17" t="s">
        <v>9</v>
      </c>
      <c r="C14" s="4" t="s">
        <v>101</v>
      </c>
      <c r="D14" s="17"/>
      <c r="E14" s="50">
        <f>(E15*G15)+(E16*G16)</f>
        <v>4.0449087632349672</v>
      </c>
      <c r="F14" s="34">
        <f>SUMIFS('Extraction Offre de services'!I:I,'Extraction Offre de services'!D:D,"bourgogne-franche-comte", 'Extraction Offre de services'!E:E,"Offre de services", 'Extraction Offre de services'!B:B,"2017")</f>
        <v>4439</v>
      </c>
      <c r="G14" s="38">
        <f>F14/$F$4</f>
        <v>0.45570269992813878</v>
      </c>
      <c r="H14" s="50">
        <f>(H15*J15)+(H16*J16)</f>
        <v>3.9860832555970132</v>
      </c>
      <c r="I14" s="11">
        <f>SUMIFS('Extraction Offre de services'!I:I,'Extraction Offre de services'!D:D,"bourgogne-franche-comte", 'Extraction Offre de services'!E:E,"Offre de services", 'Extraction Offre de services'!B:B,"2016")</f>
        <v>8576</v>
      </c>
      <c r="J14" s="48">
        <f>I14/$I$4</f>
        <v>0.37125541125541128</v>
      </c>
      <c r="K14" s="50">
        <f>(K15*M15)+(K16*M16)</f>
        <v>4.0535219869706776</v>
      </c>
      <c r="L14" s="11">
        <f>SUMIFS('Extraction Offre de services'!I:I,'Extraction Offre de services'!D:D,"bourgogne-franche-comte", 'Extraction Offre de services'!E:E,"Offre de services", 'Extraction Offre de services'!B:B,"2015")</f>
        <v>2456</v>
      </c>
      <c r="M14" s="38">
        <f>L14/$L$4</f>
        <v>0.21421718273004797</v>
      </c>
      <c r="N14" s="50">
        <f>(N15*P15)+(N16*P16)</f>
        <v>4.399814471243042</v>
      </c>
      <c r="O14" s="11">
        <f>SUMIFS('Extraction Offre de services'!I:I,'Extraction Offre de services'!D:D,"bourgogne-franche-comte", 'Extraction Offre de services'!E:E,"Offre de services", 'Extraction Offre de services'!B:B,"2014")</f>
        <v>539</v>
      </c>
      <c r="P14" s="48">
        <f>O14/$O$4</f>
        <v>0.12023198750836493</v>
      </c>
      <c r="Q14" s="50">
        <f>(Q15*S15)+(Q16*S16)</f>
        <v>4.3572507552870086</v>
      </c>
      <c r="R14" s="11">
        <f>SUMIFS('Extraction Offre de services'!I:I,'Extraction Offre de services'!D:D,"bourgogne-franche-comte", 'Extraction Offre de services'!E:E,"Offre de services", 'Extraction Offre de services'!B:B,"2013")</f>
        <v>331</v>
      </c>
      <c r="S14" s="49">
        <f>R14/$R$4</f>
        <v>0.1294485725459523</v>
      </c>
    </row>
    <row r="15" spans="2:19" x14ac:dyDescent="0.25">
      <c r="B15" s="15" t="s">
        <v>9</v>
      </c>
      <c r="C15" s="2" t="s">
        <v>10</v>
      </c>
      <c r="E15" s="29">
        <f>SUMIFS('Extraction Offre de services'!G:G,'Extraction Offre de services'!D:D,"bourgogne-franche-comte", 'Extraction Offre de services'!F:F,"hebergement", 'Extraction Offre de services'!B:B,"2017")</f>
        <v>3.9805441618813289</v>
      </c>
      <c r="F15" s="23">
        <f>SUMIFS('Extraction Offre de services'!I:I,'Extraction Offre de services'!D:D,"bourgogne-franche-comte", 'Extraction Offre de services'!F:F,"hebergement", 'Extraction Offre de services'!B:B,"2017")</f>
        <v>3657</v>
      </c>
      <c r="G15" s="39">
        <f>F15/$F$14</f>
        <v>0.82383419689119175</v>
      </c>
      <c r="H15" s="30">
        <f>SUMIFS('Extraction Offre de services'!G:G,'Extraction Offre de services'!D:D,"bourgogne-franche-comte", 'Extraction Offre de services'!F:F,"hebergement", 'Extraction Offre de services'!B:B,"2016")</f>
        <v>3.9000788643533104</v>
      </c>
      <c r="I15" s="23">
        <f>SUMIFS('Extraction Offre de services'!I:I,'Extraction Offre de services'!D:D,"bourgogne-franche-comte", 'Extraction Offre de services'!F:F,"hebergement", 'Extraction Offre de services'!B:B,"2016")</f>
        <v>6974</v>
      </c>
      <c r="J15" s="45">
        <f>I15/$I$14</f>
        <v>0.8131996268656716</v>
      </c>
      <c r="K15" s="29">
        <f>SUMIFS('Extraction Offre de services'!G:G,'Extraction Offre de services'!D:D,"bourgogne-franche-comte", 'Extraction Offre de services'!F:F,"hebergement", 'Extraction Offre de services'!B:B,"2015")</f>
        <v>3.900731707317064</v>
      </c>
      <c r="L15" s="23">
        <f>SUMIFS('Extraction Offre de services'!I:I,'Extraction Offre de services'!D:D,"bourgogne-franche-comte", 'Extraction Offre de services'!F:F,"hebergement", 'Extraction Offre de services'!B:B,"2015")</f>
        <v>1640</v>
      </c>
      <c r="M15" s="45">
        <f>L15/$L$14</f>
        <v>0.66775244299674263</v>
      </c>
      <c r="N15" s="30">
        <f>SUMIFS('Extraction Offre de services'!G:G,'Extraction Offre de services'!D:D,"bourgogne-franche-comte", 'Extraction Offre de services'!F:F,"hebergement", 'Extraction Offre de services'!B:B,"2014")</f>
        <v>0</v>
      </c>
      <c r="O15" s="23">
        <f>SUMIFS('Extraction Offre de services'!I:I,'Extraction Offre de services'!D:D,"bourgogne-franche-comte", 'Extraction Offre de services'!F:F,"hebergement", 'Extraction Offre de services'!B:B,"2014")</f>
        <v>0</v>
      </c>
      <c r="P15" s="45">
        <f>O15/$O$14</f>
        <v>0</v>
      </c>
      <c r="Q15" s="29">
        <f>SUMIFS('Extraction Offre de services'!G:G,'Extraction Offre de services'!D:D,"bourgogne-franche-comte", 'Extraction Offre de services'!F:F,"hebergement", 'Extraction Offre de services'!B:B,"2013")</f>
        <v>0</v>
      </c>
      <c r="R15" s="23">
        <f>SUMIFS('Extraction Offre de services'!I:I,'Extraction Offre de services'!D:D,"bourgogne-franche-comte", 'Extraction Offre de services'!F:F,"hebergement", 'Extraction Offre de services'!B:B,"2013")</f>
        <v>0</v>
      </c>
      <c r="S15" s="42">
        <f>R15/$R$14</f>
        <v>0</v>
      </c>
    </row>
    <row r="16" spans="2:19" x14ac:dyDescent="0.25">
      <c r="B16" s="15" t="s">
        <v>9</v>
      </c>
      <c r="C16" s="2" t="s">
        <v>48</v>
      </c>
      <c r="E16" s="29">
        <f>SUMIFS('Extraction Offre de services'!G:G,'Extraction Offre de services'!D:D,"bourgogne-franche-comte", 'Extraction Offre de services'!F:F,"restauration", 'Extraction Offre de services'!B:B,"2017")</f>
        <v>4.3459079283887476</v>
      </c>
      <c r="F16" s="23">
        <f>SUMIFS('Extraction Offre de services'!I:I,'Extraction Offre de services'!D:D,"bourgogne-franche-comte", 'Extraction Offre de services'!F:F,"restauration", 'Extraction Offre de services'!B:B,"2017")</f>
        <v>782</v>
      </c>
      <c r="G16" s="39">
        <f>F16/$F$14</f>
        <v>0.17616580310880828</v>
      </c>
      <c r="H16" s="30">
        <f>SUMIFS('Extraction Offre de services'!G:G,'Extraction Offre de services'!D:D,"bourgogne-franche-comte", 'Extraction Offre de services'!F:F,"restauration", 'Extraction Offre de services'!B:B,"2016")</f>
        <v>4.3604868913857677</v>
      </c>
      <c r="I16" s="23">
        <f>SUMIFS('Extraction Offre de services'!I:I,'Extraction Offre de services'!D:D,"bourgogne-franche-comte", 'Extraction Offre de services'!F:F,"restauration", 'Extraction Offre de services'!B:B,"2016")</f>
        <v>1602</v>
      </c>
      <c r="J16" s="45">
        <f>I16/$I$14</f>
        <v>0.18680037313432835</v>
      </c>
      <c r="K16" s="29">
        <f>SUMIFS('Extraction Offre de services'!G:G,'Extraction Offre de services'!D:D,"bourgogne-franche-comte", 'Extraction Offre de services'!F:F,"restauration", 'Extraction Offre de services'!B:B,"2015")</f>
        <v>4.3606004901960791</v>
      </c>
      <c r="L16" s="23">
        <f>SUMIFS('Extraction Offre de services'!I:I,'Extraction Offre de services'!D:D,"bourgogne-franche-comte", 'Extraction Offre de services'!F:F,"restauration", 'Extraction Offre de services'!B:B,"2015")</f>
        <v>816</v>
      </c>
      <c r="M16" s="45">
        <f>L16/$L$14</f>
        <v>0.33224755700325731</v>
      </c>
      <c r="N16" s="30">
        <f>SUMIFS('Extraction Offre de services'!G:G,'Extraction Offre de services'!D:D,"bourgogne-franche-comte", 'Extraction Offre de services'!F:F,"restauration", 'Extraction Offre de services'!B:B,"2014")</f>
        <v>4.399814471243042</v>
      </c>
      <c r="O16" s="23">
        <f>SUMIFS('Extraction Offre de services'!I:I,'Extraction Offre de services'!D:D,"bourgogne-franche-comte", 'Extraction Offre de services'!F:F,"restauration", 'Extraction Offre de services'!B:B,"2014")</f>
        <v>539</v>
      </c>
      <c r="P16" s="45">
        <f>O16/$O$14</f>
        <v>1</v>
      </c>
      <c r="Q16" s="29">
        <f>SUMIFS('Extraction Offre de services'!G:G,'Extraction Offre de services'!D:D,"bourgogne-franche-comte", 'Extraction Offre de services'!F:F,"restauration", 'Extraction Offre de services'!B:B,"2013")</f>
        <v>4.3572507552870086</v>
      </c>
      <c r="R16" s="23">
        <f>SUMIFS('Extraction Offre de services'!I:I,'Extraction Offre de services'!D:D,"bourgogne-franche-comte", 'Extraction Offre de services'!F:F,"restauration", 'Extraction Offre de services'!B:B,"2013")</f>
        <v>331</v>
      </c>
      <c r="S16" s="42">
        <f>R16/$R$14</f>
        <v>1</v>
      </c>
    </row>
    <row r="17" spans="2:19" s="65" customFormat="1" x14ac:dyDescent="0.25">
      <c r="B17" s="68" t="s">
        <v>9</v>
      </c>
      <c r="C17" s="68" t="s">
        <v>48</v>
      </c>
      <c r="D17" s="68" t="s">
        <v>125</v>
      </c>
      <c r="E17" s="70">
        <f>SUMIFS('Extraction Offre de services'!L:L,'Extraction Offre de services'!D:D,"bourgogne-franche-comte", 'Extraction Offre de services'!F:F,"restauration", 'Extraction Offre de services'!B:B,"2017")</f>
        <v>4.414322250639386</v>
      </c>
      <c r="F17" s="71"/>
      <c r="G17" s="72"/>
      <c r="H17" s="70">
        <f>SUMIFS('Extraction Offre de services'!L:L,'Extraction Offre de services'!D:D,"bourgogne-franche-comte", 'Extraction Offre de services'!F:F,"restauration", 'Extraction Offre de services'!B:B,"2016")</f>
        <v>4.416354556803995</v>
      </c>
      <c r="I17" s="71"/>
      <c r="J17" s="72"/>
      <c r="K17" s="70">
        <f>SUMIFS('Extraction Offre de services'!L:L,'Extraction Offre de services'!D:D,"bourgogne-franche-comte", 'Extraction Offre de services'!F:F,"restauration", 'Extraction Offre de services'!B:B,"2015")</f>
        <v>4.403186274509804</v>
      </c>
      <c r="L17" s="68"/>
      <c r="M17" s="72"/>
      <c r="N17" s="70">
        <f>SUMIFS('Extraction Offre de services'!L:L,'Extraction Offre de services'!D:D,"bourgogne-franche-comte", 'Extraction Offre de services'!F:F,"restauration", 'Extraction Offre de services'!B:B,"2014")</f>
        <v>4.3896103896103886</v>
      </c>
      <c r="O17" s="68"/>
      <c r="P17" s="68"/>
      <c r="Q17" s="73">
        <f>SUMIFS('Extraction Offre de services'!L:L,'Extraction Offre de services'!D:D,"bourgogne-franche-comte", 'Extraction Offre de services'!F:F,"restauration", 'Extraction Offre de services'!B:B,"2013")</f>
        <v>4.3685800604229614</v>
      </c>
      <c r="R17" s="68"/>
      <c r="S17" s="68"/>
    </row>
    <row r="18" spans="2:19" s="65" customFormat="1" x14ac:dyDescent="0.25">
      <c r="B18" s="68" t="s">
        <v>9</v>
      </c>
      <c r="C18" s="68" t="s">
        <v>48</v>
      </c>
      <c r="D18" s="68" t="s">
        <v>127</v>
      </c>
      <c r="E18" s="70">
        <f>SUMIFS('Extraction Offre de services'!N:N,'Extraction Offre de services'!D:D,"bourgogne-franche-comte", 'Extraction Offre de services'!F:F,"restauration", 'Extraction Offre de services'!B:B,"2017")</f>
        <v>4.4066496163682869</v>
      </c>
      <c r="F18" s="68"/>
      <c r="G18" s="72"/>
      <c r="H18" s="70">
        <f>SUMIFS('Extraction Offre de services'!N:N,'Extraction Offre de services'!D:D,"bourgogne-franche-comte", 'Extraction Offre de services'!F:F,"restauration", 'Extraction Offre de services'!B:B,"2016")</f>
        <v>4.4469413233458175</v>
      </c>
      <c r="I18" s="68"/>
      <c r="J18" s="72"/>
      <c r="K18" s="70">
        <f>SUMIFS('Extraction Offre de services'!N:N,'Extraction Offre de services'!D:D,"bourgogne-franche-comte", 'Extraction Offre de services'!F:F,"restauration", 'Extraction Offre de services'!B:B,"2015")</f>
        <v>4.4399509803921573</v>
      </c>
      <c r="L18" s="68"/>
      <c r="M18" s="72"/>
      <c r="N18" s="70">
        <f>SUMIFS('Extraction Offre de services'!N:N,'Extraction Offre de services'!D:D,"bourgogne-franche-comte", 'Extraction Offre de services'!F:F,"restauration", 'Extraction Offre de services'!B:B,"2014")</f>
        <v>4.4805194805194803</v>
      </c>
      <c r="O18" s="68"/>
      <c r="P18" s="72"/>
      <c r="Q18" s="70">
        <f>SUMIFS('Extraction Offre de services'!N:N,'Extraction Offre de services'!D:D,"bourgogne-franche-comte", 'Extraction Offre de services'!F:F,"restauration", 'Extraction Offre de services'!B:B,"2013")</f>
        <v>4.3927492447129906</v>
      </c>
      <c r="R18" s="68"/>
      <c r="S18" s="68"/>
    </row>
    <row r="19" spans="2:19" s="65" customFormat="1" x14ac:dyDescent="0.25">
      <c r="B19" s="68" t="s">
        <v>9</v>
      </c>
      <c r="C19" s="68" t="s">
        <v>48</v>
      </c>
      <c r="D19" s="68" t="s">
        <v>126</v>
      </c>
      <c r="E19" s="70">
        <f>SUMIFS('Extraction Offre de services'!P:P,'Extraction Offre de services'!D:D,"bourgogne-franche-comte", 'Extraction Offre de services'!F:F,"restauration", 'Extraction Offre de services'!B:B,"2017")</f>
        <v>4.1483375959079281</v>
      </c>
      <c r="F19" s="68"/>
      <c r="G19" s="72"/>
      <c r="H19" s="70">
        <f>SUMIFS('Extraction Offre de services'!P:P,'Extraction Offre de services'!D:D,"bourgogne-franche-comte", 'Extraction Offre de services'!F:F,"restauration", 'Extraction Offre de services'!B:B,"2016")</f>
        <v>4.1622971285892643</v>
      </c>
      <c r="I19" s="68"/>
      <c r="J19" s="72"/>
      <c r="K19" s="70">
        <f>SUMIFS('Extraction Offre de services'!P:P,'Extraction Offre de services'!D:D,"bourgogne-franche-comte", 'Extraction Offre de services'!F:F,"restauration", 'Extraction Offre de services'!B:B,"2015")</f>
        <v>4.1960784313725492</v>
      </c>
      <c r="L19" s="68"/>
      <c r="M19" s="72"/>
      <c r="N19" s="70">
        <f>SUMIFS('Extraction Offre de services'!P:P,'Extraction Offre de services'!D:D,"bourgogne-franche-comte", 'Extraction Offre de services'!F:F,"restauration", 'Extraction Offre de services'!B:B,"2014")</f>
        <v>4.3395176252319105</v>
      </c>
      <c r="O19" s="68"/>
      <c r="P19" s="72"/>
      <c r="Q19" s="70">
        <f>SUMIFS('Extraction Offre de services'!P:P,'Extraction Offre de services'!D:D,"bourgogne-franche-comte", 'Extraction Offre de services'!F:F,"restauration", 'Extraction Offre de services'!B:B,"2013")</f>
        <v>4.2990936555891235</v>
      </c>
      <c r="R19" s="68"/>
      <c r="S19" s="68"/>
    </row>
  </sheetData>
  <mergeCells count="8">
    <mergeCell ref="Q2:S2"/>
    <mergeCell ref="B2:B3"/>
    <mergeCell ref="C2:C3"/>
    <mergeCell ref="E2:G2"/>
    <mergeCell ref="H2:J2"/>
    <mergeCell ref="K2:M2"/>
    <mergeCell ref="N2:P2"/>
    <mergeCell ref="D2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workbookViewId="0">
      <selection activeCell="K21" sqref="B20:K21"/>
    </sheetView>
  </sheetViews>
  <sheetFormatPr baseColWidth="10" defaultRowHeight="15" x14ac:dyDescent="0.25"/>
  <cols>
    <col min="1" max="1" width="1.5703125" customWidth="1"/>
    <col min="2" max="2" width="15.7109375" bestFit="1" customWidth="1"/>
    <col min="3" max="3" width="22.140625" bestFit="1" customWidth="1"/>
    <col min="4" max="4" width="12.7109375" customWidth="1"/>
    <col min="5" max="5" width="15" customWidth="1"/>
    <col min="6" max="7" width="8.7109375" customWidth="1"/>
    <col min="9" max="10" width="8.7109375" customWidth="1"/>
    <col min="12" max="13" width="8.7109375" customWidth="1"/>
    <col min="15" max="16" width="8.7109375" customWidth="1"/>
    <col min="18" max="19" width="8.7109375" customWidth="1"/>
  </cols>
  <sheetData>
    <row r="2" spans="2:19" x14ac:dyDescent="0.25">
      <c r="B2" s="62" t="s">
        <v>86</v>
      </c>
      <c r="C2" s="62" t="s">
        <v>87</v>
      </c>
      <c r="D2" s="62" t="s">
        <v>128</v>
      </c>
      <c r="E2" s="60">
        <v>2017</v>
      </c>
      <c r="F2" s="60"/>
      <c r="G2" s="61"/>
      <c r="H2" s="59">
        <v>2016</v>
      </c>
      <c r="I2" s="63"/>
      <c r="J2" s="61"/>
      <c r="K2" s="59">
        <v>2015</v>
      </c>
      <c r="L2" s="63"/>
      <c r="M2" s="61"/>
      <c r="N2" s="59">
        <v>2014</v>
      </c>
      <c r="O2" s="60"/>
      <c r="P2" s="61"/>
      <c r="Q2" s="59">
        <v>2013</v>
      </c>
      <c r="R2" s="60"/>
      <c r="S2" s="60"/>
    </row>
    <row r="3" spans="2:19" ht="30" x14ac:dyDescent="0.25">
      <c r="B3" s="62"/>
      <c r="C3" s="62"/>
      <c r="D3" s="62"/>
      <c r="E3" s="32" t="s">
        <v>95</v>
      </c>
      <c r="F3" s="32" t="s">
        <v>119</v>
      </c>
      <c r="G3" s="41" t="s">
        <v>120</v>
      </c>
      <c r="H3" s="32" t="s">
        <v>95</v>
      </c>
      <c r="I3" s="32" t="s">
        <v>119</v>
      </c>
      <c r="J3" s="41" t="s">
        <v>120</v>
      </c>
      <c r="K3" s="32" t="s">
        <v>95</v>
      </c>
      <c r="L3" s="32" t="s">
        <v>119</v>
      </c>
      <c r="M3" s="41" t="s">
        <v>120</v>
      </c>
      <c r="N3" s="32" t="s">
        <v>95</v>
      </c>
      <c r="O3" s="32" t="s">
        <v>119</v>
      </c>
      <c r="P3" s="41" t="s">
        <v>120</v>
      </c>
      <c r="Q3" s="32" t="s">
        <v>95</v>
      </c>
      <c r="R3" s="32" t="s">
        <v>119</v>
      </c>
      <c r="S3" s="32" t="s">
        <v>120</v>
      </c>
    </row>
    <row r="4" spans="2:19" x14ac:dyDescent="0.25">
      <c r="B4" s="16" t="s">
        <v>88</v>
      </c>
      <c r="C4" s="8" t="s">
        <v>101</v>
      </c>
      <c r="D4" s="8"/>
      <c r="E4" s="51">
        <f>AVERAGE(E5,E10,E14)</f>
        <v>4.2321451423106531</v>
      </c>
      <c r="F4" s="46">
        <f>Pondération!F28</f>
        <v>11047</v>
      </c>
      <c r="G4" s="47"/>
      <c r="H4" s="51">
        <f>AVERAGE(H5,H10,H14)</f>
        <v>4.2110291499368513</v>
      </c>
      <c r="I4" s="10">
        <f>Pondération!G28</f>
        <v>24744</v>
      </c>
      <c r="J4" s="40"/>
      <c r="K4" s="51">
        <f>AVERAGE(K5,K10,K14)</f>
        <v>4.2154119451360721</v>
      </c>
      <c r="L4" s="46">
        <f>Pondération!H28</f>
        <v>11812</v>
      </c>
      <c r="M4" s="37"/>
      <c r="N4" s="51">
        <f>AVERAGE(N5,N10,N14)</f>
        <v>4.297008666437967</v>
      </c>
      <c r="O4" s="10">
        <f>Pondération!I28</f>
        <v>4151</v>
      </c>
      <c r="P4" s="40"/>
      <c r="Q4" s="51">
        <f>AVERAGE(Q5,Q10,Q14)</f>
        <v>4.2988507291875884</v>
      </c>
      <c r="R4" s="10">
        <f>Pondération!J28</f>
        <v>2015</v>
      </c>
      <c r="S4" s="28"/>
    </row>
    <row r="5" spans="2:19" x14ac:dyDescent="0.25">
      <c r="B5" s="17" t="s">
        <v>78</v>
      </c>
      <c r="C5" s="4" t="s">
        <v>101</v>
      </c>
      <c r="D5" s="4"/>
      <c r="E5" s="50">
        <f>(E6*G6)+(E7*G7)+(E8*G8)+(E9*G9)</f>
        <v>4.4686038744154972</v>
      </c>
      <c r="F5" s="34">
        <f>SUMIFS('Extraction Offre de loisirs'!I:I,'Extraction Offre de loisirs'!D:D,"bretagne", 'Extraction Offre de loisirs'!E:E,"offre de loisirs", 'Extraction Offre de loisirs'!B:B,"2017")</f>
        <v>2994</v>
      </c>
      <c r="G5" s="38">
        <f>F5/$F$4</f>
        <v>0.27102380736851633</v>
      </c>
      <c r="H5" s="50">
        <f>(H6*J6)+(H7*J7)+(H8*J8)+(H9*J9)</f>
        <v>4.4567909543680164</v>
      </c>
      <c r="I5" s="34">
        <f>SUMIFS('Extraction Offre de loisirs'!I:I,'Extraction Offre de loisirs'!D:D,"bretagne", 'Extraction Offre de loisirs'!E:E,"offre de loisirs", 'Extraction Offre de loisirs'!B:B,"2016")</f>
        <v>7429</v>
      </c>
      <c r="J5" s="38">
        <f>I5/$I$4</f>
        <v>0.30023440025864856</v>
      </c>
      <c r="K5" s="50">
        <f>(K6*M6)+(K7*M7)+(K8*M8)+(K9*M9)</f>
        <v>4.4243834341554216</v>
      </c>
      <c r="L5" s="34">
        <f>SUMIFS('Extraction Offre de loisirs'!I:I,'Extraction Offre de loisirs'!D:D,"bretagne", 'Extraction Offre de loisirs'!E:E,"offre de loisirs", 'Extraction Offre de loisirs'!B:B,"2015")</f>
        <v>4298</v>
      </c>
      <c r="M5" s="38">
        <f>L5/$L$4</f>
        <v>0.36386725364036571</v>
      </c>
      <c r="N5" s="50">
        <f>(N6*P6)+(N7*P7)+(N8*P8)+(N9*P9)</f>
        <v>4.4013120365088421</v>
      </c>
      <c r="O5" s="11">
        <f>SUMIFS('Extraction Offre de loisirs'!I:I,'Extraction Offre de loisirs'!D:D,"bretagne", 'Extraction Offre de loisirs'!E:E,"offre de loisirs", 'Extraction Offre de loisirs'!B:B,"2014")</f>
        <v>1753</v>
      </c>
      <c r="P5" s="38">
        <f>O5/$O$4</f>
        <v>0.42230787761985061</v>
      </c>
      <c r="Q5" s="50">
        <f>(Q6*S6)+(Q7*S7)+(Q8*S8)+(Q9*S9)</f>
        <v>4.3783359497645202</v>
      </c>
      <c r="R5" s="11">
        <f>SUMIFS('Extraction Offre de loisirs'!I:I,'Extraction Offre de loisirs'!D:D,"bretagne", 'Extraction Offre de loisirs'!E:E,"offre de loisirs", 'Extraction Offre de loisirs'!B:B,"2013")</f>
        <v>637</v>
      </c>
      <c r="S5" s="35">
        <f>R5/$R$4</f>
        <v>0.31612903225806449</v>
      </c>
    </row>
    <row r="6" spans="2:19" x14ac:dyDescent="0.25">
      <c r="B6" s="15" t="s">
        <v>78</v>
      </c>
      <c r="C6" s="2" t="s">
        <v>79</v>
      </c>
      <c r="D6" s="2"/>
      <c r="E6" s="29">
        <f>SUMIFS('Extraction Offre de loisirs'!G:G,'Extraction Offre de loisirs'!D:D,"bretagne", 'Extraction Offre de loisirs'!F:F,"activites de plein air", 'Extraction Offre de loisirs'!B:B,"2017")</f>
        <v>4.4541693189051559</v>
      </c>
      <c r="F6" s="33">
        <f>SUMIFS('Extraction Offre de loisirs'!I:I,'Extraction Offre de loisirs'!D:D,"bretagne", 'Extraction Offre de loisirs'!F:F,"activites de plein air", 'Extraction Offre de loisirs'!B:B,"2017")</f>
        <v>1571</v>
      </c>
      <c r="G6" s="39">
        <f>F6/$F$5</f>
        <v>0.52471609886439541</v>
      </c>
      <c r="H6" s="30">
        <f>SUMIFS('Extraction Offre de loisirs'!G:G,'Extraction Offre de loisirs'!D:D,"bretagne", 'Extraction Offre de loisirs'!F:F,"activites de plein air", 'Extraction Offre de loisirs'!B:B,"2016")</f>
        <v>4.4605905603348051</v>
      </c>
      <c r="I6" s="33">
        <f>SUMIFS('Extraction Offre de loisirs'!I:I,'Extraction Offre de loisirs'!D:D,"bretagne", 'Extraction Offre de loisirs'!F:F,"activites de plein air", 'Extraction Offre de loisirs'!B:B,"2016")</f>
        <v>4301</v>
      </c>
      <c r="J6" s="39">
        <f>I6/$I$5</f>
        <v>0.57894736842105265</v>
      </c>
      <c r="K6" s="29">
        <f>SUMIFS('Extraction Offre de loisirs'!G:G,'Extraction Offre de loisirs'!D:D,"bretagne", 'Extraction Offre de loisirs'!F:F,"activites de plein air", 'Extraction Offre de loisirs'!B:B,"2015")</f>
        <v>4.4572667217175885</v>
      </c>
      <c r="L6" s="33">
        <f>SUMIFS('Extraction Offre de loisirs'!I:I,'Extraction Offre de loisirs'!D:D,"bretagne", 'Extraction Offre de loisirs'!F:F,"activites de plein air", 'Extraction Offre de loisirs'!B:B,"2015")</f>
        <v>2422</v>
      </c>
      <c r="M6" s="39">
        <f>L6/$L$5</f>
        <v>0.56351791530944628</v>
      </c>
      <c r="N6" s="30">
        <f>SUMIFS('Extraction Offre de loisirs'!G:G,'Extraction Offre de loisirs'!D:D,"bretagne", 'Extraction Offre de loisirs'!F:F,"activites de plein air", 'Extraction Offre de loisirs'!B:B,"2014")</f>
        <v>4.4368466898954706</v>
      </c>
      <c r="O6" s="33">
        <f>SUMIFS('Extraction Offre de loisirs'!I:I,'Extraction Offre de loisirs'!D:D,"bretagne", 'Extraction Offre de loisirs'!F:F,"activites de plein air", 'Extraction Offre de loisirs'!B:B,"2014")</f>
        <v>1148</v>
      </c>
      <c r="P6" s="39">
        <f>O6/$O$5</f>
        <v>0.65487735310895612</v>
      </c>
      <c r="Q6" s="29">
        <f>SUMIFS('Extraction Offre de loisirs'!G:G,'Extraction Offre de loisirs'!D:D,"bretagne", 'Extraction Offre de loisirs'!F:F,"activites de plein air", 'Extraction Offre de loisirs'!B:B,"2013")</f>
        <v>4.376344086021505</v>
      </c>
      <c r="R6" s="33">
        <f>SUMIFS('Extraction Offre de loisirs'!I:I,'Extraction Offre de loisirs'!D:D,"bretagne", 'Extraction Offre de loisirs'!F:F,"activites de plein air", 'Extraction Offre de loisirs'!B:B,"2013")</f>
        <v>465</v>
      </c>
      <c r="S6" s="31">
        <f>R6/$R$5</f>
        <v>0.72998430141287285</v>
      </c>
    </row>
    <row r="7" spans="2:19" x14ac:dyDescent="0.25">
      <c r="B7" s="15" t="s">
        <v>78</v>
      </c>
      <c r="C7" s="2" t="s">
        <v>81</v>
      </c>
      <c r="D7" s="2"/>
      <c r="E7" s="29">
        <f>SUMIFS('Extraction Offre de loisirs'!G:G,'Extraction Offre de loisirs'!D:D,"bretagne", 'Extraction Offre de loisirs'!F:F,"jeux et divertissements", 'Extraction Offre de loisirs'!B:B,"2017")</f>
        <v>4.5276564774381374</v>
      </c>
      <c r="F7" s="33">
        <f>SUMIFS('Extraction Offre de loisirs'!I:I,'Extraction Offre de loisirs'!D:D,"bretagne", 'Extraction Offre de loisirs'!F:F,"jeux et divertissements", 'Extraction Offre de loisirs'!B:B,"2017")</f>
        <v>687</v>
      </c>
      <c r="G7" s="39">
        <f>F7/$F$5</f>
        <v>0.22945891783567135</v>
      </c>
      <c r="H7" s="30">
        <f>SUMIFS('Extraction Offre de loisirs'!G:G,'Extraction Offre de loisirs'!D:D,"bretagne", 'Extraction Offre de loisirs'!F:F,"jeux et divertissements", 'Extraction Offre de loisirs'!B:B,"2016")</f>
        <v>4.4332827899924183</v>
      </c>
      <c r="I7" s="33">
        <f>SUMIFS('Extraction Offre de loisirs'!I:I,'Extraction Offre de loisirs'!D:D,"bretagne", 'Extraction Offre de loisirs'!F:F,"jeux et divertissements", 'Extraction Offre de loisirs'!B:B,"2016")</f>
        <v>1319</v>
      </c>
      <c r="J7" s="39">
        <f>I7/$I$5</f>
        <v>0.1775474491856239</v>
      </c>
      <c r="K7" s="29">
        <f>SUMIFS('Extraction Offre de loisirs'!G:G,'Extraction Offre de loisirs'!D:D,"bretagne", 'Extraction Offre de loisirs'!F:F,"jeux et divertissements", 'Extraction Offre de loisirs'!B:B,"2015")</f>
        <v>4.2950108459869849</v>
      </c>
      <c r="L7" s="33">
        <f>SUMIFS('Extraction Offre de loisirs'!I:I,'Extraction Offre de loisirs'!D:D,"bretagne", 'Extraction Offre de loisirs'!F:F,"jeux et divertissements", 'Extraction Offre de loisirs'!B:B,"2015")</f>
        <v>922</v>
      </c>
      <c r="M7" s="39">
        <f>L7/$L$5</f>
        <v>0.21451838064215914</v>
      </c>
      <c r="N7" s="30">
        <f>SUMIFS('Extraction Offre de loisirs'!G:G,'Extraction Offre de loisirs'!D:D,"bretagne", 'Extraction Offre de loisirs'!F:F,"jeux et divertissements", 'Extraction Offre de loisirs'!B:B,"2014")</f>
        <v>4.2923728813559325</v>
      </c>
      <c r="O7" s="33">
        <f>SUMIFS('Extraction Offre de loisirs'!I:I,'Extraction Offre de loisirs'!D:D,"bretagne", 'Extraction Offre de loisirs'!F:F,"jeux et divertissements", 'Extraction Offre de loisirs'!B:B,"2014")</f>
        <v>354</v>
      </c>
      <c r="P7" s="39">
        <f>O7/$O$5</f>
        <v>0.20193953223046207</v>
      </c>
      <c r="Q7" s="29">
        <f>SUMIFS('Extraction Offre de loisirs'!G:G,'Extraction Offre de loisirs'!D:D,"bretagne", 'Extraction Offre de loisirs'!F:F,"jeux et divertissements", 'Extraction Offre de loisirs'!B:B,"2013")</f>
        <v>4.3831775700934568</v>
      </c>
      <c r="R7" s="33">
        <f>SUMIFS('Extraction Offre de loisirs'!I:I,'Extraction Offre de loisirs'!D:D,"bretagne", 'Extraction Offre de loisirs'!F:F,"jeux et divertissements", 'Extraction Offre de loisirs'!B:B,"2013")</f>
        <v>107</v>
      </c>
      <c r="S7" s="31">
        <f>R7/$R$5</f>
        <v>0.16797488226059654</v>
      </c>
    </row>
    <row r="8" spans="2:19" x14ac:dyDescent="0.25">
      <c r="B8" s="15" t="s">
        <v>78</v>
      </c>
      <c r="C8" s="2" t="s">
        <v>83</v>
      </c>
      <c r="D8" s="2"/>
      <c r="E8" s="29">
        <f>SUMIFS('Extraction Offre de loisirs'!G:G,'Extraction Offre de loisirs'!D:D,"bretagne", 'Extraction Offre de loisirs'!F:F,"shopping", 'Extraction Offre de loisirs'!B:B,"2017")</f>
        <v>4.4522727272727272</v>
      </c>
      <c r="F8" s="33">
        <f>SUMIFS('Extraction Offre de loisirs'!I:I,'Extraction Offre de loisirs'!D:D,"bretagne", 'Extraction Offre de loisirs'!F:F,"shopping", 'Extraction Offre de loisirs'!B:B,"2017")</f>
        <v>440</v>
      </c>
      <c r="G8" s="39">
        <f>F8/$F$5</f>
        <v>0.14696058784235136</v>
      </c>
      <c r="H8" s="30">
        <f>SUMIFS('Extraction Offre de loisirs'!G:G,'Extraction Offre de loisirs'!D:D,"bretagne", 'Extraction Offre de loisirs'!F:F,"shopping", 'Extraction Offre de loisirs'!B:B,"2016")</f>
        <v>4.4881786339754814</v>
      </c>
      <c r="I8" s="33">
        <f>SUMIFS('Extraction Offre de loisirs'!I:I,'Extraction Offre de loisirs'!D:D,"bretagne", 'Extraction Offre de loisirs'!F:F,"shopping", 'Extraction Offre de loisirs'!B:B,"2016")</f>
        <v>1142</v>
      </c>
      <c r="J8" s="39">
        <f>I8/$I$5</f>
        <v>0.15372190065957733</v>
      </c>
      <c r="K8" s="29">
        <f>SUMIFS('Extraction Offre de loisirs'!G:G,'Extraction Offre de loisirs'!D:D,"bretagne", 'Extraction Offre de loisirs'!F:F,"shopping", 'Extraction Offre de loisirs'!B:B,"2015")</f>
        <v>4.510018214936248</v>
      </c>
      <c r="L8" s="33">
        <f>SUMIFS('Extraction Offre de loisirs'!I:I,'Extraction Offre de loisirs'!D:D,"bretagne", 'Extraction Offre de loisirs'!F:F,"shopping", 'Extraction Offre de loisirs'!B:B,"2015")</f>
        <v>549</v>
      </c>
      <c r="M8" s="39">
        <f>L8/$L$5</f>
        <v>0.12773382968822708</v>
      </c>
      <c r="N8" s="30">
        <f>SUMIFS('Extraction Offre de loisirs'!G:G,'Extraction Offre de loisirs'!D:D,"bretagne", 'Extraction Offre de loisirs'!F:F,"shopping", 'Extraction Offre de loisirs'!B:B,"2014")</f>
        <v>4.4702970297029703</v>
      </c>
      <c r="O8" s="33">
        <f>SUMIFS('Extraction Offre de loisirs'!I:I,'Extraction Offre de loisirs'!D:D,"bretagne", 'Extraction Offre de loisirs'!F:F,"shopping", 'Extraction Offre de loisirs'!B:B,"2014")</f>
        <v>101</v>
      </c>
      <c r="P8" s="39">
        <f>O8/$O$5</f>
        <v>5.7615516257843696E-2</v>
      </c>
      <c r="Q8" s="29">
        <f>SUMIFS('Extraction Offre de loisirs'!G:G,'Extraction Offre de loisirs'!D:D,"bretagne", 'Extraction Offre de loisirs'!F:F,"shopping", 'Extraction Offre de loisirs'!B:B,"2013")</f>
        <v>4.5374999999999996</v>
      </c>
      <c r="R8" s="33">
        <f>SUMIFS('Extraction Offre de loisirs'!I:I,'Extraction Offre de loisirs'!D:D,"bretagne", 'Extraction Offre de loisirs'!F:F,"shopping", 'Extraction Offre de loisirs'!B:B,"2013")</f>
        <v>40</v>
      </c>
      <c r="S8" s="31">
        <f>R8/$R$5</f>
        <v>6.2794348508634218E-2</v>
      </c>
    </row>
    <row r="9" spans="2:19" x14ac:dyDescent="0.25">
      <c r="B9" s="15" t="s">
        <v>78</v>
      </c>
      <c r="C9" s="2" t="s">
        <v>84</v>
      </c>
      <c r="D9" s="2"/>
      <c r="E9" s="29">
        <f>SUMIFS('Extraction Offre de loisirs'!G:G,'Extraction Offre de loisirs'!D:D,"bretagne", 'Extraction Offre de loisirs'!F:F,"vie nocturne", 'Extraction Offre de loisirs'!B:B,"2017")</f>
        <v>4.4324324324324316</v>
      </c>
      <c r="F9" s="33">
        <f>SUMIFS('Extraction Offre de loisirs'!I:I,'Extraction Offre de loisirs'!D:D,"bretagne", 'Extraction Offre de loisirs'!F:F,"vie nocturne", 'Extraction Offre de loisirs'!B:B,"2017")</f>
        <v>296</v>
      </c>
      <c r="G9" s="39">
        <f>F9/$F$5</f>
        <v>9.8864395457581827E-2</v>
      </c>
      <c r="H9" s="30">
        <f>SUMIFS('Extraction Offre de loisirs'!G:G,'Extraction Offre de loisirs'!D:D,"bretagne", 'Extraction Offre de loisirs'!F:F,"vie nocturne", 'Extraction Offre de loisirs'!B:B,"2016")</f>
        <v>4.4250374812593698</v>
      </c>
      <c r="I9" s="33">
        <f>SUMIFS('Extraction Offre de loisirs'!I:I,'Extraction Offre de loisirs'!D:D,"bretagne", 'Extraction Offre de loisirs'!F:F,"vie nocturne", 'Extraction Offre de loisirs'!B:B,"2016")</f>
        <v>667</v>
      </c>
      <c r="J9" s="39">
        <f>I9/$I$5</f>
        <v>8.9783281733746126E-2</v>
      </c>
      <c r="K9" s="29">
        <f>SUMIFS('Extraction Offre de loisirs'!G:G,'Extraction Offre de loisirs'!D:D,"bretagne", 'Extraction Offre de loisirs'!F:F,"vie nocturne", 'Extraction Offre de loisirs'!B:B,"2015")</f>
        <v>4.4061728395061728</v>
      </c>
      <c r="L9" s="33">
        <f>SUMIFS('Extraction Offre de loisirs'!I:I,'Extraction Offre de loisirs'!D:D,"bretagne", 'Extraction Offre de loisirs'!F:F,"vie nocturne", 'Extraction Offre de loisirs'!B:B,"2015")</f>
        <v>405</v>
      </c>
      <c r="M9" s="39">
        <f>L9/$L$5</f>
        <v>9.4229874360167526E-2</v>
      </c>
      <c r="N9" s="30">
        <f>SUMIFS('Extraction Offre de loisirs'!G:G,'Extraction Offre de loisirs'!D:D,"bretagne", 'Extraction Offre de loisirs'!F:F,"vie nocturne", 'Extraction Offre de loisirs'!B:B,"2014")</f>
        <v>4.3400000000000007</v>
      </c>
      <c r="O9" s="33">
        <f>SUMIFS('Extraction Offre de loisirs'!I:I,'Extraction Offre de loisirs'!D:D,"bretagne", 'Extraction Offre de loisirs'!F:F,"vie nocturne", 'Extraction Offre de loisirs'!B:B,"2014")</f>
        <v>150</v>
      </c>
      <c r="P9" s="39">
        <f>O9/$O$5</f>
        <v>8.5567598402738157E-2</v>
      </c>
      <c r="Q9" s="29">
        <f>SUMIFS('Extraction Offre de loisirs'!G:G,'Extraction Offre de loisirs'!D:D,"bretagne", 'Extraction Offre de loisirs'!F:F,"vie nocturne", 'Extraction Offre de loisirs'!B:B,"2013")</f>
        <v>4.1400000000000006</v>
      </c>
      <c r="R9" s="33">
        <f>SUMIFS('Extraction Offre de loisirs'!I:I,'Extraction Offre de loisirs'!D:D,"bretagne", 'Extraction Offre de loisirs'!F:F,"vie nocturne", 'Extraction Offre de loisirs'!B:B,"2013")</f>
        <v>25</v>
      </c>
      <c r="S9" s="31">
        <f>R9/$R$5</f>
        <v>3.924646781789639E-2</v>
      </c>
    </row>
    <row r="10" spans="2:19" x14ac:dyDescent="0.25">
      <c r="B10" s="17" t="s">
        <v>82</v>
      </c>
      <c r="C10" s="4" t="s">
        <v>101</v>
      </c>
      <c r="D10" s="4"/>
      <c r="E10" s="50">
        <f>(E11*G11)+(E12*G12)+(E13*G13)</f>
        <v>4.0846325167037856</v>
      </c>
      <c r="F10" s="34">
        <f>SUMIFS('Extraction Patrimoine'!I:I,'Extraction Patrimoine'!D:D,"bretagne", 'Extraction Patrimoine'!E:E,"patrimoine", 'Extraction Patrimoine'!B:B,"2017")</f>
        <v>2245</v>
      </c>
      <c r="G10" s="38">
        <f>F10/$F$4</f>
        <v>0.20322259436951209</v>
      </c>
      <c r="H10" s="50">
        <f>(H11*J11)+(H12*J12)+(H13*J13)</f>
        <v>4.0826080317605742</v>
      </c>
      <c r="I10" s="11">
        <f>SUMIFS('Extraction Patrimoine'!I:I,'Extraction Patrimoine'!D:D,"bretagne", 'Extraction Patrimoine'!E:E,"patrimoine", 'Extraction Patrimoine'!B:B,"2016")</f>
        <v>6549</v>
      </c>
      <c r="J10" s="48">
        <f>I10/$I$4</f>
        <v>0.26467022308438409</v>
      </c>
      <c r="K10" s="50">
        <f>(K11*M11)+(K12*M12)+(K13*M13)</f>
        <v>4.0750516410374109</v>
      </c>
      <c r="L10" s="34">
        <f>SUMIFS('Extraction Patrimoine'!I:I,'Extraction Patrimoine'!D:D,"bretagne", 'Extraction Patrimoine'!E:E,"patrimoine", 'Extraction Patrimoine'!B:B,"2015")</f>
        <v>4357</v>
      </c>
      <c r="M10" s="38">
        <f>L10/$L$4</f>
        <v>0.36886217406027766</v>
      </c>
      <c r="N10" s="50">
        <f>(N11*P11)+(N12*P12)+(N13*P13)</f>
        <v>4.0731843575418996</v>
      </c>
      <c r="O10" s="11">
        <f>SUMIFS('Extraction Patrimoine'!I:I,'Extraction Patrimoine'!D:D,"bretagne", 'Extraction Patrimoine'!E:E,"patrimoine", 'Extraction Patrimoine'!B:B,"2014")</f>
        <v>1790</v>
      </c>
      <c r="P10" s="48">
        <f>O10/$O$4</f>
        <v>0.43122139243555768</v>
      </c>
      <c r="Q10" s="50">
        <f>(Q11*S11)+(Q12*S12)+(Q13*S13)</f>
        <v>4.0928641251221896</v>
      </c>
      <c r="R10" s="11">
        <f>SUMIFS('Extraction Patrimoine'!I:I,'Extraction Patrimoine'!D:D,"bretagne", 'Extraction Patrimoine'!E:E,"patrimoine", 'Extraction Patrimoine'!B:B,"2013")</f>
        <v>1023</v>
      </c>
      <c r="S10" s="49">
        <f>R10/$R$4</f>
        <v>0.50769230769230766</v>
      </c>
    </row>
    <row r="11" spans="2:19" x14ac:dyDescent="0.25">
      <c r="B11" s="15" t="s">
        <v>82</v>
      </c>
      <c r="C11" s="15" t="s">
        <v>98</v>
      </c>
      <c r="D11" s="15"/>
      <c r="E11" s="29">
        <f>SUMIFS('Extraction Patrimoine'!G:G,'Extraction Patrimoine'!D:D,"bretagne", 'Extraction Patrimoine'!F:F,"nature et parcs", 'Extraction Patrimoine'!B:B,"2017")</f>
        <v>4.0846325167037856</v>
      </c>
      <c r="F11" s="23">
        <f>SUMIFS('Extraction Patrimoine'!I:I,'Extraction Patrimoine'!D:D,"bretagne", 'Extraction Patrimoine'!F:F,"nature et parcs", 'Extraction Patrimoine'!B:B,"2017")</f>
        <v>2245</v>
      </c>
      <c r="G11" s="39">
        <f>F11/$F$10</f>
        <v>1</v>
      </c>
      <c r="H11" s="29">
        <f>SUMIFS('Extraction Patrimoine'!G:G,'Extraction Patrimoine'!D:D,"bretagne", 'Extraction Patrimoine'!F:F,"nature et parcs", 'Extraction Patrimoine'!B:B,"2016")</f>
        <v>4.0826080317605742</v>
      </c>
      <c r="I11" s="23">
        <f>SUMIFS('Extraction Patrimoine'!I:I,'Extraction Patrimoine'!D:D,"bretagne", 'Extraction Patrimoine'!F:F,"nature et parcs", 'Extraction Patrimoine'!B:B,"2016")</f>
        <v>6549</v>
      </c>
      <c r="J11" s="39">
        <f>I11/$I$10</f>
        <v>1</v>
      </c>
      <c r="K11" s="29">
        <f>SUMIFS('Extraction Patrimoine'!G:G,'Extraction Patrimoine'!D:D,"bretagne", 'Extraction Patrimoine'!F:F,"nature et parcs", 'Extraction Patrimoine'!B:B,"2015")</f>
        <v>4.0750516410374109</v>
      </c>
      <c r="L11" s="23">
        <f>SUMIFS('Extraction Patrimoine'!I:I,'Extraction Patrimoine'!D:D,"bretagne", 'Extraction Patrimoine'!F:F,"nature et parcs", 'Extraction Patrimoine'!B:B,"2015")</f>
        <v>4357</v>
      </c>
      <c r="M11" s="39">
        <f>L11/$L$10</f>
        <v>1</v>
      </c>
      <c r="N11" s="29">
        <f>SUMIFS('Extraction Patrimoine'!G:G,'Extraction Patrimoine'!D:D,"bretagne", 'Extraction Patrimoine'!F:F,"nature et parcs", 'Extraction Patrimoine'!B:B,"2014")</f>
        <v>4.0731843575418996</v>
      </c>
      <c r="O11" s="23">
        <f>SUMIFS('Extraction Patrimoine'!I:I,'Extraction Patrimoine'!D:D,"bretagne", 'Extraction Patrimoine'!F:F,"nature et parcs", 'Extraction Patrimoine'!B:B,"2014")</f>
        <v>1790</v>
      </c>
      <c r="P11" s="39">
        <f>O11/$O$10</f>
        <v>1</v>
      </c>
      <c r="Q11" s="29">
        <f>SUMIFS('Extraction Patrimoine'!G:G,'Extraction Patrimoine'!D:D,"bretagne", 'Extraction Patrimoine'!F:F,"nature et parcs", 'Extraction Patrimoine'!B:B,"2013")</f>
        <v>4.0928641251221896</v>
      </c>
      <c r="R11" s="23">
        <f>SUMIFS('Extraction Patrimoine'!I:I,'Extraction Patrimoine'!D:D,"bretagne", 'Extraction Patrimoine'!F:F,"nature et parcs", 'Extraction Patrimoine'!B:B,"2013")</f>
        <v>1023</v>
      </c>
      <c r="S11" s="43">
        <f>R11/$R$10</f>
        <v>1</v>
      </c>
    </row>
    <row r="12" spans="2:19" x14ac:dyDescent="0.25">
      <c r="B12" s="15" t="s">
        <v>82</v>
      </c>
      <c r="C12" s="15" t="s">
        <v>99</v>
      </c>
      <c r="D12" s="15"/>
      <c r="E12" s="29">
        <f>SUMIFS('Extraction Patrimoine'!G:G,'Extraction Patrimoine'!D:D,"bretagne", 'Extraction Patrimoine'!F:F,"musées", 'Extraction Patrimoine'!B:B,"2017")</f>
        <v>0</v>
      </c>
      <c r="F12" s="23">
        <f>SUMIFS('Extraction Patrimoine'!I:I,'Extraction Patrimoine'!D:D,"bretagne", 'Extraction Patrimoine'!F:F,"musées", 'Extraction Patrimoine'!B:B,"2017")</f>
        <v>0</v>
      </c>
      <c r="G12" s="39">
        <f>F12/$F$10</f>
        <v>0</v>
      </c>
      <c r="H12" s="29">
        <f>SUMIFS('Extraction Patrimoine'!G:G,'Extraction Patrimoine'!D:D,"bretagne", 'Extraction Patrimoine'!F:F,"musées", 'Extraction Patrimoine'!B:B,"2016")</f>
        <v>0</v>
      </c>
      <c r="I12" s="23">
        <f>SUMIFS('Extraction Patrimoine'!I:I,'Extraction Patrimoine'!D:D,"bretagne", 'Extraction Patrimoine'!F:F,"musées", 'Extraction Patrimoine'!B:B,"2016")</f>
        <v>0</v>
      </c>
      <c r="J12" s="39">
        <f t="shared" ref="J12:J13" si="0">I12/$I$10</f>
        <v>0</v>
      </c>
      <c r="K12" s="29">
        <f>SUMIFS('Extraction Patrimoine'!G:G,'Extraction Patrimoine'!D:D,"bretagne", 'Extraction Patrimoine'!F:F,"musées", 'Extraction Patrimoine'!B:B,"2015")</f>
        <v>0</v>
      </c>
      <c r="L12" s="23">
        <f>SUMIFS('Extraction Patrimoine'!I:I,'Extraction Patrimoine'!D:D,"bretagne", 'Extraction Patrimoine'!F:F,"musées", 'Extraction Patrimoine'!B:B,"2015")</f>
        <v>0</v>
      </c>
      <c r="M12" s="39">
        <f t="shared" ref="M12:M13" si="1">L12/$L$10</f>
        <v>0</v>
      </c>
      <c r="N12" s="29">
        <f>SUMIFS('Extraction Patrimoine'!G:G,'Extraction Patrimoine'!D:D,"bretagne", 'Extraction Patrimoine'!F:F,"musées", 'Extraction Patrimoine'!B:B,"2014")</f>
        <v>0</v>
      </c>
      <c r="O12" s="23">
        <f>SUMIFS('Extraction Patrimoine'!I:I,'Extraction Patrimoine'!D:D,"bretagne", 'Extraction Patrimoine'!F:F,"musées", 'Extraction Patrimoine'!B:B,"2014")</f>
        <v>0</v>
      </c>
      <c r="P12" s="39">
        <f t="shared" ref="P12:P13" si="2">O12/$O$10</f>
        <v>0</v>
      </c>
      <c r="Q12" s="29">
        <f>SUMIFS('Extraction Patrimoine'!G:G,'Extraction Patrimoine'!D:D,"bretagne", 'Extraction Patrimoine'!F:F,"musées", 'Extraction Patrimoine'!B:B,"2013")</f>
        <v>0</v>
      </c>
      <c r="R12" s="23">
        <f>SUMIFS('Extraction Patrimoine'!I:I,'Extraction Patrimoine'!D:D,"bretagne", 'Extraction Patrimoine'!F:F,"musées", 'Extraction Patrimoine'!B:B,"2013")</f>
        <v>0</v>
      </c>
      <c r="S12" s="43">
        <f t="shared" ref="S12:S13" si="3">R12/$R$10</f>
        <v>0</v>
      </c>
    </row>
    <row r="13" spans="2:19" x14ac:dyDescent="0.25">
      <c r="B13" s="15" t="s">
        <v>82</v>
      </c>
      <c r="C13" s="15" t="s">
        <v>100</v>
      </c>
      <c r="D13" s="15"/>
      <c r="E13" s="29">
        <f>SUMIFS('Extraction Patrimoine'!G:G,'Extraction Patrimoine'!D:D,"bretagne", 'Extraction Patrimoine'!F:F,"sites et monuments", 'Extraction Patrimoine'!B:B,"2017")</f>
        <v>0</v>
      </c>
      <c r="F13" s="23">
        <f>SUMIFS('Extraction Patrimoine'!I:I,'Extraction Patrimoine'!D:D,"bretagne", 'Extraction Patrimoine'!F:F,"sites et monuments", 'Extraction Patrimoine'!B:B,"2017")</f>
        <v>0</v>
      </c>
      <c r="G13" s="39">
        <f>F13/$F$10</f>
        <v>0</v>
      </c>
      <c r="H13" s="29">
        <f>SUMIFS('Extraction Patrimoine'!G:G,'Extraction Patrimoine'!D:D,"bretagne", 'Extraction Patrimoine'!F:F,"sites et monuments", 'Extraction Patrimoine'!B:B,"2016")</f>
        <v>0</v>
      </c>
      <c r="I13" s="23">
        <f>SUMIFS('Extraction Patrimoine'!I:I,'Extraction Patrimoine'!D:D,"bretagne", 'Extraction Patrimoine'!F:F,"sites et monuments", 'Extraction Patrimoine'!B:B,"2016")</f>
        <v>0</v>
      </c>
      <c r="J13" s="39">
        <f t="shared" si="0"/>
        <v>0</v>
      </c>
      <c r="K13" s="29">
        <f>SUMIFS('Extraction Patrimoine'!G:G,'Extraction Patrimoine'!D:D,"bretagne", 'Extraction Patrimoine'!F:F,"sites et monuments", 'Extraction Patrimoine'!B:B,"2015")</f>
        <v>0</v>
      </c>
      <c r="L13" s="23">
        <f>SUMIFS('Extraction Patrimoine'!I:I,'Extraction Patrimoine'!D:D,"bretagne", 'Extraction Patrimoine'!F:F,"sites et monuments", 'Extraction Patrimoine'!B:B,"2015")</f>
        <v>0</v>
      </c>
      <c r="M13" s="39">
        <f t="shared" si="1"/>
        <v>0</v>
      </c>
      <c r="N13" s="29">
        <f>SUMIFS('Extraction Patrimoine'!G:G,'Extraction Patrimoine'!D:D,"bretagne", 'Extraction Patrimoine'!F:F,"sites et monuments", 'Extraction Patrimoine'!B:B,"2014")</f>
        <v>0</v>
      </c>
      <c r="O13" s="23">
        <f>SUMIFS('Extraction Patrimoine'!I:I,'Extraction Patrimoine'!D:D,"bretagne", 'Extraction Patrimoine'!F:F,"sites et monuments", 'Extraction Patrimoine'!B:B,"2014")</f>
        <v>0</v>
      </c>
      <c r="P13" s="39">
        <f t="shared" si="2"/>
        <v>0</v>
      </c>
      <c r="Q13" s="29">
        <f>SUMIFS('Extraction Patrimoine'!G:G,'Extraction Patrimoine'!D:D,"bretagne", 'Extraction Patrimoine'!F:F,"sites et monuments", 'Extraction Patrimoine'!B:B,"2013")</f>
        <v>0</v>
      </c>
      <c r="R13" s="23">
        <f>SUMIFS('Extraction Patrimoine'!I:I,'Extraction Patrimoine'!D:D,"bretagne", 'Extraction Patrimoine'!F:F,"sites et monuments", 'Extraction Patrimoine'!B:B,"2013")</f>
        <v>0</v>
      </c>
      <c r="S13" s="43">
        <f t="shared" si="3"/>
        <v>0</v>
      </c>
    </row>
    <row r="14" spans="2:19" x14ac:dyDescent="0.25">
      <c r="B14" s="17" t="s">
        <v>9</v>
      </c>
      <c r="C14" s="4" t="s">
        <v>101</v>
      </c>
      <c r="D14" s="4"/>
      <c r="E14" s="50">
        <f>(E15*G15)+(E16*G16)</f>
        <v>4.1431990358126773</v>
      </c>
      <c r="F14" s="34">
        <f>SUMIFS('Extraction Offre de services'!I:I,'Extraction Offre de services'!D:D,"bretagne", 'Extraction Offre de services'!E:E,"Offre de services", 'Extraction Offre de services'!B:B,"2017")</f>
        <v>5808</v>
      </c>
      <c r="G14" s="38">
        <f>F14/$F$4</f>
        <v>0.52575359826197154</v>
      </c>
      <c r="H14" s="50">
        <f>(H15*J15)+(H16*J16)</f>
        <v>4.0936884636819624</v>
      </c>
      <c r="I14" s="11">
        <f>SUMIFS('Extraction Offre de services'!I:I,'Extraction Offre de services'!D:D,"bretagne", 'Extraction Offre de services'!E:E,"Offre de services", 'Extraction Offre de services'!B:B,"2016")</f>
        <v>10766</v>
      </c>
      <c r="J14" s="48">
        <f>I14/$I$4</f>
        <v>0.43509537665696735</v>
      </c>
      <c r="K14" s="50">
        <f>(K15*M15)+(K16*M16)</f>
        <v>4.1468007602153838</v>
      </c>
      <c r="L14" s="11">
        <f>SUMIFS('Extraction Offre de services'!I:I,'Extraction Offre de services'!D:D,"bretagne", 'Extraction Offre de services'!E:E,"Offre de services", 'Extraction Offre de services'!B:B,"2015")</f>
        <v>3157</v>
      </c>
      <c r="M14" s="38">
        <f>L14/$L$4</f>
        <v>0.26727057229935658</v>
      </c>
      <c r="N14" s="50">
        <f>(N15*P15)+(N16*P16)</f>
        <v>4.4165296052631575</v>
      </c>
      <c r="O14" s="11">
        <f>SUMIFS('Extraction Offre de services'!I:I,'Extraction Offre de services'!D:D,"bretagne", 'Extraction Offre de services'!E:E,"Offre de services", 'Extraction Offre de services'!B:B,"2014")</f>
        <v>608</v>
      </c>
      <c r="P14" s="48">
        <f>O14/$O$4</f>
        <v>0.14647072994459168</v>
      </c>
      <c r="Q14" s="50">
        <f>(Q15*S15)+(Q16*S16)</f>
        <v>4.4253521126760553</v>
      </c>
      <c r="R14" s="11">
        <f>SUMIFS('Extraction Offre de services'!I:I,'Extraction Offre de services'!D:D,"bretagne", 'Extraction Offre de services'!E:E,"Offre de services", 'Extraction Offre de services'!B:B,"2013")</f>
        <v>355</v>
      </c>
      <c r="S14" s="49">
        <f>R14/$R$4</f>
        <v>0.17617866004962779</v>
      </c>
    </row>
    <row r="15" spans="2:19" x14ac:dyDescent="0.25">
      <c r="B15" s="15" t="s">
        <v>9</v>
      </c>
      <c r="C15" s="2" t="s">
        <v>10</v>
      </c>
      <c r="D15" s="2"/>
      <c r="E15" s="29">
        <f>SUMIFS('Extraction Offre de services'!G:G,'Extraction Offre de services'!D:D,"bretagne", 'Extraction Offre de services'!F:F,"hebergement", 'Extraction Offre de services'!B:B,"2017")</f>
        <v>4.0901854871585872</v>
      </c>
      <c r="F15" s="23">
        <f>SUMIFS('Extraction Offre de services'!I:I,'Extraction Offre de services'!D:D,"bretagne", 'Extraction Offre de services'!F:F,"hebergement", 'Extraction Offre de services'!B:B,"2017")</f>
        <v>4906</v>
      </c>
      <c r="G15" s="39">
        <f>F15/$F$14</f>
        <v>0.84469696969696972</v>
      </c>
      <c r="H15" s="30">
        <f>SUMIFS('Extraction Offre de services'!G:G,'Extraction Offre de services'!D:D,"bretagne", 'Extraction Offre de services'!F:F,"hebergement", 'Extraction Offre de services'!B:B,"2016")</f>
        <v>4.0249409249465522</v>
      </c>
      <c r="I15" s="23">
        <f>SUMIFS('Extraction Offre de services'!I:I,'Extraction Offre de services'!D:D,"bretagne", 'Extraction Offre de services'!F:F,"hebergement", 'Extraction Offre de services'!B:B,"2016")</f>
        <v>8887</v>
      </c>
      <c r="J15" s="45">
        <f>I15/$I$14</f>
        <v>0.8254690692922162</v>
      </c>
      <c r="K15" s="29">
        <f>SUMIFS('Extraction Offre de services'!G:G,'Extraction Offre de services'!D:D,"bretagne", 'Extraction Offre de services'!F:F,"hebergement", 'Extraction Offre de services'!B:B,"2015")</f>
        <v>4.0470984215413033</v>
      </c>
      <c r="L15" s="23">
        <f>SUMIFS('Extraction Offre de services'!I:I,'Extraction Offre de services'!D:D,"bretagne", 'Extraction Offre de services'!F:F,"hebergement", 'Extraction Offre de services'!B:B,"2015")</f>
        <v>2154</v>
      </c>
      <c r="M15" s="45">
        <f>L15/$L$14</f>
        <v>0.68229331643965785</v>
      </c>
      <c r="N15" s="30">
        <f>SUMIFS('Extraction Offre de services'!G:G,'Extraction Offre de services'!D:D,"bretagne", 'Extraction Offre de services'!F:F,"hebergement", 'Extraction Offre de services'!B:B,"2014")</f>
        <v>0</v>
      </c>
      <c r="O15" s="23">
        <f>SUMIFS('Extraction Offre de services'!I:I,'Extraction Offre de services'!D:D,"bretagne", 'Extraction Offre de services'!F:F,"hebergement", 'Extraction Offre de services'!B:B,"2014")</f>
        <v>0</v>
      </c>
      <c r="P15" s="45">
        <f>O15/$O$14</f>
        <v>0</v>
      </c>
      <c r="Q15" s="29">
        <f>SUMIFS('Extraction Offre de services'!G:G,'Extraction Offre de services'!D:D,"bretagne", 'Extraction Offre de services'!F:F,"hebergement", 'Extraction Offre de services'!B:B,"2013")</f>
        <v>0</v>
      </c>
      <c r="R15" s="23">
        <f>SUMIFS('Extraction Offre de services'!I:I,'Extraction Offre de services'!D:D,"bretagne", 'Extraction Offre de services'!F:F,"hebergement", 'Extraction Offre de services'!B:B,"2013")</f>
        <v>0</v>
      </c>
      <c r="S15" s="42">
        <f>R15/$R$14</f>
        <v>0</v>
      </c>
    </row>
    <row r="16" spans="2:19" x14ac:dyDescent="0.25">
      <c r="B16" s="15" t="s">
        <v>9</v>
      </c>
      <c r="C16" s="2" t="s">
        <v>48</v>
      </c>
      <c r="D16" s="2"/>
      <c r="E16" s="29">
        <f>SUMIFS('Extraction Offre de services'!G:G,'Extraction Offre de services'!D:D,"bretagne", 'Extraction Offre de services'!F:F,"restauration", 'Extraction Offre de services'!B:B,"2017")</f>
        <v>4.4315410199556533</v>
      </c>
      <c r="F16" s="23">
        <f>SUMIFS('Extraction Offre de services'!I:I,'Extraction Offre de services'!D:D,"bretagne", 'Extraction Offre de services'!F:F,"restauration", 'Extraction Offre de services'!B:B,"2017")</f>
        <v>902</v>
      </c>
      <c r="G16" s="39">
        <f>F16/$F$14</f>
        <v>0.1553030303030303</v>
      </c>
      <c r="H16" s="30">
        <f>SUMIFS('Extraction Offre de services'!G:G,'Extraction Offre de services'!D:D,"bretagne", 'Extraction Offre de services'!F:F,"restauration", 'Extraction Offre de services'!B:B,"2016")</f>
        <v>4.4188398084087286</v>
      </c>
      <c r="I16" s="23">
        <f>SUMIFS('Extraction Offre de services'!I:I,'Extraction Offre de services'!D:D,"bretagne", 'Extraction Offre de services'!F:F,"restauration", 'Extraction Offre de services'!B:B,"2016")</f>
        <v>1879</v>
      </c>
      <c r="J16" s="45">
        <f>I16/$I$14</f>
        <v>0.17453093070778378</v>
      </c>
      <c r="K16" s="29">
        <f>SUMIFS('Extraction Offre de services'!G:G,'Extraction Offre de services'!D:D,"bretagne", 'Extraction Offre de services'!F:F,"restauration", 'Extraction Offre de services'!B:B,"2015")</f>
        <v>4.3609172482552347</v>
      </c>
      <c r="L16" s="23">
        <f>SUMIFS('Extraction Offre de services'!I:I,'Extraction Offre de services'!D:D,"bretagne", 'Extraction Offre de services'!F:F,"restauration", 'Extraction Offre de services'!B:B,"2015")</f>
        <v>1003</v>
      </c>
      <c r="M16" s="45">
        <f>L16/$L$14</f>
        <v>0.3177066835603421</v>
      </c>
      <c r="N16" s="30">
        <f>SUMIFS('Extraction Offre de services'!G:G,'Extraction Offre de services'!D:D,"bretagne", 'Extraction Offre de services'!F:F,"restauration", 'Extraction Offre de services'!B:B,"2014")</f>
        <v>4.4165296052631575</v>
      </c>
      <c r="O16" s="23">
        <f>SUMIFS('Extraction Offre de services'!I:I,'Extraction Offre de services'!D:D,"bretagne", 'Extraction Offre de services'!F:F,"restauration", 'Extraction Offre de services'!B:B,"2014")</f>
        <v>608</v>
      </c>
      <c r="P16" s="45">
        <f>O16/$O$14</f>
        <v>1</v>
      </c>
      <c r="Q16" s="29">
        <f>SUMIFS('Extraction Offre de services'!G:G,'Extraction Offre de services'!D:D,"bretagne", 'Extraction Offre de services'!F:F,"restauration", 'Extraction Offre de services'!B:B,"2013")</f>
        <v>4.4253521126760553</v>
      </c>
      <c r="R16" s="23">
        <f>SUMIFS('Extraction Offre de services'!I:I,'Extraction Offre de services'!D:D,"bretagne", 'Extraction Offre de services'!F:F,"restauration", 'Extraction Offre de services'!B:B,"2013")</f>
        <v>355</v>
      </c>
      <c r="S16" s="42">
        <f>R16/$R$14</f>
        <v>1</v>
      </c>
    </row>
    <row r="17" spans="2:19" s="65" customFormat="1" x14ac:dyDescent="0.25">
      <c r="B17" s="68" t="s">
        <v>9</v>
      </c>
      <c r="C17" s="68" t="s">
        <v>48</v>
      </c>
      <c r="D17" s="68" t="s">
        <v>125</v>
      </c>
      <c r="E17" s="70">
        <f>SUMIFS('Extraction Offre de services'!L:L,'Extraction Offre de services'!D:D,"bretagne", 'Extraction Offre de services'!F:F,"restauration", 'Extraction Offre de services'!B:B,"2017")</f>
        <v>4.4878048780487809</v>
      </c>
      <c r="F17" s="71"/>
      <c r="G17" s="72"/>
      <c r="H17" s="70">
        <f>SUMIFS('Extraction Offre de services'!L:L,'Extraction Offre de services'!D:D,"bretagne", 'Extraction Offre de services'!F:F,"restauration", 'Extraction Offre de services'!B:B,"2016")</f>
        <v>4.4608834486428943</v>
      </c>
      <c r="I17" s="71"/>
      <c r="J17" s="72"/>
      <c r="K17" s="70">
        <f>SUMIFS('Extraction Offre de services'!L:L,'Extraction Offre de services'!D:D,"bretagne", 'Extraction Offre de services'!F:F,"restauration", 'Extraction Offre de services'!B:B,"2015")</f>
        <v>4.3609172482552339</v>
      </c>
      <c r="L17" s="68"/>
      <c r="M17" s="72"/>
      <c r="N17" s="70">
        <f>SUMIFS('Extraction Offre de services'!L:L,'Extraction Offre de services'!D:D,"bretagne", 'Extraction Offre de services'!F:F,"restauration", 'Extraction Offre de services'!B:B,"2014")</f>
        <v>4.4374999999999991</v>
      </c>
      <c r="O17" s="68"/>
      <c r="P17" s="68"/>
      <c r="Q17" s="73">
        <f>SUMIFS('Extraction Offre de services'!L:L,'Extraction Offre de services'!D:D,"bretagne", 'Extraction Offre de services'!F:F,"restauration", 'Extraction Offre de services'!B:B,"2013")</f>
        <v>4.4591549295774646</v>
      </c>
      <c r="R17" s="68"/>
      <c r="S17" s="68"/>
    </row>
    <row r="18" spans="2:19" s="65" customFormat="1" x14ac:dyDescent="0.25">
      <c r="B18" s="68" t="s">
        <v>9</v>
      </c>
      <c r="C18" s="68" t="s">
        <v>48</v>
      </c>
      <c r="D18" s="68" t="s">
        <v>127</v>
      </c>
      <c r="E18" s="70">
        <f>SUMIFS('Extraction Offre de services'!N:N,'Extraction Offre de services'!D:D,"bretagne", 'Extraction Offre de services'!F:F,"restauration", 'Extraction Offre de services'!B:B,"2017")</f>
        <v>4.4611973392461195</v>
      </c>
      <c r="F18" s="68"/>
      <c r="G18" s="72"/>
      <c r="H18" s="70">
        <f>SUMIFS('Extraction Offre de services'!N:N,'Extraction Offre de services'!D:D,"bretagne", 'Extraction Offre de services'!F:F,"restauration", 'Extraction Offre de services'!B:B,"2016")</f>
        <v>4.4619478445981899</v>
      </c>
      <c r="I18" s="68"/>
      <c r="J18" s="72"/>
      <c r="K18" s="70">
        <f>SUMIFS('Extraction Offre de services'!N:N,'Extraction Offre de services'!D:D,"bretagne", 'Extraction Offre de services'!F:F,"restauration", 'Extraction Offre de services'!B:B,"2015")</f>
        <v>4.4416749750747755</v>
      </c>
      <c r="L18" s="68"/>
      <c r="M18" s="72"/>
      <c r="N18" s="70">
        <f>SUMIFS('Extraction Offre de services'!N:N,'Extraction Offre de services'!D:D,"bretagne", 'Extraction Offre de services'!F:F,"restauration", 'Extraction Offre de services'!B:B,"2014")</f>
        <v>4.4523026315789469</v>
      </c>
      <c r="O18" s="68"/>
      <c r="P18" s="72"/>
      <c r="Q18" s="70">
        <f>SUMIFS('Extraction Offre de services'!N:N,'Extraction Offre de services'!D:D,"bretagne", 'Extraction Offre de services'!F:F,"restauration", 'Extraction Offre de services'!B:B,"2013")</f>
        <v>4.4732394366197177</v>
      </c>
      <c r="R18" s="68"/>
      <c r="S18" s="68"/>
    </row>
    <row r="19" spans="2:19" s="65" customFormat="1" x14ac:dyDescent="0.25">
      <c r="B19" s="68" t="s">
        <v>9</v>
      </c>
      <c r="C19" s="68" t="s">
        <v>48</v>
      </c>
      <c r="D19" s="68" t="s">
        <v>126</v>
      </c>
      <c r="E19" s="70">
        <f>SUMIFS('Extraction Offre de services'!P:P,'Extraction Offre de services'!D:D,"bretagne", 'Extraction Offre de services'!F:F,"restauration", 'Extraction Offre de services'!B:B,"2017")</f>
        <v>4.2893569844789354</v>
      </c>
      <c r="F19" s="68"/>
      <c r="G19" s="72"/>
      <c r="H19" s="70">
        <f>SUMIFS('Extraction Offre de services'!P:P,'Extraction Offre de services'!D:D,"bretagne", 'Extraction Offre de services'!F:F,"restauration", 'Extraction Offre de services'!B:B,"2016")</f>
        <v>4.2916444917509313</v>
      </c>
      <c r="I19" s="68"/>
      <c r="J19" s="72"/>
      <c r="K19" s="70">
        <f>SUMIFS('Extraction Offre de services'!P:P,'Extraction Offre de services'!D:D,"bretagne", 'Extraction Offre de services'!F:F,"restauration", 'Extraction Offre de services'!B:B,"2015")</f>
        <v>4.2801595214356931</v>
      </c>
      <c r="L19" s="68"/>
      <c r="M19" s="72"/>
      <c r="N19" s="70">
        <f>SUMIFS('Extraction Offre de services'!P:P,'Extraction Offre de services'!D:D,"bretagne", 'Extraction Offre de services'!F:F,"restauration", 'Extraction Offre de services'!B:B,"2014")</f>
        <v>4.3388157894736841</v>
      </c>
      <c r="O19" s="68"/>
      <c r="P19" s="72"/>
      <c r="Q19" s="70">
        <f>SUMIFS('Extraction Offre de services'!P:P,'Extraction Offre de services'!D:D,"bretagne", 'Extraction Offre de services'!F:F,"restauration", 'Extraction Offre de services'!B:B,"2013")</f>
        <v>4.3098591549295779</v>
      </c>
      <c r="R19" s="68"/>
      <c r="S19" s="68"/>
    </row>
  </sheetData>
  <mergeCells count="8">
    <mergeCell ref="Q2:S2"/>
    <mergeCell ref="B2:B3"/>
    <mergeCell ref="C2:C3"/>
    <mergeCell ref="E2:G2"/>
    <mergeCell ref="H2:J2"/>
    <mergeCell ref="K2:M2"/>
    <mergeCell ref="N2:P2"/>
    <mergeCell ref="D2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topLeftCell="C1" workbookViewId="0">
      <selection activeCell="H21" sqref="H21"/>
    </sheetView>
  </sheetViews>
  <sheetFormatPr baseColWidth="10" defaultRowHeight="15" x14ac:dyDescent="0.25"/>
  <cols>
    <col min="1" max="1" width="1.5703125" customWidth="1"/>
    <col min="2" max="2" width="15.7109375" bestFit="1" customWidth="1"/>
    <col min="3" max="3" width="22.140625" bestFit="1" customWidth="1"/>
    <col min="4" max="4" width="6.28515625" bestFit="1" customWidth="1"/>
    <col min="5" max="5" width="15" customWidth="1"/>
    <col min="6" max="7" width="8.7109375" customWidth="1"/>
    <col min="9" max="10" width="8.7109375" customWidth="1"/>
    <col min="12" max="13" width="8.7109375" customWidth="1"/>
    <col min="15" max="16" width="8.7109375" customWidth="1"/>
    <col min="18" max="19" width="8.7109375" customWidth="1"/>
  </cols>
  <sheetData>
    <row r="2" spans="2:19" x14ac:dyDescent="0.25">
      <c r="B2" s="62" t="s">
        <v>86</v>
      </c>
      <c r="C2" s="62" t="s">
        <v>87</v>
      </c>
      <c r="D2" s="62" t="s">
        <v>128</v>
      </c>
      <c r="E2" s="60">
        <v>2017</v>
      </c>
      <c r="F2" s="60"/>
      <c r="G2" s="61"/>
      <c r="H2" s="59">
        <v>2016</v>
      </c>
      <c r="I2" s="63"/>
      <c r="J2" s="61"/>
      <c r="K2" s="59">
        <v>2015</v>
      </c>
      <c r="L2" s="63"/>
      <c r="M2" s="61"/>
      <c r="N2" s="59">
        <v>2014</v>
      </c>
      <c r="O2" s="60"/>
      <c r="P2" s="61"/>
      <c r="Q2" s="59">
        <v>2013</v>
      </c>
      <c r="R2" s="60"/>
      <c r="S2" s="60"/>
    </row>
    <row r="3" spans="2:19" ht="30" x14ac:dyDescent="0.25">
      <c r="B3" s="62"/>
      <c r="C3" s="62"/>
      <c r="D3" s="62"/>
      <c r="E3" s="32" t="s">
        <v>95</v>
      </c>
      <c r="F3" s="32" t="s">
        <v>119</v>
      </c>
      <c r="G3" s="41" t="s">
        <v>120</v>
      </c>
      <c r="H3" s="32" t="s">
        <v>95</v>
      </c>
      <c r="I3" s="32" t="s">
        <v>119</v>
      </c>
      <c r="J3" s="41" t="s">
        <v>120</v>
      </c>
      <c r="K3" s="32" t="s">
        <v>95</v>
      </c>
      <c r="L3" s="32" t="s">
        <v>119</v>
      </c>
      <c r="M3" s="41" t="s">
        <v>120</v>
      </c>
      <c r="N3" s="32" t="s">
        <v>95</v>
      </c>
      <c r="O3" s="32" t="s">
        <v>119</v>
      </c>
      <c r="P3" s="41" t="s">
        <v>120</v>
      </c>
      <c r="Q3" s="32" t="s">
        <v>95</v>
      </c>
      <c r="R3" s="32" t="s">
        <v>119</v>
      </c>
      <c r="S3" s="32" t="s">
        <v>120</v>
      </c>
    </row>
    <row r="4" spans="2:19" x14ac:dyDescent="0.25">
      <c r="B4" s="16" t="s">
        <v>88</v>
      </c>
      <c r="C4" s="8" t="s">
        <v>101</v>
      </c>
      <c r="D4" s="8"/>
      <c r="E4" s="51">
        <f>AVERAGE(E5,E10,E14)</f>
        <v>4.2121066149854958</v>
      </c>
      <c r="F4" s="46">
        <f>Pondération!F41</f>
        <v>14839</v>
      </c>
      <c r="G4" s="47"/>
      <c r="H4" s="51">
        <f>AVERAGE(H5,H10,H14)</f>
        <v>4.2026070938537154</v>
      </c>
      <c r="I4" s="10">
        <f>Pondération!G41</f>
        <v>37553</v>
      </c>
      <c r="J4" s="40"/>
      <c r="K4" s="51">
        <f>AVERAGE(K5,K10,K14)</f>
        <v>4.2411804635147279</v>
      </c>
      <c r="L4" s="46">
        <f>Pondération!H41</f>
        <v>17159</v>
      </c>
      <c r="M4" s="37"/>
      <c r="N4" s="51">
        <f>AVERAGE(N5,N10,N14)</f>
        <v>4.3023319408688074</v>
      </c>
      <c r="O4" s="10">
        <f>Pondération!I41</f>
        <v>4335</v>
      </c>
      <c r="P4" s="40"/>
      <c r="Q4" s="51">
        <f>AVERAGE(Q5,Q10,Q14)</f>
        <v>4.2716199118493732</v>
      </c>
      <c r="R4" s="10">
        <f>Pondération!J41</f>
        <v>2610</v>
      </c>
      <c r="S4" s="28"/>
    </row>
    <row r="5" spans="2:19" x14ac:dyDescent="0.25">
      <c r="B5" s="17" t="s">
        <v>78</v>
      </c>
      <c r="C5" s="4" t="s">
        <v>101</v>
      </c>
      <c r="D5" s="4"/>
      <c r="E5" s="50">
        <f>(E6*G6)+(E7*G7)+(E8*G8)+(E9*G9)</f>
        <v>4.4905027932960895</v>
      </c>
      <c r="F5" s="34">
        <f>SUMIFS('Extraction Offre de loisirs'!I:I,'Extraction Offre de loisirs'!D:D,"centre-val de loire", 'Extraction Offre de loisirs'!E:E,"offre de loisirs", 'Extraction Offre de loisirs'!B:B,"2017")</f>
        <v>1790</v>
      </c>
      <c r="G5" s="38">
        <f>F5/$F$4</f>
        <v>0.12062807466810432</v>
      </c>
      <c r="H5" s="50">
        <f>(H6*J6)+(H7*J7)+(H8*J8)+(H9*J9)</f>
        <v>4.512677266867211</v>
      </c>
      <c r="I5" s="34">
        <f>SUMIFS('Extraction Offre de loisirs'!I:I,'Extraction Offre de loisirs'!D:D,"centre-val de loire", 'Extraction Offre de loisirs'!E:E,"offre de loisirs", 'Extraction Offre de loisirs'!B:B,"2016")</f>
        <v>4654</v>
      </c>
      <c r="J5" s="38">
        <f>I5/$I$4</f>
        <v>0.12393151013234628</v>
      </c>
      <c r="K5" s="50">
        <f>(K6*M6)+(K7*M7)+(K8*M8)+(K9*M9)</f>
        <v>4.5611702127659575</v>
      </c>
      <c r="L5" s="34">
        <f>SUMIFS('Extraction Offre de loisirs'!I:I,'Extraction Offre de loisirs'!D:D,"centre-val de loire", 'Extraction Offre de loisirs'!E:E,"offre de loisirs", 'Extraction Offre de loisirs'!B:B,"2015")</f>
        <v>3196</v>
      </c>
      <c r="M5" s="38">
        <f>L5/$L$4</f>
        <v>0.18625794043941954</v>
      </c>
      <c r="N5" s="50">
        <f>(N6*P6)+(N7*P7)+(N8*P8)+(N9*P9)</f>
        <v>4.5617585484996503</v>
      </c>
      <c r="O5" s="11">
        <f>SUMIFS('Extraction Offre de loisirs'!I:I,'Extraction Offre de loisirs'!D:D,"centre-val de loire", 'Extraction Offre de loisirs'!E:E,"offre de loisirs", 'Extraction Offre de loisirs'!B:B,"2014")</f>
        <v>1433</v>
      </c>
      <c r="P5" s="38">
        <f>O5/$O$4</f>
        <v>0.33056516724336793</v>
      </c>
      <c r="Q5" s="50">
        <f>(Q6*S6)+(Q7*S7)+(Q8*S8)+(Q9*S9)</f>
        <v>4.5305851063829792</v>
      </c>
      <c r="R5" s="11">
        <f>SUMIFS('Extraction Offre de loisirs'!I:I,'Extraction Offre de loisirs'!D:D,"centre-val de loire", 'Extraction Offre de loisirs'!E:E,"offre de loisirs", 'Extraction Offre de loisirs'!B:B,"2013")</f>
        <v>752</v>
      </c>
      <c r="S5" s="35">
        <f>R5/$R$4</f>
        <v>0.28812260536398465</v>
      </c>
    </row>
    <row r="6" spans="2:19" x14ac:dyDescent="0.25">
      <c r="B6" s="15" t="s">
        <v>78</v>
      </c>
      <c r="C6" s="2" t="s">
        <v>79</v>
      </c>
      <c r="D6" s="2"/>
      <c r="E6" s="29">
        <f>SUMIFS('Extraction Offre de loisirs'!G:G,'Extraction Offre de loisirs'!D:D,"centre-val de loire", 'Extraction Offre de loisirs'!F:F,"activites de plein air", 'Extraction Offre de loisirs'!B:B,"2017")</f>
        <v>4.5344673231871084</v>
      </c>
      <c r="F6" s="33">
        <f>SUMIFS('Extraction Offre de loisirs'!I:I,'Extraction Offre de loisirs'!D:D,"centre-val de loire", 'Extraction Offre de loisirs'!F:F,"activites de plein air", 'Extraction Offre de loisirs'!B:B,"2017")</f>
        <v>1117</v>
      </c>
      <c r="G6" s="39">
        <f>F6/$F$5</f>
        <v>0.62402234636871512</v>
      </c>
      <c r="H6" s="30">
        <f>SUMIFS('Extraction Offre de loisirs'!G:G,'Extraction Offre de loisirs'!D:D,"centre-val de loire", 'Extraction Offre de loisirs'!F:F,"activites de plein air", 'Extraction Offre de loisirs'!B:B,"2016")</f>
        <v>4.5641744548286596</v>
      </c>
      <c r="I6" s="33">
        <f>SUMIFS('Extraction Offre de loisirs'!I:I,'Extraction Offre de loisirs'!D:D,"centre-val de loire", 'Extraction Offre de loisirs'!F:F,"activites de plein air", 'Extraction Offre de loisirs'!B:B,"2016")</f>
        <v>3210</v>
      </c>
      <c r="J6" s="39">
        <f>I6/$I$5</f>
        <v>0.68972926514825961</v>
      </c>
      <c r="K6" s="29">
        <f>SUMIFS('Extraction Offre de loisirs'!G:G,'Extraction Offre de loisirs'!D:D,"centre-val de loire", 'Extraction Offre de loisirs'!F:F,"activites de plein air", 'Extraction Offre de loisirs'!B:B,"2015")</f>
        <v>4.6163589523400601</v>
      </c>
      <c r="L6" s="33">
        <f>SUMIFS('Extraction Offre de loisirs'!I:I,'Extraction Offre de loisirs'!D:D,"centre-val de loire", 'Extraction Offre de loisirs'!F:F,"activites de plein air", 'Extraction Offre de loisirs'!B:B,"2015")</f>
        <v>2329</v>
      </c>
      <c r="M6" s="39">
        <f>L6/$L$5</f>
        <v>0.72872340425531912</v>
      </c>
      <c r="N6" s="30">
        <f>SUMIFS('Extraction Offre de loisirs'!G:G,'Extraction Offre de loisirs'!D:D,"centre-val de loire", 'Extraction Offre de loisirs'!F:F,"activites de plein air", 'Extraction Offre de loisirs'!B:B,"2014")</f>
        <v>4.6141947224749771</v>
      </c>
      <c r="O6" s="33">
        <f>SUMIFS('Extraction Offre de loisirs'!I:I,'Extraction Offre de loisirs'!D:D,"centre-val de loire", 'Extraction Offre de loisirs'!F:F,"activites de plein air", 'Extraction Offre de loisirs'!B:B,"2014")</f>
        <v>1099</v>
      </c>
      <c r="P6" s="39">
        <f>O6/$O$5</f>
        <v>0.76692254012561056</v>
      </c>
      <c r="Q6" s="29">
        <f>SUMIFS('Extraction Offre de loisirs'!G:G,'Extraction Offre de loisirs'!D:D,"centre-val de loire", 'Extraction Offre de loisirs'!F:F,"activites de plein air", 'Extraction Offre de loisirs'!B:B,"2013")</f>
        <v>4.5843653250773997</v>
      </c>
      <c r="R6" s="33">
        <f>SUMIFS('Extraction Offre de loisirs'!I:I,'Extraction Offre de loisirs'!D:D,"centre-val de loire", 'Extraction Offre de loisirs'!F:F,"activites de plein air", 'Extraction Offre de loisirs'!B:B,"2013")</f>
        <v>646</v>
      </c>
      <c r="S6" s="31">
        <f>R6/$R$5</f>
        <v>0.85904255319148937</v>
      </c>
    </row>
    <row r="7" spans="2:19" x14ac:dyDescent="0.25">
      <c r="B7" s="15" t="s">
        <v>78</v>
      </c>
      <c r="C7" s="2" t="s">
        <v>81</v>
      </c>
      <c r="D7" s="2"/>
      <c r="E7" s="29">
        <f>SUMIFS('Extraction Offre de loisirs'!G:G,'Extraction Offre de loisirs'!D:D,"centre-val de loire", 'Extraction Offre de loisirs'!F:F,"jeux et divertissements", 'Extraction Offre de loisirs'!B:B,"2017")</f>
        <v>4.4620418848167533</v>
      </c>
      <c r="F7" s="33">
        <f>SUMIFS('Extraction Offre de loisirs'!I:I,'Extraction Offre de loisirs'!D:D,"centre-val de loire", 'Extraction Offre de loisirs'!F:F,"jeux et divertissements", 'Extraction Offre de loisirs'!B:B,"2017")</f>
        <v>382</v>
      </c>
      <c r="G7" s="39">
        <f>F7/$F$5</f>
        <v>0.21340782122905028</v>
      </c>
      <c r="H7" s="30">
        <f>SUMIFS('Extraction Offre de loisirs'!G:G,'Extraction Offre de loisirs'!D:D,"centre-val de loire", 'Extraction Offre de loisirs'!F:F,"jeux et divertissements", 'Extraction Offre de loisirs'!B:B,"2016")</f>
        <v>4.4116355653128423</v>
      </c>
      <c r="I7" s="33">
        <f>SUMIFS('Extraction Offre de loisirs'!I:I,'Extraction Offre de loisirs'!D:D,"centre-val de loire", 'Extraction Offre de loisirs'!F:F,"jeux et divertissements", 'Extraction Offre de loisirs'!B:B,"2016")</f>
        <v>911</v>
      </c>
      <c r="J7" s="39">
        <f>I7/$I$5</f>
        <v>0.19574559518693596</v>
      </c>
      <c r="K7" s="29">
        <f>SUMIFS('Extraction Offre de loisirs'!G:G,'Extraction Offre de loisirs'!D:D,"centre-val de loire", 'Extraction Offre de loisirs'!F:F,"jeux et divertissements", 'Extraction Offre de loisirs'!B:B,"2015")</f>
        <v>4.3866171003717476</v>
      </c>
      <c r="L7" s="33">
        <f>SUMIFS('Extraction Offre de loisirs'!I:I,'Extraction Offre de loisirs'!D:D,"centre-val de loire", 'Extraction Offre de loisirs'!F:F,"jeux et divertissements", 'Extraction Offre de loisirs'!B:B,"2015")</f>
        <v>538</v>
      </c>
      <c r="M7" s="39">
        <f>L7/$L$5</f>
        <v>0.16833541927409262</v>
      </c>
      <c r="N7" s="30">
        <f>SUMIFS('Extraction Offre de loisirs'!G:G,'Extraction Offre de loisirs'!D:D,"centre-val de loire", 'Extraction Offre de loisirs'!F:F,"jeux et divertissements", 'Extraction Offre de loisirs'!B:B,"2014")</f>
        <v>4.2186046511627904</v>
      </c>
      <c r="O7" s="33">
        <f>SUMIFS('Extraction Offre de loisirs'!I:I,'Extraction Offre de loisirs'!D:D,"centre-val de loire", 'Extraction Offre de loisirs'!F:F,"jeux et divertissements", 'Extraction Offre de loisirs'!B:B,"2014")</f>
        <v>215</v>
      </c>
      <c r="P7" s="39">
        <f>O7/$O$5</f>
        <v>0.15003489183531055</v>
      </c>
      <c r="Q7" s="29">
        <f>SUMIFS('Extraction Offre de loisirs'!G:G,'Extraction Offre de loisirs'!D:D,"centre-val de loire", 'Extraction Offre de loisirs'!F:F,"jeux et divertissements", 'Extraction Offre de loisirs'!B:B,"2013")</f>
        <v>4.1124999999999998</v>
      </c>
      <c r="R7" s="33">
        <f>SUMIFS('Extraction Offre de loisirs'!I:I,'Extraction Offre de loisirs'!D:D,"centre-val de loire", 'Extraction Offre de loisirs'!F:F,"jeux et divertissements", 'Extraction Offre de loisirs'!B:B,"2013")</f>
        <v>80</v>
      </c>
      <c r="S7" s="31">
        <f>R7/$R$5</f>
        <v>0.10638297872340426</v>
      </c>
    </row>
    <row r="8" spans="2:19" x14ac:dyDescent="0.25">
      <c r="B8" s="15" t="s">
        <v>78</v>
      </c>
      <c r="C8" s="2" t="s">
        <v>83</v>
      </c>
      <c r="D8" s="2"/>
      <c r="E8" s="29">
        <f>SUMIFS('Extraction Offre de loisirs'!G:G,'Extraction Offre de loisirs'!D:D,"centre-val de loire", 'Extraction Offre de loisirs'!F:F,"shopping", 'Extraction Offre de loisirs'!B:B,"2017")</f>
        <v>4.1642857142857146</v>
      </c>
      <c r="F8" s="33">
        <f>SUMIFS('Extraction Offre de loisirs'!I:I,'Extraction Offre de loisirs'!D:D,"centre-val de loire", 'Extraction Offre de loisirs'!F:F,"shopping", 'Extraction Offre de loisirs'!B:B,"2017")</f>
        <v>140</v>
      </c>
      <c r="G8" s="39">
        <f>F8/$F$5</f>
        <v>7.8212290502793297E-2</v>
      </c>
      <c r="H8" s="30">
        <f>SUMIFS('Extraction Offre de loisirs'!G:G,'Extraction Offre de loisirs'!D:D,"centre-val de loire", 'Extraction Offre de loisirs'!F:F,"shopping", 'Extraction Offre de loisirs'!B:B,"2016")</f>
        <v>4.2981366459627326</v>
      </c>
      <c r="I8" s="33">
        <f>SUMIFS('Extraction Offre de loisirs'!I:I,'Extraction Offre de loisirs'!D:D,"centre-val de loire", 'Extraction Offre de loisirs'!F:F,"shopping", 'Extraction Offre de loisirs'!B:B,"2016")</f>
        <v>322</v>
      </c>
      <c r="J8" s="39">
        <f>I8/$I$5</f>
        <v>6.9187795444778682E-2</v>
      </c>
      <c r="K8" s="29">
        <f>SUMIFS('Extraction Offre de loisirs'!G:G,'Extraction Offre de loisirs'!D:D,"centre-val de loire", 'Extraction Offre de loisirs'!F:F,"shopping", 'Extraction Offre de loisirs'!B:B,"2015")</f>
        <v>4.3224043715846996</v>
      </c>
      <c r="L8" s="33">
        <f>SUMIFS('Extraction Offre de loisirs'!I:I,'Extraction Offre de loisirs'!D:D,"centre-val de loire", 'Extraction Offre de loisirs'!F:F,"shopping", 'Extraction Offre de loisirs'!B:B,"2015")</f>
        <v>183</v>
      </c>
      <c r="M8" s="39">
        <f>L8/$L$5</f>
        <v>5.7259073842302881E-2</v>
      </c>
      <c r="N8" s="30">
        <f>SUMIFS('Extraction Offre de loisirs'!G:G,'Extraction Offre de loisirs'!D:D,"centre-val de loire", 'Extraction Offre de loisirs'!F:F,"shopping", 'Extraction Offre de loisirs'!B:B,"2014")</f>
        <v>4.4888888888888889</v>
      </c>
      <c r="O8" s="33">
        <f>SUMIFS('Extraction Offre de loisirs'!I:I,'Extraction Offre de loisirs'!D:D,"centre-val de loire", 'Extraction Offre de loisirs'!F:F,"shopping", 'Extraction Offre de loisirs'!B:B,"2014")</f>
        <v>45</v>
      </c>
      <c r="P8" s="39">
        <f>O8/$O$5</f>
        <v>3.1402651779483599E-2</v>
      </c>
      <c r="Q8" s="29">
        <f>SUMIFS('Extraction Offre de loisirs'!G:G,'Extraction Offre de loisirs'!D:D,"centre-val de loire", 'Extraction Offre de loisirs'!F:F,"shopping", 'Extraction Offre de loisirs'!B:B,"2013")</f>
        <v>4.5000000000000009</v>
      </c>
      <c r="R8" s="33">
        <f>SUMIFS('Extraction Offre de loisirs'!I:I,'Extraction Offre de loisirs'!D:D,"centre-val de loire", 'Extraction Offre de loisirs'!F:F,"shopping", 'Extraction Offre de loisirs'!B:B,"2013")</f>
        <v>24</v>
      </c>
      <c r="S8" s="31">
        <f>R8/$R$5</f>
        <v>3.1914893617021274E-2</v>
      </c>
    </row>
    <row r="9" spans="2:19" x14ac:dyDescent="0.25">
      <c r="B9" s="15" t="s">
        <v>78</v>
      </c>
      <c r="C9" s="2" t="s">
        <v>84</v>
      </c>
      <c r="D9" s="2"/>
      <c r="E9" s="29">
        <f>SUMIFS('Extraction Offre de loisirs'!G:G,'Extraction Offre de loisirs'!D:D,"centre-val de loire", 'Extraction Offre de loisirs'!F:F,"vie nocturne", 'Extraction Offre de loisirs'!B:B,"2017")</f>
        <v>4.5397350993377481</v>
      </c>
      <c r="F9" s="33">
        <f>SUMIFS('Extraction Offre de loisirs'!I:I,'Extraction Offre de loisirs'!D:D,"centre-val de loire", 'Extraction Offre de loisirs'!F:F,"vie nocturne", 'Extraction Offre de loisirs'!B:B,"2017")</f>
        <v>151</v>
      </c>
      <c r="G9" s="39">
        <f>F9/$F$5</f>
        <v>8.4357541899441335E-2</v>
      </c>
      <c r="H9" s="30">
        <f>SUMIFS('Extraction Offre de loisirs'!G:G,'Extraction Offre de loisirs'!D:D,"centre-val de loire", 'Extraction Offre de loisirs'!F:F,"vie nocturne", 'Extraction Offre de loisirs'!B:B,"2016")</f>
        <v>4.4928909952606633</v>
      </c>
      <c r="I9" s="33">
        <f>SUMIFS('Extraction Offre de loisirs'!I:I,'Extraction Offre de loisirs'!D:D,"centre-val de loire", 'Extraction Offre de loisirs'!F:F,"vie nocturne", 'Extraction Offre de loisirs'!B:B,"2016")</f>
        <v>211</v>
      </c>
      <c r="J9" s="39">
        <f>I9/$I$5</f>
        <v>4.5337344220025784E-2</v>
      </c>
      <c r="K9" s="29">
        <f>SUMIFS('Extraction Offre de loisirs'!G:G,'Extraction Offre de loisirs'!D:D,"centre-val de loire", 'Extraction Offre de loisirs'!F:F,"vie nocturne", 'Extraction Offre de loisirs'!B:B,"2015")</f>
        <v>4.6232876712328759</v>
      </c>
      <c r="L9" s="33">
        <f>SUMIFS('Extraction Offre de loisirs'!I:I,'Extraction Offre de loisirs'!D:D,"centre-val de loire", 'Extraction Offre de loisirs'!F:F,"vie nocturne", 'Extraction Offre de loisirs'!B:B,"2015")</f>
        <v>146</v>
      </c>
      <c r="M9" s="39">
        <f>L9/$L$5</f>
        <v>4.5682102628285357E-2</v>
      </c>
      <c r="N9" s="30">
        <f>SUMIFS('Extraction Offre de loisirs'!G:G,'Extraction Offre de loisirs'!D:D,"centre-val de loire", 'Extraction Offre de loisirs'!F:F,"vie nocturne", 'Extraction Offre de loisirs'!B:B,"2014")</f>
        <v>4.8243243243243246</v>
      </c>
      <c r="O9" s="33">
        <f>SUMIFS('Extraction Offre de loisirs'!I:I,'Extraction Offre de loisirs'!D:D,"centre-val de loire", 'Extraction Offre de loisirs'!F:F,"vie nocturne", 'Extraction Offre de loisirs'!B:B,"2014")</f>
        <v>74</v>
      </c>
      <c r="P9" s="39">
        <f>O9/$O$5</f>
        <v>5.1639916259595256E-2</v>
      </c>
      <c r="Q9" s="29">
        <f>SUMIFS('Extraction Offre de loisirs'!G:G,'Extraction Offre de loisirs'!D:D,"centre-val de loire", 'Extraction Offre de loisirs'!F:F,"vie nocturne", 'Extraction Offre de loisirs'!B:B,"2013")</f>
        <v>4.25</v>
      </c>
      <c r="R9" s="33">
        <f>SUMIFS('Extraction Offre de loisirs'!I:I,'Extraction Offre de loisirs'!D:D,"centre-val de loire", 'Extraction Offre de loisirs'!F:F,"vie nocturne", 'Extraction Offre de loisirs'!B:B,"2013")</f>
        <v>2</v>
      </c>
      <c r="S9" s="31">
        <f>R9/$R$5</f>
        <v>2.6595744680851063E-3</v>
      </c>
    </row>
    <row r="10" spans="2:19" x14ac:dyDescent="0.25">
      <c r="B10" s="17" t="s">
        <v>82</v>
      </c>
      <c r="C10" s="4" t="s">
        <v>101</v>
      </c>
      <c r="D10" s="4"/>
      <c r="E10" s="50">
        <f>(E11*G11)+(E12*G12)+(E13*G13)</f>
        <v>3.9920724801812009</v>
      </c>
      <c r="F10" s="34">
        <f>SUMIFS('Extraction Patrimoine'!I:I,'Extraction Patrimoine'!D:D,"centre-val de loire", 'Extraction Patrimoine'!E:E,"patrimoine", 'Extraction Patrimoine'!B:B,"2017")</f>
        <v>1766</v>
      </c>
      <c r="G10" s="38">
        <f>F10/$F$4</f>
        <v>0.11901071500774985</v>
      </c>
      <c r="H10" s="50">
        <f>(H11*J11)+(H12*J12)+(H13*J13)</f>
        <v>3.9844112070781548</v>
      </c>
      <c r="I10" s="11">
        <f>SUMIFS('Extraction Patrimoine'!I:I,'Extraction Patrimoine'!D:D,"centre-val de loire", 'Extraction Patrimoine'!E:E,"patrimoine", 'Extraction Patrimoine'!B:B,"2016")</f>
        <v>4747</v>
      </c>
      <c r="J10" s="48">
        <f>I10/$I$4</f>
        <v>0.12640801001251564</v>
      </c>
      <c r="K10" s="50">
        <f>(K11*M11)+(K12*M12)+(K13*M13)</f>
        <v>3.9929556794834169</v>
      </c>
      <c r="L10" s="34">
        <f>SUMIFS('Extraction Patrimoine'!I:I,'Extraction Patrimoine'!D:D,"centre-val de loire", 'Extraction Patrimoine'!E:E,"patrimoine", 'Extraction Patrimoine'!B:B,"2015")</f>
        <v>3407</v>
      </c>
      <c r="M10" s="38">
        <f>L10/$L$4</f>
        <v>0.19855469432950637</v>
      </c>
      <c r="N10" s="50">
        <f>(N11*P11)+(N12*P12)+(N13*P13)</f>
        <v>3.9886363636363633</v>
      </c>
      <c r="O10" s="11">
        <f>SUMIFS('Extraction Patrimoine'!I:I,'Extraction Patrimoine'!D:D,"centre-val de loire", 'Extraction Patrimoine'!E:E,"patrimoine", 'Extraction Patrimoine'!B:B,"2014")</f>
        <v>1584</v>
      </c>
      <c r="P10" s="48">
        <f>O10/$O$4</f>
        <v>0.36539792387543252</v>
      </c>
      <c r="Q10" s="50">
        <f>(Q11*S11)+(Q12*S12)+(Q13*S13)</f>
        <v>4.0038610038610036</v>
      </c>
      <c r="R10" s="11">
        <f>SUMIFS('Extraction Patrimoine'!I:I,'Extraction Patrimoine'!D:D,"centre-val de loire", 'Extraction Patrimoine'!E:E,"patrimoine", 'Extraction Patrimoine'!B:B,"2013")</f>
        <v>1036</v>
      </c>
      <c r="S10" s="49">
        <f>R10/$R$4</f>
        <v>0.39693486590038313</v>
      </c>
    </row>
    <row r="11" spans="2:19" x14ac:dyDescent="0.25">
      <c r="B11" s="15" t="s">
        <v>82</v>
      </c>
      <c r="C11" s="15" t="s">
        <v>98</v>
      </c>
      <c r="D11" s="15"/>
      <c r="E11" s="29">
        <f>SUMIFS('Extraction Patrimoine'!G:G,'Extraction Patrimoine'!D:D,"centre-val de loire", 'Extraction Patrimoine'!F:F,"nature et parcs", 'Extraction Patrimoine'!B:B,"2017")</f>
        <v>3.9920724801812009</v>
      </c>
      <c r="F11" s="23">
        <f>SUMIFS('Extraction Patrimoine'!I:I,'Extraction Patrimoine'!D:D,"centre-val de loire", 'Extraction Patrimoine'!F:F,"nature et parcs", 'Extraction Patrimoine'!B:B,"2017")</f>
        <v>1766</v>
      </c>
      <c r="G11" s="39">
        <f>F11/$F$10</f>
        <v>1</v>
      </c>
      <c r="H11" s="29">
        <f>SUMIFS('Extraction Patrimoine'!G:G,'Extraction Patrimoine'!D:D,"centre-val de loire", 'Extraction Patrimoine'!F:F,"nature et parcs", 'Extraction Patrimoine'!B:B,"2016")</f>
        <v>3.9844112070781548</v>
      </c>
      <c r="I11" s="23">
        <f>SUMIFS('Extraction Patrimoine'!I:I,'Extraction Patrimoine'!D:D,"centre-val de loire", 'Extraction Patrimoine'!F:F,"nature et parcs", 'Extraction Patrimoine'!B:B,"2016")</f>
        <v>4747</v>
      </c>
      <c r="J11" s="39">
        <f>I11/$I$10</f>
        <v>1</v>
      </c>
      <c r="K11" s="29">
        <f>SUMIFS('Extraction Patrimoine'!G:G,'Extraction Patrimoine'!D:D,"centre-val de loire", 'Extraction Patrimoine'!F:F,"nature et parcs", 'Extraction Patrimoine'!B:B,"2015")</f>
        <v>3.9929556794834169</v>
      </c>
      <c r="L11" s="23">
        <f>SUMIFS('Extraction Patrimoine'!I:I,'Extraction Patrimoine'!D:D,"centre-val de loire", 'Extraction Patrimoine'!F:F,"nature et parcs", 'Extraction Patrimoine'!B:B,"2015")</f>
        <v>3407</v>
      </c>
      <c r="M11" s="39">
        <f>L11/$L$10</f>
        <v>1</v>
      </c>
      <c r="N11" s="29">
        <f>SUMIFS('Extraction Patrimoine'!G:G,'Extraction Patrimoine'!D:D,"centre-val de loire", 'Extraction Patrimoine'!F:F,"nature et parcs", 'Extraction Patrimoine'!B:B,"2014")</f>
        <v>3.9886363636363633</v>
      </c>
      <c r="O11" s="23">
        <f>SUMIFS('Extraction Patrimoine'!I:I,'Extraction Patrimoine'!D:D,"centre-val de loire", 'Extraction Patrimoine'!F:F,"nature et parcs", 'Extraction Patrimoine'!B:B,"2014")</f>
        <v>1584</v>
      </c>
      <c r="P11" s="39">
        <f>O11/$O$10</f>
        <v>1</v>
      </c>
      <c r="Q11" s="29">
        <f>SUMIFS('Extraction Patrimoine'!G:G,'Extraction Patrimoine'!D:D,"centre-val de loire", 'Extraction Patrimoine'!F:F,"nature et parcs", 'Extraction Patrimoine'!B:B,"2013")</f>
        <v>4.0038610038610036</v>
      </c>
      <c r="R11" s="23">
        <f>SUMIFS('Extraction Patrimoine'!I:I,'Extraction Patrimoine'!D:D,"centre-val de loire", 'Extraction Patrimoine'!F:F,"nature et parcs", 'Extraction Patrimoine'!B:B,"2013")</f>
        <v>1036</v>
      </c>
      <c r="S11" s="43">
        <f>R11/$R$10</f>
        <v>1</v>
      </c>
    </row>
    <row r="12" spans="2:19" x14ac:dyDescent="0.25">
      <c r="B12" s="15" t="s">
        <v>82</v>
      </c>
      <c r="C12" s="15" t="s">
        <v>99</v>
      </c>
      <c r="D12" s="15"/>
      <c r="E12" s="29">
        <f>SUMIFS('Extraction Patrimoine'!G:G,'Extraction Patrimoine'!D:D,"centre-val de loire", 'Extraction Patrimoine'!F:F,"musées", 'Extraction Patrimoine'!B:B,"2017")</f>
        <v>0</v>
      </c>
      <c r="F12" s="23">
        <f>SUMIFS('Extraction Patrimoine'!I:I,'Extraction Patrimoine'!D:D,"centre-val de loire", 'Extraction Patrimoine'!F:F,"musées", 'Extraction Patrimoine'!B:B,"2017")</f>
        <v>0</v>
      </c>
      <c r="G12" s="39">
        <f>F12/$F$10</f>
        <v>0</v>
      </c>
      <c r="H12" s="29">
        <f>SUMIFS('Extraction Patrimoine'!G:G,'Extraction Patrimoine'!D:D,"centre-val de loire", 'Extraction Patrimoine'!F:F,"musées", 'Extraction Patrimoine'!B:B,"2016")</f>
        <v>0</v>
      </c>
      <c r="I12" s="23">
        <f>SUMIFS('Extraction Patrimoine'!I:I,'Extraction Patrimoine'!D:D,"centre-val de loire", 'Extraction Patrimoine'!F:F,"musées", 'Extraction Patrimoine'!B:B,"2016")</f>
        <v>0</v>
      </c>
      <c r="J12" s="39">
        <f t="shared" ref="J12:J13" si="0">I12/$I$10</f>
        <v>0</v>
      </c>
      <c r="K12" s="29">
        <f>SUMIFS('Extraction Patrimoine'!G:G,'Extraction Patrimoine'!D:D,"centre-val de loire", 'Extraction Patrimoine'!F:F,"musées", 'Extraction Patrimoine'!B:B,"2015")</f>
        <v>0</v>
      </c>
      <c r="L12" s="23">
        <f>SUMIFS('Extraction Patrimoine'!I:I,'Extraction Patrimoine'!D:D,"centre-val de loire", 'Extraction Patrimoine'!F:F,"musées", 'Extraction Patrimoine'!B:B,"2015")</f>
        <v>0</v>
      </c>
      <c r="M12" s="39">
        <f t="shared" ref="M12:M13" si="1">L12/$L$10</f>
        <v>0</v>
      </c>
      <c r="N12" s="29">
        <f>SUMIFS('Extraction Patrimoine'!G:G,'Extraction Patrimoine'!D:D,"centre-val de loire", 'Extraction Patrimoine'!F:F,"musées", 'Extraction Patrimoine'!B:B,"2014")</f>
        <v>0</v>
      </c>
      <c r="O12" s="23">
        <f>SUMIFS('Extraction Patrimoine'!I:I,'Extraction Patrimoine'!D:D,"centre-val de loire", 'Extraction Patrimoine'!F:F,"musées", 'Extraction Patrimoine'!B:B,"2014")</f>
        <v>0</v>
      </c>
      <c r="P12" s="39">
        <f t="shared" ref="P12:P13" si="2">O12/$O$10</f>
        <v>0</v>
      </c>
      <c r="Q12" s="29">
        <f>SUMIFS('Extraction Patrimoine'!G:G,'Extraction Patrimoine'!D:D,"centre-val de loire", 'Extraction Patrimoine'!F:F,"musées", 'Extraction Patrimoine'!B:B,"2013")</f>
        <v>0</v>
      </c>
      <c r="R12" s="23">
        <f>SUMIFS('Extraction Patrimoine'!I:I,'Extraction Patrimoine'!D:D,"centre-val de loire", 'Extraction Patrimoine'!F:F,"musées", 'Extraction Patrimoine'!B:B,"2013")</f>
        <v>0</v>
      </c>
      <c r="S12" s="43">
        <f t="shared" ref="S12:S13" si="3">R12/$R$10</f>
        <v>0</v>
      </c>
    </row>
    <row r="13" spans="2:19" x14ac:dyDescent="0.25">
      <c r="B13" s="15" t="s">
        <v>82</v>
      </c>
      <c r="C13" s="15" t="s">
        <v>100</v>
      </c>
      <c r="D13" s="15"/>
      <c r="E13" s="29">
        <f>SUMIFS('Extraction Patrimoine'!G:G,'Extraction Patrimoine'!D:D,"centre-val de loire", 'Extraction Patrimoine'!F:F,"sites et monuments", 'Extraction Patrimoine'!B:B,"2017")</f>
        <v>0</v>
      </c>
      <c r="F13" s="23">
        <f>SUMIFS('Extraction Patrimoine'!I:I,'Extraction Patrimoine'!D:D,"centre-val de loire", 'Extraction Patrimoine'!F:F,"sites et monuments", 'Extraction Patrimoine'!B:B,"2017")</f>
        <v>0</v>
      </c>
      <c r="G13" s="39">
        <f>F13/$F$10</f>
        <v>0</v>
      </c>
      <c r="H13" s="29">
        <f>SUMIFS('Extraction Patrimoine'!G:G,'Extraction Patrimoine'!D:D,"centre-val de loire", 'Extraction Patrimoine'!F:F,"sites et monuments", 'Extraction Patrimoine'!B:B,"2016")</f>
        <v>0</v>
      </c>
      <c r="I13" s="23">
        <f>SUMIFS('Extraction Patrimoine'!I:I,'Extraction Patrimoine'!D:D,"centre-val de loire", 'Extraction Patrimoine'!F:F,"sites et monuments", 'Extraction Patrimoine'!B:B,"2016")</f>
        <v>0</v>
      </c>
      <c r="J13" s="39">
        <f t="shared" si="0"/>
        <v>0</v>
      </c>
      <c r="K13" s="29">
        <f>SUMIFS('Extraction Patrimoine'!G:G,'Extraction Patrimoine'!D:D,"centre-val de loire", 'Extraction Patrimoine'!F:F,"sites et monuments", 'Extraction Patrimoine'!B:B,"2015")</f>
        <v>0</v>
      </c>
      <c r="L13" s="23">
        <f>SUMIFS('Extraction Patrimoine'!I:I,'Extraction Patrimoine'!D:D,"centre-val de loire", 'Extraction Patrimoine'!F:F,"sites et monuments", 'Extraction Patrimoine'!B:B,"2015")</f>
        <v>0</v>
      </c>
      <c r="M13" s="39">
        <f t="shared" si="1"/>
        <v>0</v>
      </c>
      <c r="N13" s="29">
        <f>SUMIFS('Extraction Patrimoine'!G:G,'Extraction Patrimoine'!D:D,"centre-val de loire", 'Extraction Patrimoine'!F:F,"sites et monuments", 'Extraction Patrimoine'!B:B,"2014")</f>
        <v>0</v>
      </c>
      <c r="O13" s="23">
        <f>SUMIFS('Extraction Patrimoine'!I:I,'Extraction Patrimoine'!D:D,"centre-val de loire", 'Extraction Patrimoine'!F:F,"sites et monuments", 'Extraction Patrimoine'!B:B,"2014")</f>
        <v>0</v>
      </c>
      <c r="P13" s="39">
        <f t="shared" si="2"/>
        <v>0</v>
      </c>
      <c r="Q13" s="29">
        <f>SUMIFS('Extraction Patrimoine'!G:G,'Extraction Patrimoine'!D:D,"centre-val de loire", 'Extraction Patrimoine'!F:F,"sites et monuments", 'Extraction Patrimoine'!B:B,"2013")</f>
        <v>0</v>
      </c>
      <c r="R13" s="23">
        <f>SUMIFS('Extraction Patrimoine'!I:I,'Extraction Patrimoine'!D:D,"centre-val de loire", 'Extraction Patrimoine'!F:F,"sites et monuments", 'Extraction Patrimoine'!B:B,"2013")</f>
        <v>0</v>
      </c>
      <c r="S13" s="43">
        <f t="shared" si="3"/>
        <v>0</v>
      </c>
    </row>
    <row r="14" spans="2:19" x14ac:dyDescent="0.25">
      <c r="B14" s="17" t="s">
        <v>9</v>
      </c>
      <c r="C14" s="4" t="s">
        <v>101</v>
      </c>
      <c r="D14" s="4"/>
      <c r="E14" s="50">
        <f>(E15*G15)+(E16*G16)</f>
        <v>4.1537445714791961</v>
      </c>
      <c r="F14" s="34">
        <f>SUMIFS('Extraction Offre de services'!I:I,'Extraction Offre de services'!D:D,"centre-val de loire", 'Extraction Offre de services'!E:E,"Offre de services", 'Extraction Offre de services'!B:B,"2017")</f>
        <v>11283</v>
      </c>
      <c r="G14" s="38">
        <f>F14/$F$4</f>
        <v>0.76036121032414583</v>
      </c>
      <c r="H14" s="50">
        <f>(H15*J15)+(H16*J16)</f>
        <v>4.1107328076157819</v>
      </c>
      <c r="I14" s="11">
        <f>SUMIFS('Extraction Offre de services'!I:I,'Extraction Offre de services'!D:D,"centre-val de loire", 'Extraction Offre de services'!E:E,"Offre de services", 'Extraction Offre de services'!B:B,"2016")</f>
        <v>28152</v>
      </c>
      <c r="J14" s="48">
        <f>I14/$I$4</f>
        <v>0.74966047985513806</v>
      </c>
      <c r="K14" s="50">
        <f>(K15*M15)+(K16*M16)</f>
        <v>4.1694154982948088</v>
      </c>
      <c r="L14" s="11">
        <f>SUMIFS('Extraction Offre de services'!I:I,'Extraction Offre de services'!D:D,"centre-val de loire", 'Extraction Offre de services'!E:E,"Offre de services", 'Extraction Offre de services'!B:B,"2015")</f>
        <v>10556</v>
      </c>
      <c r="M14" s="38">
        <f>L14/$L$4</f>
        <v>0.61518736523107409</v>
      </c>
      <c r="N14" s="50">
        <f>(N15*P15)+(N16*P16)</f>
        <v>4.3566009104704095</v>
      </c>
      <c r="O14" s="11">
        <f>SUMIFS('Extraction Offre de services'!I:I,'Extraction Offre de services'!D:D,"centre-val de loire", 'Extraction Offre de services'!E:E,"Offre de services", 'Extraction Offre de services'!B:B,"2014")</f>
        <v>1318</v>
      </c>
      <c r="P14" s="48">
        <f>O14/$O$4</f>
        <v>0.30403690888119955</v>
      </c>
      <c r="Q14" s="50">
        <f>(Q15*S15)+(Q16*S16)</f>
        <v>4.2804136253041367</v>
      </c>
      <c r="R14" s="11">
        <f>SUMIFS('Extraction Offre de services'!I:I,'Extraction Offre de services'!D:D,"centre-val de loire", 'Extraction Offre de services'!E:E,"Offre de services", 'Extraction Offre de services'!B:B,"2013")</f>
        <v>822</v>
      </c>
      <c r="S14" s="49">
        <f>R14/$R$4</f>
        <v>0.31494252873563217</v>
      </c>
    </row>
    <row r="15" spans="2:19" x14ac:dyDescent="0.25">
      <c r="B15" s="15" t="s">
        <v>9</v>
      </c>
      <c r="C15" s="2" t="s">
        <v>10</v>
      </c>
      <c r="D15" s="2"/>
      <c r="E15" s="29">
        <f>SUMIFS('Extraction Offre de services'!G:G,'Extraction Offre de services'!D:D,"centre-val de loire", 'Extraction Offre de services'!F:F,"hebergement", 'Extraction Offre de services'!B:B,"2017")</f>
        <v>4.1348756976153993</v>
      </c>
      <c r="F15" s="23">
        <f>SUMIFS('Extraction Offre de services'!I:I,'Extraction Offre de services'!D:D,"centre-val de loire", 'Extraction Offre de services'!F:F,"hebergement", 'Extraction Offre de services'!B:B,"2017")</f>
        <v>9855</v>
      </c>
      <c r="G15" s="39">
        <f>F15/$F$14</f>
        <v>0.87343791544801919</v>
      </c>
      <c r="H15" s="30">
        <f>SUMIFS('Extraction Offre de services'!G:G,'Extraction Offre de services'!D:D,"centre-val de loire", 'Extraction Offre de services'!F:F,"hebergement", 'Extraction Offre de services'!B:B,"2016")</f>
        <v>4.0853763825893008</v>
      </c>
      <c r="I15" s="23">
        <f>SUMIFS('Extraction Offre de services'!I:I,'Extraction Offre de services'!D:D,"centre-val de loire", 'Extraction Offre de services'!F:F,"hebergement", 'Extraction Offre de services'!B:B,"2016")</f>
        <v>25134</v>
      </c>
      <c r="J15" s="45">
        <f>I15/$I$14</f>
        <v>0.89279624893435638</v>
      </c>
      <c r="K15" s="29">
        <f>SUMIFS('Extraction Offre de services'!G:G,'Extraction Offre de services'!D:D,"centre-val de loire", 'Extraction Offre de services'!F:F,"hebergement", 'Extraction Offre de services'!B:B,"2015")</f>
        <v>4.1261665087636192</v>
      </c>
      <c r="L15" s="23">
        <f>SUMIFS('Extraction Offre de services'!I:I,'Extraction Offre de services'!D:D,"centre-val de loire", 'Extraction Offre de services'!F:F,"hebergement", 'Extraction Offre de services'!B:B,"2015")</f>
        <v>8444</v>
      </c>
      <c r="M15" s="45">
        <f>L15/$L$14</f>
        <v>0.79992421371731715</v>
      </c>
      <c r="N15" s="30">
        <f>SUMIFS('Extraction Offre de services'!G:G,'Extraction Offre de services'!D:D,"centre-val de loire", 'Extraction Offre de services'!F:F,"hebergement", 'Extraction Offre de services'!B:B,"2014")</f>
        <v>0</v>
      </c>
      <c r="O15" s="23">
        <f>SUMIFS('Extraction Offre de services'!I:I,'Extraction Offre de services'!D:D,"centre-val de loire", 'Extraction Offre de services'!F:F,"hebergement", 'Extraction Offre de services'!B:B,"2014")</f>
        <v>0</v>
      </c>
      <c r="P15" s="45">
        <f>O15/$O$14</f>
        <v>0</v>
      </c>
      <c r="Q15" s="29">
        <f>SUMIFS('Extraction Offre de services'!G:G,'Extraction Offre de services'!D:D,"centre-val de loire", 'Extraction Offre de services'!F:F,"hebergement", 'Extraction Offre de services'!B:B,"2013")</f>
        <v>0</v>
      </c>
      <c r="R15" s="23">
        <f>SUMIFS('Extraction Offre de services'!I:I,'Extraction Offre de services'!D:D,"centre-val de loire", 'Extraction Offre de services'!F:F,"hebergement", 'Extraction Offre de services'!B:B,"2013")</f>
        <v>0</v>
      </c>
      <c r="S15" s="42">
        <f>R15/$R$14</f>
        <v>0</v>
      </c>
    </row>
    <row r="16" spans="2:19" x14ac:dyDescent="0.25">
      <c r="B16" s="15" t="s">
        <v>9</v>
      </c>
      <c r="C16" s="2" t="s">
        <v>48</v>
      </c>
      <c r="D16" s="2"/>
      <c r="E16" s="29">
        <f>SUMIFS('Extraction Offre de services'!G:G,'Extraction Offre de services'!D:D,"centre-val de loire", 'Extraction Offre de services'!F:F,"restauration", 'Extraction Offre de services'!B:B,"2017")</f>
        <v>4.283963585434174</v>
      </c>
      <c r="F16" s="23">
        <f>SUMIFS('Extraction Offre de services'!I:I,'Extraction Offre de services'!D:D,"centre-val de loire", 'Extraction Offre de services'!F:F,"restauration", 'Extraction Offre de services'!B:B,"2017")</f>
        <v>1428</v>
      </c>
      <c r="G16" s="39">
        <f>F16/$F$14</f>
        <v>0.12656208455198087</v>
      </c>
      <c r="H16" s="30">
        <f>SUMIFS('Extraction Offre de services'!G:G,'Extraction Offre de services'!D:D,"centre-val de loire", 'Extraction Offre de services'!F:F,"restauration", 'Extraction Offre de services'!B:B,"2016")</f>
        <v>4.3219019218025183</v>
      </c>
      <c r="I16" s="23">
        <f>SUMIFS('Extraction Offre de services'!I:I,'Extraction Offre de services'!D:D,"centre-val de loire", 'Extraction Offre de services'!F:F,"restauration", 'Extraction Offre de services'!B:B,"2016")</f>
        <v>3018</v>
      </c>
      <c r="J16" s="45">
        <f>I16/$I$14</f>
        <v>0.10720375106564364</v>
      </c>
      <c r="K16" s="29">
        <f>SUMIFS('Extraction Offre de services'!G:G,'Extraction Offre de services'!D:D,"centre-val de loire", 'Extraction Offre de services'!F:F,"restauration", 'Extraction Offre de services'!B:B,"2015")</f>
        <v>4.3423295454545459</v>
      </c>
      <c r="L16" s="23">
        <f>SUMIFS('Extraction Offre de services'!I:I,'Extraction Offre de services'!D:D,"centre-val de loire", 'Extraction Offre de services'!F:F,"restauration", 'Extraction Offre de services'!B:B,"2015")</f>
        <v>2112</v>
      </c>
      <c r="M16" s="45">
        <f>L16/$L$14</f>
        <v>0.20007578628268283</v>
      </c>
      <c r="N16" s="30">
        <f>SUMIFS('Extraction Offre de services'!G:G,'Extraction Offre de services'!D:D,"centre-val de loire", 'Extraction Offre de services'!F:F,"restauration", 'Extraction Offre de services'!B:B,"2014")</f>
        <v>4.3566009104704095</v>
      </c>
      <c r="O16" s="23">
        <f>SUMIFS('Extraction Offre de services'!I:I,'Extraction Offre de services'!D:D,"centre-val de loire", 'Extraction Offre de services'!F:F,"restauration", 'Extraction Offre de services'!B:B,"2014")</f>
        <v>1318</v>
      </c>
      <c r="P16" s="45">
        <f>O16/$O$14</f>
        <v>1</v>
      </c>
      <c r="Q16" s="29">
        <f>SUMIFS('Extraction Offre de services'!G:G,'Extraction Offre de services'!D:D,"centre-val de loire", 'Extraction Offre de services'!F:F,"restauration", 'Extraction Offre de services'!B:B,"2013")</f>
        <v>4.2804136253041367</v>
      </c>
      <c r="R16" s="23">
        <f>SUMIFS('Extraction Offre de services'!I:I,'Extraction Offre de services'!D:D,"centre-val de loire", 'Extraction Offre de services'!F:F,"restauration", 'Extraction Offre de services'!B:B,"2013")</f>
        <v>822</v>
      </c>
      <c r="S16" s="42">
        <f>R16/$R$14</f>
        <v>1</v>
      </c>
    </row>
    <row r="17" spans="2:19" s="65" customFormat="1" x14ac:dyDescent="0.25">
      <c r="B17" s="68" t="s">
        <v>9</v>
      </c>
      <c r="C17" s="68" t="s">
        <v>48</v>
      </c>
      <c r="D17" s="68" t="s">
        <v>125</v>
      </c>
      <c r="E17" s="70">
        <f>SUMIFS('Extraction Offre de services'!L:L,'Extraction Offre de services'!D:D,"centre-val de loire", 'Extraction Offre de services'!F:F,"restauration", 'Extraction Offre de services'!B:B,"2017")</f>
        <v>4.322128851540616</v>
      </c>
      <c r="F17" s="71"/>
      <c r="G17" s="72"/>
      <c r="H17" s="70">
        <f>SUMIFS('Extraction Offre de services'!L:L,'Extraction Offre de services'!D:D,"centre-val de loire", 'Extraction Offre de services'!F:F,"restauration", 'Extraction Offre de services'!B:B,"2016")</f>
        <v>4.3545394300861497</v>
      </c>
      <c r="I17" s="71"/>
      <c r="J17" s="72"/>
      <c r="K17" s="70">
        <f>SUMIFS('Extraction Offre de services'!L:L,'Extraction Offre de services'!D:D,"centre-val de loire", 'Extraction Offre de services'!F:F,"restauration", 'Extraction Offre de services'!B:B,"2015")</f>
        <v>4.3702651515151514</v>
      </c>
      <c r="L17" s="68"/>
      <c r="M17" s="72"/>
      <c r="N17" s="70">
        <f>SUMIFS('Extraction Offre de services'!L:L,'Extraction Offre de services'!D:D,"centre-val de loire", 'Extraction Offre de services'!F:F,"restauration", 'Extraction Offre de services'!B:B,"2014")</f>
        <v>4.399089529590289</v>
      </c>
      <c r="O17" s="68"/>
      <c r="P17" s="68"/>
      <c r="Q17" s="73">
        <f>SUMIFS('Extraction Offre de services'!L:L,'Extraction Offre de services'!D:D,"centre-val de loire", 'Extraction Offre de services'!F:F,"restauration", 'Extraction Offre de services'!B:B,"2013")</f>
        <v>4.3576642335766422</v>
      </c>
      <c r="R17" s="68"/>
      <c r="S17" s="68"/>
    </row>
    <row r="18" spans="2:19" s="65" customFormat="1" x14ac:dyDescent="0.25">
      <c r="B18" s="68" t="s">
        <v>9</v>
      </c>
      <c r="C18" s="68" t="s">
        <v>48</v>
      </c>
      <c r="D18" s="68" t="s">
        <v>127</v>
      </c>
      <c r="E18" s="70">
        <f>SUMIFS('Extraction Offre de services'!N:N,'Extraction Offre de services'!D:D,"centre-val de loire", 'Extraction Offre de services'!F:F,"restauration", 'Extraction Offre de services'!B:B,"2017")</f>
        <v>4.3473389355742293</v>
      </c>
      <c r="F18" s="68"/>
      <c r="G18" s="72"/>
      <c r="H18" s="70">
        <f>SUMIFS('Extraction Offre de services'!N:N,'Extraction Offre de services'!D:D,"centre-val de loire", 'Extraction Offre de services'!F:F,"restauration", 'Extraction Offre de services'!B:B,"2016")</f>
        <v>4.4115308151093435</v>
      </c>
      <c r="I18" s="68"/>
      <c r="J18" s="72"/>
      <c r="K18" s="70">
        <f>SUMIFS('Extraction Offre de services'!N:N,'Extraction Offre de services'!D:D,"centre-val de loire", 'Extraction Offre de services'!F:F,"restauration", 'Extraction Offre de services'!B:B,"2015")</f>
        <v>4.4147727272727275</v>
      </c>
      <c r="L18" s="68"/>
      <c r="M18" s="72"/>
      <c r="N18" s="70">
        <f>SUMIFS('Extraction Offre de services'!N:N,'Extraction Offre de services'!D:D,"centre-val de loire", 'Extraction Offre de services'!F:F,"restauration", 'Extraction Offre de services'!B:B,"2014")</f>
        <v>4.4188163884673743</v>
      </c>
      <c r="O18" s="68"/>
      <c r="P18" s="72"/>
      <c r="Q18" s="70">
        <f>SUMIFS('Extraction Offre de services'!N:N,'Extraction Offre de services'!D:D,"centre-val de loire", 'Extraction Offre de services'!F:F,"restauration", 'Extraction Offre de services'!B:B,"2013")</f>
        <v>4.2700729927007304</v>
      </c>
      <c r="R18" s="68"/>
      <c r="S18" s="68"/>
    </row>
    <row r="19" spans="2:19" s="65" customFormat="1" x14ac:dyDescent="0.25">
      <c r="B19" s="68" t="s">
        <v>9</v>
      </c>
      <c r="C19" s="68" t="s">
        <v>48</v>
      </c>
      <c r="D19" s="68" t="s">
        <v>126</v>
      </c>
      <c r="E19" s="70">
        <f>SUMIFS('Extraction Offre de services'!P:P,'Extraction Offre de services'!D:D,"centre-val de loire", 'Extraction Offre de services'!F:F,"restauration", 'Extraction Offre de services'!B:B,"2017")</f>
        <v>4.1442577030812329</v>
      </c>
      <c r="F19" s="68"/>
      <c r="G19" s="72"/>
      <c r="H19" s="70">
        <f>SUMIFS('Extraction Offre de services'!P:P,'Extraction Offre de services'!D:D,"centre-val de loire", 'Extraction Offre de services'!F:F,"restauration", 'Extraction Offre de services'!B:B,"2016")</f>
        <v>4.1669980119284293</v>
      </c>
      <c r="I19" s="68"/>
      <c r="J19" s="72"/>
      <c r="K19" s="70">
        <f>SUMIFS('Extraction Offre de services'!P:P,'Extraction Offre de services'!D:D,"centre-val de loire", 'Extraction Offre de services'!F:F,"restauration", 'Extraction Offre de services'!B:B,"2015")</f>
        <v>4.2140151515151514</v>
      </c>
      <c r="L19" s="68"/>
      <c r="M19" s="72"/>
      <c r="N19" s="70">
        <f>SUMIFS('Extraction Offre de services'!P:P,'Extraction Offre de services'!D:D,"centre-val de loire", 'Extraction Offre de services'!F:F,"restauration", 'Extraction Offre de services'!B:B,"2014")</f>
        <v>4.2094081942336876</v>
      </c>
      <c r="O19" s="68"/>
      <c r="P19" s="72"/>
      <c r="Q19" s="70">
        <f>SUMIFS('Extraction Offre de services'!P:P,'Extraction Offre de services'!D:D,"centre-val de loire", 'Extraction Offre de services'!F:F,"restauration", 'Extraction Offre de services'!B:B,"2013")</f>
        <v>4.1362530413625311</v>
      </c>
      <c r="R19" s="68"/>
      <c r="S19" s="68"/>
    </row>
  </sheetData>
  <mergeCells count="8">
    <mergeCell ref="Q2:S2"/>
    <mergeCell ref="B2:B3"/>
    <mergeCell ref="C2:C3"/>
    <mergeCell ref="E2:G2"/>
    <mergeCell ref="H2:J2"/>
    <mergeCell ref="K2:M2"/>
    <mergeCell ref="N2:P2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Extraction Offre de loisirs</vt:lpstr>
      <vt:lpstr>Extraction Patrimoine</vt:lpstr>
      <vt:lpstr>Extraction Offre de services</vt:lpstr>
      <vt:lpstr>Pondération</vt:lpstr>
      <vt:lpstr>Analyse comparative des régions</vt:lpstr>
      <vt:lpstr>Carte identité AURA</vt:lpstr>
      <vt:lpstr>Carte identité BFC</vt:lpstr>
      <vt:lpstr>Carte identité Bretagne</vt:lpstr>
      <vt:lpstr>Carte identité Centre Val de L</vt:lpstr>
      <vt:lpstr>Carte identité Corse</vt:lpstr>
      <vt:lpstr>Carte identité Grand Est</vt:lpstr>
      <vt:lpstr>Carte identité Hauts de France</vt:lpstr>
      <vt:lpstr>Carte identité Ile de France</vt:lpstr>
      <vt:lpstr>Carte identité Normandie</vt:lpstr>
      <vt:lpstr>Carte identité Nvelle Aquitaine</vt:lpstr>
      <vt:lpstr>Carte identité Occitanie</vt:lpstr>
      <vt:lpstr>Carte identité Pays de la Loire</vt:lpstr>
      <vt:lpstr>Carte identité PACA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CANONNE</dc:creator>
  <cp:lastModifiedBy>Marion CANONNE</cp:lastModifiedBy>
  <dcterms:created xsi:type="dcterms:W3CDTF">2017-06-21T07:17:44Z</dcterms:created>
  <dcterms:modified xsi:type="dcterms:W3CDTF">2017-06-28T08:02:37Z</dcterms:modified>
</cp:coreProperties>
</file>