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ml.chartshapes+xml"/>
  <Override PartName="/xl/charts/chart1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2.xml" ContentType="application/vnd.openxmlformats-officedocument.drawingml.chartshapes+xml"/>
  <Override PartName="/xl/charts/chart21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drawings/drawing15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6.xml" ContentType="application/vnd.openxmlformats-officedocument.drawingml.chartshapes+xml"/>
  <Override PartName="/xl/charts/chart27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28.xml" ContentType="application/vnd.openxmlformats-officedocument.drawingml.chart+xml"/>
  <Override PartName="/xl/drawings/drawing19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0.xml" ContentType="application/vnd.openxmlformats-officedocument.drawingml.chartshapes+xml"/>
  <Override PartName="/xl/charts/chart33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34.xml" ContentType="application/vnd.openxmlformats-officedocument.drawingml.chart+xml"/>
  <Override PartName="/xl/drawings/drawing23.xml" ContentType="application/vnd.openxmlformats-officedocument.drawingml.chartshapes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4.xml" ContentType="application/vnd.openxmlformats-officedocument.drawingml.chartshapes+xml"/>
  <Override PartName="/xl/charts/chart39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40.xml" ContentType="application/vnd.openxmlformats-officedocument.drawingml.chart+xml"/>
  <Override PartName="/xl/drawings/drawing27.xml" ContentType="application/vnd.openxmlformats-officedocument.drawingml.chartshape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8.xml" ContentType="application/vnd.openxmlformats-officedocument.drawingml.chartshapes+xml"/>
  <Override PartName="/xl/charts/chart45.xml" ContentType="application/vnd.openxmlformats-officedocument.drawingml.chart+xml"/>
  <Override PartName="/xl/drawings/drawing2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760" activeTab="7"/>
  </bookViews>
  <sheets>
    <sheet name="azwateruse" sheetId="1" r:id="rId1"/>
    <sheet name="AMA" sheetId="2" r:id="rId2"/>
    <sheet name="CentralHighlands" sheetId="3" r:id="rId3"/>
    <sheet name="EasternPlateau" sheetId="4" r:id="rId4"/>
    <sheet name="LowerColoradoRiver" sheetId="5" r:id="rId5"/>
    <sheet name="SoutheasternArizona" sheetId="6" r:id="rId6"/>
    <sheet name="UpperColoradoRiver" sheetId="7" r:id="rId7"/>
    <sheet name="WesternPlateau" sheetId="8" r:id="rId8"/>
  </sheets>
  <calcPr calcId="145621"/>
</workbook>
</file>

<file path=xl/calcChain.xml><?xml version="1.0" encoding="utf-8"?>
<calcChain xmlns="http://schemas.openxmlformats.org/spreadsheetml/2006/main">
  <c r="C56" i="8" l="1"/>
  <c r="C55" i="8"/>
  <c r="C54" i="8"/>
  <c r="B45" i="8"/>
  <c r="C46" i="8"/>
  <c r="C45" i="8"/>
  <c r="E29" i="8"/>
  <c r="D29" i="8"/>
  <c r="C29" i="8"/>
  <c r="B29" i="8"/>
  <c r="D12" i="8"/>
  <c r="D11" i="8"/>
  <c r="D10" i="8"/>
  <c r="C13" i="8"/>
  <c r="C12" i="8"/>
  <c r="C11" i="8"/>
  <c r="C10" i="8"/>
  <c r="B13" i="8"/>
  <c r="B12" i="8"/>
  <c r="B11" i="8"/>
  <c r="B10" i="8"/>
  <c r="D13" i="8"/>
  <c r="C61" i="7"/>
  <c r="C60" i="7"/>
  <c r="C59" i="7"/>
  <c r="B52" i="7"/>
  <c r="C53" i="7"/>
  <c r="C52" i="7"/>
  <c r="E36" i="7"/>
  <c r="D36" i="7"/>
  <c r="C36" i="7"/>
  <c r="B36" i="7"/>
  <c r="D20" i="7"/>
  <c r="D19" i="7"/>
  <c r="D18" i="7"/>
  <c r="D17" i="7"/>
  <c r="C20" i="7"/>
  <c r="C19" i="7"/>
  <c r="C18" i="7"/>
  <c r="C17" i="7"/>
  <c r="B20" i="7"/>
  <c r="B19" i="7"/>
  <c r="B18" i="7"/>
  <c r="B17" i="7"/>
  <c r="C55" i="6"/>
  <c r="C54" i="6"/>
  <c r="C53" i="6"/>
  <c r="B43" i="6"/>
  <c r="C44" i="6"/>
  <c r="C43" i="6"/>
  <c r="E26" i="6"/>
  <c r="C26" i="6"/>
  <c r="D26" i="6"/>
  <c r="B26" i="6"/>
  <c r="D12" i="6"/>
  <c r="D11" i="6"/>
  <c r="D10" i="6"/>
  <c r="D9" i="6"/>
  <c r="C12" i="6"/>
  <c r="C11" i="6"/>
  <c r="C10" i="6"/>
  <c r="C9" i="6"/>
  <c r="B12" i="6"/>
  <c r="B11" i="6"/>
  <c r="B10" i="6"/>
  <c r="B9" i="6"/>
  <c r="C55" i="5"/>
  <c r="C54" i="5"/>
  <c r="C53" i="5"/>
  <c r="B43" i="5"/>
  <c r="C44" i="5"/>
  <c r="C43" i="5"/>
  <c r="D28" i="5"/>
  <c r="E28" i="5"/>
  <c r="B28" i="5"/>
  <c r="D14" i="5"/>
  <c r="D13" i="5"/>
  <c r="D12" i="5"/>
  <c r="D11" i="5"/>
  <c r="C14" i="5"/>
  <c r="C13" i="5"/>
  <c r="C12" i="5"/>
  <c r="C11" i="5"/>
  <c r="B14" i="5"/>
  <c r="B13" i="5"/>
  <c r="B12" i="5"/>
  <c r="B11" i="5"/>
  <c r="B48" i="4"/>
  <c r="C49" i="4"/>
  <c r="C48" i="4"/>
  <c r="E28" i="4"/>
  <c r="C28" i="4"/>
  <c r="B28" i="4"/>
  <c r="D15" i="4"/>
  <c r="D14" i="4"/>
  <c r="D13" i="4"/>
  <c r="D12" i="4"/>
  <c r="C15" i="4"/>
  <c r="C14" i="4"/>
  <c r="C13" i="4"/>
  <c r="C12" i="4"/>
  <c r="B15" i="4"/>
  <c r="B14" i="4"/>
  <c r="B13" i="4"/>
  <c r="B12" i="4"/>
  <c r="E8" i="4"/>
  <c r="D8" i="4"/>
  <c r="C8" i="4"/>
  <c r="C58" i="3"/>
  <c r="C57" i="3"/>
  <c r="C56" i="3"/>
  <c r="C50" i="3"/>
  <c r="C49" i="3"/>
  <c r="F12" i="1"/>
  <c r="F11" i="1"/>
  <c r="E32" i="3"/>
  <c r="C32" i="3"/>
  <c r="B32" i="3"/>
  <c r="AV12" i="1"/>
  <c r="K12" i="3"/>
  <c r="J12" i="3"/>
  <c r="H12" i="3"/>
  <c r="C13" i="3"/>
  <c r="G12" i="3"/>
  <c r="F13" i="3" s="1"/>
  <c r="D12" i="2"/>
  <c r="E15" i="2"/>
  <c r="D15" i="2"/>
  <c r="C15" i="2"/>
  <c r="B15" i="2"/>
  <c r="F12" i="3"/>
  <c r="C91" i="2" l="1"/>
  <c r="C90" i="2"/>
  <c r="C89" i="2"/>
  <c r="M43" i="2"/>
  <c r="I43" i="2"/>
  <c r="E43" i="2"/>
  <c r="O25" i="1"/>
  <c r="N23" i="1"/>
  <c r="N24" i="1"/>
  <c r="N25" i="1"/>
  <c r="N26" i="1"/>
  <c r="N27" i="1"/>
  <c r="N28" i="1"/>
  <c r="N22" i="1"/>
  <c r="Q23" i="1"/>
  <c r="Q24" i="1"/>
  <c r="Q25" i="1"/>
  <c r="Q26" i="1"/>
  <c r="Q27" i="1"/>
  <c r="Q28" i="1"/>
  <c r="Q22" i="1"/>
  <c r="P23" i="1"/>
  <c r="P24" i="1"/>
  <c r="P25" i="1"/>
  <c r="P26" i="1"/>
  <c r="P27" i="1"/>
  <c r="P28" i="1"/>
  <c r="P22" i="1"/>
  <c r="O23" i="1"/>
  <c r="O24" i="1"/>
  <c r="O29" i="1"/>
  <c r="O26" i="1"/>
  <c r="O27" i="1"/>
  <c r="O28" i="1"/>
  <c r="O22" i="1"/>
  <c r="J29" i="1"/>
  <c r="L12" i="1"/>
  <c r="L11" i="1"/>
  <c r="K10" i="1"/>
  <c r="J10" i="1"/>
  <c r="I10" i="1"/>
  <c r="AA11" i="1"/>
  <c r="AB9" i="1"/>
  <c r="AC9" i="1"/>
  <c r="AA9" i="1"/>
  <c r="H13" i="1"/>
  <c r="H9" i="1"/>
  <c r="R25" i="1" l="1"/>
  <c r="S25" i="1" s="1"/>
  <c r="Q29" i="1"/>
  <c r="P29" i="1"/>
  <c r="R29" i="1"/>
  <c r="H12" i="2"/>
  <c r="H11" i="2"/>
  <c r="E12" i="2"/>
  <c r="C12" i="2"/>
  <c r="B12" i="2"/>
  <c r="E11" i="2"/>
  <c r="C11" i="2"/>
  <c r="D11" i="2"/>
  <c r="B11" i="2"/>
  <c r="N4" i="8" l="1"/>
  <c r="O4" i="8"/>
  <c r="M4" i="8"/>
  <c r="Q3" i="8"/>
  <c r="O3" i="8"/>
  <c r="N3" i="8"/>
  <c r="M3" i="8"/>
  <c r="N4" i="7"/>
  <c r="O4" i="7"/>
  <c r="M4" i="7"/>
  <c r="Q3" i="5"/>
  <c r="P3" i="5"/>
  <c r="O3" i="5"/>
  <c r="N3" i="5"/>
  <c r="M3" i="5"/>
  <c r="O4" i="4"/>
  <c r="P4" i="4"/>
  <c r="N4" i="4"/>
  <c r="O3" i="4"/>
  <c r="T4" i="3"/>
  <c r="S4" i="3"/>
  <c r="R4" i="3"/>
  <c r="T3" i="3"/>
  <c r="S3" i="3"/>
  <c r="R3" i="3"/>
  <c r="H3" i="4"/>
  <c r="H2" i="4"/>
  <c r="H3" i="3"/>
  <c r="H2" i="3"/>
  <c r="I2" i="2"/>
  <c r="I3" i="2"/>
</calcChain>
</file>

<file path=xl/sharedStrings.xml><?xml version="1.0" encoding="utf-8"?>
<sst xmlns="http://schemas.openxmlformats.org/spreadsheetml/2006/main" count="547" uniqueCount="69">
  <si>
    <t>FID_1</t>
  </si>
  <si>
    <t>OBJECTID</t>
  </si>
  <si>
    <t>PLANNING_1</t>
  </si>
  <si>
    <t>Shape_Leng</t>
  </si>
  <si>
    <t>FID_</t>
  </si>
  <si>
    <t>adwr_wat_1</t>
  </si>
  <si>
    <t>PLANNINGAR</t>
  </si>
  <si>
    <t>DIST_AF</t>
  </si>
  <si>
    <t>MUNICIPAL</t>
  </si>
  <si>
    <t>INDUSTRIAL</t>
  </si>
  <si>
    <t>AGRICULTUR</t>
  </si>
  <si>
    <t>M_SRFCEWAT</t>
  </si>
  <si>
    <t>M_GRNDWATE</t>
  </si>
  <si>
    <t>M_EFFLUENT</t>
  </si>
  <si>
    <t>M_CAP</t>
  </si>
  <si>
    <t>I_SRFCEWAT</t>
  </si>
  <si>
    <t>I_GRNDWATE</t>
  </si>
  <si>
    <t>I_EFFLUENT</t>
  </si>
  <si>
    <t>I_CAP</t>
  </si>
  <si>
    <t>A_SRFCEWAT</t>
  </si>
  <si>
    <t>A_GRNDWATE</t>
  </si>
  <si>
    <t>A_EFFLUENT</t>
  </si>
  <si>
    <t>A_CAP</t>
  </si>
  <si>
    <t>SHAPE_LE_1</t>
  </si>
  <si>
    <t>adwr_wat_2</t>
  </si>
  <si>
    <t>DISTAF_PER</t>
  </si>
  <si>
    <t>MUNI_AF</t>
  </si>
  <si>
    <t>INDUS_AF</t>
  </si>
  <si>
    <t>AGR_AF</t>
  </si>
  <si>
    <t>M_SRFCE_01</t>
  </si>
  <si>
    <t>M_GRNDW_01</t>
  </si>
  <si>
    <t>M_EFFLU_01</t>
  </si>
  <si>
    <t>M_CAP_AF</t>
  </si>
  <si>
    <t>I_SRFCE_01</t>
  </si>
  <si>
    <t>I_GRNDW_01</t>
  </si>
  <si>
    <t>I_EFFLU_01</t>
  </si>
  <si>
    <t>I_CAP_AF</t>
  </si>
  <si>
    <t>A_SRFCE_01</t>
  </si>
  <si>
    <t>A_GRNDW_01</t>
  </si>
  <si>
    <t>A_EFFLU_01</t>
  </si>
  <si>
    <t>A_CAP_AF</t>
  </si>
  <si>
    <t>MUNI</t>
  </si>
  <si>
    <t>INDUS</t>
  </si>
  <si>
    <t>AGRI</t>
  </si>
  <si>
    <t>DIST_AF_CO</t>
  </si>
  <si>
    <t>adwr_wat_3</t>
  </si>
  <si>
    <t>adwr_wat_4</t>
  </si>
  <si>
    <t>Active Management Areas</t>
  </si>
  <si>
    <t>Central Highlands</t>
  </si>
  <si>
    <t>Eastern Plateau</t>
  </si>
  <si>
    <t>Lower Colorado River</t>
  </si>
  <si>
    <t>Southeastern Arizona</t>
  </si>
  <si>
    <t>Upper Colorado River</t>
  </si>
  <si>
    <t>Western Plateau</t>
  </si>
  <si>
    <t>Groundwater</t>
  </si>
  <si>
    <t>Effluent Water</t>
  </si>
  <si>
    <t>Central Arizona Project</t>
  </si>
  <si>
    <t>Surface Water</t>
  </si>
  <si>
    <t>Arizona State Totals</t>
  </si>
  <si>
    <t>Totals</t>
  </si>
  <si>
    <t>Arizona</t>
  </si>
  <si>
    <t>Rest of Arizona</t>
  </si>
  <si>
    <t>totals</t>
  </si>
  <si>
    <t>Total Water</t>
  </si>
  <si>
    <t>Municipal</t>
  </si>
  <si>
    <t>Industrial</t>
  </si>
  <si>
    <t>Agricultural</t>
  </si>
  <si>
    <t>Lower Colorado</t>
  </si>
  <si>
    <t>UpperColorado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</si>
</sst>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/>
    <xf numFmtId="0" fontId="16" fillId="0" borderId="0" xfId="0" applyFont="1"/>
    <xf numFmtId="164" fontId="0" fillId="0" borderId="0" xfId="0" applyNumberFormat="1"/>
    <xf numFmtId="2" fontId="0" fillId="0" borderId="0" xfId="0" applyNumberFormat="1"/>
    <xf numFmtId="3" fontId="16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6375044809944"/>
          <c:y val="0.15477649565576074"/>
          <c:w val="0.7887909963976566"/>
          <c:h val="0.82669086409243886"/>
        </c:manualLayout>
      </c:layout>
      <c:doughnutChart>
        <c:varyColors val="1"/>
        <c:ser>
          <c:idx val="1"/>
          <c:order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AMA!$B$1:$E$1</c:f>
              <c:strCache>
                <c:ptCount val="4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</c:strCache>
            </c:strRef>
          </c:cat>
          <c:val>
            <c:numRef>
              <c:f>AMA!$B$3:$E$3</c:f>
              <c:numCache>
                <c:formatCode>General</c:formatCode>
                <c:ptCount val="4"/>
                <c:pt idx="0">
                  <c:v>3371632.12</c:v>
                </c:pt>
                <c:pt idx="1">
                  <c:v>155291.76</c:v>
                </c:pt>
                <c:pt idx="2">
                  <c:v>2889021.6199999996</c:v>
                </c:pt>
                <c:pt idx="3">
                  <c:v>1231539.6000000001</c:v>
                </c:pt>
              </c:numCache>
            </c:numRef>
          </c:val>
        </c:ser>
        <c:ser>
          <c:idx val="0"/>
          <c:order val="1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AMA!$B$1:$E$1</c:f>
              <c:strCache>
                <c:ptCount val="4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</c:strCache>
            </c:strRef>
          </c:cat>
          <c:val>
            <c:numRef>
              <c:f>AMA!$B$2:$E$2</c:f>
              <c:numCache>
                <c:formatCode>General</c:formatCode>
                <c:ptCount val="4"/>
                <c:pt idx="0">
                  <c:v>1590418.7</c:v>
                </c:pt>
                <c:pt idx="1">
                  <c:v>134303.65</c:v>
                </c:pt>
                <c:pt idx="2">
                  <c:v>760078.14999999991</c:v>
                </c:pt>
                <c:pt idx="3">
                  <c:v>1174699.6000000001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4.1613082748610579E-2"/>
          <c:y val="1.2512512512512513E-2"/>
          <c:w val="0.92075345882624271"/>
          <c:h val="0.12790218039561871"/>
        </c:manualLayout>
      </c:layout>
      <c:overlay val="0"/>
      <c:txPr>
        <a:bodyPr/>
        <a:lstStyle/>
        <a:p>
          <a:pPr rtl="0">
            <a:defRPr sz="105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70398112843344"/>
          <c:y val="0.1553666527419808"/>
          <c:w val="0.78853091071352466"/>
          <c:h val="0.82641828179885923"/>
        </c:manualLayout>
      </c:layout>
      <c:doughnutChart>
        <c:varyColors val="1"/>
        <c:ser>
          <c:idx val="1"/>
          <c:order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CentralHighlands!$B$1:$E$1</c:f>
              <c:strCache>
                <c:ptCount val="4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</c:strCache>
            </c:strRef>
          </c:cat>
          <c:val>
            <c:numRef>
              <c:f>CentralHighlands!$B$3:$E$3</c:f>
              <c:numCache>
                <c:formatCode>General</c:formatCode>
                <c:ptCount val="4"/>
                <c:pt idx="0">
                  <c:v>3371632.12</c:v>
                </c:pt>
                <c:pt idx="1">
                  <c:v>155291.76</c:v>
                </c:pt>
                <c:pt idx="2">
                  <c:v>2889021.6199999996</c:v>
                </c:pt>
                <c:pt idx="3">
                  <c:v>1231539.6000000001</c:v>
                </c:pt>
              </c:numCache>
            </c:numRef>
          </c:val>
        </c:ser>
        <c:ser>
          <c:idx val="0"/>
          <c:order val="1"/>
          <c:dLbls>
            <c:dLbl>
              <c:idx val="3"/>
              <c:layout/>
              <c:tx>
                <c:rich>
                  <a:bodyPr/>
                  <a:lstStyle/>
                  <a:p>
                    <a:endParaRPr lang="en-US" b="1"/>
                  </a:p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CentralHighlands!$B$1:$E$1</c:f>
              <c:strCache>
                <c:ptCount val="4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</c:strCache>
            </c:strRef>
          </c:cat>
          <c:val>
            <c:numRef>
              <c:f>CentralHighlands!$B$2:$E$2</c:f>
              <c:numCache>
                <c:formatCode>General</c:formatCode>
                <c:ptCount val="4"/>
                <c:pt idx="0">
                  <c:v>211535.76</c:v>
                </c:pt>
                <c:pt idx="1">
                  <c:v>2201.7600000000002</c:v>
                </c:pt>
                <c:pt idx="2">
                  <c:v>119862.48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3.7633458425146718E-2"/>
          <c:y val="2.5025025025025027E-2"/>
          <c:w val="0.93667195612009813"/>
          <c:h val="0.11629739976196669"/>
        </c:manualLayout>
      </c:layout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0070C0"/>
              </a:solidFill>
            </c:spPr>
          </c:dPt>
          <c:dPt>
            <c:idx val="3"/>
            <c:bubble3D val="0"/>
            <c:spPr>
              <a:solidFill>
                <a:srgbClr val="7030A0"/>
              </a:solidFill>
            </c:spPr>
          </c:dPt>
          <c:dPt>
            <c:idx val="4"/>
            <c:bubble3D val="0"/>
            <c:explosion val="26"/>
            <c:spPr>
              <a:solidFill>
                <a:srgbClr val="FF0000"/>
              </a:solidFill>
            </c:spPr>
          </c:dPt>
          <c:dLbls>
            <c:dLbl>
              <c:idx val="0"/>
              <c:layout>
                <c:manualLayout>
                  <c:x val="-0.19543214333165373"/>
                  <c:y val="2.514325348971018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0.70%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8.1495812307129226E-2"/>
                  <c:y val="-1.85520165835126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0.01%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6.3774889886615255E-2"/>
                  <c:y val="-6.224400253271644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0.40%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8378155810752883"/>
                  <c:y val="1.12743977573373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5.4196952744533199E-2"/>
                  <c:y val="-0.2070154143644957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98.91%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0.0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CentralHighlands!$B$1:$F$1</c:f>
              <c:strCache>
                <c:ptCount val="5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  <c:pt idx="4">
                  <c:v>Rest of Arizona</c:v>
                </c:pt>
              </c:strCache>
            </c:strRef>
          </c:cat>
          <c:val>
            <c:numRef>
              <c:f>CentralHighlands!$B$2:$F$2</c:f>
              <c:numCache>
                <c:formatCode>General</c:formatCode>
                <c:ptCount val="5"/>
                <c:pt idx="0">
                  <c:v>211535.76</c:v>
                </c:pt>
                <c:pt idx="1">
                  <c:v>2201.7600000000002</c:v>
                </c:pt>
                <c:pt idx="2">
                  <c:v>119862.48</c:v>
                </c:pt>
                <c:pt idx="3">
                  <c:v>0</c:v>
                </c:pt>
                <c:pt idx="4">
                  <c:v>7564085.0999999996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CentralHighlands!$B$15</c:f>
              <c:strCache>
                <c:ptCount val="1"/>
                <c:pt idx="0">
                  <c:v>Municipal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CentralHighlands!$A$16:$A$19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CentralHighlands!$B$16:$B$19</c:f>
              <c:numCache>
                <c:formatCode>0%</c:formatCode>
                <c:ptCount val="4"/>
                <c:pt idx="0">
                  <c:v>0.95</c:v>
                </c:pt>
                <c:pt idx="1">
                  <c:v>0.03</c:v>
                </c:pt>
                <c:pt idx="2">
                  <c:v>0</c:v>
                </c:pt>
                <c:pt idx="3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CentralHighlands!$C$15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678345011678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0844177510844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CentralHighlands!$A$16:$A$19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CentralHighlands!$C$16:$C$19</c:f>
              <c:numCache>
                <c:formatCode>0%</c:formatCode>
                <c:ptCount val="4"/>
                <c:pt idx="0">
                  <c:v>0.68</c:v>
                </c:pt>
                <c:pt idx="1">
                  <c:v>0.32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CentralHighlands!$D$15</c:f>
              <c:strCache>
                <c:ptCount val="1"/>
                <c:pt idx="0">
                  <c:v>Agricultural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-4.0141297366730524E-3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678345011678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CentralHighlands!$A$16:$A$19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CentralHighlands!$D$16:$D$19</c:f>
              <c:numCache>
                <c:formatCode>0%</c:formatCode>
                <c:ptCount val="4"/>
                <c:pt idx="0">
                  <c:v>0.38</c:v>
                </c:pt>
                <c:pt idx="1">
                  <c:v>0.62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6751744"/>
        <c:axId val="201096192"/>
        <c:axId val="0"/>
      </c:bar3DChart>
      <c:catAx>
        <c:axId val="1967517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1096192"/>
        <c:crosses val="autoZero"/>
        <c:auto val="1"/>
        <c:lblAlgn val="ctr"/>
        <c:lblOffset val="100"/>
        <c:noMultiLvlLbl val="0"/>
      </c:catAx>
      <c:valAx>
        <c:axId val="201096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6751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CentralHighlands!$A$32</c:f>
              <c:strCache>
                <c:ptCount val="1"/>
                <c:pt idx="0">
                  <c:v>Central Highlands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20954287620954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2612612612612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CentralHighlands!$B$31:$E$31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CentralHighlands!$B$32:$E$32</c:f>
              <c:numCache>
                <c:formatCode>0%</c:formatCode>
                <c:ptCount val="4"/>
                <c:pt idx="0">
                  <c:v>0.6341</c:v>
                </c:pt>
                <c:pt idx="1">
                  <c:v>0.35930000000000001</c:v>
                </c:pt>
                <c:pt idx="2">
                  <c:v>0</c:v>
                </c:pt>
                <c:pt idx="3">
                  <c:v>6.6000000000000008E-3</c:v>
                </c:pt>
              </c:numCache>
            </c:numRef>
          </c:val>
        </c:ser>
        <c:ser>
          <c:idx val="1"/>
          <c:order val="1"/>
          <c:tx>
            <c:strRef>
              <c:f>CentralHighlands!$A$33</c:f>
              <c:strCache>
                <c:ptCount val="1"/>
                <c:pt idx="0">
                  <c:v>Arizona State Totals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678345011678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0.10844177510844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CentralHighlands!$B$31:$E$31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CentralHighlands!$B$33:$E$33</c:f>
              <c:numCache>
                <c:formatCode>0%</c:formatCode>
                <c:ptCount val="4"/>
                <c:pt idx="0">
                  <c:v>0.44088116235754421</c:v>
                </c:pt>
                <c:pt idx="1">
                  <c:v>0.3777740763430843</c:v>
                </c:pt>
                <c:pt idx="2">
                  <c:v>0.16103850924796181</c:v>
                </c:pt>
                <c:pt idx="3">
                  <c:v>2.0306252051409686E-2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2272128"/>
        <c:axId val="203382144"/>
        <c:axId val="0"/>
      </c:bar3DChart>
      <c:catAx>
        <c:axId val="2022721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3382144"/>
        <c:crosses val="autoZero"/>
        <c:auto val="1"/>
        <c:lblAlgn val="ctr"/>
        <c:lblOffset val="100"/>
        <c:noMultiLvlLbl val="0"/>
      </c:catAx>
      <c:valAx>
        <c:axId val="203382144"/>
        <c:scaling>
          <c:orientation val="minMax"/>
          <c:max val="0.7000000000000000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2272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CentralHighlands!$A$49</c:f>
              <c:strCache>
                <c:ptCount val="1"/>
                <c:pt idx="0">
                  <c:v>Central Highlands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</c:spPr>
          <c:invertIfNegative val="0"/>
          <c:cat>
            <c:strRef>
              <c:f>CentralHighlands!$B$48</c:f>
              <c:strCache>
                <c:ptCount val="1"/>
                <c:pt idx="0">
                  <c:v>Total Water</c:v>
                </c:pt>
              </c:strCache>
            </c:strRef>
          </c:cat>
          <c:val>
            <c:numRef>
              <c:f>CentralHighlands!$B$49</c:f>
              <c:numCache>
                <c:formatCode>0.00%</c:formatCode>
                <c:ptCount val="1"/>
                <c:pt idx="0">
                  <c:v>1.1101940842895557E-2</c:v>
                </c:pt>
              </c:numCache>
            </c:numRef>
          </c:val>
        </c:ser>
        <c:ser>
          <c:idx val="1"/>
          <c:order val="1"/>
          <c:tx>
            <c:strRef>
              <c:f>CentralHighlands!$A$50</c:f>
              <c:strCache>
                <c:ptCount val="1"/>
                <c:pt idx="0">
                  <c:v>Arizona State Totals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CentralHighlands!$B$48</c:f>
              <c:strCache>
                <c:ptCount val="1"/>
                <c:pt idx="0">
                  <c:v>Total Water</c:v>
                </c:pt>
              </c:strCache>
            </c:strRef>
          </c:cat>
          <c:val>
            <c:numRef>
              <c:f>CentralHighlands!$B$50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42144"/>
        <c:axId val="196756224"/>
        <c:axId val="0"/>
      </c:bar3DChart>
      <c:catAx>
        <c:axId val="196742144"/>
        <c:scaling>
          <c:orientation val="minMax"/>
        </c:scaling>
        <c:delete val="1"/>
        <c:axPos val="l"/>
        <c:majorGridlines/>
        <c:majorTickMark val="out"/>
        <c:minorTickMark val="none"/>
        <c:tickLblPos val="nextTo"/>
        <c:crossAx val="196756224"/>
        <c:crosses val="autoZero"/>
        <c:auto val="1"/>
        <c:lblAlgn val="ctr"/>
        <c:lblOffset val="100"/>
        <c:noMultiLvlLbl val="0"/>
      </c:catAx>
      <c:valAx>
        <c:axId val="196756224"/>
        <c:scaling>
          <c:orientation val="minMax"/>
        </c:scaling>
        <c:delete val="0"/>
        <c:axPos val="b"/>
        <c:minorGridlines/>
        <c:numFmt formatCode="0%" sourceLinked="0"/>
        <c:majorTickMark val="out"/>
        <c:minorTickMark val="none"/>
        <c:tickLblPos val="nextTo"/>
        <c:crossAx val="19674214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CentralHighlands!$A$56</c:f>
              <c:strCache>
                <c:ptCount val="1"/>
                <c:pt idx="0">
                  <c:v>Agricultural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CentralHighlands!$B$55</c:f>
              <c:strCache>
                <c:ptCount val="1"/>
                <c:pt idx="0">
                  <c:v>Central Highlands</c:v>
                </c:pt>
              </c:strCache>
            </c:strRef>
          </c:cat>
          <c:val>
            <c:numRef>
              <c:f>CentralHighlands!$B$56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CentralHighlands!$A$57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CentralHighlands!$B$55</c:f>
              <c:strCache>
                <c:ptCount val="1"/>
                <c:pt idx="0">
                  <c:v>Central Highlands</c:v>
                </c:pt>
              </c:strCache>
            </c:strRef>
          </c:cat>
          <c:val>
            <c:numRef>
              <c:f>CentralHighlands!$B$57</c:f>
              <c:numCache>
                <c:formatCode>0%</c:formatCode>
                <c:ptCount val="1"/>
                <c:pt idx="0">
                  <c:v>0.22</c:v>
                </c:pt>
              </c:numCache>
            </c:numRef>
          </c:val>
        </c:ser>
        <c:ser>
          <c:idx val="2"/>
          <c:order val="2"/>
          <c:tx>
            <c:strRef>
              <c:f>CentralHighlands!$A$58</c:f>
              <c:strCache>
                <c:ptCount val="1"/>
                <c:pt idx="0">
                  <c:v>Municipal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CentralHighlands!$B$55</c:f>
              <c:strCache>
                <c:ptCount val="1"/>
                <c:pt idx="0">
                  <c:v>Central Highlands</c:v>
                </c:pt>
              </c:strCache>
            </c:strRef>
          </c:cat>
          <c:val>
            <c:numRef>
              <c:f>CentralHighlands!$B$58</c:f>
              <c:numCache>
                <c:formatCode>0%</c:formatCode>
                <c:ptCount val="1"/>
                <c:pt idx="0">
                  <c:v>0.33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437760"/>
        <c:axId val="203358208"/>
        <c:axId val="0"/>
      </c:bar3DChart>
      <c:catAx>
        <c:axId val="200437760"/>
        <c:scaling>
          <c:orientation val="minMax"/>
        </c:scaling>
        <c:delete val="1"/>
        <c:axPos val="l"/>
        <c:majorTickMark val="out"/>
        <c:minorTickMark val="none"/>
        <c:tickLblPos val="nextTo"/>
        <c:crossAx val="203358208"/>
        <c:crosses val="autoZero"/>
        <c:auto val="1"/>
        <c:lblAlgn val="ctr"/>
        <c:lblOffset val="100"/>
        <c:noMultiLvlLbl val="0"/>
      </c:catAx>
      <c:valAx>
        <c:axId val="203358208"/>
        <c:scaling>
          <c:orientation val="minMax"/>
        </c:scaling>
        <c:delete val="0"/>
        <c:axPos val="b"/>
        <c:minorGridlines/>
        <c:numFmt formatCode="0%" sourceLinked="1"/>
        <c:majorTickMark val="out"/>
        <c:minorTickMark val="none"/>
        <c:tickLblPos val="nextTo"/>
        <c:crossAx val="20043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4473248150572"/>
          <c:y val="0.1428541402294683"/>
          <c:w val="0.79649015936045242"/>
          <c:h val="0.83475995680720094"/>
        </c:manualLayout>
      </c:layout>
      <c:doughnutChart>
        <c:varyColors val="1"/>
        <c:ser>
          <c:idx val="1"/>
          <c:order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EasternPlateau!$B$1:$E$1</c:f>
              <c:strCache>
                <c:ptCount val="4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</c:strCache>
            </c:strRef>
          </c:cat>
          <c:val>
            <c:numRef>
              <c:f>EasternPlateau!$B$3:$E$3</c:f>
              <c:numCache>
                <c:formatCode>General</c:formatCode>
                <c:ptCount val="4"/>
                <c:pt idx="0">
                  <c:v>3371632.12</c:v>
                </c:pt>
                <c:pt idx="1">
                  <c:v>155291.76</c:v>
                </c:pt>
                <c:pt idx="2">
                  <c:v>2889021.6199999996</c:v>
                </c:pt>
                <c:pt idx="3">
                  <c:v>1231539.6000000001</c:v>
                </c:pt>
              </c:numCache>
            </c:numRef>
          </c:val>
        </c:ser>
        <c:ser>
          <c:idx val="0"/>
          <c:order val="1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EasternPlateau!$B$1:$E$1</c:f>
              <c:strCache>
                <c:ptCount val="4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</c:strCache>
            </c:strRef>
          </c:cat>
          <c:val>
            <c:numRef>
              <c:f>EasternPlateau!$B$2:$E$2</c:f>
              <c:numCache>
                <c:formatCode>General</c:formatCode>
                <c:ptCount val="4"/>
                <c:pt idx="0">
                  <c:v>417247.6</c:v>
                </c:pt>
                <c:pt idx="1">
                  <c:v>60220.6</c:v>
                </c:pt>
                <c:pt idx="2">
                  <c:v>204531.8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3.161795857179743E-2"/>
          <c:y val="2.5025025025025027E-2"/>
          <c:w val="0.93278445853294123"/>
          <c:h val="0.11121883037893536"/>
        </c:manualLayout>
      </c:layout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0070C0"/>
              </a:solidFill>
            </c:spPr>
          </c:dPt>
          <c:dPt>
            <c:idx val="3"/>
            <c:bubble3D val="0"/>
            <c:spPr>
              <a:solidFill>
                <a:srgbClr val="7030A0"/>
              </a:solidFill>
            </c:spPr>
          </c:dPt>
          <c:dPt>
            <c:idx val="4"/>
            <c:bubble3D val="0"/>
            <c:explosion val="21"/>
            <c:spPr>
              <a:solidFill>
                <a:srgbClr val="FF0000"/>
              </a:solidFill>
            </c:spPr>
          </c:dPt>
          <c:dLbls>
            <c:dLbl>
              <c:idx val="0"/>
              <c:layout>
                <c:manualLayout>
                  <c:x val="-0.18172750791537878"/>
                  <c:y val="-6.029323286541134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1.36%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9.3237897555069227E-2"/>
                  <c:y val="-2.68168430898089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0.20%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4.1234235047266726E-2"/>
                  <c:y val="-2.03645246296164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0.67%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4931017756018319"/>
                  <c:y val="2.992526647382290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97.7%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0.0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EasternPlateau!$B$1:$F$1</c:f>
              <c:strCache>
                <c:ptCount val="5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  <c:pt idx="4">
                  <c:v>Rest of Arizona</c:v>
                </c:pt>
              </c:strCache>
            </c:strRef>
          </c:cat>
          <c:val>
            <c:numRef>
              <c:f>EasternPlateau!$B$2:$F$2</c:f>
              <c:numCache>
                <c:formatCode>General</c:formatCode>
                <c:ptCount val="5"/>
                <c:pt idx="0">
                  <c:v>417247.6</c:v>
                </c:pt>
                <c:pt idx="1">
                  <c:v>60220.6</c:v>
                </c:pt>
                <c:pt idx="2">
                  <c:v>204531.8</c:v>
                </c:pt>
                <c:pt idx="3">
                  <c:v>0</c:v>
                </c:pt>
                <c:pt idx="4">
                  <c:v>7476985.0999999996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EasternPlateau!$B$11</c:f>
              <c:strCache>
                <c:ptCount val="1"/>
                <c:pt idx="0">
                  <c:v>Municipal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EasternPlateau!$A$12:$A$15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EasternPlateau!$B$12:$B$15</c:f>
              <c:numCache>
                <c:formatCode>0%</c:formatCode>
                <c:ptCount val="4"/>
                <c:pt idx="0">
                  <c:v>0.83</c:v>
                </c:pt>
                <c:pt idx="1">
                  <c:v>0.09</c:v>
                </c:pt>
                <c:pt idx="2">
                  <c:v>0</c:v>
                </c:pt>
                <c:pt idx="3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EasternPlateau!$C$11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678345011678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EasternPlateau!$A$12:$A$15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EasternPlateau!$C$12:$C$15</c:f>
              <c:numCache>
                <c:formatCode>0%</c:formatCode>
                <c:ptCount val="4"/>
                <c:pt idx="0">
                  <c:v>0.65</c:v>
                </c:pt>
                <c:pt idx="1">
                  <c:v>0.35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EasternPlateau!$D$11</c:f>
              <c:strCache>
                <c:ptCount val="1"/>
                <c:pt idx="0">
                  <c:v>Agricultural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20954287620954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0141297366730897E-3"/>
                  <c:y val="0.104270937604270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EasternPlateau!$A$12:$A$15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EasternPlateau!$D$12:$D$15</c:f>
              <c:numCache>
                <c:formatCode>0%</c:formatCode>
                <c:ptCount val="4"/>
                <c:pt idx="0">
                  <c:v>0.31</c:v>
                </c:pt>
                <c:pt idx="1">
                  <c:v>0.42</c:v>
                </c:pt>
                <c:pt idx="2">
                  <c:v>0</c:v>
                </c:pt>
                <c:pt idx="3">
                  <c:v>0.27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3377664"/>
        <c:axId val="203380608"/>
        <c:axId val="0"/>
      </c:bar3DChart>
      <c:catAx>
        <c:axId val="2033776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3380608"/>
        <c:crosses val="autoZero"/>
        <c:auto val="1"/>
        <c:lblAlgn val="ctr"/>
        <c:lblOffset val="100"/>
        <c:noMultiLvlLbl val="0"/>
      </c:catAx>
      <c:valAx>
        <c:axId val="203380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3377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EasternPlateau!$A$28</c:f>
              <c:strCache>
                <c:ptCount val="1"/>
                <c:pt idx="0">
                  <c:v>Eastern Plateau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</c:spPr>
          <c:invertIfNegative val="0"/>
          <c:dLbls>
            <c:dLbl>
              <c:idx val="0"/>
              <c:layout>
                <c:manualLayout>
                  <c:x val="3.9796243234638653E-3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6783450116783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EasternPlateau!$B$27:$E$27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EasternPlateau!$B$28:$E$28</c:f>
              <c:numCache>
                <c:formatCode>0%</c:formatCode>
                <c:ptCount val="4"/>
                <c:pt idx="0">
                  <c:v>0.61180000000000001</c:v>
                </c:pt>
                <c:pt idx="1">
                  <c:v>0.2999</c:v>
                </c:pt>
                <c:pt idx="2">
                  <c:v>0</c:v>
                </c:pt>
                <c:pt idx="3">
                  <c:v>8.8300000000000003E-2</c:v>
                </c:pt>
              </c:numCache>
            </c:numRef>
          </c:val>
        </c:ser>
        <c:ser>
          <c:idx val="1"/>
          <c:order val="1"/>
          <c:tx>
            <c:strRef>
              <c:f>EasternPlateau!$A$29</c:f>
              <c:strCache>
                <c:ptCount val="1"/>
                <c:pt idx="0">
                  <c:v>Arizona State Totals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678345011678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9796243234638653E-3"/>
                  <c:y val="0.112612284200210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9796243234638653E-3"/>
                  <c:y val="0.10844177510844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EasternPlateau!$B$27:$E$27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EasternPlateau!$B$29:$E$29</c:f>
              <c:numCache>
                <c:formatCode>0%</c:formatCode>
                <c:ptCount val="4"/>
                <c:pt idx="0">
                  <c:v>0.44088116235754421</c:v>
                </c:pt>
                <c:pt idx="1">
                  <c:v>0.3777740763430843</c:v>
                </c:pt>
                <c:pt idx="2">
                  <c:v>0.16103850924796181</c:v>
                </c:pt>
                <c:pt idx="3">
                  <c:v>2.0306252051409686E-2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6525824"/>
        <c:axId val="237432832"/>
        <c:axId val="0"/>
      </c:bar3DChart>
      <c:catAx>
        <c:axId val="2365258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37432832"/>
        <c:crosses val="autoZero"/>
        <c:auto val="1"/>
        <c:lblAlgn val="ctr"/>
        <c:lblOffset val="100"/>
        <c:noMultiLvlLbl val="0"/>
      </c:catAx>
      <c:valAx>
        <c:axId val="237432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6525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0070C0"/>
              </a:solidFill>
            </c:spPr>
          </c:dPt>
          <c:dPt>
            <c:idx val="3"/>
            <c:bubble3D val="0"/>
            <c:spPr>
              <a:solidFill>
                <a:srgbClr val="7030A0"/>
              </a:solidFill>
            </c:spPr>
          </c:dPt>
          <c:dPt>
            <c:idx val="4"/>
            <c:bubble3D val="0"/>
            <c:explosion val="10"/>
            <c:spPr>
              <a:solidFill>
                <a:srgbClr val="FF0000"/>
              </a:solidFill>
            </c:spPr>
          </c:dPt>
          <c:dLbls>
            <c:dLbl>
              <c:idx val="1"/>
              <c:layout>
                <c:manualLayout>
                  <c:x val="2.0870466048477466E-2"/>
                  <c:y val="-1.454108009226119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AMA!$B$1:$F$1</c:f>
              <c:strCache>
                <c:ptCount val="5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  <c:pt idx="4">
                  <c:v>Rest of Arizona</c:v>
                </c:pt>
              </c:strCache>
            </c:strRef>
          </c:cat>
          <c:val>
            <c:numRef>
              <c:f>AMA!$B$2:$F$2</c:f>
              <c:numCache>
                <c:formatCode>General</c:formatCode>
                <c:ptCount val="5"/>
                <c:pt idx="0">
                  <c:v>1590418.7</c:v>
                </c:pt>
                <c:pt idx="1">
                  <c:v>134303.65</c:v>
                </c:pt>
                <c:pt idx="2">
                  <c:v>760078.14999999991</c:v>
                </c:pt>
                <c:pt idx="3">
                  <c:v>1174699.6000000001</c:v>
                </c:pt>
                <c:pt idx="4">
                  <c:v>3987984.9999999995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EasternPlateau!$A$48</c:f>
              <c:strCache>
                <c:ptCount val="1"/>
                <c:pt idx="0">
                  <c:v>Central Highlands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EasternPlateau!$B$47</c:f>
              <c:strCache>
                <c:ptCount val="1"/>
                <c:pt idx="0">
                  <c:v>Total Water</c:v>
                </c:pt>
              </c:strCache>
            </c:strRef>
          </c:cat>
          <c:val>
            <c:numRef>
              <c:f>EasternPlateau!$B$48</c:f>
              <c:numCache>
                <c:formatCode>0.00%</c:formatCode>
                <c:ptCount val="1"/>
                <c:pt idx="0">
                  <c:v>2.2696413833497509E-2</c:v>
                </c:pt>
              </c:numCache>
            </c:numRef>
          </c:val>
        </c:ser>
        <c:ser>
          <c:idx val="1"/>
          <c:order val="1"/>
          <c:tx>
            <c:strRef>
              <c:f>EasternPlateau!$A$49</c:f>
              <c:strCache>
                <c:ptCount val="1"/>
                <c:pt idx="0">
                  <c:v>Arizona State Totals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EasternPlateau!$B$47</c:f>
              <c:strCache>
                <c:ptCount val="1"/>
                <c:pt idx="0">
                  <c:v>Total Water</c:v>
                </c:pt>
              </c:strCache>
            </c:strRef>
          </c:cat>
          <c:val>
            <c:numRef>
              <c:f>EasternPlateau!$B$49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5588864"/>
        <c:axId val="215590784"/>
        <c:axId val="0"/>
      </c:bar3DChart>
      <c:catAx>
        <c:axId val="215588864"/>
        <c:scaling>
          <c:orientation val="minMax"/>
        </c:scaling>
        <c:delete val="1"/>
        <c:axPos val="l"/>
        <c:majorTickMark val="out"/>
        <c:minorTickMark val="none"/>
        <c:tickLblPos val="nextTo"/>
        <c:crossAx val="215590784"/>
        <c:crosses val="autoZero"/>
        <c:auto val="1"/>
        <c:lblAlgn val="ctr"/>
        <c:lblOffset val="100"/>
        <c:noMultiLvlLbl val="0"/>
      </c:catAx>
      <c:valAx>
        <c:axId val="215590784"/>
        <c:scaling>
          <c:orientation val="minMax"/>
        </c:scaling>
        <c:delete val="0"/>
        <c:axPos val="b"/>
        <c:minorGridlines/>
        <c:numFmt formatCode="0%" sourceLinked="0"/>
        <c:majorTickMark val="out"/>
        <c:minorTickMark val="none"/>
        <c:tickLblPos val="nextTo"/>
        <c:crossAx val="215588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EasternPlateau!$A$59</c:f>
              <c:strCache>
                <c:ptCount val="1"/>
                <c:pt idx="0">
                  <c:v>Agricultural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EasternPlateau!$B$58</c:f>
              <c:strCache>
                <c:ptCount val="1"/>
                <c:pt idx="0">
                  <c:v>Eastern Plateau</c:v>
                </c:pt>
              </c:strCache>
            </c:strRef>
          </c:cat>
          <c:val>
            <c:numRef>
              <c:f>EasternPlateau!$B$59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EasternPlateau!$A$60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EasternPlateau!$B$58</c:f>
              <c:strCache>
                <c:ptCount val="1"/>
                <c:pt idx="0">
                  <c:v>Eastern Plateau</c:v>
                </c:pt>
              </c:strCache>
            </c:strRef>
          </c:cat>
          <c:val>
            <c:numRef>
              <c:f>EasternPlateau!$B$60</c:f>
              <c:numCache>
                <c:formatCode>0%</c:formatCode>
                <c:ptCount val="1"/>
                <c:pt idx="0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EasternPlateau!$A$61</c:f>
              <c:strCache>
                <c:ptCount val="1"/>
                <c:pt idx="0">
                  <c:v>Municipal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EasternPlateau!$B$58</c:f>
              <c:strCache>
                <c:ptCount val="1"/>
                <c:pt idx="0">
                  <c:v>Eastern Plateau</c:v>
                </c:pt>
              </c:strCache>
            </c:strRef>
          </c:cat>
          <c:val>
            <c:numRef>
              <c:f>EasternPlateau!$B$61</c:f>
              <c:numCache>
                <c:formatCode>0%</c:formatCode>
                <c:ptCount val="1"/>
                <c:pt idx="0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629376"/>
        <c:axId val="202157440"/>
        <c:axId val="0"/>
      </c:bar3DChart>
      <c:catAx>
        <c:axId val="168629376"/>
        <c:scaling>
          <c:orientation val="minMax"/>
        </c:scaling>
        <c:delete val="1"/>
        <c:axPos val="l"/>
        <c:majorTickMark val="out"/>
        <c:minorTickMark val="none"/>
        <c:tickLblPos val="nextTo"/>
        <c:crossAx val="202157440"/>
        <c:crosses val="autoZero"/>
        <c:auto val="1"/>
        <c:lblAlgn val="ctr"/>
        <c:lblOffset val="100"/>
        <c:noMultiLvlLbl val="0"/>
      </c:catAx>
      <c:valAx>
        <c:axId val="202157440"/>
        <c:scaling>
          <c:orientation val="minMax"/>
        </c:scaling>
        <c:delete val="0"/>
        <c:axPos val="b"/>
        <c:minorGridlines/>
        <c:numFmt formatCode="0%" sourceLinked="1"/>
        <c:majorTickMark val="out"/>
        <c:minorTickMark val="none"/>
        <c:tickLblPos val="nextTo"/>
        <c:crossAx val="168629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70398112843344"/>
          <c:y val="0.14702497773363912"/>
          <c:w val="0.78455128639006089"/>
          <c:h val="0.82224744429468843"/>
        </c:manualLayout>
      </c:layout>
      <c:doughnutChart>
        <c:varyColors val="1"/>
        <c:ser>
          <c:idx val="1"/>
          <c:order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LowerColoradoRiver!$B$1:$E$1</c:f>
              <c:strCache>
                <c:ptCount val="4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</c:strCache>
            </c:strRef>
          </c:cat>
          <c:val>
            <c:numRef>
              <c:f>LowerColoradoRiver!$B$3:$E$3</c:f>
              <c:numCache>
                <c:formatCode>General</c:formatCode>
                <c:ptCount val="4"/>
                <c:pt idx="0">
                  <c:v>3371632.12</c:v>
                </c:pt>
                <c:pt idx="1">
                  <c:v>155291.76</c:v>
                </c:pt>
                <c:pt idx="2">
                  <c:v>2889021.6199999996</c:v>
                </c:pt>
                <c:pt idx="3">
                  <c:v>1231539.6000000001</c:v>
                </c:pt>
              </c:numCache>
            </c:numRef>
          </c:val>
        </c:ser>
        <c:ser>
          <c:idx val="0"/>
          <c:order val="1"/>
          <c:dLbls>
            <c:dLbl>
              <c:idx val="1"/>
              <c:delete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LowerColoradoRiver!$B$1:$E$1</c:f>
              <c:strCache>
                <c:ptCount val="4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</c:strCache>
            </c:strRef>
          </c:cat>
          <c:val>
            <c:numRef>
              <c:f>LowerColoradoRiver!$B$2:$E$2</c:f>
              <c:numCache>
                <c:formatCode>General</c:formatCode>
                <c:ptCount val="4"/>
                <c:pt idx="0">
                  <c:v>1080685</c:v>
                </c:pt>
                <c:pt idx="1">
                  <c:v>435</c:v>
                </c:pt>
                <c:pt idx="2">
                  <c:v>1897325</c:v>
                </c:pt>
                <c:pt idx="3">
                  <c:v>56840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2.9674209778218989E-2"/>
          <c:y val="2.5025025025025027E-2"/>
          <c:w val="0.94463120476702589"/>
          <c:h val="0.11212656225779585"/>
        </c:manualLayout>
      </c:layout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0070C0"/>
              </a:solidFill>
            </c:spPr>
          </c:dPt>
          <c:dPt>
            <c:idx val="3"/>
            <c:bubble3D val="0"/>
            <c:spPr>
              <a:solidFill>
                <a:srgbClr val="7030A0"/>
              </a:solidFill>
            </c:spPr>
          </c:dPt>
          <c:dPt>
            <c:idx val="4"/>
            <c:bubble3D val="0"/>
            <c:explosion val="9"/>
            <c:spPr>
              <a:solidFill>
                <a:srgbClr val="FF0000"/>
              </a:solidFill>
            </c:spPr>
          </c:dPt>
          <c:dLbls>
            <c:dLbl>
              <c:idx val="1"/>
              <c:layout>
                <c:manualLayout>
                  <c:x val="1.3534169618482503E-2"/>
                  <c:y val="-1.137259306550645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4.6000383548045032E-2"/>
                  <c:y val="-2.937813141225214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4648104069369552"/>
                  <c:y val="-4.05822489155822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LowerColoradoRiver!$B$1:$F$1</c:f>
              <c:strCache>
                <c:ptCount val="5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  <c:pt idx="4">
                  <c:v>Rest of Arizona</c:v>
                </c:pt>
              </c:strCache>
            </c:strRef>
          </c:cat>
          <c:val>
            <c:numRef>
              <c:f>LowerColoradoRiver!$B$2:$F$2</c:f>
              <c:numCache>
                <c:formatCode>General</c:formatCode>
                <c:ptCount val="5"/>
                <c:pt idx="0">
                  <c:v>1080685</c:v>
                </c:pt>
                <c:pt idx="1">
                  <c:v>435</c:v>
                </c:pt>
                <c:pt idx="2">
                  <c:v>1897325</c:v>
                </c:pt>
                <c:pt idx="3">
                  <c:v>56840</c:v>
                </c:pt>
                <c:pt idx="4">
                  <c:v>4612200.0999999996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egendEntry>
        <c:idx val="3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LowerColoradoRiver!$B$10</c:f>
              <c:strCache>
                <c:ptCount val="1"/>
                <c:pt idx="0">
                  <c:v>Municipal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2612612612612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0141297366730897E-3"/>
                  <c:y val="0.120954287620954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LowerColoradoRiver!$A$11:$A$14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LowerColoradoRiver!$B$11:$B$14</c:f>
              <c:numCache>
                <c:formatCode>0%</c:formatCode>
                <c:ptCount val="4"/>
                <c:pt idx="0">
                  <c:v>0.45</c:v>
                </c:pt>
                <c:pt idx="1">
                  <c:v>0.65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LowerColoradoRiver!$C$10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04270937604270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LowerColoradoRiver!$A$11:$A$14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LowerColoradoRiver!$C$11:$C$14</c:f>
              <c:numCache>
                <c:formatCode>0%</c:formatCode>
                <c:ptCount val="4"/>
                <c:pt idx="0">
                  <c:v>0.85</c:v>
                </c:pt>
                <c:pt idx="1">
                  <c:v>0.15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LowerColoradoRiver!$D$10</c:f>
              <c:strCache>
                <c:ptCount val="1"/>
                <c:pt idx="0">
                  <c:v>Agricultural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25125125125125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LowerColoradoRiver!$A$11:$A$14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LowerColoradoRiver!$D$11:$D$14</c:f>
              <c:numCache>
                <c:formatCode>0%</c:formatCode>
                <c:ptCount val="4"/>
                <c:pt idx="0">
                  <c:v>0.33</c:v>
                </c:pt>
                <c:pt idx="1">
                  <c:v>0.65</c:v>
                </c:pt>
                <c:pt idx="2">
                  <c:v>0.02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5589888"/>
        <c:axId val="206061952"/>
        <c:axId val="0"/>
      </c:bar3DChart>
      <c:catAx>
        <c:axId val="2055898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6061952"/>
        <c:crosses val="autoZero"/>
        <c:auto val="1"/>
        <c:lblAlgn val="ctr"/>
        <c:lblOffset val="100"/>
        <c:noMultiLvlLbl val="0"/>
      </c:catAx>
      <c:valAx>
        <c:axId val="206061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5898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LowerColoradoRiver!$A$28</c:f>
              <c:strCache>
                <c:ptCount val="1"/>
                <c:pt idx="0">
                  <c:v>Lower Colorado River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6783121704381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20954287620954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LowerColoradoRiver!$B$27:$E$27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LowerColoradoRiver!$B$28:$E$28</c:f>
              <c:numCache>
                <c:formatCode>0%</c:formatCode>
                <c:ptCount val="4"/>
                <c:pt idx="0">
                  <c:v>0.35604070255949999</c:v>
                </c:pt>
                <c:pt idx="1">
                  <c:v>0.62</c:v>
                </c:pt>
                <c:pt idx="2">
                  <c:v>1.8726412907999999E-2</c:v>
                </c:pt>
                <c:pt idx="3">
                  <c:v>1.433143845E-4</c:v>
                </c:pt>
              </c:numCache>
            </c:numRef>
          </c:val>
        </c:ser>
        <c:ser>
          <c:idx val="1"/>
          <c:order val="1"/>
          <c:tx>
            <c:strRef>
              <c:f>LowerColoradoRiver!$A$29</c:f>
              <c:strCache>
                <c:ptCount val="1"/>
                <c:pt idx="0">
                  <c:v>Arizona State Totals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0844177510844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20954287620954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9796243234638653E-3"/>
                  <c:y val="0.10844177510844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LowerColoradoRiver!$B$27:$E$27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LowerColoradoRiver!$B$29:$E$29</c:f>
              <c:numCache>
                <c:formatCode>0%</c:formatCode>
                <c:ptCount val="4"/>
                <c:pt idx="0">
                  <c:v>0.44088116235754421</c:v>
                </c:pt>
                <c:pt idx="1">
                  <c:v>0.3777740763430843</c:v>
                </c:pt>
                <c:pt idx="2">
                  <c:v>0.16103850924796181</c:v>
                </c:pt>
                <c:pt idx="3">
                  <c:v>2.0306252051409686E-2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4164096"/>
        <c:axId val="284422144"/>
        <c:axId val="0"/>
      </c:bar3DChart>
      <c:catAx>
        <c:axId val="2841640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84422144"/>
        <c:crosses val="autoZero"/>
        <c:auto val="1"/>
        <c:lblAlgn val="ctr"/>
        <c:lblOffset val="100"/>
        <c:noMultiLvlLbl val="0"/>
      </c:catAx>
      <c:valAx>
        <c:axId val="284422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4164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LowerColoradoRiver!$A$43</c:f>
              <c:strCache>
                <c:ptCount val="1"/>
                <c:pt idx="0">
                  <c:v>Central Highlands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LowerColoradoRiver!$B$42</c:f>
              <c:strCache>
                <c:ptCount val="1"/>
                <c:pt idx="0">
                  <c:v>Total Water</c:v>
                </c:pt>
              </c:strCache>
            </c:strRef>
          </c:cat>
          <c:val>
            <c:numRef>
              <c:f>LowerColoradoRiver!$B$43</c:f>
              <c:numCache>
                <c:formatCode>0.00%</c:formatCode>
                <c:ptCount val="1"/>
                <c:pt idx="0">
                  <c:v>0.38603871036447379</c:v>
                </c:pt>
              </c:numCache>
            </c:numRef>
          </c:val>
        </c:ser>
        <c:ser>
          <c:idx val="1"/>
          <c:order val="1"/>
          <c:tx>
            <c:strRef>
              <c:f>LowerColoradoRiver!$A$44</c:f>
              <c:strCache>
                <c:ptCount val="1"/>
                <c:pt idx="0">
                  <c:v>Arizona State Totals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LowerColoradoRiver!$B$42</c:f>
              <c:strCache>
                <c:ptCount val="1"/>
                <c:pt idx="0">
                  <c:v>Total Water</c:v>
                </c:pt>
              </c:strCache>
            </c:strRef>
          </c:cat>
          <c:val>
            <c:numRef>
              <c:f>LowerColoradoRiver!$B$44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1159552"/>
        <c:axId val="270183808"/>
        <c:axId val="0"/>
      </c:bar3DChart>
      <c:catAx>
        <c:axId val="261159552"/>
        <c:scaling>
          <c:orientation val="minMax"/>
        </c:scaling>
        <c:delete val="1"/>
        <c:axPos val="l"/>
        <c:majorTickMark val="out"/>
        <c:minorTickMark val="none"/>
        <c:tickLblPos val="nextTo"/>
        <c:crossAx val="270183808"/>
        <c:crosses val="autoZero"/>
        <c:auto val="1"/>
        <c:lblAlgn val="ctr"/>
        <c:lblOffset val="100"/>
        <c:noMultiLvlLbl val="0"/>
      </c:catAx>
      <c:valAx>
        <c:axId val="270183808"/>
        <c:scaling>
          <c:orientation val="minMax"/>
        </c:scaling>
        <c:delete val="0"/>
        <c:axPos val="b"/>
        <c:minorGridlines/>
        <c:numFmt formatCode="0%" sourceLinked="0"/>
        <c:majorTickMark val="out"/>
        <c:minorTickMark val="none"/>
        <c:tickLblPos val="nextTo"/>
        <c:crossAx val="26115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LowerColoradoRiver!$A$53</c:f>
              <c:strCache>
                <c:ptCount val="1"/>
                <c:pt idx="0">
                  <c:v>Agricultural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elete val="1"/>
          </c:dLbls>
          <c:cat>
            <c:strRef>
              <c:f>LowerColoradoRiver!$B$52</c:f>
              <c:strCache>
                <c:ptCount val="1"/>
                <c:pt idx="0">
                  <c:v>Lower Colorado</c:v>
                </c:pt>
              </c:strCache>
            </c:strRef>
          </c:cat>
          <c:val>
            <c:numRef>
              <c:f>LowerColoradoRiver!$B$53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LowerColoradoRiver!$A$54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elete val="1"/>
          </c:dLbls>
          <c:cat>
            <c:strRef>
              <c:f>LowerColoradoRiver!$B$52</c:f>
              <c:strCache>
                <c:ptCount val="1"/>
                <c:pt idx="0">
                  <c:v>Lower Colorado</c:v>
                </c:pt>
              </c:strCache>
            </c:strRef>
          </c:cat>
          <c:val>
            <c:numRef>
              <c:f>LowerColoradoRiver!$B$54</c:f>
              <c:numCache>
                <c:formatCode>0.000%</c:formatCode>
                <c:ptCount val="1"/>
                <c:pt idx="0">
                  <c:v>5.0000000000000002E-5</c:v>
                </c:pt>
              </c:numCache>
            </c:numRef>
          </c:val>
        </c:ser>
        <c:ser>
          <c:idx val="2"/>
          <c:order val="2"/>
          <c:tx>
            <c:strRef>
              <c:f>LowerColoradoRiver!$A$55</c:f>
              <c:strCache>
                <c:ptCount val="1"/>
                <c:pt idx="0">
                  <c:v>Municipal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elete val="1"/>
          </c:dLbls>
          <c:cat>
            <c:strRef>
              <c:f>LowerColoradoRiver!$B$52</c:f>
              <c:strCache>
                <c:ptCount val="1"/>
                <c:pt idx="0">
                  <c:v>Lower Colorado</c:v>
                </c:pt>
              </c:strCache>
            </c:strRef>
          </c:cat>
          <c:val>
            <c:numRef>
              <c:f>LowerColoradoRiver!$B$55</c:f>
              <c:numCache>
                <c:formatCode>0.000%</c:formatCode>
                <c:ptCount val="1"/>
                <c:pt idx="0">
                  <c:v>1.4999999999999999E-4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1157632"/>
        <c:axId val="261160320"/>
        <c:axId val="0"/>
      </c:bar3DChart>
      <c:catAx>
        <c:axId val="261157632"/>
        <c:scaling>
          <c:orientation val="minMax"/>
        </c:scaling>
        <c:delete val="1"/>
        <c:axPos val="l"/>
        <c:majorTickMark val="out"/>
        <c:minorTickMark val="none"/>
        <c:tickLblPos val="nextTo"/>
        <c:crossAx val="261160320"/>
        <c:crosses val="autoZero"/>
        <c:auto val="1"/>
        <c:lblAlgn val="ctr"/>
        <c:lblOffset val="100"/>
        <c:noMultiLvlLbl val="0"/>
      </c:catAx>
      <c:valAx>
        <c:axId val="261160320"/>
        <c:scaling>
          <c:orientation val="minMax"/>
        </c:scaling>
        <c:delete val="0"/>
        <c:axPos val="b"/>
        <c:minorGridlines/>
        <c:numFmt formatCode="0%" sourceLinked="1"/>
        <c:majorTickMark val="out"/>
        <c:minorTickMark val="none"/>
        <c:tickLblPos val="nextTo"/>
        <c:crossAx val="261157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70398112843344"/>
          <c:y val="0.15119581523780998"/>
          <c:w val="0.78455128639006089"/>
          <c:h val="0.82224744429468843"/>
        </c:manualLayout>
      </c:layout>
      <c:doughnutChart>
        <c:varyColors val="1"/>
        <c:ser>
          <c:idx val="1"/>
          <c:order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SoutheasternArizona!$B$1:$E$1</c:f>
              <c:strCache>
                <c:ptCount val="4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</c:strCache>
            </c:strRef>
          </c:cat>
          <c:val>
            <c:numRef>
              <c:f>SoutheasternArizona!$B$3:$E$3</c:f>
              <c:numCache>
                <c:formatCode>General</c:formatCode>
                <c:ptCount val="4"/>
                <c:pt idx="0">
                  <c:v>3371632.12</c:v>
                </c:pt>
                <c:pt idx="1">
                  <c:v>155291.76</c:v>
                </c:pt>
                <c:pt idx="2">
                  <c:v>2889021.6199999996</c:v>
                </c:pt>
                <c:pt idx="3">
                  <c:v>1231539.6000000001</c:v>
                </c:pt>
              </c:numCache>
            </c:numRef>
          </c:val>
        </c:ser>
        <c:ser>
          <c:idx val="0"/>
          <c:order val="1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="1"/>
                      <a:t>84%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1"/>
                      <a:t>1%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delete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SoutheasternArizona!$B$1:$E$1</c:f>
              <c:strCache>
                <c:ptCount val="4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</c:strCache>
            </c:strRef>
          </c:cat>
          <c:val>
            <c:numRef>
              <c:f>SoutheasternArizona!$B$2:$E$2</c:f>
              <c:numCache>
                <c:formatCode>General</c:formatCode>
                <c:ptCount val="4"/>
                <c:pt idx="0">
                  <c:v>436701.78</c:v>
                </c:pt>
                <c:pt idx="1">
                  <c:v>1648.32</c:v>
                </c:pt>
                <c:pt idx="2">
                  <c:v>76749.899999999994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2.5694585454755121E-2"/>
          <c:y val="2.5025025025025027E-2"/>
          <c:w val="0.94065158044356201"/>
          <c:h val="0.10795572475362501"/>
        </c:manualLayout>
      </c:layout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0070C0"/>
              </a:solidFill>
            </c:spPr>
          </c:dPt>
          <c:dPt>
            <c:idx val="3"/>
            <c:bubble3D val="0"/>
            <c:spPr>
              <a:solidFill>
                <a:srgbClr val="7030A0"/>
              </a:solidFill>
            </c:spPr>
          </c:dPt>
          <c:dPt>
            <c:idx val="4"/>
            <c:bubble3D val="0"/>
            <c:explosion val="20"/>
            <c:spPr>
              <a:solidFill>
                <a:srgbClr val="FF0000"/>
              </a:solidFill>
            </c:spPr>
          </c:dPt>
          <c:dLbls>
            <c:dLbl>
              <c:idx val="1"/>
              <c:layout>
                <c:manualLayout>
                  <c:x val="-8.8392469924067518E-2"/>
                  <c:y val="-1.423700603490629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2.6432226057702672E-2"/>
                  <c:y val="-1.564556682666918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7.9364676478477433E-2"/>
                  <c:y val="2.96661490887212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SoutheasternArizona!$B$1:$F$1</c:f>
              <c:strCache>
                <c:ptCount val="5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  <c:pt idx="4">
                  <c:v>Rest of Arizona</c:v>
                </c:pt>
              </c:strCache>
            </c:strRef>
          </c:cat>
          <c:val>
            <c:numRef>
              <c:f>SoutheasternArizona!$B$2:$F$2</c:f>
              <c:numCache>
                <c:formatCode>General</c:formatCode>
                <c:ptCount val="5"/>
                <c:pt idx="0">
                  <c:v>436701.78</c:v>
                </c:pt>
                <c:pt idx="1">
                  <c:v>1648.32</c:v>
                </c:pt>
                <c:pt idx="2">
                  <c:v>76749.899999999994</c:v>
                </c:pt>
                <c:pt idx="3">
                  <c:v>0</c:v>
                </c:pt>
                <c:pt idx="4">
                  <c:v>7132385.0999999996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spPr>
        <a:solidFill>
          <a:schemeClr val="tx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AMA!$A$11</c:f>
              <c:strCache>
                <c:ptCount val="1"/>
                <c:pt idx="0">
                  <c:v>Active Management Areas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08441446696039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9592486469277305E-3"/>
                  <c:y val="1.25125125125125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9793109672179227E-3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1938872970391595E-2"/>
                  <c:y val="8.34167500834167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 rot="-5400000" vert="horz" anchor="ctr" anchorCtr="1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AMA!$B$10:$E$10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AMA!$B$11:$E$11</c:f>
              <c:numCache>
                <c:formatCode>0%</c:formatCode>
                <c:ptCount val="4"/>
                <c:pt idx="0">
                  <c:v>0.20796623716207044</c:v>
                </c:pt>
                <c:pt idx="1">
                  <c:v>9.9389294658449215E-2</c:v>
                </c:pt>
                <c:pt idx="2">
                  <c:v>0.1536060004876636</c:v>
                </c:pt>
                <c:pt idx="3">
                  <c:v>1.7561806037386069E-2</c:v>
                </c:pt>
              </c:numCache>
            </c:numRef>
          </c:val>
        </c:ser>
        <c:ser>
          <c:idx val="1"/>
          <c:order val="1"/>
          <c:tx>
            <c:strRef>
              <c:f>AMA!$A$12</c:f>
              <c:strCache>
                <c:ptCount val="1"/>
                <c:pt idx="0">
                  <c:v>Arizona State Totals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9.5929262595929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0.10844177510844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1938872970391595E-2"/>
                  <c:y val="8.34167500834167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 rot="-5400000" vert="horz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AMA!$B$10:$E$10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AMA!$B$12:$E$12</c:f>
              <c:numCache>
                <c:formatCode>0%</c:formatCode>
                <c:ptCount val="4"/>
                <c:pt idx="0">
                  <c:v>0.44088116235754421</c:v>
                </c:pt>
                <c:pt idx="1">
                  <c:v>0.3777740763430843</c:v>
                </c:pt>
                <c:pt idx="2">
                  <c:v>0.16103850924796181</c:v>
                </c:pt>
                <c:pt idx="3">
                  <c:v>2.0306252051409686E-2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236416"/>
        <c:axId val="196237952"/>
        <c:axId val="0"/>
      </c:bar3DChart>
      <c:catAx>
        <c:axId val="1962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37952"/>
        <c:crosses val="autoZero"/>
        <c:auto val="1"/>
        <c:lblAlgn val="ctr"/>
        <c:lblOffset val="100"/>
        <c:noMultiLvlLbl val="0"/>
      </c:catAx>
      <c:valAx>
        <c:axId val="196237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6236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SoutheasternArizona!$B$8</c:f>
              <c:strCache>
                <c:ptCount val="1"/>
                <c:pt idx="0">
                  <c:v>Municipal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SoutheasternArizona!$A$9:$A$12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SoutheasternArizona!$B$9:$B$12</c:f>
              <c:numCache>
                <c:formatCode>0%</c:formatCode>
                <c:ptCount val="4"/>
                <c:pt idx="0">
                  <c:v>0.93</c:v>
                </c:pt>
                <c:pt idx="1">
                  <c:v>0.03</c:v>
                </c:pt>
                <c:pt idx="2">
                  <c:v>0</c:v>
                </c:pt>
                <c:pt idx="3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SoutheasternArizona!$C$8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Lbl>
              <c:idx val="0"/>
              <c:layout>
                <c:manualLayout>
                  <c:x val="-4.0141297366730897E-3"/>
                  <c:y val="0.100100100100100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SoutheasternArizona!$A$9:$A$12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SoutheasternArizona!$C$9:$C$12</c:f>
              <c:numCache>
                <c:formatCode>0%</c:formatCode>
                <c:ptCount val="4"/>
                <c:pt idx="0">
                  <c:v>0.97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SoutheasternArizona!$D$8</c:f>
              <c:strCache>
                <c:ptCount val="1"/>
                <c:pt idx="0">
                  <c:v>Agricultural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3.6795764185028883E-17"/>
                  <c:y val="0.11261261261261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2512512512512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SoutheasternArizona!$A$9:$A$12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SoutheasternArizona!$D$9:$D$12</c:f>
              <c:numCache>
                <c:formatCode>0%</c:formatCode>
                <c:ptCount val="4"/>
                <c:pt idx="0">
                  <c:v>0.83</c:v>
                </c:pt>
                <c:pt idx="1">
                  <c:v>0.17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1117824"/>
        <c:axId val="270181120"/>
        <c:axId val="0"/>
      </c:bar3DChart>
      <c:catAx>
        <c:axId val="2611178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70181120"/>
        <c:crosses val="autoZero"/>
        <c:auto val="1"/>
        <c:lblAlgn val="ctr"/>
        <c:lblOffset val="100"/>
        <c:noMultiLvlLbl val="0"/>
      </c:catAx>
      <c:valAx>
        <c:axId val="270181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117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SoutheasternArizona!$A$26</c:f>
              <c:strCache>
                <c:ptCount val="1"/>
                <c:pt idx="0">
                  <c:v>Southeastern Arizona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0844177510844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SoutheasternArizona!$B$25:$E$25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SoutheasternArizona!$B$26:$E$26</c:f>
              <c:numCache>
                <c:formatCode>0.00%</c:formatCode>
                <c:ptCount val="4"/>
                <c:pt idx="0">
                  <c:v>0.84780000000000011</c:v>
                </c:pt>
                <c:pt idx="1">
                  <c:v>0.14899999999999999</c:v>
                </c:pt>
                <c:pt idx="2" formatCode="0%">
                  <c:v>0</c:v>
                </c:pt>
                <c:pt idx="3">
                  <c:v>3.1999999999999997E-3</c:v>
                </c:pt>
              </c:numCache>
            </c:numRef>
          </c:val>
        </c:ser>
        <c:ser>
          <c:idx val="1"/>
          <c:order val="1"/>
          <c:tx>
            <c:strRef>
              <c:f>SoutheasternArizona!$A$27</c:f>
              <c:strCache>
                <c:ptCount val="1"/>
                <c:pt idx="0">
                  <c:v>Arizona State Totals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2612612612612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SoutheasternArizona!$B$25:$E$25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SoutheasternArizona!$B$27:$E$27</c:f>
              <c:numCache>
                <c:formatCode>0%</c:formatCode>
                <c:ptCount val="4"/>
                <c:pt idx="0">
                  <c:v>0.44088116235754421</c:v>
                </c:pt>
                <c:pt idx="1">
                  <c:v>0.3777740763430843</c:v>
                </c:pt>
                <c:pt idx="2">
                  <c:v>0.16103850924796181</c:v>
                </c:pt>
                <c:pt idx="3">
                  <c:v>2.0306252051409686E-2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6462208"/>
        <c:axId val="336463744"/>
        <c:axId val="0"/>
      </c:bar3DChart>
      <c:catAx>
        <c:axId val="3364622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6463744"/>
        <c:crosses val="autoZero"/>
        <c:auto val="1"/>
        <c:lblAlgn val="ctr"/>
        <c:lblOffset val="100"/>
        <c:noMultiLvlLbl val="0"/>
      </c:catAx>
      <c:valAx>
        <c:axId val="3364637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36462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SoutheasternArizona!$A$43</c:f>
              <c:strCache>
                <c:ptCount val="1"/>
                <c:pt idx="0">
                  <c:v>Central Highlands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SoutheasternArizona!$B$42</c:f>
              <c:strCache>
                <c:ptCount val="1"/>
                <c:pt idx="0">
                  <c:v>Total Water</c:v>
                </c:pt>
              </c:strCache>
            </c:strRef>
          </c:cat>
          <c:val>
            <c:numRef>
              <c:f>SoutheasternArizona!$B$43</c:f>
              <c:numCache>
                <c:formatCode>0.00%</c:formatCode>
                <c:ptCount val="1"/>
                <c:pt idx="0">
                  <c:v>6.8568461968531183E-2</c:v>
                </c:pt>
              </c:numCache>
            </c:numRef>
          </c:val>
        </c:ser>
        <c:ser>
          <c:idx val="1"/>
          <c:order val="1"/>
          <c:tx>
            <c:strRef>
              <c:f>SoutheasternArizona!$A$44</c:f>
              <c:strCache>
                <c:ptCount val="1"/>
                <c:pt idx="0">
                  <c:v>Arizona State Totals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SoutheasternArizona!$B$42</c:f>
              <c:strCache>
                <c:ptCount val="1"/>
                <c:pt idx="0">
                  <c:v>Total Water</c:v>
                </c:pt>
              </c:strCache>
            </c:strRef>
          </c:cat>
          <c:val>
            <c:numRef>
              <c:f>SoutheasternArizona!$B$44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6421504"/>
        <c:axId val="216571904"/>
        <c:axId val="0"/>
      </c:bar3DChart>
      <c:catAx>
        <c:axId val="216421504"/>
        <c:scaling>
          <c:orientation val="minMax"/>
        </c:scaling>
        <c:delete val="1"/>
        <c:axPos val="l"/>
        <c:majorTickMark val="out"/>
        <c:minorTickMark val="none"/>
        <c:tickLblPos val="nextTo"/>
        <c:crossAx val="216571904"/>
        <c:crosses val="autoZero"/>
        <c:auto val="1"/>
        <c:lblAlgn val="ctr"/>
        <c:lblOffset val="100"/>
        <c:noMultiLvlLbl val="0"/>
      </c:catAx>
      <c:valAx>
        <c:axId val="216571904"/>
        <c:scaling>
          <c:orientation val="minMax"/>
        </c:scaling>
        <c:delete val="0"/>
        <c:axPos val="b"/>
        <c:minorGridlines/>
        <c:numFmt formatCode="0%" sourceLinked="0"/>
        <c:majorTickMark val="out"/>
        <c:minorTickMark val="none"/>
        <c:tickLblPos val="nextTo"/>
        <c:crossAx val="216421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SoutheasternArizona!$A$53</c:f>
              <c:strCache>
                <c:ptCount val="1"/>
                <c:pt idx="0">
                  <c:v>Agricultural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SoutheasternArizona!$B$52</c:f>
              <c:strCache>
                <c:ptCount val="1"/>
                <c:pt idx="0">
                  <c:v>Lower Colorado</c:v>
                </c:pt>
              </c:strCache>
            </c:strRef>
          </c:cat>
          <c:val>
            <c:numRef>
              <c:f>SoutheasternArizona!$B$53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</c:ser>
        <c:ser>
          <c:idx val="1"/>
          <c:order val="1"/>
          <c:tx>
            <c:strRef>
              <c:f>SoutheasternArizona!$A$54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SoutheasternArizona!$B$52</c:f>
              <c:strCache>
                <c:ptCount val="1"/>
                <c:pt idx="0">
                  <c:v>Lower Colorado</c:v>
                </c:pt>
              </c:strCache>
            </c:strRef>
          </c:cat>
          <c:val>
            <c:numRef>
              <c:f>SoutheasternArizona!$B$54</c:f>
              <c:numCache>
                <c:formatCode>0%</c:formatCode>
                <c:ptCount val="1"/>
                <c:pt idx="0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SoutheasternArizona!$A$55</c:f>
              <c:strCache>
                <c:ptCount val="1"/>
                <c:pt idx="0">
                  <c:v>Municipal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SoutheasternArizona!$B$52</c:f>
              <c:strCache>
                <c:ptCount val="1"/>
                <c:pt idx="0">
                  <c:v>Lower Colorado</c:v>
                </c:pt>
              </c:strCache>
            </c:strRef>
          </c:cat>
          <c:val>
            <c:numRef>
              <c:f>SoutheasternArizona!$B$55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205760"/>
        <c:axId val="336413824"/>
        <c:axId val="0"/>
      </c:bar3DChart>
      <c:catAx>
        <c:axId val="323205760"/>
        <c:scaling>
          <c:orientation val="minMax"/>
        </c:scaling>
        <c:delete val="1"/>
        <c:axPos val="l"/>
        <c:majorTickMark val="out"/>
        <c:minorTickMark val="none"/>
        <c:tickLblPos val="nextTo"/>
        <c:crossAx val="336413824"/>
        <c:crosses val="autoZero"/>
        <c:auto val="1"/>
        <c:lblAlgn val="ctr"/>
        <c:lblOffset val="100"/>
        <c:noMultiLvlLbl val="0"/>
      </c:catAx>
      <c:valAx>
        <c:axId val="336413824"/>
        <c:scaling>
          <c:orientation val="minMax"/>
        </c:scaling>
        <c:delete val="0"/>
        <c:axPos val="b"/>
        <c:minorGridlines/>
        <c:numFmt formatCode="0%" sourceLinked="1"/>
        <c:majorTickMark val="out"/>
        <c:minorTickMark val="none"/>
        <c:tickLblPos val="nextTo"/>
        <c:crossAx val="32320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2435680496958"/>
          <c:y val="0.13034162771695579"/>
          <c:w val="0.80444940800738018"/>
          <c:h val="0.84310163181554254"/>
        </c:manualLayout>
      </c:layout>
      <c:doughnutChart>
        <c:varyColors val="1"/>
        <c:ser>
          <c:idx val="1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UpperColoradoRiver!$B$1:$E$1</c:f>
              <c:strCache>
                <c:ptCount val="4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</c:strCache>
            </c:strRef>
          </c:cat>
          <c:val>
            <c:numRef>
              <c:f>UpperColoradoRiver!$B$3:$E$3</c:f>
              <c:numCache>
                <c:formatCode>General</c:formatCode>
                <c:ptCount val="4"/>
                <c:pt idx="0">
                  <c:v>3371632.12</c:v>
                </c:pt>
                <c:pt idx="1">
                  <c:v>155291.76</c:v>
                </c:pt>
                <c:pt idx="2">
                  <c:v>2889021.6199999996</c:v>
                </c:pt>
                <c:pt idx="3">
                  <c:v>1231539.6000000001</c:v>
                </c:pt>
              </c:numCache>
            </c:numRef>
          </c:val>
        </c:ser>
        <c:ser>
          <c:idx val="0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UpperColoradoRiver!$B$1:$E$1</c:f>
              <c:strCache>
                <c:ptCount val="4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</c:strCache>
            </c:strRef>
          </c:cat>
          <c:val>
            <c:numRef>
              <c:f>UpperColoradoRiver!$B$2:$E$2</c:f>
              <c:numCache>
                <c:formatCode>General</c:formatCode>
                <c:ptCount val="4"/>
                <c:pt idx="0">
                  <c:v>402079.19999999995</c:v>
                </c:pt>
                <c:pt idx="1">
                  <c:v>3027.6</c:v>
                </c:pt>
                <c:pt idx="2">
                  <c:v>281810.40000000002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2.5694585454755121E-2"/>
          <c:y val="2.5025025025025027E-2"/>
          <c:w val="0.93667195612009813"/>
          <c:h val="9.9614049745283345E-2"/>
        </c:manualLayout>
      </c:layout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0070C0"/>
              </a:solidFill>
            </c:spPr>
          </c:dPt>
          <c:dPt>
            <c:idx val="3"/>
            <c:bubble3D val="0"/>
            <c:spPr>
              <a:solidFill>
                <a:srgbClr val="7030A0"/>
              </a:solidFill>
            </c:spPr>
          </c:dPt>
          <c:dPt>
            <c:idx val="4"/>
            <c:bubble3D val="0"/>
            <c:explosion val="18"/>
            <c:spPr>
              <a:solidFill>
                <a:srgbClr val="FF0000"/>
              </a:solidFill>
            </c:spPr>
          </c:dPt>
          <c:dLbls>
            <c:dLbl>
              <c:idx val="0"/>
              <c:layout>
                <c:manualLayout>
                  <c:x val="-0.21692556159706397"/>
                  <c:y val="-1.43512935507686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1.31%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2486337667676928"/>
                  <c:y val="-2.76503537658393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0.04%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8.7016679326259005E-2"/>
                  <c:y val="-7.678281956497179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0.92%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7254522984053927"/>
                  <c:y val="3.501894282734177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97.72%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0.0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UpperColoradoRiver!$B$1:$F$1</c:f>
              <c:strCache>
                <c:ptCount val="5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  <c:pt idx="4">
                  <c:v>Rest of Arizona</c:v>
                </c:pt>
              </c:strCache>
            </c:strRef>
          </c:cat>
          <c:val>
            <c:numRef>
              <c:f>UpperColoradoRiver!$B$2:$F$2</c:f>
              <c:numCache>
                <c:formatCode>General</c:formatCode>
                <c:ptCount val="5"/>
                <c:pt idx="0">
                  <c:v>402079.19999999995</c:v>
                </c:pt>
                <c:pt idx="1">
                  <c:v>3027.6</c:v>
                </c:pt>
                <c:pt idx="2">
                  <c:v>281810.40000000002</c:v>
                </c:pt>
                <c:pt idx="3">
                  <c:v>0</c:v>
                </c:pt>
                <c:pt idx="4">
                  <c:v>7473485.0999999996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UpperColoradoRiver!$B$16</c:f>
              <c:strCache>
                <c:ptCount val="1"/>
                <c:pt idx="0">
                  <c:v>Municipal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0.120954287620954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UpperColoradoRiver!$A$17:$A$20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UpperColoradoRiver!$B$17:$B$20</c:f>
              <c:numCache>
                <c:formatCode>0%</c:formatCode>
                <c:ptCount val="4"/>
                <c:pt idx="0">
                  <c:v>0.92</c:v>
                </c:pt>
                <c:pt idx="1">
                  <c:v>0.02</c:v>
                </c:pt>
                <c:pt idx="2">
                  <c:v>0</c:v>
                </c:pt>
                <c:pt idx="3">
                  <c:v>0.06</c:v>
                </c:pt>
              </c:numCache>
            </c:numRef>
          </c:val>
        </c:ser>
        <c:ser>
          <c:idx val="1"/>
          <c:order val="1"/>
          <c:tx>
            <c:strRef>
              <c:f>UpperColoradoRiver!$C$16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20954287620954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UpperColoradoRiver!$A$17:$A$20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UpperColoradoRiver!$C$17:$C$20</c:f>
              <c:numCache>
                <c:formatCode>0%</c:formatCode>
                <c:ptCount val="4"/>
                <c:pt idx="0">
                  <c:v>0.83</c:v>
                </c:pt>
                <c:pt idx="1">
                  <c:v>0.17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UpperColoradoRiver!$D$16</c:f>
              <c:strCache>
                <c:ptCount val="1"/>
                <c:pt idx="0">
                  <c:v>Agricultural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3.6795764185028883E-17"/>
                  <c:y val="0.120954287620954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678345011678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UpperColoradoRiver!$A$17:$A$20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UpperColoradoRiver!$D$17:$D$20</c:f>
              <c:numCache>
                <c:formatCode>0%</c:formatCode>
                <c:ptCount val="4"/>
                <c:pt idx="0">
                  <c:v>0.35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73774464"/>
        <c:axId val="274777984"/>
        <c:axId val="0"/>
      </c:bar3DChart>
      <c:catAx>
        <c:axId val="2737744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74777984"/>
        <c:crosses val="autoZero"/>
        <c:auto val="1"/>
        <c:lblAlgn val="ctr"/>
        <c:lblOffset val="100"/>
        <c:noMultiLvlLbl val="0"/>
      </c:catAx>
      <c:valAx>
        <c:axId val="2747779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3774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UpperColoradoRiver!$A$36</c:f>
              <c:strCache>
                <c:ptCount val="1"/>
                <c:pt idx="0">
                  <c:v>Upper Colorado River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04270937604270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2612612612612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UpperColoradoRiver!$B$35:$E$35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UpperColoradoRiver!$B$36:$E$36</c:f>
              <c:numCache>
                <c:formatCode>0%</c:formatCode>
                <c:ptCount val="4"/>
                <c:pt idx="0">
                  <c:v>0.57769999999999988</c:v>
                </c:pt>
                <c:pt idx="1">
                  <c:v>0.40490000000000004</c:v>
                </c:pt>
                <c:pt idx="2">
                  <c:v>0</c:v>
                </c:pt>
                <c:pt idx="3">
                  <c:v>1.7399999999999999E-2</c:v>
                </c:pt>
              </c:numCache>
            </c:numRef>
          </c:val>
        </c:ser>
        <c:ser>
          <c:idx val="1"/>
          <c:order val="1"/>
          <c:tx>
            <c:strRef>
              <c:f>UpperColoradoRiver!$A$37</c:f>
              <c:strCache>
                <c:ptCount val="1"/>
                <c:pt idx="0">
                  <c:v>Arizona State Totals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678345011678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0.10844177510844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UpperColoradoRiver!$B$35:$E$35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UpperColoradoRiver!$B$37:$E$37</c:f>
              <c:numCache>
                <c:formatCode>0%</c:formatCode>
                <c:ptCount val="4"/>
                <c:pt idx="0">
                  <c:v>0.44088116235754421</c:v>
                </c:pt>
                <c:pt idx="1">
                  <c:v>0.3777740763430843</c:v>
                </c:pt>
                <c:pt idx="2">
                  <c:v>0.16103850924796181</c:v>
                </c:pt>
                <c:pt idx="3">
                  <c:v>2.0306252051409686E-2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9831808"/>
        <c:axId val="339862272"/>
        <c:axId val="0"/>
      </c:bar3DChart>
      <c:catAx>
        <c:axId val="3398318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9862272"/>
        <c:crosses val="autoZero"/>
        <c:auto val="1"/>
        <c:lblAlgn val="ctr"/>
        <c:lblOffset val="100"/>
        <c:noMultiLvlLbl val="0"/>
      </c:catAx>
      <c:valAx>
        <c:axId val="339862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98318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UpperColoradoRiver!$A$52</c:f>
              <c:strCache>
                <c:ptCount val="1"/>
                <c:pt idx="0">
                  <c:v>Central Highlands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UpperColoradoRiver!$B$51</c:f>
              <c:strCache>
                <c:ptCount val="1"/>
                <c:pt idx="0">
                  <c:v>Total Water</c:v>
                </c:pt>
              </c:strCache>
            </c:strRef>
          </c:cat>
          <c:val>
            <c:numRef>
              <c:f>UpperColoradoRiver!$B$52</c:f>
              <c:numCache>
                <c:formatCode>0.00%</c:formatCode>
                <c:ptCount val="1"/>
                <c:pt idx="0">
                  <c:v>2.3162322621868427E-2</c:v>
                </c:pt>
              </c:numCache>
            </c:numRef>
          </c:val>
        </c:ser>
        <c:ser>
          <c:idx val="1"/>
          <c:order val="1"/>
          <c:tx>
            <c:strRef>
              <c:f>UpperColoradoRiver!$A$53</c:f>
              <c:strCache>
                <c:ptCount val="1"/>
                <c:pt idx="0">
                  <c:v>Arizona State Totals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UpperColoradoRiver!$B$51</c:f>
              <c:strCache>
                <c:ptCount val="1"/>
                <c:pt idx="0">
                  <c:v>Total Water</c:v>
                </c:pt>
              </c:strCache>
            </c:strRef>
          </c:cat>
          <c:val>
            <c:numRef>
              <c:f>UpperColoradoRiver!$B$53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7295104"/>
        <c:axId val="281782144"/>
        <c:axId val="0"/>
      </c:bar3DChart>
      <c:catAx>
        <c:axId val="277295104"/>
        <c:scaling>
          <c:orientation val="minMax"/>
        </c:scaling>
        <c:delete val="1"/>
        <c:axPos val="l"/>
        <c:majorTickMark val="out"/>
        <c:minorTickMark val="none"/>
        <c:tickLblPos val="nextTo"/>
        <c:crossAx val="281782144"/>
        <c:crosses val="autoZero"/>
        <c:auto val="1"/>
        <c:lblAlgn val="ctr"/>
        <c:lblOffset val="100"/>
        <c:noMultiLvlLbl val="0"/>
      </c:catAx>
      <c:valAx>
        <c:axId val="281782144"/>
        <c:scaling>
          <c:orientation val="minMax"/>
        </c:scaling>
        <c:delete val="0"/>
        <c:axPos val="b"/>
        <c:minorGridlines/>
        <c:numFmt formatCode="0%" sourceLinked="0"/>
        <c:majorTickMark val="out"/>
        <c:minorTickMark val="none"/>
        <c:tickLblPos val="nextTo"/>
        <c:crossAx val="27729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UpperColoradoRiver!$A$59</c:f>
              <c:strCache>
                <c:ptCount val="1"/>
                <c:pt idx="0">
                  <c:v>Agricultural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UpperColoradoRiver!$B$58</c:f>
              <c:strCache>
                <c:ptCount val="1"/>
                <c:pt idx="0">
                  <c:v>UpperColorado</c:v>
                </c:pt>
              </c:strCache>
            </c:strRef>
          </c:cat>
          <c:val>
            <c:numRef>
              <c:f>UpperColoradoRiver!$B$59</c:f>
              <c:numCache>
                <c:formatCode>0%</c:formatCode>
                <c:ptCount val="1"/>
                <c:pt idx="0">
                  <c:v>0.57999999999999996</c:v>
                </c:pt>
              </c:numCache>
            </c:numRef>
          </c:val>
        </c:ser>
        <c:ser>
          <c:idx val="1"/>
          <c:order val="1"/>
          <c:tx>
            <c:strRef>
              <c:f>UpperColoradoRiver!$A$60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UpperColoradoRiver!$B$58</c:f>
              <c:strCache>
                <c:ptCount val="1"/>
                <c:pt idx="0">
                  <c:v>UpperColorado</c:v>
                </c:pt>
              </c:strCache>
            </c:strRef>
          </c:cat>
          <c:val>
            <c:numRef>
              <c:f>UpperColoradoRiver!$B$60</c:f>
              <c:numCache>
                <c:formatCode>0%</c:formatCode>
                <c:ptCount val="1"/>
                <c:pt idx="0">
                  <c:v>0.13</c:v>
                </c:pt>
              </c:numCache>
            </c:numRef>
          </c:val>
        </c:ser>
        <c:ser>
          <c:idx val="2"/>
          <c:order val="2"/>
          <c:tx>
            <c:strRef>
              <c:f>UpperColoradoRiver!$A$61</c:f>
              <c:strCache>
                <c:ptCount val="1"/>
                <c:pt idx="0">
                  <c:v>Municipal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UpperColoradoRiver!$B$58</c:f>
              <c:strCache>
                <c:ptCount val="1"/>
                <c:pt idx="0">
                  <c:v>UpperColorado</c:v>
                </c:pt>
              </c:strCache>
            </c:strRef>
          </c:cat>
          <c:val>
            <c:numRef>
              <c:f>UpperColoradoRiver!$B$61</c:f>
              <c:numCache>
                <c:formatCode>0%</c:formatCode>
                <c:ptCount val="1"/>
                <c:pt idx="0">
                  <c:v>0.28999999999999998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405312"/>
        <c:axId val="323407232"/>
        <c:axId val="0"/>
      </c:bar3DChart>
      <c:catAx>
        <c:axId val="323405312"/>
        <c:scaling>
          <c:orientation val="minMax"/>
        </c:scaling>
        <c:delete val="1"/>
        <c:axPos val="l"/>
        <c:majorTickMark val="out"/>
        <c:minorTickMark val="none"/>
        <c:tickLblPos val="nextTo"/>
        <c:crossAx val="323407232"/>
        <c:crosses val="autoZero"/>
        <c:auto val="1"/>
        <c:lblAlgn val="ctr"/>
        <c:lblOffset val="100"/>
        <c:noMultiLvlLbl val="0"/>
      </c:catAx>
      <c:valAx>
        <c:axId val="323407232"/>
        <c:scaling>
          <c:orientation val="minMax"/>
        </c:scaling>
        <c:delete val="0"/>
        <c:axPos val="b"/>
        <c:minorGridlines/>
        <c:numFmt formatCode="0%" sourceLinked="1"/>
        <c:majorTickMark val="out"/>
        <c:minorTickMark val="none"/>
        <c:tickLblPos val="nextTo"/>
        <c:crossAx val="32340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AMA!$F$11</c:f>
              <c:strCache>
                <c:ptCount val="1"/>
                <c:pt idx="0">
                  <c:v>Active Management Areas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0"/>
              <c:layout>
                <c:manualLayout>
                  <c:x val="-3.6549707602339179E-3"/>
                  <c:y val="-1.15740740740740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AMA!$G$10</c:f>
              <c:strCache>
                <c:ptCount val="1"/>
                <c:pt idx="0">
                  <c:v>Total Water</c:v>
                </c:pt>
              </c:strCache>
            </c:strRef>
          </c:cat>
          <c:val>
            <c:numRef>
              <c:f>AMA!$G$11</c:f>
              <c:numCache>
                <c:formatCode>0.00%</c:formatCode>
                <c:ptCount val="1"/>
                <c:pt idx="0">
                  <c:v>0.47852333834556937</c:v>
                </c:pt>
              </c:numCache>
            </c:numRef>
          </c:val>
        </c:ser>
        <c:ser>
          <c:idx val="1"/>
          <c:order val="1"/>
          <c:tx>
            <c:strRef>
              <c:f>AMA!$F$12</c:f>
              <c:strCache>
                <c:ptCount val="1"/>
                <c:pt idx="0">
                  <c:v>Arizona State Totals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elete val="1"/>
          </c:dLbls>
          <c:cat>
            <c:strRef>
              <c:f>AMA!$G$10</c:f>
              <c:strCache>
                <c:ptCount val="1"/>
                <c:pt idx="0">
                  <c:v>Total Water</c:v>
                </c:pt>
              </c:strCache>
            </c:strRef>
          </c:cat>
          <c:val>
            <c:numRef>
              <c:f>AMA!$G$12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9303168"/>
        <c:axId val="199304704"/>
        <c:axId val="0"/>
      </c:bar3DChart>
      <c:catAx>
        <c:axId val="199303168"/>
        <c:scaling>
          <c:orientation val="minMax"/>
        </c:scaling>
        <c:delete val="1"/>
        <c:axPos val="l"/>
        <c:majorTickMark val="out"/>
        <c:minorTickMark val="none"/>
        <c:tickLblPos val="nextTo"/>
        <c:crossAx val="199304704"/>
        <c:crosses val="autoZero"/>
        <c:auto val="1"/>
        <c:lblAlgn val="ctr"/>
        <c:lblOffset val="100"/>
        <c:noMultiLvlLbl val="0"/>
      </c:catAx>
      <c:valAx>
        <c:axId val="199304704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9930316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4473248150572"/>
          <c:y val="0.13868330272529747"/>
          <c:w val="0.8004697836839163"/>
          <c:h val="0.83893079431137174"/>
        </c:manualLayout>
      </c:layout>
      <c:doughnutChart>
        <c:varyColors val="1"/>
        <c:ser>
          <c:idx val="1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WesternPlateau!$B$1:$E$1</c:f>
              <c:strCache>
                <c:ptCount val="4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</c:strCache>
            </c:strRef>
          </c:cat>
          <c:val>
            <c:numRef>
              <c:f>WesternPlateau!$B$3:$E$3</c:f>
              <c:numCache>
                <c:formatCode>General</c:formatCode>
                <c:ptCount val="4"/>
                <c:pt idx="0">
                  <c:v>3371632.12</c:v>
                </c:pt>
                <c:pt idx="1">
                  <c:v>155291.76</c:v>
                </c:pt>
                <c:pt idx="2">
                  <c:v>2889021.6199999996</c:v>
                </c:pt>
                <c:pt idx="3">
                  <c:v>1231539.6000000001</c:v>
                </c:pt>
              </c:numCache>
            </c:numRef>
          </c:val>
        </c:ser>
        <c:ser>
          <c:idx val="0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WesternPlateau!$B$1:$E$1</c:f>
              <c:strCache>
                <c:ptCount val="4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</c:strCache>
            </c:strRef>
          </c:cat>
          <c:val>
            <c:numRef>
              <c:f>WesternPlateau!$B$2:$E$2</c:f>
              <c:numCache>
                <c:formatCode>General</c:formatCode>
                <c:ptCount val="4"/>
                <c:pt idx="0">
                  <c:v>152775</c:v>
                </c:pt>
                <c:pt idx="1">
                  <c:v>6790.0000000000009</c:v>
                </c:pt>
                <c:pt idx="2">
                  <c:v>82934.999999999985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1.9679085601405834E-2"/>
          <c:y val="2.5025025025025027E-2"/>
          <c:w val="0.95268258015026064"/>
          <c:h val="0.10704799287476453"/>
        </c:manualLayout>
      </c:layout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0070C0"/>
              </a:solidFill>
            </c:spPr>
          </c:dPt>
          <c:dPt>
            <c:idx val="3"/>
            <c:bubble3D val="0"/>
            <c:spPr>
              <a:solidFill>
                <a:srgbClr val="7030A0"/>
              </a:solidFill>
            </c:spPr>
          </c:dPt>
          <c:dPt>
            <c:idx val="4"/>
            <c:bubble3D val="0"/>
            <c:explosion val="25"/>
            <c:spPr>
              <a:solidFill>
                <a:srgbClr val="FF0000"/>
              </a:solidFill>
            </c:spPr>
          </c:dPt>
          <c:dLbls>
            <c:dLbl>
              <c:idx val="0"/>
              <c:layout>
                <c:manualLayout>
                  <c:x val="-0.12442593135743418"/>
                  <c:y val="-4.715673678928272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0.08%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8394951705535376"/>
                  <c:y val="4.8459548787632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1.1742398604185939E-2"/>
                  <c:y val="-1.82761501659139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0.04%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320831045832738"/>
                  <c:y val="-1.82794342899329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0.01%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99.87%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WesternPlateau!$B$1:$F$1</c:f>
              <c:strCache>
                <c:ptCount val="5"/>
                <c:pt idx="0">
                  <c:v>Groundwater</c:v>
                </c:pt>
                <c:pt idx="1">
                  <c:v>Effluent Water</c:v>
                </c:pt>
                <c:pt idx="2">
                  <c:v>Surface Water</c:v>
                </c:pt>
                <c:pt idx="3">
                  <c:v>Central Arizona Project</c:v>
                </c:pt>
                <c:pt idx="4">
                  <c:v>Rest of Arizona</c:v>
                </c:pt>
              </c:strCache>
            </c:strRef>
          </c:cat>
          <c:val>
            <c:numRef>
              <c:f>WesternPlateau!$B$2:$F$2</c:f>
              <c:numCache>
                <c:formatCode>General</c:formatCode>
                <c:ptCount val="5"/>
                <c:pt idx="0">
                  <c:v>152775</c:v>
                </c:pt>
                <c:pt idx="1">
                  <c:v>6790.0000000000009</c:v>
                </c:pt>
                <c:pt idx="2">
                  <c:v>82934.999999999985</c:v>
                </c:pt>
                <c:pt idx="3">
                  <c:v>0</c:v>
                </c:pt>
                <c:pt idx="4">
                  <c:v>7637785.0999999996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WesternPlateau!$B$9</c:f>
              <c:strCache>
                <c:ptCount val="1"/>
                <c:pt idx="0">
                  <c:v>Municipal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0"/>
              <c:layout>
                <c:manualLayout>
                  <c:x val="4.0141297366730897E-3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WesternPlateau!$A$10:$A$13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WesternPlateau!$B$10:$B$13</c:f>
              <c:numCache>
                <c:formatCode>0%</c:formatCode>
                <c:ptCount val="4"/>
                <c:pt idx="0">
                  <c:v>0.67</c:v>
                </c:pt>
                <c:pt idx="1">
                  <c:v>0.26</c:v>
                </c:pt>
                <c:pt idx="2">
                  <c:v>0</c:v>
                </c:pt>
                <c:pt idx="3">
                  <c:v>7.0000000000000007E-2</c:v>
                </c:pt>
              </c:numCache>
            </c:numRef>
          </c:val>
        </c:ser>
        <c:ser>
          <c:idx val="1"/>
          <c:order val="1"/>
          <c:tx>
            <c:strRef>
              <c:f>WesternPlateau!$C$9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00100100100100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0844177510844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WesternPlateau!$A$10:$A$13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WesternPlateau!$C$10:$C$13</c:f>
              <c:numCache>
                <c:formatCode>0%</c:formatCode>
                <c:ptCount val="4"/>
                <c:pt idx="0">
                  <c:v>0.77</c:v>
                </c:pt>
                <c:pt idx="1">
                  <c:v>0.23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WesternPlateau!$D$9</c:f>
              <c:strCache>
                <c:ptCount val="1"/>
                <c:pt idx="0">
                  <c:v>Agricultural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20954287620954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678345011678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WesternPlateau!$A$10:$A$13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WesternPlateau!$D$10:$D$13</c:f>
              <c:numCache>
                <c:formatCode>0%</c:formatCode>
                <c:ptCount val="4"/>
                <c:pt idx="0">
                  <c:v>0.56999999999999995</c:v>
                </c:pt>
                <c:pt idx="1">
                  <c:v>0.43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6577664"/>
        <c:axId val="336587008"/>
        <c:axId val="0"/>
      </c:bar3DChart>
      <c:catAx>
        <c:axId val="3365776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6587008"/>
        <c:crosses val="autoZero"/>
        <c:auto val="1"/>
        <c:lblAlgn val="ctr"/>
        <c:lblOffset val="100"/>
        <c:noMultiLvlLbl val="0"/>
      </c:catAx>
      <c:valAx>
        <c:axId val="3365870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6577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WesternPlateau!$A$29</c:f>
              <c:strCache>
                <c:ptCount val="1"/>
                <c:pt idx="0">
                  <c:v>Western Plateau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2612612612612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WesternPlateau!$B$28:$E$28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WesternPlateau!$B$29:$E$29</c:f>
              <c:numCache>
                <c:formatCode>0%</c:formatCode>
                <c:ptCount val="4"/>
                <c:pt idx="0">
                  <c:v>0.63</c:v>
                </c:pt>
                <c:pt idx="1">
                  <c:v>0.34199999999999997</c:v>
                </c:pt>
                <c:pt idx="2">
                  <c:v>0</c:v>
                </c:pt>
                <c:pt idx="3">
                  <c:v>2.8000000000000004E-2</c:v>
                </c:pt>
              </c:numCache>
            </c:numRef>
          </c:val>
        </c:ser>
        <c:ser>
          <c:idx val="1"/>
          <c:order val="1"/>
          <c:tx>
            <c:strRef>
              <c:f>WesternPlateau!$A$30</c:f>
              <c:strCache>
                <c:ptCount val="1"/>
                <c:pt idx="0">
                  <c:v>Arizona State Totals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6783121704381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0.104270937604270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WesternPlateau!$B$28:$E$28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WesternPlateau!$B$30:$E$30</c:f>
              <c:numCache>
                <c:formatCode>0%</c:formatCode>
                <c:ptCount val="4"/>
                <c:pt idx="0">
                  <c:v>0.44088116235754421</c:v>
                </c:pt>
                <c:pt idx="1">
                  <c:v>0.3777740763430843</c:v>
                </c:pt>
                <c:pt idx="2">
                  <c:v>0.16103850924796181</c:v>
                </c:pt>
                <c:pt idx="3">
                  <c:v>2.0306252051409686E-2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44255104"/>
        <c:axId val="348103040"/>
        <c:axId val="0"/>
      </c:bar3DChart>
      <c:catAx>
        <c:axId val="3442551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48103040"/>
        <c:crosses val="autoZero"/>
        <c:auto val="1"/>
        <c:lblAlgn val="ctr"/>
        <c:lblOffset val="100"/>
        <c:noMultiLvlLbl val="0"/>
      </c:catAx>
      <c:valAx>
        <c:axId val="348103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44255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WesternPlateau!$A$45</c:f>
              <c:strCache>
                <c:ptCount val="1"/>
                <c:pt idx="0">
                  <c:v>Central Highlands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WesternPlateau!$B$44</c:f>
              <c:strCache>
                <c:ptCount val="1"/>
                <c:pt idx="0">
                  <c:v>Total Water</c:v>
                </c:pt>
              </c:strCache>
            </c:strRef>
          </c:cat>
          <c:val>
            <c:numRef>
              <c:f>WesternPlateau!$B$45</c:f>
              <c:numCache>
                <c:formatCode>0.00%</c:formatCode>
                <c:ptCount val="1"/>
                <c:pt idx="0">
                  <c:v>1.2912329277708261E-3</c:v>
                </c:pt>
              </c:numCache>
            </c:numRef>
          </c:val>
        </c:ser>
        <c:ser>
          <c:idx val="1"/>
          <c:order val="1"/>
          <c:tx>
            <c:strRef>
              <c:f>WesternPlateau!$A$46</c:f>
              <c:strCache>
                <c:ptCount val="1"/>
                <c:pt idx="0">
                  <c:v>Arizona State Totals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WesternPlateau!$B$44</c:f>
              <c:strCache>
                <c:ptCount val="1"/>
                <c:pt idx="0">
                  <c:v>Total Water</c:v>
                </c:pt>
              </c:strCache>
            </c:strRef>
          </c:cat>
          <c:val>
            <c:numRef>
              <c:f>WesternPlateau!$B$46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184320"/>
        <c:axId val="344185856"/>
        <c:axId val="0"/>
      </c:bar3DChart>
      <c:catAx>
        <c:axId val="344184320"/>
        <c:scaling>
          <c:orientation val="minMax"/>
        </c:scaling>
        <c:delete val="1"/>
        <c:axPos val="l"/>
        <c:majorTickMark val="out"/>
        <c:minorTickMark val="none"/>
        <c:tickLblPos val="nextTo"/>
        <c:crossAx val="344185856"/>
        <c:crosses val="autoZero"/>
        <c:auto val="1"/>
        <c:lblAlgn val="ctr"/>
        <c:lblOffset val="100"/>
        <c:noMultiLvlLbl val="0"/>
      </c:catAx>
      <c:valAx>
        <c:axId val="344185856"/>
        <c:scaling>
          <c:orientation val="minMax"/>
        </c:scaling>
        <c:delete val="0"/>
        <c:axPos val="b"/>
        <c:minorGridlines/>
        <c:numFmt formatCode="0%" sourceLinked="0"/>
        <c:majorTickMark val="out"/>
        <c:minorTickMark val="none"/>
        <c:tickLblPos val="nextTo"/>
        <c:crossAx val="344184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WesternPlateau!$A$54</c:f>
              <c:strCache>
                <c:ptCount val="1"/>
                <c:pt idx="0">
                  <c:v>Agricultural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WesternPlateau!$B$53</c:f>
              <c:strCache>
                <c:ptCount val="1"/>
                <c:pt idx="0">
                  <c:v>Western Plateau</c:v>
                </c:pt>
              </c:strCache>
            </c:strRef>
          </c:cat>
          <c:val>
            <c:numRef>
              <c:f>WesternPlateau!$B$54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</c:ser>
        <c:ser>
          <c:idx val="1"/>
          <c:order val="1"/>
          <c:tx>
            <c:strRef>
              <c:f>WesternPlateau!$A$55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WesternPlateau!$B$53</c:f>
              <c:strCache>
                <c:ptCount val="1"/>
                <c:pt idx="0">
                  <c:v>Western Plateau</c:v>
                </c:pt>
              </c:strCache>
            </c:strRef>
          </c:cat>
          <c:val>
            <c:numRef>
              <c:f>WesternPlateau!$B$55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</c:ser>
        <c:ser>
          <c:idx val="2"/>
          <c:order val="2"/>
          <c:tx>
            <c:strRef>
              <c:f>WesternPlateau!$A$56</c:f>
              <c:strCache>
                <c:ptCount val="1"/>
                <c:pt idx="0">
                  <c:v>Municipal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WesternPlateau!$B$53</c:f>
              <c:strCache>
                <c:ptCount val="1"/>
                <c:pt idx="0">
                  <c:v>Western Plateau</c:v>
                </c:pt>
              </c:strCache>
            </c:strRef>
          </c:cat>
          <c:val>
            <c:numRef>
              <c:f>WesternPlateau!$B$56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7059712"/>
        <c:axId val="347061632"/>
        <c:axId val="0"/>
      </c:bar3DChart>
      <c:catAx>
        <c:axId val="347059712"/>
        <c:scaling>
          <c:orientation val="minMax"/>
        </c:scaling>
        <c:delete val="1"/>
        <c:axPos val="l"/>
        <c:majorTickMark val="out"/>
        <c:minorTickMark val="none"/>
        <c:tickLblPos val="nextTo"/>
        <c:crossAx val="347061632"/>
        <c:crosses val="autoZero"/>
        <c:auto val="1"/>
        <c:lblAlgn val="ctr"/>
        <c:lblOffset val="100"/>
        <c:noMultiLvlLbl val="0"/>
      </c:catAx>
      <c:valAx>
        <c:axId val="347061632"/>
        <c:scaling>
          <c:orientation val="minMax"/>
        </c:scaling>
        <c:delete val="0"/>
        <c:axPos val="b"/>
        <c:minorGridlines/>
        <c:numFmt formatCode="0%" sourceLinked="1"/>
        <c:majorTickMark val="out"/>
        <c:minorTickMark val="none"/>
        <c:tickLblPos val="nextTo"/>
        <c:crossAx val="34705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AMA!$A$11</c:f>
              <c:strCache>
                <c:ptCount val="1"/>
                <c:pt idx="0">
                  <c:v>Active Management Areas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08441446696039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9592486469277305E-3"/>
                  <c:y val="1.25125125125125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9793109672179227E-3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1938872970391595E-2"/>
                  <c:y val="8.34167500834167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 rot="-5400000" vert="horz" anchor="ctr" anchorCtr="1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AMA!$B$10:$E$10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AMA!$B$11:$E$11</c:f>
              <c:numCache>
                <c:formatCode>0%</c:formatCode>
                <c:ptCount val="4"/>
                <c:pt idx="0">
                  <c:v>0.20796623716207044</c:v>
                </c:pt>
                <c:pt idx="1">
                  <c:v>9.9389294658449215E-2</c:v>
                </c:pt>
                <c:pt idx="2">
                  <c:v>0.1536060004876636</c:v>
                </c:pt>
                <c:pt idx="3">
                  <c:v>1.7561806037386069E-2</c:v>
                </c:pt>
              </c:numCache>
            </c:numRef>
          </c:val>
        </c:ser>
        <c:ser>
          <c:idx val="1"/>
          <c:order val="1"/>
          <c:tx>
            <c:strRef>
              <c:f>AMA!$A$12</c:f>
              <c:strCache>
                <c:ptCount val="1"/>
                <c:pt idx="0">
                  <c:v>Arizona State Totals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9.5929262595929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0.10844177510844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1938872970391595E-2"/>
                  <c:y val="8.34167500834167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 rot="-5400000" vert="horz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AMA!$B$10:$E$10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AMA!$B$12:$E$12</c:f>
              <c:numCache>
                <c:formatCode>0%</c:formatCode>
                <c:ptCount val="4"/>
                <c:pt idx="0">
                  <c:v>0.44088116235754421</c:v>
                </c:pt>
                <c:pt idx="1">
                  <c:v>0.3777740763430843</c:v>
                </c:pt>
                <c:pt idx="2">
                  <c:v>0.16103850924796181</c:v>
                </c:pt>
                <c:pt idx="3">
                  <c:v>2.0306252051409686E-2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270400"/>
        <c:axId val="199271936"/>
        <c:axId val="0"/>
      </c:bar3DChart>
      <c:catAx>
        <c:axId val="1992704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99271936"/>
        <c:crosses val="autoZero"/>
        <c:auto val="1"/>
        <c:lblAlgn val="ctr"/>
        <c:lblOffset val="100"/>
        <c:noMultiLvlLbl val="0"/>
      </c:catAx>
      <c:valAx>
        <c:axId val="1992719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2704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AMA!$B$73</c:f>
              <c:strCache>
                <c:ptCount val="1"/>
                <c:pt idx="0">
                  <c:v>Municipal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0844177510844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AMA!$A$74:$A$77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AMA!$B$74:$B$77</c:f>
              <c:numCache>
                <c:formatCode>0%</c:formatCode>
                <c:ptCount val="4"/>
                <c:pt idx="0">
                  <c:v>0.37</c:v>
                </c:pt>
                <c:pt idx="1">
                  <c:v>0.3</c:v>
                </c:pt>
                <c:pt idx="2">
                  <c:v>0.29000003903733923</c:v>
                </c:pt>
                <c:pt idx="3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AMA!$C$73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0844177510844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0.10844177510844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AMA!$A$74:$A$77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AMA!$C$74:$C$77</c:f>
              <c:numCache>
                <c:formatCode>0%</c:formatCode>
                <c:ptCount val="4"/>
                <c:pt idx="0">
                  <c:v>0.66</c:v>
                </c:pt>
                <c:pt idx="1">
                  <c:v>3.9999999999999994E-2</c:v>
                </c:pt>
                <c:pt idx="2">
                  <c:v>1.9999999999999997E-2</c:v>
                </c:pt>
                <c:pt idx="3">
                  <c:v>0.27999999999999997</c:v>
                </c:pt>
              </c:numCache>
            </c:numRef>
          </c:val>
        </c:ser>
        <c:ser>
          <c:idx val="2"/>
          <c:order val="2"/>
          <c:tx>
            <c:strRef>
              <c:f>AMA!$D$73</c:f>
              <c:strCache>
                <c:ptCount val="1"/>
                <c:pt idx="0">
                  <c:v>Agricultural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6783450116783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0844177510844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9796243234638653E-3"/>
                  <c:y val="0.104270937604270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AMA!$A$74:$A$77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AMA!$D$74:$D$77</c:f>
              <c:numCache>
                <c:formatCode>0%</c:formatCode>
                <c:ptCount val="4"/>
                <c:pt idx="0">
                  <c:v>0.45</c:v>
                </c:pt>
                <c:pt idx="1">
                  <c:v>0.16999999999999998</c:v>
                </c:pt>
                <c:pt idx="2">
                  <c:v>0.37000002315774361</c:v>
                </c:pt>
                <c:pt idx="3">
                  <c:v>0.01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9782784"/>
        <c:axId val="199784320"/>
        <c:axId val="0"/>
      </c:bar3DChart>
      <c:catAx>
        <c:axId val="1997827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99784320"/>
        <c:crosses val="autoZero"/>
        <c:auto val="1"/>
        <c:lblAlgn val="ctr"/>
        <c:lblOffset val="100"/>
        <c:noMultiLvlLbl val="0"/>
      </c:catAx>
      <c:valAx>
        <c:axId val="199784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782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AMA!$F$11</c:f>
              <c:strCache>
                <c:ptCount val="1"/>
                <c:pt idx="0">
                  <c:v>Active Management Areas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elete val="1"/>
          </c:dLbls>
          <c:cat>
            <c:strRef>
              <c:f>AMA!$G$10</c:f>
              <c:strCache>
                <c:ptCount val="1"/>
                <c:pt idx="0">
                  <c:v>Total Water</c:v>
                </c:pt>
              </c:strCache>
            </c:strRef>
          </c:cat>
          <c:val>
            <c:numRef>
              <c:f>AMA!$G$11</c:f>
              <c:numCache>
                <c:formatCode>0.00%</c:formatCode>
                <c:ptCount val="1"/>
                <c:pt idx="0">
                  <c:v>0.47852333834556937</c:v>
                </c:pt>
              </c:numCache>
            </c:numRef>
          </c:val>
        </c:ser>
        <c:ser>
          <c:idx val="1"/>
          <c:order val="1"/>
          <c:tx>
            <c:strRef>
              <c:f>AMA!$F$12</c:f>
              <c:strCache>
                <c:ptCount val="1"/>
                <c:pt idx="0">
                  <c:v>Arizona State Totals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elete val="1"/>
          </c:dLbls>
          <c:cat>
            <c:strRef>
              <c:f>AMA!$G$10</c:f>
              <c:strCache>
                <c:ptCount val="1"/>
                <c:pt idx="0">
                  <c:v>Total Water</c:v>
                </c:pt>
              </c:strCache>
            </c:strRef>
          </c:cat>
          <c:val>
            <c:numRef>
              <c:f>AMA!$G$12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9814144"/>
        <c:axId val="199365376"/>
        <c:axId val="0"/>
      </c:bar3DChart>
      <c:catAx>
        <c:axId val="199814144"/>
        <c:scaling>
          <c:orientation val="minMax"/>
        </c:scaling>
        <c:delete val="1"/>
        <c:axPos val="l"/>
        <c:majorTickMark val="out"/>
        <c:minorTickMark val="none"/>
        <c:tickLblPos val="nextTo"/>
        <c:crossAx val="199365376"/>
        <c:crosses val="autoZero"/>
        <c:auto val="1"/>
        <c:lblAlgn val="ctr"/>
        <c:lblOffset val="100"/>
        <c:noMultiLvlLbl val="0"/>
      </c:catAx>
      <c:valAx>
        <c:axId val="199365376"/>
        <c:scaling>
          <c:orientation val="minMax"/>
        </c:scaling>
        <c:delete val="0"/>
        <c:axPos val="b"/>
        <c:minorGridlines/>
        <c:numFmt formatCode="0%" sourceLinked="0"/>
        <c:majorTickMark val="out"/>
        <c:minorTickMark val="none"/>
        <c:tickLblPos val="nextTo"/>
        <c:crossAx val="19981414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AMA!$A$89</c:f>
              <c:strCache>
                <c:ptCount val="1"/>
                <c:pt idx="0">
                  <c:v>Agricultural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AMA!$B$89</c:f>
              <c:numCache>
                <c:formatCode>0%</c:formatCode>
                <c:ptCount val="1"/>
                <c:pt idx="0">
                  <c:v>0.59</c:v>
                </c:pt>
              </c:numCache>
            </c:numRef>
          </c:val>
        </c:ser>
        <c:ser>
          <c:idx val="1"/>
          <c:order val="1"/>
          <c:tx>
            <c:strRef>
              <c:f>AMA!$A$90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AMA!$B$90</c:f>
              <c:numCache>
                <c:formatCode>0%</c:formatCode>
                <c:ptCount val="1"/>
                <c:pt idx="0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AMA!$A$91</c:f>
              <c:strCache>
                <c:ptCount val="1"/>
                <c:pt idx="0">
                  <c:v>Municipal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AMA!$B$91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403776"/>
        <c:axId val="199409664"/>
        <c:axId val="0"/>
      </c:bar3DChart>
      <c:catAx>
        <c:axId val="199403776"/>
        <c:scaling>
          <c:orientation val="minMax"/>
        </c:scaling>
        <c:delete val="1"/>
        <c:axPos val="l"/>
        <c:majorTickMark val="out"/>
        <c:minorTickMark val="none"/>
        <c:tickLblPos val="nextTo"/>
        <c:crossAx val="199409664"/>
        <c:crosses val="autoZero"/>
        <c:auto val="1"/>
        <c:lblAlgn val="ctr"/>
        <c:lblOffset val="100"/>
        <c:noMultiLvlLbl val="0"/>
      </c:catAx>
      <c:valAx>
        <c:axId val="199409664"/>
        <c:scaling>
          <c:orientation val="minMax"/>
        </c:scaling>
        <c:delete val="0"/>
        <c:axPos val="b"/>
        <c:minorGridlines/>
        <c:numFmt formatCode="0%" sourceLinked="1"/>
        <c:majorTickMark val="out"/>
        <c:minorTickMark val="none"/>
        <c:tickLblPos val="nextTo"/>
        <c:crossAx val="19940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AMA!$A$15</c:f>
              <c:strCache>
                <c:ptCount val="1"/>
                <c:pt idx="0">
                  <c:v>Active Management Areas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2612612612612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0.120954287620954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AMA!$B$14:$E$14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AMA!$B$15:$E$15</c:f>
              <c:numCache>
                <c:formatCode>0%</c:formatCode>
                <c:ptCount val="4"/>
                <c:pt idx="0">
                  <c:v>0.43459998812406098</c:v>
                </c:pt>
                <c:pt idx="1">
                  <c:v>0.20769999432436137</c:v>
                </c:pt>
                <c:pt idx="2">
                  <c:v>0.32100001855444682</c:v>
                </c:pt>
                <c:pt idx="3">
                  <c:v>3.6699998997130778E-2</c:v>
                </c:pt>
              </c:numCache>
            </c:numRef>
          </c:val>
        </c:ser>
        <c:ser>
          <c:idx val="1"/>
          <c:order val="1"/>
          <c:tx>
            <c:strRef>
              <c:f>AMA!$A$16</c:f>
              <c:strCache>
                <c:ptCount val="1"/>
                <c:pt idx="0">
                  <c:v>Arizona State Totals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00100100100100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.112612612612612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0.112612612612612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AMA!$B$14:$E$14</c:f>
              <c:strCache>
                <c:ptCount val="4"/>
                <c:pt idx="0">
                  <c:v>Groundwater</c:v>
                </c:pt>
                <c:pt idx="1">
                  <c:v>Surface Water</c:v>
                </c:pt>
                <c:pt idx="2">
                  <c:v>Central Arizona Project</c:v>
                </c:pt>
                <c:pt idx="3">
                  <c:v>Effluent Water</c:v>
                </c:pt>
              </c:strCache>
            </c:strRef>
          </c:cat>
          <c:val>
            <c:numRef>
              <c:f>AMA!$B$16:$E$16</c:f>
              <c:numCache>
                <c:formatCode>0%</c:formatCode>
                <c:ptCount val="4"/>
                <c:pt idx="0">
                  <c:v>0.44088116235754421</c:v>
                </c:pt>
                <c:pt idx="1">
                  <c:v>0.3777740763430843</c:v>
                </c:pt>
                <c:pt idx="2">
                  <c:v>0.16103850924796181</c:v>
                </c:pt>
                <c:pt idx="3">
                  <c:v>2.0306252051409686E-2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6761472"/>
        <c:axId val="196763008"/>
        <c:axId val="0"/>
      </c:bar3DChart>
      <c:catAx>
        <c:axId val="1967614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96763008"/>
        <c:crosses val="autoZero"/>
        <c:auto val="1"/>
        <c:lblAlgn val="ctr"/>
        <c:lblOffset val="100"/>
        <c:noMultiLvlLbl val="0"/>
      </c:catAx>
      <c:valAx>
        <c:axId val="1967630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6761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209550</xdr:colOff>
      <xdr:row>18</xdr:row>
      <xdr:rowOff>61912</xdr:rowOff>
    </xdr:from>
    <xdr:to>
      <xdr:col>31</xdr:col>
      <xdr:colOff>352806</xdr:colOff>
      <xdr:row>34</xdr:row>
      <xdr:rowOff>58864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3</xdr:row>
      <xdr:rowOff>161925</xdr:rowOff>
    </xdr:from>
    <xdr:to>
      <xdr:col>33</xdr:col>
      <xdr:colOff>143256</xdr:colOff>
      <xdr:row>19</xdr:row>
      <xdr:rowOff>131445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1376362</xdr:colOff>
      <xdr:row>12</xdr:row>
      <xdr:rowOff>133350</xdr:rowOff>
    </xdr:from>
    <xdr:to>
      <xdr:col>9</xdr:col>
      <xdr:colOff>509968</xdr:colOff>
      <xdr:row>28</xdr:row>
      <xdr:rowOff>130302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1233487</xdr:colOff>
      <xdr:row>29</xdr:row>
      <xdr:rowOff>123825</xdr:rowOff>
    </xdr:from>
    <xdr:to>
      <xdr:col>7</xdr:col>
      <xdr:colOff>698182</xdr:colOff>
      <xdr:row>35</xdr:row>
      <xdr:rowOff>78105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59</xdr:row>
      <xdr:rowOff>9525</xdr:rowOff>
    </xdr:from>
    <xdr:to>
      <xdr:col>11</xdr:col>
      <xdr:colOff>28956</xdr:colOff>
      <xdr:row>75</xdr:row>
      <xdr:rowOff>6477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166687</xdr:colOff>
      <xdr:row>59</xdr:row>
      <xdr:rowOff>28575</xdr:rowOff>
    </xdr:from>
    <xdr:to>
      <xdr:col>7</xdr:col>
      <xdr:colOff>768286</xdr:colOff>
      <xdr:row>75</xdr:row>
      <xdr:rowOff>25527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704850</xdr:colOff>
      <xdr:row>79</xdr:row>
      <xdr:rowOff>152400</xdr:rowOff>
    </xdr:from>
    <xdr:to>
      <xdr:col>9</xdr:col>
      <xdr:colOff>487680</xdr:colOff>
      <xdr:row>86</xdr:row>
      <xdr:rowOff>7620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1176337</xdr:colOff>
      <xdr:row>86</xdr:row>
      <xdr:rowOff>133350</xdr:rowOff>
    </xdr:from>
    <xdr:to>
      <xdr:col>9</xdr:col>
      <xdr:colOff>776287</xdr:colOff>
      <xdr:row>93</xdr:row>
      <xdr:rowOff>80010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695325</xdr:colOff>
      <xdr:row>94</xdr:row>
      <xdr:rowOff>28575</xdr:rowOff>
    </xdr:from>
    <xdr:to>
      <xdr:col>5</xdr:col>
      <xdr:colOff>590931</xdr:colOff>
      <xdr:row>110</xdr:row>
      <xdr:rowOff>25527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29</xdr:row>
      <xdr:rowOff>71437</xdr:rowOff>
    </xdr:from>
    <xdr:to>
      <xdr:col>16</xdr:col>
      <xdr:colOff>1143381</xdr:colOff>
      <xdr:row>45</xdr:row>
      <xdr:rowOff>68389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11</xdr:row>
      <xdr:rowOff>123825</xdr:rowOff>
    </xdr:from>
    <xdr:to>
      <xdr:col>16</xdr:col>
      <xdr:colOff>686181</xdr:colOff>
      <xdr:row>27</xdr:row>
      <xdr:rowOff>120777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500062</xdr:colOff>
      <xdr:row>9</xdr:row>
      <xdr:rowOff>0</xdr:rowOff>
    </xdr:from>
    <xdr:to>
      <xdr:col>7</xdr:col>
      <xdr:colOff>644461</xdr:colOff>
      <xdr:row>24</xdr:row>
      <xdr:rowOff>187452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157162</xdr:colOff>
      <xdr:row>29</xdr:row>
      <xdr:rowOff>76200</xdr:rowOff>
    </xdr:from>
    <xdr:to>
      <xdr:col>8</xdr:col>
      <xdr:colOff>557593</xdr:colOff>
      <xdr:row>45</xdr:row>
      <xdr:rowOff>73152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33337</xdr:colOff>
      <xdr:row>49</xdr:row>
      <xdr:rowOff>95250</xdr:rowOff>
    </xdr:from>
    <xdr:to>
      <xdr:col>7</xdr:col>
      <xdr:colOff>854392</xdr:colOff>
      <xdr:row>55</xdr:row>
      <xdr:rowOff>140970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1109662</xdr:colOff>
      <xdr:row>57</xdr:row>
      <xdr:rowOff>66675</xdr:rowOff>
    </xdr:from>
    <xdr:to>
      <xdr:col>8</xdr:col>
      <xdr:colOff>528637</xdr:colOff>
      <xdr:row>64</xdr:row>
      <xdr:rowOff>13335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0.23679</cdr:x>
      <cdr:y>0.62667</cdr:y>
    </cdr:from>
    <cdr:to>
      <cdr:x>0.77404</cdr:x>
      <cdr:y>0.8081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5650" y="1908175"/>
          <a:ext cx="1714502" cy="55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>
              <a:solidFill>
                <a:schemeClr val="bg1"/>
              </a:solidFill>
            </a:rPr>
            <a:t>Eastern Plateau</a:t>
          </a:r>
        </a:p>
        <a:p xmlns:a="http://schemas.openxmlformats.org/drawingml/2006/main">
          <a:pPr algn="ctr"/>
          <a:r>
            <a:rPr lang="en-US" sz="1050">
              <a:solidFill>
                <a:schemeClr val="bg1"/>
              </a:solidFill>
            </a:rPr>
            <a:t>Totals</a:t>
          </a:r>
        </a:p>
      </cdr:txBody>
    </cdr:sp>
  </cdr:relSizeAnchor>
  <cdr:relSizeAnchor xmlns:cdr="http://schemas.openxmlformats.org/drawingml/2006/chartDrawing">
    <cdr:from>
      <cdr:x>0.59893</cdr:x>
      <cdr:y>0.70435</cdr:y>
    </cdr:from>
    <cdr:to>
      <cdr:x>0.80189</cdr:x>
      <cdr:y>0.77261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1911339" y="2144714"/>
          <a:ext cx="647698" cy="20784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0.30544</cdr:x>
      <cdr:y>0.42334</cdr:y>
    </cdr:from>
    <cdr:to>
      <cdr:x>0.70241</cdr:x>
      <cdr:y>0.59226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74725" y="1289050"/>
          <a:ext cx="1266833" cy="514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>
              <a:solidFill>
                <a:schemeClr val="bg1"/>
              </a:solidFill>
            </a:rPr>
            <a:t>Arizona</a:t>
          </a:r>
          <a:r>
            <a:rPr lang="en-US" sz="1050" baseline="0">
              <a:solidFill>
                <a:schemeClr val="bg1"/>
              </a:solidFill>
            </a:rPr>
            <a:t> State Totals</a:t>
          </a:r>
          <a:endParaRPr lang="en-US" sz="105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0.54123</cdr:x>
      <cdr:y>0.49898</cdr:y>
    </cdr:from>
    <cdr:to>
      <cdr:x>0.74419</cdr:x>
      <cdr:y>0.56724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727191" y="1519371"/>
          <a:ext cx="647697" cy="20784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0.57622</cdr:x>
      <cdr:y>0.25908</cdr:y>
    </cdr:from>
    <cdr:to>
      <cdr:x>0.83938</cdr:x>
      <cdr:y>0.48304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12975" y="307975"/>
          <a:ext cx="1010661" cy="26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7.5 Million af</a:t>
          </a:r>
        </a:p>
      </cdr:txBody>
    </cdr:sp>
  </cdr:relSizeAnchor>
  <cdr:relSizeAnchor xmlns:cdr="http://schemas.openxmlformats.org/drawingml/2006/chartDrawing">
    <cdr:from>
      <cdr:x>0.17981</cdr:x>
      <cdr:y>0.39103</cdr:y>
    </cdr:from>
    <cdr:to>
      <cdr:x>0.41791</cdr:x>
      <cdr:y>0.59295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90563" y="464820"/>
          <a:ext cx="914400" cy="240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170,500 af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0.32161</cdr:x>
      <cdr:y>0.21875</cdr:y>
    </cdr:from>
    <cdr:to>
      <cdr:x>0.57161</cdr:x>
      <cdr:y>0.40179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6338" y="280035"/>
          <a:ext cx="914400" cy="23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42,625 af</a:t>
          </a:r>
        </a:p>
      </cdr:txBody>
    </cdr:sp>
  </cdr:relSizeAnchor>
  <cdr:relSizeAnchor xmlns:cdr="http://schemas.openxmlformats.org/drawingml/2006/chartDrawing">
    <cdr:from>
      <cdr:x>0.64453</cdr:x>
      <cdr:y>0.34524</cdr:y>
    </cdr:from>
    <cdr:to>
      <cdr:x>0.85286</cdr:x>
      <cdr:y>0.5506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57438" y="441960"/>
          <a:ext cx="762000" cy="2628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83,545 af</a:t>
          </a:r>
        </a:p>
      </cdr:txBody>
    </cdr:sp>
  </cdr:relSizeAnchor>
  <cdr:relSizeAnchor xmlns:cdr="http://schemas.openxmlformats.org/drawingml/2006/chartDrawing">
    <cdr:from>
      <cdr:x>0.30599</cdr:x>
      <cdr:y>0.46429</cdr:y>
    </cdr:from>
    <cdr:to>
      <cdr:x>0.52734</cdr:x>
      <cdr:y>0.64732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19188" y="594360"/>
          <a:ext cx="809625" cy="23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44,330 af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495300</xdr:colOff>
      <xdr:row>3</xdr:row>
      <xdr:rowOff>109537</xdr:rowOff>
    </xdr:from>
    <xdr:to>
      <xdr:col>25</xdr:col>
      <xdr:colOff>400431</xdr:colOff>
      <xdr:row>19</xdr:row>
      <xdr:rowOff>106489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</xdr:colOff>
      <xdr:row>20</xdr:row>
      <xdr:rowOff>57150</xdr:rowOff>
    </xdr:from>
    <xdr:to>
      <xdr:col>25</xdr:col>
      <xdr:colOff>181356</xdr:colOff>
      <xdr:row>36</xdr:row>
      <xdr:rowOff>54102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962025</xdr:colOff>
      <xdr:row>8</xdr:row>
      <xdr:rowOff>28575</xdr:rowOff>
    </xdr:from>
    <xdr:to>
      <xdr:col>7</xdr:col>
      <xdr:colOff>534924</xdr:colOff>
      <xdr:row>24</xdr:row>
      <xdr:rowOff>25527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276225</xdr:colOff>
      <xdr:row>25</xdr:row>
      <xdr:rowOff>180975</xdr:rowOff>
    </xdr:from>
    <xdr:to>
      <xdr:col>12</xdr:col>
      <xdr:colOff>419481</xdr:colOff>
      <xdr:row>39</xdr:row>
      <xdr:rowOff>177927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266700</xdr:colOff>
      <xdr:row>42</xdr:row>
      <xdr:rowOff>142875</xdr:rowOff>
    </xdr:from>
    <xdr:to>
      <xdr:col>7</xdr:col>
      <xdr:colOff>516255</xdr:colOff>
      <xdr:row>48</xdr:row>
      <xdr:rowOff>188595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1390650</xdr:colOff>
      <xdr:row>51</xdr:row>
      <xdr:rowOff>38100</xdr:rowOff>
    </xdr:from>
    <xdr:to>
      <xdr:col>9</xdr:col>
      <xdr:colOff>238125</xdr:colOff>
      <xdr:row>57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0.33248</cdr:x>
      <cdr:y>0.43585</cdr:y>
    </cdr:from>
    <cdr:to>
      <cdr:x>0.72945</cdr:x>
      <cdr:y>0.60477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4542" y="1327150"/>
          <a:ext cx="1414298" cy="5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>
              <a:solidFill>
                <a:schemeClr val="bg1"/>
              </a:solidFill>
            </a:rPr>
            <a:t>Arizona</a:t>
          </a:r>
          <a:r>
            <a:rPr lang="en-US" sz="1050" baseline="0">
              <a:solidFill>
                <a:schemeClr val="bg1"/>
              </a:solidFill>
            </a:rPr>
            <a:t> State Totals</a:t>
          </a:r>
          <a:endParaRPr lang="en-US" sz="105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0.54421</cdr:x>
      <cdr:y>0.49898</cdr:y>
    </cdr:from>
    <cdr:to>
      <cdr:x>0.74717</cdr:x>
      <cdr:y>0.56724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1736716" y="1519371"/>
          <a:ext cx="647697" cy="20784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0.24276</cdr:x>
      <cdr:y>0.61416</cdr:y>
    </cdr:from>
    <cdr:to>
      <cdr:x>0.78001</cdr:x>
      <cdr:y>0.79559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74700" y="1870075"/>
          <a:ext cx="1714502" cy="55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>
              <a:solidFill>
                <a:schemeClr val="bg1"/>
              </a:solidFill>
            </a:rPr>
            <a:t>Lower</a:t>
          </a:r>
          <a:r>
            <a:rPr lang="en-US" sz="1050" baseline="0">
              <a:solidFill>
                <a:schemeClr val="bg1"/>
              </a:solidFill>
            </a:rPr>
            <a:t> Colorado</a:t>
          </a:r>
        </a:p>
        <a:p xmlns:a="http://schemas.openxmlformats.org/drawingml/2006/main">
          <a:pPr algn="ctr"/>
          <a:r>
            <a:rPr lang="en-US" sz="1050" baseline="0">
              <a:solidFill>
                <a:schemeClr val="bg1"/>
              </a:solidFill>
            </a:rPr>
            <a:t>River </a:t>
          </a:r>
          <a:r>
            <a:rPr lang="en-US" sz="1050">
              <a:solidFill>
                <a:schemeClr val="bg1"/>
              </a:solidFill>
            </a:rPr>
            <a:t>Totals</a:t>
          </a:r>
        </a:p>
      </cdr:txBody>
    </cdr:sp>
  </cdr:relSizeAnchor>
  <cdr:relSizeAnchor xmlns:cdr="http://schemas.openxmlformats.org/drawingml/2006/chartDrawing">
    <cdr:from>
      <cdr:x>0.60788</cdr:x>
      <cdr:y>0.68245</cdr:y>
    </cdr:from>
    <cdr:to>
      <cdr:x>0.81084</cdr:x>
      <cdr:y>0.75071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939914" y="2078039"/>
          <a:ext cx="647698" cy="20784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0.17857</cdr:x>
      <cdr:y>0.39904</cdr:y>
    </cdr:from>
    <cdr:to>
      <cdr:x>0.40427</cdr:x>
      <cdr:y>0.63301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5800" y="474345"/>
          <a:ext cx="866775" cy="278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2.9 Million af</a:t>
          </a:r>
        </a:p>
      </cdr:txBody>
    </cdr:sp>
  </cdr:relSizeAnchor>
  <cdr:relSizeAnchor xmlns:cdr="http://schemas.openxmlformats.org/drawingml/2006/chartDrawing">
    <cdr:from>
      <cdr:x>0.59276</cdr:x>
      <cdr:y>0.24679</cdr:y>
    </cdr:from>
    <cdr:to>
      <cdr:x>0.83333</cdr:x>
      <cdr:y>0.46474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76474" y="293370"/>
          <a:ext cx="923925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7.5 Million af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0.57031</cdr:x>
      <cdr:y>0.45387</cdr:y>
    </cdr:from>
    <cdr:to>
      <cdr:x>0.8099</cdr:x>
      <cdr:y>0.63244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5975" y="581025"/>
          <a:ext cx="8763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2.8 Million af</a:t>
          </a:r>
        </a:p>
      </cdr:txBody>
    </cdr:sp>
  </cdr:relSizeAnchor>
  <cdr:relSizeAnchor xmlns:cdr="http://schemas.openxmlformats.org/drawingml/2006/chartDrawing">
    <cdr:from>
      <cdr:x>0.13802</cdr:x>
      <cdr:y>0.33036</cdr:y>
    </cdr:from>
    <cdr:to>
      <cdr:x>0.38802</cdr:x>
      <cdr:y>0.53571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4825" y="422910"/>
          <a:ext cx="914400" cy="2628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14,500 af</a:t>
          </a:r>
        </a:p>
      </cdr:txBody>
    </cdr:sp>
  </cdr:relSizeAnchor>
  <cdr:relSizeAnchor xmlns:cdr="http://schemas.openxmlformats.org/drawingml/2006/chartDrawing">
    <cdr:from>
      <cdr:x>0.14063</cdr:x>
      <cdr:y>0.20833</cdr:y>
    </cdr:from>
    <cdr:to>
      <cdr:x>0.36979</cdr:x>
      <cdr:y>0.40179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14350" y="266700"/>
          <a:ext cx="8382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43,500 af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266700</xdr:colOff>
      <xdr:row>20</xdr:row>
      <xdr:rowOff>166687</xdr:rowOff>
    </xdr:from>
    <xdr:to>
      <xdr:col>26</xdr:col>
      <xdr:colOff>409956</xdr:colOff>
      <xdr:row>36</xdr:row>
      <xdr:rowOff>163639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266700</xdr:colOff>
      <xdr:row>4</xdr:row>
      <xdr:rowOff>133350</xdr:rowOff>
    </xdr:from>
    <xdr:to>
      <xdr:col>26</xdr:col>
      <xdr:colOff>409956</xdr:colOff>
      <xdr:row>20</xdr:row>
      <xdr:rowOff>130302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552450</xdr:colOff>
      <xdr:row>6</xdr:row>
      <xdr:rowOff>114300</xdr:rowOff>
    </xdr:from>
    <xdr:to>
      <xdr:col>8</xdr:col>
      <xdr:colOff>96774</xdr:colOff>
      <xdr:row>22</xdr:row>
      <xdr:rowOff>111252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104775</xdr:colOff>
      <xdr:row>24</xdr:row>
      <xdr:rowOff>276225</xdr:rowOff>
    </xdr:from>
    <xdr:to>
      <xdr:col>11</xdr:col>
      <xdr:colOff>248031</xdr:colOff>
      <xdr:row>39</xdr:row>
      <xdr:rowOff>82677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43</xdr:row>
      <xdr:rowOff>0</xdr:rowOff>
    </xdr:from>
    <xdr:to>
      <xdr:col>8</xdr:col>
      <xdr:colOff>373380</xdr:colOff>
      <xdr:row>49</xdr:row>
      <xdr:rowOff>45720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723900</xdr:colOff>
      <xdr:row>52</xdr:row>
      <xdr:rowOff>66675</xdr:rowOff>
    </xdr:from>
    <xdr:to>
      <xdr:col>9</xdr:col>
      <xdr:colOff>152400</xdr:colOff>
      <xdr:row>59</xdr:row>
      <xdr:rowOff>13335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10</xdr:col>
      <xdr:colOff>466725</xdr:colOff>
      <xdr:row>60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9353550" y="1181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0.30842</cdr:x>
      <cdr:y>0.4296</cdr:y>
    </cdr:from>
    <cdr:to>
      <cdr:x>0.70539</cdr:x>
      <cdr:y>0.59852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250" y="1308100"/>
          <a:ext cx="1266833" cy="514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>
              <a:solidFill>
                <a:schemeClr val="bg1"/>
              </a:solidFill>
            </a:rPr>
            <a:t>Arizona</a:t>
          </a:r>
          <a:r>
            <a:rPr lang="en-US" sz="1050" baseline="0">
              <a:solidFill>
                <a:schemeClr val="bg1"/>
              </a:solidFill>
            </a:rPr>
            <a:t> State Totals</a:t>
          </a:r>
          <a:endParaRPr lang="en-US" sz="105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0.54421</cdr:x>
      <cdr:y>0.50524</cdr:y>
    </cdr:from>
    <cdr:to>
      <cdr:x>0.74717</cdr:x>
      <cdr:y>0.5735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1736716" y="1538421"/>
          <a:ext cx="647697" cy="20784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0.2338</cdr:x>
      <cdr:y>0.59852</cdr:y>
    </cdr:from>
    <cdr:to>
      <cdr:x>0.77105</cdr:x>
      <cdr:y>0.77995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46125" y="1822450"/>
          <a:ext cx="1714502" cy="55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>
              <a:solidFill>
                <a:schemeClr val="bg1"/>
              </a:solidFill>
            </a:rPr>
            <a:t>Southeastern</a:t>
          </a:r>
          <a:endParaRPr lang="en-US" sz="1050" baseline="0">
            <a:solidFill>
              <a:schemeClr val="bg1"/>
            </a:solidFill>
          </a:endParaRPr>
        </a:p>
        <a:p xmlns:a="http://schemas.openxmlformats.org/drawingml/2006/main">
          <a:pPr algn="ctr"/>
          <a:r>
            <a:rPr lang="en-US" sz="1050" baseline="0">
              <a:solidFill>
                <a:schemeClr val="bg1"/>
              </a:solidFill>
            </a:rPr>
            <a:t>Arizona </a:t>
          </a:r>
          <a:r>
            <a:rPr lang="en-US" sz="1050">
              <a:solidFill>
                <a:schemeClr val="bg1"/>
              </a:solidFill>
            </a:rPr>
            <a:t>Totals</a:t>
          </a:r>
        </a:p>
      </cdr:txBody>
    </cdr:sp>
  </cdr:relSizeAnchor>
  <cdr:relSizeAnchor xmlns:cdr="http://schemas.openxmlformats.org/drawingml/2006/chartDrawing">
    <cdr:from>
      <cdr:x>0.58401</cdr:x>
      <cdr:y>0.72625</cdr:y>
    </cdr:from>
    <cdr:to>
      <cdr:x>0.78697</cdr:x>
      <cdr:y>0.79451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863714" y="2211389"/>
          <a:ext cx="647698" cy="20784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0.43875</cdr:x>
      <cdr:y>0.43012</cdr:y>
    </cdr:from>
    <cdr:to>
      <cdr:x>0.72529</cdr:x>
      <cdr:y>0.73042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00175" y="13096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0.31041</cdr:x>
      <cdr:y>0.4395</cdr:y>
    </cdr:from>
    <cdr:to>
      <cdr:x>0.70738</cdr:x>
      <cdr:y>0.60842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90600" y="1338262"/>
          <a:ext cx="1266825" cy="514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>
              <a:solidFill>
                <a:schemeClr val="bg1"/>
              </a:solidFill>
            </a:rPr>
            <a:t>Arizona</a:t>
          </a:r>
          <a:r>
            <a:rPr lang="en-US" sz="1050" baseline="0">
              <a:solidFill>
                <a:schemeClr val="bg1"/>
              </a:solidFill>
            </a:rPr>
            <a:t> State Totals</a:t>
          </a:r>
          <a:endParaRPr lang="en-US" sz="105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0.23878</cdr:x>
      <cdr:y>0.60529</cdr:y>
    </cdr:from>
    <cdr:to>
      <cdr:x>0.77603</cdr:x>
      <cdr:y>0.78672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2000" y="1843088"/>
          <a:ext cx="171450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50">
              <a:solidFill>
                <a:schemeClr val="bg1"/>
              </a:solidFill>
            </a:rPr>
            <a:t>Active</a:t>
          </a:r>
          <a:r>
            <a:rPr lang="en-US" sz="1050" baseline="0">
              <a:solidFill>
                <a:schemeClr val="bg1"/>
              </a:solidFill>
            </a:rPr>
            <a:t> Management</a:t>
          </a:r>
        </a:p>
        <a:p xmlns:a="http://schemas.openxmlformats.org/drawingml/2006/main">
          <a:pPr algn="ctr"/>
          <a:r>
            <a:rPr lang="en-US" sz="1050" baseline="0">
              <a:solidFill>
                <a:schemeClr val="bg1"/>
              </a:solidFill>
            </a:rPr>
            <a:t>Area Totals</a:t>
          </a:r>
          <a:endParaRPr lang="en-US" sz="105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0.5462</cdr:x>
      <cdr:y>0.51514</cdr:y>
    </cdr:from>
    <cdr:to>
      <cdr:x>0.74916</cdr:x>
      <cdr:y>0.5834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743075" y="1568577"/>
          <a:ext cx="647700" cy="20783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0.61883</cdr:x>
      <cdr:y>0.6861</cdr:y>
    </cdr:from>
    <cdr:to>
      <cdr:x>0.82179</cdr:x>
      <cdr:y>0.75436</cdr:y>
    </cdr:to>
    <cdr:cxnSp macro="">
      <cdr:nvCxnSpPr>
        <cdr:cNvPr id="9" name="Straight Arrow Connector 8"/>
        <cdr:cNvCxnSpPr/>
      </cdr:nvCxnSpPr>
      <cdr:spPr>
        <a:xfrm xmlns:a="http://schemas.openxmlformats.org/drawingml/2006/main">
          <a:off x="1974850" y="2089150"/>
          <a:ext cx="647700" cy="20783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0.57622</cdr:x>
      <cdr:y>0.26709</cdr:y>
    </cdr:from>
    <cdr:to>
      <cdr:x>0.8168</cdr:x>
      <cdr:y>0.48504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12975" y="317500"/>
          <a:ext cx="923925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7.5 Million af</a:t>
          </a:r>
        </a:p>
      </cdr:txBody>
    </cdr:sp>
  </cdr:relSizeAnchor>
  <cdr:relSizeAnchor xmlns:cdr="http://schemas.openxmlformats.org/drawingml/2006/chartDrawing">
    <cdr:from>
      <cdr:x>0.20089</cdr:x>
      <cdr:y>0.39904</cdr:y>
    </cdr:from>
    <cdr:to>
      <cdr:x>0.42411</cdr:x>
      <cdr:y>0.61699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71525" y="474345"/>
          <a:ext cx="85725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515,100 af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0.18229</cdr:x>
      <cdr:y>0.32292</cdr:y>
    </cdr:from>
    <cdr:to>
      <cdr:x>0.38542</cdr:x>
      <cdr:y>0.52083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50" y="413385"/>
          <a:ext cx="742950" cy="25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36,057 af</a:t>
          </a:r>
        </a:p>
      </cdr:txBody>
    </cdr:sp>
  </cdr:relSizeAnchor>
  <cdr:relSizeAnchor xmlns:cdr="http://schemas.openxmlformats.org/drawingml/2006/chartDrawing">
    <cdr:from>
      <cdr:x>0.18837</cdr:x>
      <cdr:y>0.21825</cdr:y>
    </cdr:from>
    <cdr:to>
      <cdr:x>0.3719</cdr:x>
      <cdr:y>0.41264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688975" y="279400"/>
          <a:ext cx="67127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41,208 af</a:t>
          </a:r>
        </a:p>
      </cdr:txBody>
    </cdr:sp>
  </cdr:relSizeAnchor>
  <cdr:relSizeAnchor xmlns:cdr="http://schemas.openxmlformats.org/drawingml/2006/chartDrawing">
    <cdr:from>
      <cdr:x>0.52344</cdr:x>
      <cdr:y>0.45685</cdr:y>
    </cdr:from>
    <cdr:to>
      <cdr:x>0.73698</cdr:x>
      <cdr:y>0.63988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914525" y="584835"/>
          <a:ext cx="781050" cy="23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437,835 af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66675</xdr:colOff>
      <xdr:row>1</xdr:row>
      <xdr:rowOff>80962</xdr:rowOff>
    </xdr:from>
    <xdr:to>
      <xdr:col>26</xdr:col>
      <xdr:colOff>95631</xdr:colOff>
      <xdr:row>17</xdr:row>
      <xdr:rowOff>77914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57150</xdr:colOff>
      <xdr:row>18</xdr:row>
      <xdr:rowOff>104775</xdr:rowOff>
    </xdr:from>
    <xdr:to>
      <xdr:col>30</xdr:col>
      <xdr:colOff>200406</xdr:colOff>
      <xdr:row>34</xdr:row>
      <xdr:rowOff>101727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609600</xdr:colOff>
      <xdr:row>15</xdr:row>
      <xdr:rowOff>66675</xdr:rowOff>
    </xdr:from>
    <xdr:to>
      <xdr:col>8</xdr:col>
      <xdr:colOff>1524</xdr:colOff>
      <xdr:row>31</xdr:row>
      <xdr:rowOff>63627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657225</xdr:colOff>
      <xdr:row>34</xdr:row>
      <xdr:rowOff>0</xdr:rowOff>
    </xdr:from>
    <xdr:to>
      <xdr:col>10</xdr:col>
      <xdr:colOff>305181</xdr:colOff>
      <xdr:row>47</xdr:row>
      <xdr:rowOff>187452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209550</xdr:colOff>
      <xdr:row>49</xdr:row>
      <xdr:rowOff>0</xdr:rowOff>
    </xdr:from>
    <xdr:to>
      <xdr:col>10</xdr:col>
      <xdr:colOff>506730</xdr:colOff>
      <xdr:row>55</xdr:row>
      <xdr:rowOff>45720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409575</xdr:colOff>
      <xdr:row>62</xdr:row>
      <xdr:rowOff>38100</xdr:rowOff>
    </xdr:from>
    <xdr:to>
      <xdr:col>8</xdr:col>
      <xdr:colOff>295275</xdr:colOff>
      <xdr:row>68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0.30842</cdr:x>
      <cdr:y>0.42021</cdr:y>
    </cdr:from>
    <cdr:to>
      <cdr:x>0.70539</cdr:x>
      <cdr:y>0.58913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250" y="1279525"/>
          <a:ext cx="1266833" cy="514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>
              <a:solidFill>
                <a:schemeClr val="bg1"/>
              </a:solidFill>
            </a:rPr>
            <a:t>Arizona</a:t>
          </a:r>
          <a:r>
            <a:rPr lang="en-US" sz="1050" baseline="0">
              <a:solidFill>
                <a:schemeClr val="bg1"/>
              </a:solidFill>
            </a:rPr>
            <a:t> State Totals</a:t>
          </a:r>
          <a:endParaRPr lang="en-US" sz="105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0.54123</cdr:x>
      <cdr:y>0.49272</cdr:y>
    </cdr:from>
    <cdr:to>
      <cdr:x>0.74419</cdr:x>
      <cdr:y>0.56098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1727191" y="1500321"/>
          <a:ext cx="647697" cy="20784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0.23977</cdr:x>
      <cdr:y>0.59539</cdr:y>
    </cdr:from>
    <cdr:to>
      <cdr:x>0.77702</cdr:x>
      <cdr:y>0.77682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65175" y="1812925"/>
          <a:ext cx="1714502" cy="55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aseline="0">
              <a:solidFill>
                <a:schemeClr val="bg1"/>
              </a:solidFill>
            </a:rPr>
            <a:t>Upper Colorado</a:t>
          </a:r>
        </a:p>
        <a:p xmlns:a="http://schemas.openxmlformats.org/drawingml/2006/main">
          <a:pPr algn="ctr"/>
          <a:r>
            <a:rPr lang="en-US" sz="1050" baseline="0">
              <a:solidFill>
                <a:schemeClr val="bg1"/>
              </a:solidFill>
            </a:rPr>
            <a:t>River </a:t>
          </a:r>
          <a:r>
            <a:rPr lang="en-US" sz="1050">
              <a:solidFill>
                <a:schemeClr val="bg1"/>
              </a:solidFill>
            </a:rPr>
            <a:t>Totals</a:t>
          </a:r>
        </a:p>
      </cdr:txBody>
    </cdr:sp>
  </cdr:relSizeAnchor>
  <cdr:relSizeAnchor xmlns:cdr="http://schemas.openxmlformats.org/drawingml/2006/chartDrawing">
    <cdr:from>
      <cdr:x>0.6049</cdr:x>
      <cdr:y>0.71374</cdr:y>
    </cdr:from>
    <cdr:to>
      <cdr:x>0.80786</cdr:x>
      <cdr:y>0.782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930389" y="2173289"/>
          <a:ext cx="647698" cy="20784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0.58366</cdr:x>
      <cdr:y>0.26709</cdr:y>
    </cdr:from>
    <cdr:to>
      <cdr:x>0.82424</cdr:x>
      <cdr:y>0.48504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41550" y="317500"/>
          <a:ext cx="923925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7.5 Million af</a:t>
          </a:r>
        </a:p>
      </cdr:txBody>
    </cdr:sp>
  </cdr:relSizeAnchor>
  <cdr:relSizeAnchor xmlns:cdr="http://schemas.openxmlformats.org/drawingml/2006/chartDrawing">
    <cdr:from>
      <cdr:x>0.15129</cdr:x>
      <cdr:y>0.38301</cdr:y>
    </cdr:from>
    <cdr:to>
      <cdr:x>0.34722</cdr:x>
      <cdr:y>0.64904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1025" y="455295"/>
          <a:ext cx="752475" cy="316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174,000 af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0.61458</cdr:x>
      <cdr:y>0.45685</cdr:y>
    </cdr:from>
    <cdr:to>
      <cdr:x>0.83854</cdr:x>
      <cdr:y>0.6622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47900" y="584835"/>
          <a:ext cx="819150" cy="2628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100,920 af</a:t>
          </a:r>
        </a:p>
      </cdr:txBody>
    </cdr:sp>
  </cdr:relSizeAnchor>
  <cdr:relSizeAnchor xmlns:cdr="http://schemas.openxmlformats.org/drawingml/2006/chartDrawing">
    <cdr:from>
      <cdr:x>0.11719</cdr:x>
      <cdr:y>0.34524</cdr:y>
    </cdr:from>
    <cdr:to>
      <cdr:x>0.31771</cdr:x>
      <cdr:y>0.52827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8625" y="441960"/>
          <a:ext cx="733425" cy="23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22,620 af</a:t>
          </a:r>
        </a:p>
      </cdr:txBody>
    </cdr:sp>
  </cdr:relSizeAnchor>
  <cdr:relSizeAnchor xmlns:cdr="http://schemas.openxmlformats.org/drawingml/2006/chartDrawing">
    <cdr:from>
      <cdr:x>0.29427</cdr:x>
      <cdr:y>0.22619</cdr:y>
    </cdr:from>
    <cdr:to>
      <cdr:x>0.49219</cdr:x>
      <cdr:y>0.41667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76325" y="289560"/>
          <a:ext cx="72390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50,460 af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314325</xdr:colOff>
      <xdr:row>8</xdr:row>
      <xdr:rowOff>42862</xdr:rowOff>
    </xdr:from>
    <xdr:to>
      <xdr:col>25</xdr:col>
      <xdr:colOff>200406</xdr:colOff>
      <xdr:row>24</xdr:row>
      <xdr:rowOff>39814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409575</xdr:colOff>
      <xdr:row>18</xdr:row>
      <xdr:rowOff>161925</xdr:rowOff>
    </xdr:from>
    <xdr:to>
      <xdr:col>30</xdr:col>
      <xdr:colOff>552831</xdr:colOff>
      <xdr:row>34</xdr:row>
      <xdr:rowOff>158877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723900</xdr:colOff>
      <xdr:row>9</xdr:row>
      <xdr:rowOff>28575</xdr:rowOff>
    </xdr:from>
    <xdr:to>
      <xdr:col>8</xdr:col>
      <xdr:colOff>258699</xdr:colOff>
      <xdr:row>25</xdr:row>
      <xdr:rowOff>25527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552450</xdr:colOff>
      <xdr:row>27</xdr:row>
      <xdr:rowOff>19050</xdr:rowOff>
    </xdr:from>
    <xdr:to>
      <xdr:col>10</xdr:col>
      <xdr:colOff>343281</xdr:colOff>
      <xdr:row>41</xdr:row>
      <xdr:rowOff>16002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476250</xdr:colOff>
      <xdr:row>44</xdr:row>
      <xdr:rowOff>28575</xdr:rowOff>
    </xdr:from>
    <xdr:to>
      <xdr:col>11</xdr:col>
      <xdr:colOff>306705</xdr:colOff>
      <xdr:row>50</xdr:row>
      <xdr:rowOff>74295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685800</xdr:colOff>
      <xdr:row>56</xdr:row>
      <xdr:rowOff>0</xdr:rowOff>
    </xdr:from>
    <xdr:to>
      <xdr:col>9</xdr:col>
      <xdr:colOff>104775</xdr:colOff>
      <xdr:row>62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0.30544</cdr:x>
      <cdr:y>0.42334</cdr:y>
    </cdr:from>
    <cdr:to>
      <cdr:x>0.70241</cdr:x>
      <cdr:y>0.59226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74725" y="1289050"/>
          <a:ext cx="1266833" cy="514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>
              <a:solidFill>
                <a:schemeClr val="bg1"/>
              </a:solidFill>
            </a:rPr>
            <a:t>Arizona</a:t>
          </a:r>
          <a:r>
            <a:rPr lang="en-US" sz="1050" baseline="0">
              <a:solidFill>
                <a:schemeClr val="bg1"/>
              </a:solidFill>
            </a:rPr>
            <a:t> State Totals</a:t>
          </a:r>
          <a:endParaRPr lang="en-US" sz="105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0.53824</cdr:x>
      <cdr:y>0.49585</cdr:y>
    </cdr:from>
    <cdr:to>
      <cdr:x>0.7412</cdr:x>
      <cdr:y>0.56411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1717666" y="1509846"/>
          <a:ext cx="647697" cy="20784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0.23082</cdr:x>
      <cdr:y>0.63292</cdr:y>
    </cdr:from>
    <cdr:to>
      <cdr:x>0.76807</cdr:x>
      <cdr:y>0.81435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36600" y="1927225"/>
          <a:ext cx="1714502" cy="55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aseline="0">
              <a:solidFill>
                <a:schemeClr val="bg1"/>
              </a:solidFill>
            </a:rPr>
            <a:t>Western Plateau</a:t>
          </a:r>
        </a:p>
        <a:p xmlns:a="http://schemas.openxmlformats.org/drawingml/2006/main">
          <a:pPr algn="ctr"/>
          <a:r>
            <a:rPr lang="en-US" sz="1050" baseline="0">
              <a:solidFill>
                <a:schemeClr val="bg1"/>
              </a:solidFill>
            </a:rPr>
            <a:t> </a:t>
          </a:r>
          <a:r>
            <a:rPr lang="en-US" sz="1050">
              <a:solidFill>
                <a:schemeClr val="bg1"/>
              </a:solidFill>
            </a:rPr>
            <a:t>Totals</a:t>
          </a:r>
        </a:p>
      </cdr:txBody>
    </cdr:sp>
  </cdr:relSizeAnchor>
  <cdr:relSizeAnchor xmlns:cdr="http://schemas.openxmlformats.org/drawingml/2006/chartDrawing">
    <cdr:from>
      <cdr:x>0.56311</cdr:x>
      <cdr:y>0.74189</cdr:y>
    </cdr:from>
    <cdr:to>
      <cdr:x>0.76607</cdr:x>
      <cdr:y>0.81015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797039" y="2259014"/>
          <a:ext cx="647698" cy="20784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0.57622</cdr:x>
      <cdr:y>0.26709</cdr:y>
    </cdr:from>
    <cdr:to>
      <cdr:x>0.8168</cdr:x>
      <cdr:y>0.48504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12975" y="317500"/>
          <a:ext cx="923925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7.5 Million af</a:t>
          </a:r>
        </a:p>
      </cdr:txBody>
    </cdr:sp>
  </cdr:relSizeAnchor>
  <cdr:relSizeAnchor xmlns:cdr="http://schemas.openxmlformats.org/drawingml/2006/chartDrawing">
    <cdr:from>
      <cdr:x>0.15625</cdr:x>
      <cdr:y>0.39904</cdr:y>
    </cdr:from>
    <cdr:to>
      <cdr:x>0.36706</cdr:x>
      <cdr:y>0.625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0075" y="474345"/>
          <a:ext cx="809625" cy="268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9,700 af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0.67448</cdr:x>
      <cdr:y>0.47173</cdr:y>
    </cdr:from>
    <cdr:to>
      <cdr:x>0.92448</cdr:x>
      <cdr:y>0.625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66975" y="603885"/>
          <a:ext cx="914400" cy="19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4,850</a:t>
          </a:r>
          <a:r>
            <a:rPr lang="en-US" sz="1000" b="1" baseline="0">
              <a:solidFill>
                <a:schemeClr val="bg1"/>
              </a:solidFill>
            </a:rPr>
            <a:t> af</a:t>
          </a:r>
          <a:endParaRPr lang="en-US" sz="10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0.13542</cdr:x>
      <cdr:y>0.34524</cdr:y>
    </cdr:from>
    <cdr:to>
      <cdr:x>0.27344</cdr:x>
      <cdr:y>0.49851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5300" y="441960"/>
          <a:ext cx="504825" cy="19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970 af</a:t>
          </a:r>
        </a:p>
      </cdr:txBody>
    </cdr:sp>
  </cdr:relSizeAnchor>
  <cdr:relSizeAnchor xmlns:cdr="http://schemas.openxmlformats.org/drawingml/2006/chartDrawing">
    <cdr:from>
      <cdr:x>0.52604</cdr:x>
      <cdr:y>0.24107</cdr:y>
    </cdr:from>
    <cdr:to>
      <cdr:x>0.67448</cdr:x>
      <cdr:y>0.40923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924050" y="308610"/>
          <a:ext cx="542925" cy="215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3,880 af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0.54413</cdr:x>
      <cdr:y>0.24479</cdr:y>
    </cdr:from>
    <cdr:to>
      <cdr:x>0.80729</cdr:x>
      <cdr:y>0.46875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0713" y="268605"/>
          <a:ext cx="914400" cy="245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7.5 Million af</a:t>
          </a:r>
        </a:p>
      </cdr:txBody>
    </cdr:sp>
  </cdr:relSizeAnchor>
  <cdr:relSizeAnchor xmlns:cdr="http://schemas.openxmlformats.org/drawingml/2006/chartDrawing">
    <cdr:from>
      <cdr:x>0.22341</cdr:x>
      <cdr:y>0.38368</cdr:y>
    </cdr:from>
    <cdr:to>
      <cdr:x>0.48657</cdr:x>
      <cdr:y>0.59028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76288" y="421005"/>
          <a:ext cx="914400" cy="226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3.6 Million af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0.58703</cdr:x>
      <cdr:y>0.25433</cdr:y>
    </cdr:from>
    <cdr:to>
      <cdr:x>0.85019</cdr:x>
      <cdr:y>0.47829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54458" y="302322"/>
          <a:ext cx="1010661" cy="26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7.5 Million af</a:t>
          </a:r>
        </a:p>
      </cdr:txBody>
    </cdr:sp>
  </cdr:relSizeAnchor>
  <cdr:relSizeAnchor xmlns:cdr="http://schemas.openxmlformats.org/drawingml/2006/chartDrawing">
    <cdr:from>
      <cdr:x>0.23568</cdr:x>
      <cdr:y>0.40887</cdr:y>
    </cdr:from>
    <cdr:to>
      <cdr:x>0.49884</cdr:x>
      <cdr:y>0.61547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05116" y="486029"/>
          <a:ext cx="1010661" cy="245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3.6 Million af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0.30666</cdr:x>
      <cdr:y>0.22371</cdr:y>
    </cdr:from>
    <cdr:to>
      <cdr:x>0.58063</cdr:x>
      <cdr:y>0.45139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7726" y="286382"/>
          <a:ext cx="1052177" cy="291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2.1 Million af</a:t>
          </a:r>
        </a:p>
      </cdr:txBody>
    </cdr:sp>
  </cdr:relSizeAnchor>
  <cdr:relSizeAnchor xmlns:cdr="http://schemas.openxmlformats.org/drawingml/2006/chartDrawing">
    <cdr:from>
      <cdr:x>0.20256</cdr:x>
      <cdr:y>0.3316</cdr:y>
    </cdr:from>
    <cdr:to>
      <cdr:x>0.47653</cdr:x>
      <cdr:y>0.51216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77930" y="424497"/>
          <a:ext cx="1052176" cy="2311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219, 570 af</a:t>
          </a:r>
        </a:p>
      </cdr:txBody>
    </cdr:sp>
  </cdr:relSizeAnchor>
  <cdr:relSizeAnchor xmlns:cdr="http://schemas.openxmlformats.org/drawingml/2006/chartDrawing">
    <cdr:from>
      <cdr:x>0.59279</cdr:x>
      <cdr:y>0.46553</cdr:y>
    </cdr:from>
    <cdr:to>
      <cdr:x>0.86676</cdr:x>
      <cdr:y>0.67213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76602" y="595947"/>
          <a:ext cx="1052176" cy="264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1.3 Million af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314325</xdr:colOff>
      <xdr:row>9</xdr:row>
      <xdr:rowOff>127634</xdr:rowOff>
    </xdr:from>
    <xdr:to>
      <xdr:col>27</xdr:col>
      <xdr:colOff>161925</xdr:colOff>
      <xdr:row>19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885825</xdr:colOff>
      <xdr:row>16</xdr:row>
      <xdr:rowOff>0</xdr:rowOff>
    </xdr:from>
    <xdr:to>
      <xdr:col>23</xdr:col>
      <xdr:colOff>152781</xdr:colOff>
      <xdr:row>31</xdr:row>
      <xdr:rowOff>187452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904875</xdr:colOff>
      <xdr:row>13</xdr:row>
      <xdr:rowOff>161925</xdr:rowOff>
    </xdr:from>
    <xdr:to>
      <xdr:col>8</xdr:col>
      <xdr:colOff>439674</xdr:colOff>
      <xdr:row>29</xdr:row>
      <xdr:rowOff>158877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295275</xdr:colOff>
      <xdr:row>30</xdr:row>
      <xdr:rowOff>361950</xdr:rowOff>
    </xdr:from>
    <xdr:to>
      <xdr:col>9</xdr:col>
      <xdr:colOff>695706</xdr:colOff>
      <xdr:row>45</xdr:row>
      <xdr:rowOff>168402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314325</xdr:colOff>
      <xdr:row>47</xdr:row>
      <xdr:rowOff>161925</xdr:rowOff>
    </xdr:from>
    <xdr:to>
      <xdr:col>8</xdr:col>
      <xdr:colOff>525780</xdr:colOff>
      <xdr:row>54</xdr:row>
      <xdr:rowOff>17145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1400175</xdr:colOff>
      <xdr:row>55</xdr:row>
      <xdr:rowOff>114300</xdr:rowOff>
    </xdr:from>
    <xdr:to>
      <xdr:col>10</xdr:col>
      <xdr:colOff>19050</xdr:colOff>
      <xdr:row>62</xdr:row>
      <xdr:rowOff>60960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7</xdr:col>
      <xdr:colOff>0</xdr:colOff>
      <xdr:row>58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7572375" y="1143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0.43875</cdr:x>
      <cdr:y>0.43012</cdr:y>
    </cdr:from>
    <cdr:to>
      <cdr:x>0.72529</cdr:x>
      <cdr:y>0.73042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00175" y="13096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0.31041</cdr:x>
      <cdr:y>0.4395</cdr:y>
    </cdr:from>
    <cdr:to>
      <cdr:x>0.70738</cdr:x>
      <cdr:y>0.60842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90598" y="1338256"/>
          <a:ext cx="1266833" cy="514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>
              <a:solidFill>
                <a:schemeClr val="bg1"/>
              </a:solidFill>
            </a:rPr>
            <a:t>Arizona</a:t>
          </a:r>
          <a:r>
            <a:rPr lang="en-US" sz="1050" baseline="0">
              <a:solidFill>
                <a:schemeClr val="bg1"/>
              </a:solidFill>
            </a:rPr>
            <a:t> State Totals</a:t>
          </a:r>
          <a:endParaRPr lang="en-US" sz="105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0.23281</cdr:x>
      <cdr:y>0.60842</cdr:y>
    </cdr:from>
    <cdr:to>
      <cdr:x>0.77006</cdr:x>
      <cdr:y>0.78985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42958" y="1852604"/>
          <a:ext cx="1714502" cy="55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50">
              <a:solidFill>
                <a:schemeClr val="bg1"/>
              </a:solidFill>
            </a:rPr>
            <a:t>Central Highlands</a:t>
          </a:r>
        </a:p>
        <a:p xmlns:a="http://schemas.openxmlformats.org/drawingml/2006/main">
          <a:pPr algn="ctr"/>
          <a:r>
            <a:rPr lang="en-US" sz="1050">
              <a:solidFill>
                <a:schemeClr val="bg1"/>
              </a:solidFill>
            </a:rPr>
            <a:t>Totals</a:t>
          </a:r>
        </a:p>
      </cdr:txBody>
    </cdr:sp>
  </cdr:relSizeAnchor>
  <cdr:relSizeAnchor xmlns:cdr="http://schemas.openxmlformats.org/drawingml/2006/chartDrawing">
    <cdr:from>
      <cdr:x>0.5462</cdr:x>
      <cdr:y>0.51514</cdr:y>
    </cdr:from>
    <cdr:to>
      <cdr:x>0.74916</cdr:x>
      <cdr:y>0.5834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743075" y="1568577"/>
          <a:ext cx="647700" cy="20783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0.57406</cdr:x>
      <cdr:y>0.72051</cdr:y>
    </cdr:from>
    <cdr:to>
      <cdr:x>0.77702</cdr:x>
      <cdr:y>0.78877</cdr:y>
    </cdr:to>
    <cdr:cxnSp macro="">
      <cdr:nvCxnSpPr>
        <cdr:cNvPr id="9" name="Straight Arrow Connector 8"/>
        <cdr:cNvCxnSpPr/>
      </cdr:nvCxnSpPr>
      <cdr:spPr>
        <a:xfrm xmlns:a="http://schemas.openxmlformats.org/drawingml/2006/main">
          <a:off x="1831975" y="2193925"/>
          <a:ext cx="647700" cy="20783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0.56287</cdr:x>
      <cdr:y>0.25463</cdr:y>
    </cdr:from>
    <cdr:to>
      <cdr:x>0.82603</cdr:x>
      <cdr:y>0.47859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5800" y="279400"/>
          <a:ext cx="914408" cy="245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7.5 Million af</a:t>
          </a:r>
        </a:p>
      </cdr:txBody>
    </cdr:sp>
  </cdr:relSizeAnchor>
  <cdr:relSizeAnchor xmlns:cdr="http://schemas.openxmlformats.org/drawingml/2006/chartDrawing">
    <cdr:from>
      <cdr:x>0.15077</cdr:x>
      <cdr:y>0.38368</cdr:y>
    </cdr:from>
    <cdr:to>
      <cdr:x>0.41393</cdr:x>
      <cdr:y>0.59028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23875" y="421005"/>
          <a:ext cx="914400" cy="226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83,400 af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0.57552</cdr:x>
      <cdr:y>0.46429</cdr:y>
    </cdr:from>
    <cdr:to>
      <cdr:x>0.82552</cdr:x>
      <cdr:y>0.65476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05025" y="594360"/>
          <a:ext cx="91440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37,530 af</a:t>
          </a:r>
        </a:p>
      </cdr:txBody>
    </cdr:sp>
  </cdr:relSizeAnchor>
  <cdr:relSizeAnchor xmlns:cdr="http://schemas.openxmlformats.org/drawingml/2006/chartDrawing">
    <cdr:from>
      <cdr:x>0.41406</cdr:x>
      <cdr:y>0.23363</cdr:y>
    </cdr:from>
    <cdr:to>
      <cdr:x>0.66406</cdr:x>
      <cdr:y>0.37202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14475" y="299085"/>
          <a:ext cx="914400" cy="1771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37,530 af</a:t>
          </a:r>
        </a:p>
      </cdr:txBody>
    </cdr:sp>
  </cdr:relSizeAnchor>
  <cdr:relSizeAnchor xmlns:cdr="http://schemas.openxmlformats.org/drawingml/2006/chartDrawing">
    <cdr:from>
      <cdr:x>0.25521</cdr:x>
      <cdr:y>0.35268</cdr:y>
    </cdr:from>
    <cdr:to>
      <cdr:x>0.50521</cdr:x>
      <cdr:y>0.58036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33450" y="451485"/>
          <a:ext cx="914400" cy="2914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18,348 af</a:t>
          </a:r>
          <a:endParaRPr lang="en-US" sz="1000" b="1">
            <a:solidFill>
              <a:schemeClr val="bg1"/>
            </a:solidFill>
            <a:effectLst/>
          </a:endParaRPr>
        </a:p>
        <a:p xmlns:a="http://schemas.openxmlformats.org/drawingml/2006/main">
          <a:endParaRPr lang="en-US" sz="10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9"/>
  <sheetViews>
    <sheetView topLeftCell="Y1" workbookViewId="0">
      <selection activeCell="AS1" activeCellId="1" sqref="AS8:AY8 AS1:AY1"/>
    </sheetView>
  </sheetViews>
  <sheetFormatPr defaultRowHeight="15" x14ac:dyDescent="0.25"/>
  <cols>
    <col min="3" max="3" width="26.7109375" customWidth="1"/>
    <col min="7" max="7" width="25.140625" customWidth="1"/>
    <col min="8" max="8" width="11.7109375" bestFit="1" customWidth="1"/>
    <col min="9" max="9" width="12.7109375" bestFit="1" customWidth="1"/>
    <col min="10" max="10" width="11.42578125" bestFit="1" customWidth="1"/>
    <col min="11" max="11" width="12" bestFit="1" customWidth="1"/>
    <col min="12" max="12" width="13.28515625" bestFit="1" customWidth="1"/>
    <col min="13" max="13" width="14.140625" bestFit="1" customWidth="1"/>
    <col min="15" max="16" width="11.7109375" bestFit="1" customWidth="1"/>
    <col min="17" max="18" width="12.7109375" bestFit="1" customWidth="1"/>
    <col min="19" max="19" width="10.140625" bestFit="1" customWidth="1"/>
    <col min="27" max="27" width="13.42578125" customWidth="1"/>
    <col min="28" max="28" width="13.140625" customWidth="1"/>
    <col min="29" max="29" width="12.28515625" customWidth="1"/>
    <col min="30" max="30" width="13.85546875" customWidth="1"/>
    <col min="31" max="31" width="14.85546875" customWidth="1"/>
    <col min="32" max="32" width="13.5703125" customWidth="1"/>
    <col min="33" max="33" width="12.28515625" customWidth="1"/>
    <col min="34" max="34" width="13.28515625" customWidth="1"/>
    <col min="35" max="35" width="13.140625" customWidth="1"/>
    <col min="36" max="36" width="11.85546875" customWidth="1"/>
    <col min="37" max="37" width="12.42578125" customWidth="1"/>
    <col min="38" max="38" width="13.7109375" customWidth="1"/>
    <col min="39" max="39" width="16.7109375" customWidth="1"/>
    <col min="40" max="40" width="12.5703125" customWidth="1"/>
    <col min="41" max="41" width="14.140625" customWidth="1"/>
    <col min="45" max="45" width="14" customWidth="1"/>
    <col min="46" max="47" width="12.140625" customWidth="1"/>
    <col min="48" max="48" width="13.5703125" customWidth="1"/>
    <col min="49" max="49" width="14.5703125" customWidth="1"/>
    <col min="50" max="50" width="15" customWidth="1"/>
    <col min="51" max="51" width="21.42578125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54</v>
      </c>
      <c r="AW1" t="s">
        <v>55</v>
      </c>
      <c r="AX1" t="s">
        <v>57</v>
      </c>
      <c r="AY1" t="s">
        <v>56</v>
      </c>
    </row>
    <row r="2" spans="1:51" x14ac:dyDescent="0.25">
      <c r="B2">
        <v>1</v>
      </c>
      <c r="C2" t="s">
        <v>47</v>
      </c>
      <c r="D2">
        <v>14.937937</v>
      </c>
      <c r="E2">
        <v>0</v>
      </c>
      <c r="F2">
        <v>0</v>
      </c>
      <c r="G2" t="s">
        <v>47</v>
      </c>
      <c r="H2">
        <v>3659500</v>
      </c>
      <c r="I2">
        <v>0.35</v>
      </c>
      <c r="J2">
        <v>0.06</v>
      </c>
      <c r="K2">
        <v>0.59</v>
      </c>
      <c r="L2">
        <v>0.3</v>
      </c>
      <c r="M2">
        <v>0.37</v>
      </c>
      <c r="N2">
        <v>0.04</v>
      </c>
      <c r="O2">
        <v>0.28999999999999998</v>
      </c>
      <c r="P2">
        <v>0.04</v>
      </c>
      <c r="Q2">
        <v>0.66</v>
      </c>
      <c r="R2">
        <v>0.28000000000000003</v>
      </c>
      <c r="S2">
        <v>0.02</v>
      </c>
      <c r="T2">
        <v>0.17</v>
      </c>
      <c r="U2">
        <v>0.45</v>
      </c>
      <c r="V2">
        <v>0.01</v>
      </c>
      <c r="W2">
        <v>0.37</v>
      </c>
      <c r="X2">
        <v>1809230.67922</v>
      </c>
      <c r="Y2">
        <v>53574155231.300003</v>
      </c>
      <c r="Z2" s="1">
        <v>0.48709999999999998</v>
      </c>
      <c r="AA2" s="6">
        <v>1280825</v>
      </c>
      <c r="AB2">
        <v>219570</v>
      </c>
      <c r="AC2">
        <v>2159105</v>
      </c>
      <c r="AD2">
        <v>384247.5</v>
      </c>
      <c r="AE2">
        <v>473905.25</v>
      </c>
      <c r="AF2">
        <v>51233</v>
      </c>
      <c r="AG2">
        <v>371439.3</v>
      </c>
      <c r="AH2">
        <v>8782.7999999999993</v>
      </c>
      <c r="AI2">
        <v>144916.20000000001</v>
      </c>
      <c r="AJ2">
        <v>61479.6</v>
      </c>
      <c r="AK2">
        <v>4391.3999999999996</v>
      </c>
      <c r="AL2">
        <v>367047.85</v>
      </c>
      <c r="AM2">
        <v>971597.25</v>
      </c>
      <c r="AN2">
        <v>21591.05</v>
      </c>
      <c r="AO2">
        <v>798868.9</v>
      </c>
      <c r="AP2" s="2">
        <v>0.35</v>
      </c>
      <c r="AQ2" s="2">
        <v>0.06</v>
      </c>
      <c r="AR2" s="2">
        <v>0.59</v>
      </c>
      <c r="AS2" s="3">
        <v>3659500</v>
      </c>
      <c r="AT2">
        <v>14.937937</v>
      </c>
      <c r="AU2">
        <v>3.6314570000000002</v>
      </c>
      <c r="AV2">
        <v>1590418.7</v>
      </c>
      <c r="AW2">
        <v>134303.65</v>
      </c>
      <c r="AX2">
        <v>760078.14999999991</v>
      </c>
      <c r="AY2">
        <v>1174699.6000000001</v>
      </c>
    </row>
    <row r="3" spans="1:51" x14ac:dyDescent="0.25">
      <c r="B3">
        <v>2</v>
      </c>
      <c r="C3" t="s">
        <v>48</v>
      </c>
      <c r="D3">
        <v>19.830019</v>
      </c>
      <c r="E3">
        <v>1</v>
      </c>
      <c r="F3">
        <v>0</v>
      </c>
      <c r="G3" t="s">
        <v>48</v>
      </c>
      <c r="H3">
        <v>83400</v>
      </c>
      <c r="I3">
        <v>0.33</v>
      </c>
      <c r="J3">
        <v>0.22</v>
      </c>
      <c r="K3">
        <v>0.45</v>
      </c>
      <c r="L3">
        <v>0.03</v>
      </c>
      <c r="M3">
        <v>0.95</v>
      </c>
      <c r="N3">
        <v>0.02</v>
      </c>
      <c r="O3">
        <v>0</v>
      </c>
      <c r="P3">
        <v>0.32</v>
      </c>
      <c r="Q3">
        <v>0.68</v>
      </c>
      <c r="R3">
        <v>0</v>
      </c>
      <c r="S3">
        <v>0</v>
      </c>
      <c r="T3">
        <v>0.62</v>
      </c>
      <c r="U3">
        <v>0.38</v>
      </c>
      <c r="V3">
        <v>0</v>
      </c>
      <c r="W3">
        <v>0</v>
      </c>
      <c r="X3">
        <v>2408708.6303500002</v>
      </c>
      <c r="Y3">
        <v>52908326930.900002</v>
      </c>
      <c r="Z3" s="1">
        <v>1.11E-2</v>
      </c>
      <c r="AA3">
        <v>27522</v>
      </c>
      <c r="AB3">
        <v>18348</v>
      </c>
      <c r="AC3">
        <v>37530</v>
      </c>
      <c r="AD3">
        <v>825.66</v>
      </c>
      <c r="AE3">
        <v>26145.9</v>
      </c>
      <c r="AF3">
        <v>550.44000000000005</v>
      </c>
      <c r="AG3">
        <v>0</v>
      </c>
      <c r="AH3">
        <v>5871.36</v>
      </c>
      <c r="AI3">
        <v>12476.64</v>
      </c>
      <c r="AJ3">
        <v>0</v>
      </c>
      <c r="AK3">
        <v>0</v>
      </c>
      <c r="AL3">
        <v>23268.6</v>
      </c>
      <c r="AM3">
        <v>14261.4</v>
      </c>
      <c r="AN3">
        <v>0</v>
      </c>
      <c r="AO3">
        <v>0</v>
      </c>
      <c r="AP3" s="2">
        <v>0.33</v>
      </c>
      <c r="AQ3" s="2">
        <v>0.22</v>
      </c>
      <c r="AR3" s="2">
        <v>0.45</v>
      </c>
      <c r="AS3" s="3">
        <v>83400</v>
      </c>
      <c r="AT3">
        <v>19.830019</v>
      </c>
      <c r="AU3">
        <v>3.526999</v>
      </c>
      <c r="AV3">
        <v>52883.94</v>
      </c>
      <c r="AW3">
        <v>550.44000000000005</v>
      </c>
      <c r="AX3">
        <v>29965.62</v>
      </c>
      <c r="AY3">
        <v>0</v>
      </c>
    </row>
    <row r="4" spans="1:51" x14ac:dyDescent="0.25">
      <c r="B4">
        <v>3</v>
      </c>
      <c r="C4" t="s">
        <v>49</v>
      </c>
      <c r="D4">
        <v>13.299360999999999</v>
      </c>
      <c r="E4">
        <v>2</v>
      </c>
      <c r="F4">
        <v>0</v>
      </c>
      <c r="G4" t="s">
        <v>49</v>
      </c>
      <c r="H4">
        <v>170500</v>
      </c>
      <c r="I4">
        <v>0.26</v>
      </c>
      <c r="J4">
        <v>0.49</v>
      </c>
      <c r="K4">
        <v>0.25</v>
      </c>
      <c r="L4">
        <v>0.09</v>
      </c>
      <c r="M4">
        <v>0.83</v>
      </c>
      <c r="N4">
        <v>0.08</v>
      </c>
      <c r="O4">
        <v>0</v>
      </c>
      <c r="P4">
        <v>0.35</v>
      </c>
      <c r="Q4">
        <v>0.65</v>
      </c>
      <c r="R4">
        <v>0</v>
      </c>
      <c r="S4">
        <v>0</v>
      </c>
      <c r="T4">
        <v>0.42</v>
      </c>
      <c r="U4">
        <v>0.31</v>
      </c>
      <c r="V4">
        <v>0.27</v>
      </c>
      <c r="W4">
        <v>0</v>
      </c>
      <c r="X4">
        <v>1653260.9994000001</v>
      </c>
      <c r="Y4">
        <v>104930554983</v>
      </c>
      <c r="Z4" s="1">
        <v>2.2599999999999999E-2</v>
      </c>
      <c r="AA4">
        <v>44330</v>
      </c>
      <c r="AB4">
        <v>83545</v>
      </c>
      <c r="AC4">
        <v>42625</v>
      </c>
      <c r="AD4">
        <v>3989.7</v>
      </c>
      <c r="AE4">
        <v>36793.9</v>
      </c>
      <c r="AF4">
        <v>3546.4</v>
      </c>
      <c r="AG4">
        <v>0</v>
      </c>
      <c r="AH4">
        <v>29240.75</v>
      </c>
      <c r="AI4">
        <v>54304.25</v>
      </c>
      <c r="AJ4">
        <v>0</v>
      </c>
      <c r="AK4">
        <v>0</v>
      </c>
      <c r="AL4">
        <v>17902.5</v>
      </c>
      <c r="AM4">
        <v>13213.75</v>
      </c>
      <c r="AN4">
        <v>11508.75</v>
      </c>
      <c r="AO4">
        <v>0</v>
      </c>
      <c r="AP4" s="2">
        <v>0.26</v>
      </c>
      <c r="AQ4" s="2">
        <v>0.49</v>
      </c>
      <c r="AR4" s="2">
        <v>0.25</v>
      </c>
      <c r="AS4" s="3">
        <v>170500</v>
      </c>
      <c r="AT4">
        <v>13.299360999999999</v>
      </c>
      <c r="AU4">
        <v>6.8831160000000002</v>
      </c>
      <c r="AV4">
        <v>104311.9</v>
      </c>
      <c r="AW4">
        <v>15055.15</v>
      </c>
      <c r="AX4">
        <v>51132.95</v>
      </c>
      <c r="AY4">
        <v>0</v>
      </c>
    </row>
    <row r="5" spans="1:51" x14ac:dyDescent="0.25">
      <c r="B5">
        <v>4</v>
      </c>
      <c r="C5" t="s">
        <v>50</v>
      </c>
      <c r="D5">
        <v>13.706768</v>
      </c>
      <c r="E5">
        <v>3</v>
      </c>
      <c r="F5">
        <v>0</v>
      </c>
      <c r="G5" t="s">
        <v>50</v>
      </c>
      <c r="H5">
        <v>2900000</v>
      </c>
      <c r="I5">
        <v>1.4999999999999999E-2</v>
      </c>
      <c r="J5">
        <v>5.0000000000000001E-3</v>
      </c>
      <c r="K5">
        <v>0.98</v>
      </c>
      <c r="L5">
        <v>0.65</v>
      </c>
      <c r="M5">
        <v>0.45</v>
      </c>
      <c r="N5">
        <v>0.01</v>
      </c>
      <c r="O5">
        <v>0</v>
      </c>
      <c r="P5">
        <v>0.15</v>
      </c>
      <c r="Q5">
        <v>0.85</v>
      </c>
      <c r="R5">
        <v>0</v>
      </c>
      <c r="S5">
        <v>0</v>
      </c>
      <c r="T5">
        <v>0.65</v>
      </c>
      <c r="U5">
        <v>0.33</v>
      </c>
      <c r="V5">
        <v>0</v>
      </c>
      <c r="W5">
        <v>0.02</v>
      </c>
      <c r="X5">
        <v>1638230.8361</v>
      </c>
      <c r="Y5">
        <v>63321572561.099998</v>
      </c>
      <c r="Z5" s="1">
        <v>0.38600000000000001</v>
      </c>
      <c r="AA5">
        <v>43500</v>
      </c>
      <c r="AB5">
        <v>145000</v>
      </c>
      <c r="AC5">
        <v>2842000</v>
      </c>
      <c r="AD5">
        <v>28275</v>
      </c>
      <c r="AE5">
        <v>19575</v>
      </c>
      <c r="AF5">
        <v>435</v>
      </c>
      <c r="AG5">
        <v>0</v>
      </c>
      <c r="AH5">
        <v>21750</v>
      </c>
      <c r="AI5">
        <v>123250</v>
      </c>
      <c r="AJ5">
        <v>0</v>
      </c>
      <c r="AK5">
        <v>0</v>
      </c>
      <c r="AL5">
        <v>1847300</v>
      </c>
      <c r="AM5">
        <v>937860</v>
      </c>
      <c r="AN5">
        <v>0</v>
      </c>
      <c r="AO5">
        <v>56840</v>
      </c>
      <c r="AP5" s="1">
        <v>1.4999999999999999E-2</v>
      </c>
      <c r="AQ5" s="2">
        <v>0.05</v>
      </c>
      <c r="AR5" s="2">
        <v>0.98</v>
      </c>
      <c r="AS5" s="3">
        <v>2900000</v>
      </c>
      <c r="AT5">
        <v>13.706768</v>
      </c>
      <c r="AU5">
        <v>4.290076</v>
      </c>
      <c r="AV5">
        <v>1080685</v>
      </c>
      <c r="AW5">
        <v>435</v>
      </c>
      <c r="AX5">
        <v>1897325</v>
      </c>
      <c r="AY5">
        <v>56840</v>
      </c>
    </row>
    <row r="6" spans="1:51" x14ac:dyDescent="0.25">
      <c r="B6">
        <v>5</v>
      </c>
      <c r="C6" t="s">
        <v>51</v>
      </c>
      <c r="D6">
        <v>11.827667999999999</v>
      </c>
      <c r="E6">
        <v>4</v>
      </c>
      <c r="F6">
        <v>0</v>
      </c>
      <c r="G6" t="s">
        <v>51</v>
      </c>
      <c r="H6">
        <v>515100</v>
      </c>
      <c r="I6">
        <v>0.08</v>
      </c>
      <c r="J6">
        <v>7.0000000000000007E-2</v>
      </c>
      <c r="K6">
        <v>0.85</v>
      </c>
      <c r="L6">
        <v>0.03</v>
      </c>
      <c r="M6">
        <v>0.93</v>
      </c>
      <c r="N6">
        <v>0.04</v>
      </c>
      <c r="O6">
        <v>0</v>
      </c>
      <c r="P6">
        <v>0.03</v>
      </c>
      <c r="Q6">
        <v>0.97</v>
      </c>
      <c r="R6">
        <v>0</v>
      </c>
      <c r="S6">
        <v>0</v>
      </c>
      <c r="T6">
        <v>0.17</v>
      </c>
      <c r="U6">
        <v>0.83</v>
      </c>
      <c r="V6">
        <v>0</v>
      </c>
      <c r="W6">
        <v>0</v>
      </c>
      <c r="X6">
        <v>1445214.8158199999</v>
      </c>
      <c r="Y6">
        <v>58735638922.300003</v>
      </c>
      <c r="Z6" s="1">
        <v>6.8500000000000005E-2</v>
      </c>
      <c r="AA6">
        <v>41208</v>
      </c>
      <c r="AB6">
        <v>36057</v>
      </c>
      <c r="AC6">
        <v>437835</v>
      </c>
      <c r="AD6">
        <v>1236.24</v>
      </c>
      <c r="AE6">
        <v>38323.440000000002</v>
      </c>
      <c r="AF6">
        <v>1648.32</v>
      </c>
      <c r="AG6">
        <v>0</v>
      </c>
      <c r="AH6">
        <v>1081.71</v>
      </c>
      <c r="AI6">
        <v>34975.29</v>
      </c>
      <c r="AJ6">
        <v>0</v>
      </c>
      <c r="AK6">
        <v>0</v>
      </c>
      <c r="AL6">
        <v>74431.95</v>
      </c>
      <c r="AM6">
        <v>363403.05</v>
      </c>
      <c r="AN6">
        <v>0</v>
      </c>
      <c r="AO6">
        <v>0</v>
      </c>
      <c r="AP6" s="2">
        <v>0.08</v>
      </c>
      <c r="AQ6" s="2">
        <v>7.0000000000000007E-2</v>
      </c>
      <c r="AR6" s="2">
        <v>0.85</v>
      </c>
      <c r="AS6" s="3">
        <v>515100</v>
      </c>
      <c r="AT6">
        <v>11.827667999999999</v>
      </c>
      <c r="AU6">
        <v>3.9969060000000001</v>
      </c>
      <c r="AV6">
        <v>436701.78</v>
      </c>
      <c r="AW6">
        <v>1648.32</v>
      </c>
      <c r="AX6">
        <v>76749.899999999994</v>
      </c>
      <c r="AY6">
        <v>0</v>
      </c>
    </row>
    <row r="7" spans="1:51" x14ac:dyDescent="0.25">
      <c r="B7">
        <v>6</v>
      </c>
      <c r="C7" t="s">
        <v>52</v>
      </c>
      <c r="D7">
        <v>10.515788000000001</v>
      </c>
      <c r="E7">
        <v>5</v>
      </c>
      <c r="F7">
        <v>0</v>
      </c>
      <c r="G7" t="s">
        <v>52</v>
      </c>
      <c r="H7">
        <v>174000</v>
      </c>
      <c r="I7">
        <v>0.28999999999999998</v>
      </c>
      <c r="J7">
        <v>0.13</v>
      </c>
      <c r="K7">
        <v>0.57999999999999996</v>
      </c>
      <c r="L7">
        <v>0.02</v>
      </c>
      <c r="M7">
        <v>0.92</v>
      </c>
      <c r="N7">
        <v>0.06</v>
      </c>
      <c r="O7">
        <v>0</v>
      </c>
      <c r="P7">
        <v>0.17</v>
      </c>
      <c r="Q7">
        <v>0.83</v>
      </c>
      <c r="R7">
        <v>0</v>
      </c>
      <c r="S7">
        <v>0</v>
      </c>
      <c r="T7">
        <v>0.65</v>
      </c>
      <c r="U7">
        <v>0.35</v>
      </c>
      <c r="V7">
        <v>0</v>
      </c>
      <c r="W7">
        <v>0</v>
      </c>
      <c r="X7">
        <v>1299325.77404</v>
      </c>
      <c r="Y7">
        <v>45926831599.800003</v>
      </c>
      <c r="Z7" s="1">
        <v>2.3099999999999999E-2</v>
      </c>
      <c r="AA7">
        <v>50460</v>
      </c>
      <c r="AB7">
        <v>22620</v>
      </c>
      <c r="AC7">
        <v>100920</v>
      </c>
      <c r="AD7">
        <v>1009.2</v>
      </c>
      <c r="AE7">
        <v>46423.199999999997</v>
      </c>
      <c r="AF7">
        <v>3027.6</v>
      </c>
      <c r="AG7">
        <v>0</v>
      </c>
      <c r="AH7">
        <v>3845.4</v>
      </c>
      <c r="AI7">
        <v>18774.599999999999</v>
      </c>
      <c r="AJ7">
        <v>0</v>
      </c>
      <c r="AK7">
        <v>0</v>
      </c>
      <c r="AL7">
        <v>65598</v>
      </c>
      <c r="AM7">
        <v>35322</v>
      </c>
      <c r="AN7">
        <v>0</v>
      </c>
      <c r="AO7">
        <v>0</v>
      </c>
      <c r="AP7" s="2">
        <v>0.28999999999999998</v>
      </c>
      <c r="AQ7" s="2">
        <v>0.13</v>
      </c>
      <c r="AR7" s="2">
        <v>0.57999999999999996</v>
      </c>
      <c r="AS7" s="3">
        <v>174000</v>
      </c>
      <c r="AT7">
        <v>10.515788000000001</v>
      </c>
      <c r="AU7">
        <v>3.0332620000000001</v>
      </c>
      <c r="AV7">
        <v>100519.79999999999</v>
      </c>
      <c r="AW7">
        <v>3027.6</v>
      </c>
      <c r="AX7">
        <v>70452.600000000006</v>
      </c>
      <c r="AY7">
        <v>0</v>
      </c>
    </row>
    <row r="8" spans="1:51" x14ac:dyDescent="0.25">
      <c r="B8">
        <v>7</v>
      </c>
      <c r="C8" t="s">
        <v>53</v>
      </c>
      <c r="D8">
        <v>9.9683449999999993</v>
      </c>
      <c r="E8">
        <v>6</v>
      </c>
      <c r="F8">
        <v>0</v>
      </c>
      <c r="G8" t="s">
        <v>53</v>
      </c>
      <c r="H8">
        <v>9700</v>
      </c>
      <c r="I8">
        <v>0.4</v>
      </c>
      <c r="J8">
        <v>0.1</v>
      </c>
      <c r="K8">
        <v>0.5</v>
      </c>
      <c r="L8">
        <v>0.26</v>
      </c>
      <c r="M8">
        <v>0.67</v>
      </c>
      <c r="N8">
        <v>7.0000000000000007E-2</v>
      </c>
      <c r="O8">
        <v>0</v>
      </c>
      <c r="P8">
        <v>0.23</v>
      </c>
      <c r="Q8">
        <v>0.77</v>
      </c>
      <c r="R8">
        <v>0</v>
      </c>
      <c r="S8">
        <v>0</v>
      </c>
      <c r="T8">
        <v>0.43</v>
      </c>
      <c r="U8">
        <v>0.56999999999999995</v>
      </c>
      <c r="V8">
        <v>0</v>
      </c>
      <c r="W8">
        <v>0</v>
      </c>
      <c r="X8">
        <v>1223670.27046</v>
      </c>
      <c r="Y8">
        <v>54632723017.800003</v>
      </c>
      <c r="Z8" s="1">
        <v>1E-4</v>
      </c>
      <c r="AA8">
        <v>3880</v>
      </c>
      <c r="AB8">
        <v>970</v>
      </c>
      <c r="AC8">
        <v>4850</v>
      </c>
      <c r="AD8">
        <v>1008.8</v>
      </c>
      <c r="AE8">
        <v>2599.6</v>
      </c>
      <c r="AF8">
        <v>271.60000000000002</v>
      </c>
      <c r="AG8">
        <v>0</v>
      </c>
      <c r="AH8">
        <v>223.1</v>
      </c>
      <c r="AI8">
        <v>746.9</v>
      </c>
      <c r="AJ8">
        <v>0</v>
      </c>
      <c r="AK8">
        <v>0</v>
      </c>
      <c r="AL8">
        <v>2085.5</v>
      </c>
      <c r="AM8">
        <v>2764.5</v>
      </c>
      <c r="AN8">
        <v>0</v>
      </c>
      <c r="AO8">
        <v>0</v>
      </c>
      <c r="AP8" s="2">
        <v>0.4</v>
      </c>
      <c r="AQ8" s="2">
        <v>0.1</v>
      </c>
      <c r="AR8" s="2">
        <v>0.5</v>
      </c>
      <c r="AS8" s="3">
        <v>9700</v>
      </c>
      <c r="AT8">
        <v>9.9683449999999993</v>
      </c>
      <c r="AU8">
        <v>3.5542760000000002</v>
      </c>
      <c r="AV8">
        <v>6111</v>
      </c>
      <c r="AW8">
        <v>271.60000000000002</v>
      </c>
      <c r="AX8">
        <v>3317.3999999999996</v>
      </c>
      <c r="AY8">
        <v>0</v>
      </c>
    </row>
    <row r="9" spans="1:51" x14ac:dyDescent="0.25">
      <c r="H9">
        <f>SUM(H2:H8)</f>
        <v>7512200</v>
      </c>
      <c r="AA9" s="6">
        <f>SUM(AA2:AA8)</f>
        <v>1491725</v>
      </c>
      <c r="AB9" s="6">
        <f t="shared" ref="AB9:AC9" si="0">SUM(AB2:AB8)</f>
        <v>526110</v>
      </c>
      <c r="AC9" s="6">
        <f t="shared" si="0"/>
        <v>5624865</v>
      </c>
    </row>
    <row r="10" spans="1:51" x14ac:dyDescent="0.25">
      <c r="I10" s="6">
        <f>(I2*H2)+(I3*H3)+(I4*H4)+(I5*H5)+(I6*H6)+(I7*H7)+(I8*H8)</f>
        <v>1491725</v>
      </c>
      <c r="J10" s="6">
        <f>(J2*H2)+(J3*H3)+(J4*H4)+(J5*H5)+(J6*H6)+(J7*H7)+(J8*H8)</f>
        <v>395610</v>
      </c>
      <c r="K10" s="6">
        <f>(K2*H2)+(K3*H3)+(K4*H4)+(K5*H5)+(K6*H6)+(K7*H7)+(K8*H8)</f>
        <v>5624865</v>
      </c>
      <c r="AS10" s="3">
        <v>7512200</v>
      </c>
      <c r="AV10" s="4">
        <v>3371632.12</v>
      </c>
      <c r="AW10">
        <v>155291.76</v>
      </c>
      <c r="AX10">
        <v>2889021.6199999996</v>
      </c>
      <c r="AY10">
        <v>1231539.6000000001</v>
      </c>
    </row>
    <row r="11" spans="1:51" x14ac:dyDescent="0.25">
      <c r="F11">
        <f>H2/H9</f>
        <v>0.48714091744096272</v>
      </c>
      <c r="I11">
        <v>1491725</v>
      </c>
      <c r="J11">
        <v>526110</v>
      </c>
      <c r="K11">
        <v>5624865</v>
      </c>
      <c r="L11" s="7">
        <f>SUM(I11:K11)</f>
        <v>7642700</v>
      </c>
      <c r="AA11" s="6">
        <f>SUM(AA9:AC9)</f>
        <v>7642700</v>
      </c>
    </row>
    <row r="12" spans="1:51" x14ac:dyDescent="0.25">
      <c r="F12">
        <f>H3/H9</f>
        <v>1.1101940842895557E-2</v>
      </c>
      <c r="L12">
        <f>7642700-7512200</f>
        <v>130500</v>
      </c>
      <c r="AV12">
        <f>SUM(AV3:AY3)</f>
        <v>83400</v>
      </c>
    </row>
    <row r="13" spans="1:51" x14ac:dyDescent="0.25">
      <c r="H13" s="6">
        <f>0.69*7512200</f>
        <v>5183418</v>
      </c>
    </row>
    <row r="14" spans="1:51" x14ac:dyDescent="0.25">
      <c r="AV14" s="2">
        <v>0.43459999999999999</v>
      </c>
      <c r="AW14" s="2">
        <v>3.6699999999999997E-2</v>
      </c>
      <c r="AX14" s="2">
        <v>0.20769999999999997</v>
      </c>
      <c r="AY14" s="2">
        <v>0.32100002732613747</v>
      </c>
    </row>
    <row r="22" spans="10:19" x14ac:dyDescent="0.25">
      <c r="J22" s="6">
        <v>3659500</v>
      </c>
      <c r="K22" s="8">
        <v>0.35</v>
      </c>
      <c r="L22" s="8">
        <v>0.06</v>
      </c>
      <c r="M22" s="8">
        <v>0.59</v>
      </c>
      <c r="N22">
        <f>SUM(K22:M22)</f>
        <v>1</v>
      </c>
      <c r="O22" s="6">
        <f t="shared" ref="O22:O28" si="1">J22*K22</f>
        <v>1280825</v>
      </c>
      <c r="P22" s="6">
        <f t="shared" ref="P22:P28" si="2">J22*L22</f>
        <v>219570</v>
      </c>
      <c r="Q22" s="6">
        <f t="shared" ref="Q22:Q28" si="3">J22*M22</f>
        <v>2159105</v>
      </c>
    </row>
    <row r="23" spans="10:19" x14ac:dyDescent="0.25">
      <c r="J23" s="6">
        <v>83400</v>
      </c>
      <c r="K23" s="8">
        <v>0.33</v>
      </c>
      <c r="L23" s="8">
        <v>0.22</v>
      </c>
      <c r="M23" s="8">
        <v>0.45</v>
      </c>
      <c r="N23">
        <f t="shared" ref="N23:N28" si="4">SUM(K23:M23)</f>
        <v>1</v>
      </c>
      <c r="O23" s="6">
        <f t="shared" si="1"/>
        <v>27522</v>
      </c>
      <c r="P23" s="6">
        <f t="shared" si="2"/>
        <v>18348</v>
      </c>
      <c r="Q23" s="6">
        <f t="shared" si="3"/>
        <v>37530</v>
      </c>
    </row>
    <row r="24" spans="10:19" x14ac:dyDescent="0.25">
      <c r="J24" s="6">
        <v>170500</v>
      </c>
      <c r="K24" s="8">
        <v>0.26</v>
      </c>
      <c r="L24" s="8">
        <v>0.49</v>
      </c>
      <c r="M24" s="8">
        <v>0.25</v>
      </c>
      <c r="N24">
        <f t="shared" si="4"/>
        <v>1</v>
      </c>
      <c r="O24" s="6">
        <f t="shared" si="1"/>
        <v>44330</v>
      </c>
      <c r="P24" s="6">
        <f t="shared" si="2"/>
        <v>83545</v>
      </c>
      <c r="Q24" s="6">
        <f t="shared" si="3"/>
        <v>42625</v>
      </c>
    </row>
    <row r="25" spans="10:19" x14ac:dyDescent="0.25">
      <c r="J25" s="6">
        <v>2900000</v>
      </c>
      <c r="K25" s="8">
        <v>1.4999999999999999E-2</v>
      </c>
      <c r="L25" s="8">
        <v>5.0000000000000001E-3</v>
      </c>
      <c r="M25" s="8">
        <v>0.98</v>
      </c>
      <c r="N25">
        <f t="shared" si="4"/>
        <v>1</v>
      </c>
      <c r="O25" s="6">
        <f t="shared" si="1"/>
        <v>43500</v>
      </c>
      <c r="P25" s="6">
        <f t="shared" si="2"/>
        <v>14500</v>
      </c>
      <c r="Q25" s="6">
        <f t="shared" si="3"/>
        <v>2842000</v>
      </c>
      <c r="R25" s="6">
        <f>SUM(O25:Q25)</f>
        <v>2900000</v>
      </c>
      <c r="S25" s="6">
        <f>R25-J25</f>
        <v>0</v>
      </c>
    </row>
    <row r="26" spans="10:19" x14ac:dyDescent="0.25">
      <c r="J26" s="6">
        <v>515100</v>
      </c>
      <c r="K26" s="8">
        <v>0.08</v>
      </c>
      <c r="L26" s="8">
        <v>7.0000000000000007E-2</v>
      </c>
      <c r="M26" s="8">
        <v>0.85</v>
      </c>
      <c r="N26">
        <f t="shared" si="4"/>
        <v>1</v>
      </c>
      <c r="O26" s="6">
        <f t="shared" si="1"/>
        <v>41208</v>
      </c>
      <c r="P26" s="6">
        <f t="shared" si="2"/>
        <v>36057</v>
      </c>
      <c r="Q26" s="6">
        <f t="shared" si="3"/>
        <v>437835</v>
      </c>
    </row>
    <row r="27" spans="10:19" x14ac:dyDescent="0.25">
      <c r="J27" s="6">
        <v>174000</v>
      </c>
      <c r="K27" s="8">
        <v>0.28999999999999998</v>
      </c>
      <c r="L27" s="8">
        <v>0.13</v>
      </c>
      <c r="M27" s="8">
        <v>0.57999999999999996</v>
      </c>
      <c r="N27">
        <f t="shared" si="4"/>
        <v>1</v>
      </c>
      <c r="O27" s="6">
        <f t="shared" si="1"/>
        <v>50460</v>
      </c>
      <c r="P27" s="6">
        <f t="shared" si="2"/>
        <v>22620</v>
      </c>
      <c r="Q27" s="6">
        <f t="shared" si="3"/>
        <v>100920</v>
      </c>
    </row>
    <row r="28" spans="10:19" x14ac:dyDescent="0.25">
      <c r="J28" s="6">
        <v>9700</v>
      </c>
      <c r="K28" s="8">
        <v>0.4</v>
      </c>
      <c r="L28" s="8">
        <v>0.1</v>
      </c>
      <c r="M28" s="8">
        <v>0.5</v>
      </c>
      <c r="N28">
        <f t="shared" si="4"/>
        <v>1</v>
      </c>
      <c r="O28" s="6">
        <f t="shared" si="1"/>
        <v>3880</v>
      </c>
      <c r="P28" s="6">
        <f t="shared" si="2"/>
        <v>970</v>
      </c>
      <c r="Q28" s="6">
        <f t="shared" si="3"/>
        <v>4850</v>
      </c>
    </row>
    <row r="29" spans="10:19" x14ac:dyDescent="0.25">
      <c r="J29">
        <f>SUM(J22:J28)</f>
        <v>7512200</v>
      </c>
      <c r="O29" s="6">
        <f>SUM(O22:O28)</f>
        <v>1491725</v>
      </c>
      <c r="P29" s="6">
        <f>SUM(P22:P28)</f>
        <v>395610</v>
      </c>
      <c r="Q29" s="6">
        <f>SUM(Q22:Q28)</f>
        <v>5624865</v>
      </c>
      <c r="R29" s="6">
        <f>SUM(O29:Q29)</f>
        <v>7512200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opLeftCell="A22" workbookViewId="0">
      <selection activeCell="I104" sqref="I104"/>
    </sheetView>
  </sheetViews>
  <sheetFormatPr defaultRowHeight="15" x14ac:dyDescent="0.25"/>
  <cols>
    <col min="1" max="2" width="24.5703125" bestFit="1" customWidth="1"/>
    <col min="3" max="3" width="14.140625" bestFit="1" customWidth="1"/>
    <col min="4" max="4" width="13.5703125" bestFit="1" customWidth="1"/>
    <col min="5" max="5" width="21.7109375" customWidth="1"/>
    <col min="6" max="6" width="24.5703125" bestFit="1" customWidth="1"/>
    <col min="7" max="7" width="13.85546875" bestFit="1" customWidth="1"/>
    <col min="8" max="8" width="11.85546875" bestFit="1" customWidth="1"/>
    <col min="9" max="9" width="10.5703125" bestFit="1" customWidth="1"/>
    <col min="10" max="10" width="24.5703125" bestFit="1" customWidth="1"/>
    <col min="11" max="11" width="12.5703125" bestFit="1" customWidth="1"/>
    <col min="12" max="12" width="10.7109375" bestFit="1" customWidth="1"/>
    <col min="13" max="13" width="9.42578125" bestFit="1" customWidth="1"/>
    <col min="14" max="14" width="11.5703125" bestFit="1" customWidth="1"/>
    <col min="15" max="15" width="13.42578125" bestFit="1" customWidth="1"/>
    <col min="16" max="16" width="11.42578125" bestFit="1" customWidth="1"/>
    <col min="17" max="17" width="11" customWidth="1"/>
  </cols>
  <sheetData>
    <row r="1" spans="1:11" x14ac:dyDescent="0.25">
      <c r="A1" t="s">
        <v>6</v>
      </c>
      <c r="B1" t="s">
        <v>54</v>
      </c>
      <c r="C1" t="s">
        <v>55</v>
      </c>
      <c r="D1" t="s">
        <v>57</v>
      </c>
      <c r="E1" t="s">
        <v>56</v>
      </c>
      <c r="F1" t="s">
        <v>61</v>
      </c>
      <c r="H1" t="s">
        <v>60</v>
      </c>
      <c r="I1" t="s">
        <v>59</v>
      </c>
    </row>
    <row r="2" spans="1:11" x14ac:dyDescent="0.25">
      <c r="A2" t="s">
        <v>47</v>
      </c>
      <c r="B2">
        <v>1590418.7</v>
      </c>
      <c r="C2">
        <v>134303.65</v>
      </c>
      <c r="D2">
        <v>760078.14999999991</v>
      </c>
      <c r="E2">
        <v>1174699.6000000001</v>
      </c>
      <c r="F2">
        <v>3987984.9999999995</v>
      </c>
      <c r="H2">
        <v>3659500.1</v>
      </c>
      <c r="I2">
        <f>SUM(B2:E2)</f>
        <v>3659500.1</v>
      </c>
    </row>
    <row r="3" spans="1:11" x14ac:dyDescent="0.25">
      <c r="A3" t="s">
        <v>58</v>
      </c>
      <c r="B3" s="4">
        <v>3371632.12</v>
      </c>
      <c r="C3">
        <v>155291.76</v>
      </c>
      <c r="D3">
        <v>2889021.6199999996</v>
      </c>
      <c r="E3">
        <v>1231539.6000000001</v>
      </c>
      <c r="H3">
        <v>3987984.9999999995</v>
      </c>
      <c r="I3">
        <f>SUM(B3:E3)</f>
        <v>7647485.0999999996</v>
      </c>
    </row>
    <row r="6" spans="1:11" ht="30" x14ac:dyDescent="0.25">
      <c r="A6" t="s">
        <v>6</v>
      </c>
      <c r="B6" t="s">
        <v>54</v>
      </c>
      <c r="C6" t="s">
        <v>55</v>
      </c>
      <c r="D6" t="s">
        <v>57</v>
      </c>
      <c r="E6" s="5" t="s">
        <v>56</v>
      </c>
      <c r="F6" t="s">
        <v>63</v>
      </c>
    </row>
    <row r="7" spans="1:11" x14ac:dyDescent="0.25">
      <c r="A7" t="s">
        <v>47</v>
      </c>
      <c r="B7">
        <v>1590418.7</v>
      </c>
      <c r="C7">
        <v>134303.65</v>
      </c>
      <c r="D7">
        <v>760078.14999999991</v>
      </c>
      <c r="E7">
        <v>1174699.6000000001</v>
      </c>
      <c r="F7">
        <v>3659500.1</v>
      </c>
    </row>
    <row r="8" spans="1:11" x14ac:dyDescent="0.25">
      <c r="A8" t="s">
        <v>58</v>
      </c>
      <c r="B8" s="4">
        <v>3371632.12</v>
      </c>
      <c r="C8">
        <v>155291.76</v>
      </c>
      <c r="D8">
        <v>2889021.6199999996</v>
      </c>
      <c r="E8">
        <v>1231539.6000000001</v>
      </c>
      <c r="F8">
        <v>7647485.0999999996</v>
      </c>
    </row>
    <row r="10" spans="1:11" ht="45" x14ac:dyDescent="0.25">
      <c r="B10" s="5" t="s">
        <v>54</v>
      </c>
      <c r="C10" s="5" t="s">
        <v>57</v>
      </c>
      <c r="D10" s="5" t="s">
        <v>56</v>
      </c>
      <c r="E10" s="5" t="s">
        <v>55</v>
      </c>
      <c r="G10" s="5" t="s">
        <v>63</v>
      </c>
      <c r="H10" s="5" t="s">
        <v>55</v>
      </c>
      <c r="K10" s="5" t="s">
        <v>63</v>
      </c>
    </row>
    <row r="11" spans="1:11" x14ac:dyDescent="0.25">
      <c r="A11" t="s">
        <v>47</v>
      </c>
      <c r="B11" s="2">
        <f>B7/7647485.1</f>
        <v>0.20796623716207044</v>
      </c>
      <c r="C11" s="2">
        <f>D7/7647485.1</f>
        <v>9.9389294658449215E-2</v>
      </c>
      <c r="D11" s="2">
        <f>E7/7647485.1</f>
        <v>0.1536060004876636</v>
      </c>
      <c r="E11" s="2">
        <f>C7/7647485.1</f>
        <v>1.7561806037386069E-2</v>
      </c>
      <c r="F11" t="s">
        <v>47</v>
      </c>
      <c r="G11" s="1">
        <v>0.47852333834556937</v>
      </c>
      <c r="H11" s="1">
        <f>F7/7647485.1</f>
        <v>0.47852333834556937</v>
      </c>
      <c r="J11" t="s">
        <v>47</v>
      </c>
      <c r="K11" s="1">
        <v>0.47852333834556937</v>
      </c>
    </row>
    <row r="12" spans="1:11" x14ac:dyDescent="0.25">
      <c r="A12" t="s">
        <v>58</v>
      </c>
      <c r="B12" s="2">
        <f>B8/7647485.1</f>
        <v>0.44088116235754421</v>
      </c>
      <c r="C12" s="2">
        <f>D8/7647485.1</f>
        <v>0.3777740763430843</v>
      </c>
      <c r="D12" s="2">
        <f>E8/7647485.1</f>
        <v>0.16103850924796181</v>
      </c>
      <c r="E12" s="2">
        <f>C8/7647485.1</f>
        <v>2.0306252051409686E-2</v>
      </c>
      <c r="F12" t="s">
        <v>58</v>
      </c>
      <c r="G12" s="1">
        <v>1</v>
      </c>
      <c r="H12" s="1">
        <f>F8/7647485.1</f>
        <v>1</v>
      </c>
      <c r="J12" t="s">
        <v>58</v>
      </c>
      <c r="K12" s="1">
        <v>1</v>
      </c>
    </row>
    <row r="14" spans="1:11" ht="45" x14ac:dyDescent="0.25">
      <c r="B14" s="5" t="s">
        <v>54</v>
      </c>
      <c r="C14" s="5" t="s">
        <v>57</v>
      </c>
      <c r="D14" s="5" t="s">
        <v>56</v>
      </c>
      <c r="E14" s="5" t="s">
        <v>55</v>
      </c>
    </row>
    <row r="15" spans="1:11" x14ac:dyDescent="0.25">
      <c r="A15" t="s">
        <v>47</v>
      </c>
      <c r="B15" s="2">
        <f>AMA!B7/AMA!F7</f>
        <v>0.43459998812406098</v>
      </c>
      <c r="C15" s="2">
        <f>D7/F7</f>
        <v>0.20769999432436137</v>
      </c>
      <c r="D15" s="2">
        <f>E7/F7</f>
        <v>0.32100001855444682</v>
      </c>
      <c r="E15" s="2">
        <f>C7/F7</f>
        <v>3.6699998997130778E-2</v>
      </c>
    </row>
    <row r="16" spans="1:11" x14ac:dyDescent="0.25">
      <c r="A16" t="s">
        <v>58</v>
      </c>
      <c r="B16" s="2">
        <v>0.44088116235754421</v>
      </c>
      <c r="C16" s="2">
        <v>0.3777740763430843</v>
      </c>
      <c r="D16" s="2">
        <v>0.16103850924796181</v>
      </c>
      <c r="E16" s="2">
        <v>2.0306252051409686E-2</v>
      </c>
    </row>
    <row r="40" spans="1:16" x14ac:dyDescent="0.25">
      <c r="B40" t="s">
        <v>26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32</v>
      </c>
      <c r="I40" t="s">
        <v>33</v>
      </c>
      <c r="J40" t="s">
        <v>34</v>
      </c>
      <c r="K40" t="s">
        <v>35</v>
      </c>
      <c r="L40" t="s">
        <v>36</v>
      </c>
      <c r="M40" t="s">
        <v>37</v>
      </c>
      <c r="N40" t="s">
        <v>38</v>
      </c>
      <c r="O40" t="s">
        <v>39</v>
      </c>
      <c r="P40" t="s">
        <v>40</v>
      </c>
    </row>
    <row r="41" spans="1:16" x14ac:dyDescent="0.25">
      <c r="A41" t="s">
        <v>47</v>
      </c>
      <c r="B41" s="6">
        <v>1280825</v>
      </c>
      <c r="C41">
        <v>219570</v>
      </c>
      <c r="D41">
        <v>2159105</v>
      </c>
      <c r="E41">
        <v>384247.5</v>
      </c>
      <c r="F41">
        <v>473905.25</v>
      </c>
      <c r="G41">
        <v>51233</v>
      </c>
      <c r="H41">
        <v>371439.3</v>
      </c>
      <c r="I41">
        <v>8782.7999999999993</v>
      </c>
      <c r="J41">
        <v>144916.20000000001</v>
      </c>
      <c r="K41">
        <v>61479.6</v>
      </c>
      <c r="L41">
        <v>4391.3999999999996</v>
      </c>
      <c r="M41">
        <v>367047.85</v>
      </c>
      <c r="N41">
        <v>971597.25</v>
      </c>
      <c r="O41">
        <v>21591.05</v>
      </c>
      <c r="P41">
        <v>798868.9</v>
      </c>
    </row>
    <row r="42" spans="1:16" x14ac:dyDescent="0.25">
      <c r="A42" t="s">
        <v>29</v>
      </c>
      <c r="B42">
        <v>384247.5</v>
      </c>
    </row>
    <row r="43" spans="1:16" x14ac:dyDescent="0.25">
      <c r="A43" t="s">
        <v>30</v>
      </c>
      <c r="B43">
        <v>473905.25</v>
      </c>
      <c r="E43" s="6">
        <f>SUM(E41:H41)</f>
        <v>1280825.05</v>
      </c>
      <c r="I43">
        <f>SUM(I41:L41)</f>
        <v>219570</v>
      </c>
      <c r="M43">
        <f>SUM(M41:P41)</f>
        <v>2159105.0500000003</v>
      </c>
    </row>
    <row r="44" spans="1:16" x14ac:dyDescent="0.25">
      <c r="A44" t="s">
        <v>31</v>
      </c>
      <c r="B44">
        <v>51233</v>
      </c>
    </row>
    <row r="45" spans="1:16" x14ac:dyDescent="0.25">
      <c r="A45" t="s">
        <v>32</v>
      </c>
      <c r="B45">
        <v>371439.3</v>
      </c>
    </row>
    <row r="46" spans="1:16" x14ac:dyDescent="0.25">
      <c r="A46" t="s">
        <v>33</v>
      </c>
      <c r="C46">
        <v>8782.7999999999993</v>
      </c>
    </row>
    <row r="47" spans="1:16" x14ac:dyDescent="0.25">
      <c r="A47" t="s">
        <v>34</v>
      </c>
      <c r="C47">
        <v>144916.20000000001</v>
      </c>
      <c r="F47" t="s">
        <v>6</v>
      </c>
      <c r="G47" t="s">
        <v>7</v>
      </c>
    </row>
    <row r="48" spans="1:16" x14ac:dyDescent="0.25">
      <c r="A48" t="s">
        <v>35</v>
      </c>
      <c r="C48">
        <v>61479.6</v>
      </c>
      <c r="F48" t="s">
        <v>47</v>
      </c>
      <c r="G48">
        <v>3659500</v>
      </c>
    </row>
    <row r="49" spans="1:21" x14ac:dyDescent="0.25">
      <c r="A49" t="s">
        <v>36</v>
      </c>
      <c r="C49">
        <v>4391.3999999999996</v>
      </c>
    </row>
    <row r="50" spans="1:21" x14ac:dyDescent="0.25">
      <c r="A50" t="s">
        <v>37</v>
      </c>
      <c r="D50">
        <v>367047.85</v>
      </c>
    </row>
    <row r="51" spans="1:21" x14ac:dyDescent="0.25">
      <c r="A51" t="s">
        <v>38</v>
      </c>
      <c r="D51">
        <v>971597.25</v>
      </c>
    </row>
    <row r="52" spans="1:21" x14ac:dyDescent="0.25">
      <c r="A52" t="s">
        <v>39</v>
      </c>
      <c r="D52">
        <v>21591.05</v>
      </c>
    </row>
    <row r="53" spans="1:21" x14ac:dyDescent="0.25">
      <c r="A53" t="s">
        <v>40</v>
      </c>
      <c r="D53">
        <v>798868.9</v>
      </c>
    </row>
    <row r="55" spans="1:21" x14ac:dyDescent="0.25">
      <c r="B55" t="s">
        <v>26</v>
      </c>
      <c r="C55" t="s">
        <v>27</v>
      </c>
      <c r="D55" t="s">
        <v>28</v>
      </c>
      <c r="G55" t="s">
        <v>26</v>
      </c>
      <c r="H55" t="s">
        <v>29</v>
      </c>
      <c r="I55" t="s">
        <v>30</v>
      </c>
      <c r="J55" t="s">
        <v>31</v>
      </c>
      <c r="K55" t="s">
        <v>32</v>
      </c>
      <c r="L55" t="s">
        <v>27</v>
      </c>
      <c r="M55" t="s">
        <v>33</v>
      </c>
      <c r="N55" t="s">
        <v>34</v>
      </c>
      <c r="O55" t="s">
        <v>35</v>
      </c>
      <c r="P55" t="s">
        <v>36</v>
      </c>
      <c r="Q55" t="s">
        <v>28</v>
      </c>
      <c r="R55" t="s">
        <v>37</v>
      </c>
      <c r="S55" t="s">
        <v>38</v>
      </c>
      <c r="T55" t="s">
        <v>39</v>
      </c>
      <c r="U55" t="s">
        <v>40</v>
      </c>
    </row>
    <row r="56" spans="1:21" x14ac:dyDescent="0.25">
      <c r="A56" t="s">
        <v>29</v>
      </c>
      <c r="B56" s="2">
        <v>0.3</v>
      </c>
      <c r="C56" s="2"/>
      <c r="D56" s="2"/>
      <c r="F56" t="s">
        <v>47</v>
      </c>
      <c r="G56" s="9">
        <v>0.35</v>
      </c>
      <c r="H56" s="9">
        <v>0.3</v>
      </c>
      <c r="I56" s="9">
        <v>0.37</v>
      </c>
      <c r="J56" s="9">
        <v>0.04</v>
      </c>
      <c r="K56" s="9">
        <v>0.29000003903733923</v>
      </c>
      <c r="L56" s="9">
        <v>0.06</v>
      </c>
      <c r="M56" s="9">
        <v>3.9999999999999994E-2</v>
      </c>
      <c r="N56" s="9">
        <v>0.66</v>
      </c>
      <c r="O56" s="9">
        <v>0.27999999999999997</v>
      </c>
      <c r="P56" s="9">
        <v>1.9999999999999997E-2</v>
      </c>
      <c r="Q56" s="9">
        <v>0.59</v>
      </c>
      <c r="R56" s="9">
        <v>0.16999999999999998</v>
      </c>
      <c r="S56" s="9">
        <v>0.45</v>
      </c>
      <c r="T56" s="9">
        <v>0.01</v>
      </c>
      <c r="U56" s="9">
        <v>0.37000002315774361</v>
      </c>
    </row>
    <row r="57" spans="1:21" x14ac:dyDescent="0.25">
      <c r="A57" t="s">
        <v>30</v>
      </c>
      <c r="B57" s="2">
        <v>0.37</v>
      </c>
      <c r="C57" s="2"/>
      <c r="D57" s="2"/>
    </row>
    <row r="58" spans="1:21" x14ac:dyDescent="0.25">
      <c r="A58" t="s">
        <v>31</v>
      </c>
      <c r="B58" s="2">
        <v>0.04</v>
      </c>
      <c r="C58" s="2"/>
      <c r="D58" s="2"/>
      <c r="R58" s="9"/>
      <c r="S58" s="9"/>
    </row>
    <row r="59" spans="1:21" x14ac:dyDescent="0.25">
      <c r="A59" t="s">
        <v>32</v>
      </c>
      <c r="B59" s="2">
        <v>0.29000003903733923</v>
      </c>
      <c r="C59" s="2"/>
      <c r="D59" s="2"/>
      <c r="R59" s="9"/>
      <c r="S59" s="9"/>
    </row>
    <row r="60" spans="1:21" x14ac:dyDescent="0.25">
      <c r="A60" t="s">
        <v>33</v>
      </c>
      <c r="B60" s="2"/>
      <c r="C60" s="2">
        <v>3.9999999999999994E-2</v>
      </c>
      <c r="D60" s="2"/>
      <c r="R60" s="9"/>
      <c r="S60" s="9"/>
    </row>
    <row r="61" spans="1:21" x14ac:dyDescent="0.25">
      <c r="A61" t="s">
        <v>34</v>
      </c>
      <c r="B61" s="2"/>
      <c r="C61" s="2">
        <v>0.66</v>
      </c>
      <c r="D61" s="2"/>
      <c r="G61" s="9"/>
      <c r="R61" s="9"/>
      <c r="S61" s="9"/>
    </row>
    <row r="62" spans="1:21" x14ac:dyDescent="0.25">
      <c r="A62" t="s">
        <v>35</v>
      </c>
      <c r="B62" s="2"/>
      <c r="C62" s="2">
        <v>0.27999999999999997</v>
      </c>
      <c r="D62" s="2"/>
      <c r="G62" s="9"/>
      <c r="S62" s="9"/>
    </row>
    <row r="63" spans="1:21" x14ac:dyDescent="0.25">
      <c r="A63" t="s">
        <v>36</v>
      </c>
      <c r="B63" s="2"/>
      <c r="C63" s="2">
        <v>1.9999999999999997E-2</v>
      </c>
      <c r="D63" s="2"/>
      <c r="G63" s="9"/>
      <c r="S63" s="9"/>
    </row>
    <row r="64" spans="1:21" x14ac:dyDescent="0.25">
      <c r="A64" t="s">
        <v>37</v>
      </c>
      <c r="B64" s="2"/>
      <c r="C64" s="2"/>
      <c r="D64" s="2">
        <v>0.16999999999999998</v>
      </c>
      <c r="G64" s="9"/>
      <c r="S64" s="9"/>
    </row>
    <row r="65" spans="1:19" x14ac:dyDescent="0.25">
      <c r="A65" t="s">
        <v>38</v>
      </c>
      <c r="B65" s="2"/>
      <c r="C65" s="2"/>
      <c r="D65" s="2">
        <v>0.45</v>
      </c>
      <c r="G65" s="9"/>
      <c r="S65" s="9"/>
    </row>
    <row r="66" spans="1:19" x14ac:dyDescent="0.25">
      <c r="A66" t="s">
        <v>39</v>
      </c>
      <c r="B66" s="2"/>
      <c r="C66" s="2"/>
      <c r="D66" s="2">
        <v>0.01</v>
      </c>
      <c r="G66" s="9"/>
      <c r="R66" s="9"/>
    </row>
    <row r="67" spans="1:19" x14ac:dyDescent="0.25">
      <c r="A67" t="s">
        <v>40</v>
      </c>
      <c r="B67" s="2"/>
      <c r="C67" s="2"/>
      <c r="D67" s="2">
        <v>0.37000002315774361</v>
      </c>
      <c r="G67" s="9"/>
      <c r="R67" s="9"/>
    </row>
    <row r="68" spans="1:19" x14ac:dyDescent="0.25">
      <c r="G68" s="9"/>
      <c r="R68" s="9"/>
    </row>
    <row r="69" spans="1:19" x14ac:dyDescent="0.25">
      <c r="R69" s="9"/>
    </row>
    <row r="70" spans="1:19" x14ac:dyDescent="0.25">
      <c r="B70" t="s">
        <v>26</v>
      </c>
      <c r="C70" t="s">
        <v>27</v>
      </c>
      <c r="D70" t="s">
        <v>28</v>
      </c>
    </row>
    <row r="71" spans="1:19" x14ac:dyDescent="0.25">
      <c r="A71" t="s">
        <v>47</v>
      </c>
      <c r="B71" s="9">
        <v>0.35</v>
      </c>
      <c r="C71" s="9">
        <v>0.06</v>
      </c>
      <c r="D71" s="9">
        <v>0.59</v>
      </c>
    </row>
    <row r="73" spans="1:19" x14ac:dyDescent="0.25">
      <c r="B73" t="s">
        <v>64</v>
      </c>
      <c r="C73" t="s">
        <v>65</v>
      </c>
      <c r="D73" t="s">
        <v>66</v>
      </c>
    </row>
    <row r="74" spans="1:19" x14ac:dyDescent="0.25">
      <c r="A74" t="s">
        <v>54</v>
      </c>
      <c r="B74" s="2">
        <v>0.37</v>
      </c>
      <c r="C74" s="2">
        <v>0.66</v>
      </c>
      <c r="D74" s="2">
        <v>0.45</v>
      </c>
    </row>
    <row r="75" spans="1:19" x14ac:dyDescent="0.25">
      <c r="A75" t="s">
        <v>57</v>
      </c>
      <c r="B75" s="2">
        <v>0.3</v>
      </c>
      <c r="C75" s="2">
        <v>3.9999999999999994E-2</v>
      </c>
      <c r="D75" s="2">
        <v>0.16999999999999998</v>
      </c>
    </row>
    <row r="76" spans="1:19" x14ac:dyDescent="0.25">
      <c r="A76" t="s">
        <v>56</v>
      </c>
      <c r="B76" s="2">
        <v>0.29000003903733923</v>
      </c>
      <c r="C76" s="2">
        <v>1.9999999999999997E-2</v>
      </c>
      <c r="D76" s="2">
        <v>0.37000002315774361</v>
      </c>
    </row>
    <row r="77" spans="1:19" x14ac:dyDescent="0.25">
      <c r="A77" t="s">
        <v>55</v>
      </c>
      <c r="B77" s="2">
        <v>0.04</v>
      </c>
      <c r="C77" s="2">
        <v>0.27999999999999997</v>
      </c>
      <c r="D77" s="2">
        <v>0.01</v>
      </c>
    </row>
    <row r="79" spans="1:19" x14ac:dyDescent="0.25">
      <c r="B79" t="s">
        <v>29</v>
      </c>
      <c r="C79" t="s">
        <v>30</v>
      </c>
      <c r="D79" t="s">
        <v>31</v>
      </c>
      <c r="E79" t="s">
        <v>32</v>
      </c>
    </row>
    <row r="80" spans="1:19" x14ac:dyDescent="0.25">
      <c r="A80" t="s">
        <v>64</v>
      </c>
      <c r="B80" s="2">
        <v>0.3</v>
      </c>
      <c r="C80" s="2">
        <v>0.37</v>
      </c>
      <c r="D80" s="2">
        <v>0.04</v>
      </c>
      <c r="E80" s="2">
        <v>0.29000003903733923</v>
      </c>
    </row>
    <row r="81" spans="1:5" x14ac:dyDescent="0.25">
      <c r="A81" t="s">
        <v>65</v>
      </c>
      <c r="B81" s="2">
        <v>3.9999999999999994E-2</v>
      </c>
      <c r="C81" s="2">
        <v>0.66</v>
      </c>
      <c r="D81" s="2">
        <v>0.27999999999999997</v>
      </c>
      <c r="E81" s="2">
        <v>1.9999999999999997E-2</v>
      </c>
    </row>
    <row r="82" spans="1:5" x14ac:dyDescent="0.25">
      <c r="A82" t="s">
        <v>66</v>
      </c>
      <c r="B82" s="2">
        <v>0.16999999999999998</v>
      </c>
      <c r="C82" s="2">
        <v>0.45</v>
      </c>
      <c r="D82" s="2">
        <v>0.01</v>
      </c>
      <c r="E82" s="2">
        <v>0.37000002315774361</v>
      </c>
    </row>
    <row r="83" spans="1:5" x14ac:dyDescent="0.25">
      <c r="B83" s="2"/>
      <c r="C83" s="2"/>
      <c r="D83" s="2"/>
    </row>
    <row r="84" spans="1:5" x14ac:dyDescent="0.25">
      <c r="B84" s="2"/>
      <c r="C84" s="2"/>
      <c r="D84" s="2"/>
    </row>
    <row r="85" spans="1:5" x14ac:dyDescent="0.25">
      <c r="B85" t="s">
        <v>26</v>
      </c>
      <c r="C85" t="s">
        <v>27</v>
      </c>
      <c r="D85" t="s">
        <v>28</v>
      </c>
    </row>
    <row r="86" spans="1:5" x14ac:dyDescent="0.25">
      <c r="A86" t="s">
        <v>47</v>
      </c>
      <c r="B86" s="2">
        <v>0.35</v>
      </c>
      <c r="C86" s="2">
        <v>0.06</v>
      </c>
      <c r="D86" s="2">
        <v>0.59</v>
      </c>
    </row>
    <row r="88" spans="1:5" x14ac:dyDescent="0.25">
      <c r="B88" t="s">
        <v>47</v>
      </c>
    </row>
    <row r="89" spans="1:5" x14ac:dyDescent="0.25">
      <c r="A89" t="s">
        <v>66</v>
      </c>
      <c r="B89" s="2">
        <v>0.59</v>
      </c>
      <c r="C89" s="6">
        <f>0.59 * B94</f>
        <v>2159105</v>
      </c>
    </row>
    <row r="90" spans="1:5" x14ac:dyDescent="0.25">
      <c r="A90" t="s">
        <v>65</v>
      </c>
      <c r="B90" s="2">
        <v>0.06</v>
      </c>
      <c r="C90" s="6">
        <f>0.06 * B94</f>
        <v>219570</v>
      </c>
    </row>
    <row r="91" spans="1:5" x14ac:dyDescent="0.25">
      <c r="A91" t="s">
        <v>64</v>
      </c>
      <c r="B91" s="2">
        <v>0.35</v>
      </c>
      <c r="C91" s="6">
        <f>0.35 * B94</f>
        <v>1280825</v>
      </c>
    </row>
    <row r="94" spans="1:5" x14ac:dyDescent="0.25">
      <c r="A94" t="s">
        <v>47</v>
      </c>
      <c r="B94">
        <v>3659500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A34" workbookViewId="0">
      <selection activeCell="A55" sqref="A55:B58"/>
    </sheetView>
  </sheetViews>
  <sheetFormatPr defaultRowHeight="15" x14ac:dyDescent="0.25"/>
  <cols>
    <col min="1" max="1" width="23.85546875" customWidth="1"/>
    <col min="2" max="2" width="16.7109375" bestFit="1" customWidth="1"/>
    <col min="3" max="3" width="14.140625" bestFit="1" customWidth="1"/>
    <col min="4" max="4" width="13.5703125" bestFit="1" customWidth="1"/>
    <col min="5" max="5" width="21.7109375" bestFit="1" customWidth="1"/>
    <col min="6" max="6" width="14.42578125" bestFit="1" customWidth="1"/>
    <col min="10" max="10" width="12" bestFit="1" customWidth="1"/>
    <col min="18" max="18" width="12.7109375" bestFit="1" customWidth="1"/>
    <col min="19" max="19" width="14.140625" bestFit="1" customWidth="1"/>
    <col min="20" max="20" width="13.5703125" bestFit="1" customWidth="1"/>
    <col min="21" max="21" width="21.7109375" bestFit="1" customWidth="1"/>
    <col min="22" max="22" width="14.42578125" bestFit="1" customWidth="1"/>
  </cols>
  <sheetData>
    <row r="1" spans="1:22" x14ac:dyDescent="0.25">
      <c r="A1" t="s">
        <v>6</v>
      </c>
      <c r="B1" t="s">
        <v>54</v>
      </c>
      <c r="C1" t="s">
        <v>55</v>
      </c>
      <c r="D1" t="s">
        <v>57</v>
      </c>
      <c r="E1" t="s">
        <v>56</v>
      </c>
      <c r="F1" t="s">
        <v>61</v>
      </c>
      <c r="H1" t="s">
        <v>62</v>
      </c>
      <c r="R1" t="s">
        <v>54</v>
      </c>
      <c r="S1" t="s">
        <v>55</v>
      </c>
      <c r="T1" t="s">
        <v>57</v>
      </c>
      <c r="U1" t="s">
        <v>56</v>
      </c>
      <c r="V1" t="s">
        <v>61</v>
      </c>
    </row>
    <row r="2" spans="1:22" x14ac:dyDescent="0.25">
      <c r="A2" t="s">
        <v>48</v>
      </c>
      <c r="B2">
        <v>211535.76</v>
      </c>
      <c r="C2">
        <v>2201.7600000000002</v>
      </c>
      <c r="D2">
        <v>119862.48</v>
      </c>
      <c r="E2">
        <v>0</v>
      </c>
      <c r="F2">
        <v>7564085.0999999996</v>
      </c>
      <c r="H2">
        <f>SUM(B2:E2)</f>
        <v>333600</v>
      </c>
      <c r="J2">
        <v>7512200</v>
      </c>
      <c r="R2">
        <v>52883.94</v>
      </c>
      <c r="S2">
        <v>550.44000000000005</v>
      </c>
      <c r="T2">
        <v>29965.62</v>
      </c>
      <c r="U2">
        <v>0</v>
      </c>
      <c r="V2">
        <v>7564085.0999999996</v>
      </c>
    </row>
    <row r="3" spans="1:22" x14ac:dyDescent="0.25">
      <c r="A3" t="s">
        <v>58</v>
      </c>
      <c r="B3" s="4">
        <v>3371632.12</v>
      </c>
      <c r="C3">
        <v>155291.76</v>
      </c>
      <c r="D3">
        <v>2889021.6199999996</v>
      </c>
      <c r="E3">
        <v>1231539.6000000001</v>
      </c>
      <c r="H3">
        <f>SUM(B3:E3)</f>
        <v>7647485.0999999996</v>
      </c>
      <c r="R3" s="1">
        <f>R2/V2</f>
        <v>6.9914522775530391E-3</v>
      </c>
      <c r="S3" s="1">
        <f>S2/V2</f>
        <v>7.2770201911133981E-5</v>
      </c>
      <c r="T3" s="1">
        <f>T2/V2</f>
        <v>3.9615656888894605E-3</v>
      </c>
      <c r="U3">
        <v>0</v>
      </c>
      <c r="V3">
        <v>98.91</v>
      </c>
    </row>
    <row r="4" spans="1:22" x14ac:dyDescent="0.25">
      <c r="R4">
        <f>R2*4</f>
        <v>211535.76</v>
      </c>
      <c r="S4">
        <f>S2*4</f>
        <v>2201.7600000000002</v>
      </c>
      <c r="T4">
        <f>T2*4</f>
        <v>119862.48</v>
      </c>
    </row>
    <row r="10" spans="1:22" x14ac:dyDescent="0.25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</row>
    <row r="11" spans="1:22" x14ac:dyDescent="0.25">
      <c r="A11" t="s">
        <v>48</v>
      </c>
      <c r="B11">
        <v>83400</v>
      </c>
      <c r="C11">
        <v>0.33</v>
      </c>
      <c r="D11">
        <v>0.22</v>
      </c>
      <c r="E11">
        <v>0.45</v>
      </c>
      <c r="F11">
        <v>0.03</v>
      </c>
      <c r="G11">
        <v>0.95</v>
      </c>
      <c r="H11">
        <v>0.02</v>
      </c>
      <c r="I11">
        <v>0</v>
      </c>
      <c r="J11">
        <v>0.32</v>
      </c>
      <c r="K11">
        <v>0.68</v>
      </c>
      <c r="L11">
        <v>0</v>
      </c>
      <c r="M11">
        <v>0</v>
      </c>
      <c r="N11">
        <v>0.62</v>
      </c>
      <c r="O11">
        <v>0.38</v>
      </c>
      <c r="P11">
        <v>0</v>
      </c>
      <c r="Q11">
        <v>0</v>
      </c>
    </row>
    <row r="12" spans="1:22" x14ac:dyDescent="0.25">
      <c r="C12">
        <v>27522</v>
      </c>
      <c r="D12">
        <v>18348</v>
      </c>
      <c r="E12">
        <v>37530</v>
      </c>
      <c r="F12">
        <f>F11*C12</f>
        <v>825.66</v>
      </c>
      <c r="G12">
        <f>G11*C12</f>
        <v>26145.899999999998</v>
      </c>
      <c r="H12">
        <f>H11*C12</f>
        <v>550.44000000000005</v>
      </c>
      <c r="I12">
        <v>0</v>
      </c>
      <c r="J12">
        <f>J11*D12</f>
        <v>5871.36</v>
      </c>
      <c r="K12">
        <f>K11*D12</f>
        <v>12476.640000000001</v>
      </c>
    </row>
    <row r="13" spans="1:22" x14ac:dyDescent="0.25">
      <c r="C13">
        <f>SUM(C12:E12)</f>
        <v>83400</v>
      </c>
      <c r="F13">
        <f>SUM(F12:H12)</f>
        <v>27521.999999999996</v>
      </c>
    </row>
    <row r="15" spans="1:22" x14ac:dyDescent="0.25">
      <c r="B15" t="s">
        <v>64</v>
      </c>
      <c r="C15" t="s">
        <v>65</v>
      </c>
      <c r="D15" t="s">
        <v>66</v>
      </c>
    </row>
    <row r="16" spans="1:22" x14ac:dyDescent="0.25">
      <c r="A16" t="s">
        <v>54</v>
      </c>
      <c r="B16" s="2">
        <v>0.95</v>
      </c>
      <c r="C16" s="2">
        <v>0.68</v>
      </c>
      <c r="D16" s="2">
        <v>0.38</v>
      </c>
    </row>
    <row r="17" spans="1:5" x14ac:dyDescent="0.25">
      <c r="A17" t="s">
        <v>57</v>
      </c>
      <c r="B17" s="2">
        <v>0.03</v>
      </c>
      <c r="C17" s="2">
        <v>0.32</v>
      </c>
      <c r="D17" s="2">
        <v>0.62</v>
      </c>
    </row>
    <row r="18" spans="1:5" x14ac:dyDescent="0.25">
      <c r="A18" t="s">
        <v>56</v>
      </c>
      <c r="B18" s="2">
        <v>0</v>
      </c>
      <c r="C18" s="2">
        <v>0</v>
      </c>
      <c r="D18" s="2">
        <v>0</v>
      </c>
    </row>
    <row r="19" spans="1:5" x14ac:dyDescent="0.25">
      <c r="A19" t="s">
        <v>55</v>
      </c>
      <c r="B19" s="2">
        <v>0.02</v>
      </c>
      <c r="C19" s="2">
        <v>0</v>
      </c>
      <c r="D19" s="2">
        <v>0</v>
      </c>
    </row>
    <row r="31" spans="1:5" ht="45" x14ac:dyDescent="0.25">
      <c r="B31" s="5" t="s">
        <v>54</v>
      </c>
      <c r="C31" s="5" t="s">
        <v>57</v>
      </c>
      <c r="D31" s="5" t="s">
        <v>56</v>
      </c>
      <c r="E31" s="5" t="s">
        <v>55</v>
      </c>
    </row>
    <row r="32" spans="1:5" x14ac:dyDescent="0.25">
      <c r="A32" t="s">
        <v>48</v>
      </c>
      <c r="B32" s="2">
        <f>B36/A36</f>
        <v>0.6341</v>
      </c>
      <c r="C32" s="2">
        <f>D36/A36</f>
        <v>0.35930000000000001</v>
      </c>
      <c r="D32" s="2">
        <v>0</v>
      </c>
      <c r="E32" s="2">
        <f>C36/A36</f>
        <v>6.6000000000000008E-3</v>
      </c>
    </row>
    <row r="33" spans="1:5" x14ac:dyDescent="0.25">
      <c r="A33" t="s">
        <v>58</v>
      </c>
      <c r="B33" s="2">
        <v>0.44088116235754421</v>
      </c>
      <c r="C33" s="2">
        <v>0.3777740763430843</v>
      </c>
      <c r="D33" s="2">
        <v>0.16103850924796181</v>
      </c>
      <c r="E33" s="2">
        <v>2.0306252051409686E-2</v>
      </c>
    </row>
    <row r="35" spans="1:5" x14ac:dyDescent="0.25">
      <c r="A35" t="s">
        <v>44</v>
      </c>
      <c r="B35" t="s">
        <v>54</v>
      </c>
      <c r="C35" t="s">
        <v>55</v>
      </c>
      <c r="D35" t="s">
        <v>57</v>
      </c>
      <c r="E35" t="s">
        <v>56</v>
      </c>
    </row>
    <row r="36" spans="1:5" x14ac:dyDescent="0.25">
      <c r="A36" s="3">
        <v>83400</v>
      </c>
      <c r="B36">
        <v>52883.94</v>
      </c>
      <c r="C36">
        <v>550.44000000000005</v>
      </c>
      <c r="D36">
        <v>29965.62</v>
      </c>
      <c r="E36">
        <v>0</v>
      </c>
    </row>
    <row r="48" spans="1:5" x14ac:dyDescent="0.25">
      <c r="B48" s="5" t="s">
        <v>63</v>
      </c>
      <c r="C48" s="5" t="s">
        <v>55</v>
      </c>
    </row>
    <row r="49" spans="1:3" x14ac:dyDescent="0.25">
      <c r="A49" t="s">
        <v>48</v>
      </c>
      <c r="B49" s="1">
        <v>1.1101940842895557E-2</v>
      </c>
      <c r="C49" s="1">
        <f>A45/7647485.1</f>
        <v>0</v>
      </c>
    </row>
    <row r="50" spans="1:3" x14ac:dyDescent="0.25">
      <c r="A50" t="s">
        <v>58</v>
      </c>
      <c r="B50" s="1">
        <v>1</v>
      </c>
      <c r="C50" s="1">
        <f>A46/7647485.1</f>
        <v>0</v>
      </c>
    </row>
    <row r="55" spans="1:3" x14ac:dyDescent="0.25">
      <c r="B55" t="s">
        <v>48</v>
      </c>
    </row>
    <row r="56" spans="1:3" x14ac:dyDescent="0.25">
      <c r="A56" t="s">
        <v>66</v>
      </c>
      <c r="B56" s="2">
        <v>0.45</v>
      </c>
      <c r="C56">
        <f>0.45*83400</f>
        <v>37530</v>
      </c>
    </row>
    <row r="57" spans="1:3" x14ac:dyDescent="0.25">
      <c r="A57" t="s">
        <v>65</v>
      </c>
      <c r="B57" s="2">
        <v>0.22</v>
      </c>
      <c r="C57">
        <f>0.22*83400</f>
        <v>18348</v>
      </c>
    </row>
    <row r="58" spans="1:3" x14ac:dyDescent="0.25">
      <c r="A58" t="s">
        <v>64</v>
      </c>
      <c r="B58" s="2">
        <v>0.33</v>
      </c>
      <c r="C58">
        <f>0.33*83400</f>
        <v>27522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40" workbookViewId="0">
      <selection activeCell="A58" sqref="A58:D61"/>
    </sheetView>
  </sheetViews>
  <sheetFormatPr defaultRowHeight="15" x14ac:dyDescent="0.25"/>
  <cols>
    <col min="1" max="1" width="14.85546875" bestFit="1" customWidth="1"/>
    <col min="2" max="2" width="15.7109375" customWidth="1"/>
    <col min="3" max="3" width="14.140625" bestFit="1" customWidth="1"/>
    <col min="4" max="4" width="13.5703125" bestFit="1" customWidth="1"/>
    <col min="5" max="5" width="21.7109375" bestFit="1" customWidth="1"/>
    <col min="6" max="6" width="14.42578125" bestFit="1" customWidth="1"/>
    <col min="8" max="8" width="18.28515625" customWidth="1"/>
    <col min="14" max="14" width="12.7109375" bestFit="1" customWidth="1"/>
    <col min="15" max="15" width="14.140625" bestFit="1" customWidth="1"/>
    <col min="16" max="16" width="13.5703125" bestFit="1" customWidth="1"/>
    <col min="17" max="17" width="21.7109375" bestFit="1" customWidth="1"/>
    <col min="18" max="18" width="14.42578125" bestFit="1" customWidth="1"/>
  </cols>
  <sheetData>
    <row r="1" spans="1:18" x14ac:dyDescent="0.25">
      <c r="A1" t="s">
        <v>6</v>
      </c>
      <c r="B1" t="s">
        <v>54</v>
      </c>
      <c r="C1" t="s">
        <v>55</v>
      </c>
      <c r="D1" t="s">
        <v>57</v>
      </c>
      <c r="E1" t="s">
        <v>56</v>
      </c>
      <c r="F1" t="s">
        <v>61</v>
      </c>
      <c r="H1" t="s">
        <v>62</v>
      </c>
      <c r="N1" t="s">
        <v>54</v>
      </c>
      <c r="O1" t="s">
        <v>55</v>
      </c>
      <c r="P1" t="s">
        <v>57</v>
      </c>
      <c r="Q1" t="s">
        <v>56</v>
      </c>
      <c r="R1" t="s">
        <v>61</v>
      </c>
    </row>
    <row r="2" spans="1:18" x14ac:dyDescent="0.25">
      <c r="A2" t="s">
        <v>49</v>
      </c>
      <c r="B2">
        <v>417247.6</v>
      </c>
      <c r="C2">
        <v>60220.6</v>
      </c>
      <c r="D2">
        <v>204531.8</v>
      </c>
      <c r="E2">
        <v>0</v>
      </c>
      <c r="F2">
        <v>7476985.0999999996</v>
      </c>
      <c r="H2">
        <f>SUM(B2:E2)</f>
        <v>682000</v>
      </c>
      <c r="N2">
        <v>104311.9</v>
      </c>
      <c r="O2">
        <v>15055.15</v>
      </c>
      <c r="P2">
        <v>51132.95</v>
      </c>
      <c r="Q2">
        <v>0</v>
      </c>
      <c r="R2">
        <v>7476985.0999999996</v>
      </c>
    </row>
    <row r="3" spans="1:18" x14ac:dyDescent="0.25">
      <c r="A3" t="s">
        <v>58</v>
      </c>
      <c r="B3" s="4">
        <v>3371632.12</v>
      </c>
      <c r="C3">
        <v>155291.76</v>
      </c>
      <c r="D3">
        <v>2889021.6199999996</v>
      </c>
      <c r="E3">
        <v>1231539.6000000001</v>
      </c>
      <c r="H3">
        <f>SUM(B3:E3)</f>
        <v>7647485.0999999996</v>
      </c>
      <c r="N3" s="1">
        <v>1.3599999999999999E-2</v>
      </c>
      <c r="O3" s="1">
        <f>O2/R2</f>
        <v>2.0135321655248453E-3</v>
      </c>
      <c r="P3" s="1">
        <v>6.7000000000000002E-3</v>
      </c>
      <c r="Q3">
        <v>0</v>
      </c>
      <c r="R3">
        <v>97.7</v>
      </c>
    </row>
    <row r="4" spans="1:18" x14ac:dyDescent="0.25">
      <c r="N4">
        <f>N2*4</f>
        <v>417247.6</v>
      </c>
      <c r="O4">
        <f t="shared" ref="O4:P4" si="0">O2*4</f>
        <v>60220.6</v>
      </c>
      <c r="P4">
        <f t="shared" si="0"/>
        <v>204531.8</v>
      </c>
    </row>
    <row r="6" spans="1:18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  <c r="M6" t="s">
        <v>18</v>
      </c>
      <c r="N6" t="s">
        <v>19</v>
      </c>
      <c r="O6" t="s">
        <v>20</v>
      </c>
      <c r="P6" t="s">
        <v>21</v>
      </c>
      <c r="Q6" t="s">
        <v>22</v>
      </c>
    </row>
    <row r="7" spans="1:18" x14ac:dyDescent="0.25">
      <c r="A7" t="s">
        <v>49</v>
      </c>
      <c r="B7">
        <v>170500</v>
      </c>
      <c r="C7">
        <v>0.26</v>
      </c>
      <c r="D7">
        <v>0.49</v>
      </c>
      <c r="E7">
        <v>0.25</v>
      </c>
      <c r="F7">
        <v>0.09</v>
      </c>
      <c r="G7">
        <v>0.83</v>
      </c>
      <c r="H7">
        <v>0.08</v>
      </c>
      <c r="I7">
        <v>0</v>
      </c>
      <c r="J7">
        <v>0.35</v>
      </c>
      <c r="K7">
        <v>0.65</v>
      </c>
      <c r="L7">
        <v>0</v>
      </c>
      <c r="M7">
        <v>0</v>
      </c>
      <c r="N7">
        <v>0.42</v>
      </c>
      <c r="O7">
        <v>0.31</v>
      </c>
      <c r="P7">
        <v>0.27</v>
      </c>
      <c r="Q7">
        <v>0</v>
      </c>
    </row>
    <row r="8" spans="1:18" x14ac:dyDescent="0.25">
      <c r="C8">
        <f>C7*B7</f>
        <v>44330</v>
      </c>
      <c r="D8">
        <f>D7*B7</f>
        <v>83545</v>
      </c>
      <c r="E8">
        <f>E7*B7</f>
        <v>42625</v>
      </c>
    </row>
    <row r="11" spans="1:18" x14ac:dyDescent="0.25">
      <c r="B11" t="s">
        <v>64</v>
      </c>
      <c r="C11" t="s">
        <v>65</v>
      </c>
      <c r="D11" t="s">
        <v>66</v>
      </c>
    </row>
    <row r="12" spans="1:18" x14ac:dyDescent="0.25">
      <c r="A12" t="s">
        <v>54</v>
      </c>
      <c r="B12" s="2">
        <f>G7</f>
        <v>0.83</v>
      </c>
      <c r="C12" s="2">
        <f>K7</f>
        <v>0.65</v>
      </c>
      <c r="D12" s="2">
        <f>O7</f>
        <v>0.31</v>
      </c>
    </row>
    <row r="13" spans="1:18" x14ac:dyDescent="0.25">
      <c r="A13" t="s">
        <v>57</v>
      </c>
      <c r="B13" s="2">
        <f>F7</f>
        <v>0.09</v>
      </c>
      <c r="C13" s="2">
        <f>J7</f>
        <v>0.35</v>
      </c>
      <c r="D13" s="2">
        <f>N7</f>
        <v>0.42</v>
      </c>
    </row>
    <row r="14" spans="1:18" x14ac:dyDescent="0.25">
      <c r="A14" t="s">
        <v>56</v>
      </c>
      <c r="B14" s="2">
        <f>I7</f>
        <v>0</v>
      </c>
      <c r="C14" s="2">
        <f>M7</f>
        <v>0</v>
      </c>
      <c r="D14" s="2">
        <f>Q7</f>
        <v>0</v>
      </c>
    </row>
    <row r="15" spans="1:18" x14ac:dyDescent="0.25">
      <c r="A15" t="s">
        <v>55</v>
      </c>
      <c r="B15" s="2">
        <f>H7</f>
        <v>0.08</v>
      </c>
      <c r="C15" s="2">
        <f>L7</f>
        <v>0</v>
      </c>
      <c r="D15" s="2">
        <f>P7</f>
        <v>0.27</v>
      </c>
    </row>
    <row r="27" spans="1:5" ht="45" x14ac:dyDescent="0.25">
      <c r="B27" s="5" t="s">
        <v>54</v>
      </c>
      <c r="C27" s="5" t="s">
        <v>57</v>
      </c>
      <c r="D27" s="5" t="s">
        <v>56</v>
      </c>
      <c r="E27" s="5" t="s">
        <v>55</v>
      </c>
    </row>
    <row r="28" spans="1:5" x14ac:dyDescent="0.25">
      <c r="A28" t="s">
        <v>49</v>
      </c>
      <c r="B28" s="2">
        <f>B32/A32</f>
        <v>0.61180000000000001</v>
      </c>
      <c r="C28" s="2">
        <f>D32/A32</f>
        <v>0.2999</v>
      </c>
      <c r="D28" s="2">
        <v>0</v>
      </c>
      <c r="E28" s="2">
        <f>C32/A32</f>
        <v>8.8300000000000003E-2</v>
      </c>
    </row>
    <row r="29" spans="1:5" x14ac:dyDescent="0.25">
      <c r="A29" t="s">
        <v>58</v>
      </c>
      <c r="B29" s="2">
        <v>0.44088116235754421</v>
      </c>
      <c r="C29" s="2">
        <v>0.3777740763430843</v>
      </c>
      <c r="D29" s="2">
        <v>0.16103850924796181</v>
      </c>
      <c r="E29" s="2">
        <v>2.0306252051409686E-2</v>
      </c>
    </row>
    <row r="31" spans="1:5" x14ac:dyDescent="0.25">
      <c r="A31" t="s">
        <v>44</v>
      </c>
      <c r="B31" t="s">
        <v>54</v>
      </c>
      <c r="C31" t="s">
        <v>55</v>
      </c>
      <c r="D31" t="s">
        <v>57</v>
      </c>
      <c r="E31" t="s">
        <v>56</v>
      </c>
    </row>
    <row r="32" spans="1:5" x14ac:dyDescent="0.25">
      <c r="A32" s="3">
        <v>170500</v>
      </c>
      <c r="B32">
        <v>104311.9</v>
      </c>
      <c r="C32">
        <v>15055.15</v>
      </c>
      <c r="D32">
        <v>51132.95</v>
      </c>
      <c r="E32">
        <v>0</v>
      </c>
    </row>
    <row r="47" spans="1:5" x14ac:dyDescent="0.25">
      <c r="B47" s="5" t="s">
        <v>63</v>
      </c>
      <c r="C47" s="5" t="s">
        <v>55</v>
      </c>
      <c r="E47">
        <v>7512200</v>
      </c>
    </row>
    <row r="48" spans="1:5" x14ac:dyDescent="0.25">
      <c r="A48" t="s">
        <v>48</v>
      </c>
      <c r="B48" s="1">
        <f>A32/E47</f>
        <v>2.2696413833497509E-2</v>
      </c>
      <c r="C48" s="1">
        <f>A44/7647485.1</f>
        <v>0</v>
      </c>
    </row>
    <row r="49" spans="1:4" x14ac:dyDescent="0.25">
      <c r="A49" t="s">
        <v>58</v>
      </c>
      <c r="B49" s="1">
        <v>1</v>
      </c>
      <c r="C49" s="1">
        <f>A45/7647485.1</f>
        <v>0</v>
      </c>
    </row>
    <row r="58" spans="1:4" x14ac:dyDescent="0.25">
      <c r="B58" t="s">
        <v>49</v>
      </c>
    </row>
    <row r="59" spans="1:4" x14ac:dyDescent="0.25">
      <c r="A59" t="s">
        <v>66</v>
      </c>
      <c r="B59" s="2">
        <v>0.25</v>
      </c>
      <c r="C59">
        <v>44330</v>
      </c>
      <c r="D59">
        <v>0</v>
      </c>
    </row>
    <row r="60" spans="1:4" x14ac:dyDescent="0.25">
      <c r="A60" t="s">
        <v>65</v>
      </c>
      <c r="B60" s="2">
        <v>0.49</v>
      </c>
      <c r="C60">
        <v>83545</v>
      </c>
      <c r="D60">
        <v>0</v>
      </c>
    </row>
    <row r="61" spans="1:4" x14ac:dyDescent="0.25">
      <c r="A61" t="s">
        <v>64</v>
      </c>
      <c r="B61" s="2">
        <v>0.26</v>
      </c>
      <c r="C61">
        <v>42625</v>
      </c>
      <c r="D6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8" workbookViewId="0">
      <selection activeCell="A52" sqref="A52:D55"/>
    </sheetView>
  </sheetViews>
  <sheetFormatPr defaultRowHeight="15" x14ac:dyDescent="0.25"/>
  <cols>
    <col min="1" max="1" width="20.140625" bestFit="1" customWidth="1"/>
    <col min="2" max="2" width="15.42578125" customWidth="1"/>
    <col min="3" max="3" width="14.140625" bestFit="1" customWidth="1"/>
    <col min="4" max="4" width="13.5703125" bestFit="1" customWidth="1"/>
    <col min="5" max="5" width="21.7109375" bestFit="1" customWidth="1"/>
    <col min="6" max="6" width="14.7109375" customWidth="1"/>
    <col min="7" max="7" width="17.42578125" customWidth="1"/>
    <col min="13" max="13" width="12.7109375" bestFit="1" customWidth="1"/>
    <col min="14" max="14" width="14.140625" bestFit="1" customWidth="1"/>
    <col min="15" max="15" width="13.5703125" bestFit="1" customWidth="1"/>
    <col min="16" max="16" width="21.7109375" bestFit="1" customWidth="1"/>
    <col min="17" max="17" width="14.42578125" bestFit="1" customWidth="1"/>
  </cols>
  <sheetData>
    <row r="1" spans="1:17" x14ac:dyDescent="0.25">
      <c r="A1" t="s">
        <v>6</v>
      </c>
      <c r="B1" t="s">
        <v>54</v>
      </c>
      <c r="C1" t="s">
        <v>55</v>
      </c>
      <c r="D1" t="s">
        <v>57</v>
      </c>
      <c r="E1" t="s">
        <v>56</v>
      </c>
      <c r="F1" t="s">
        <v>61</v>
      </c>
      <c r="H1" t="s">
        <v>62</v>
      </c>
      <c r="M1" t="s">
        <v>54</v>
      </c>
      <c r="N1" t="s">
        <v>55</v>
      </c>
      <c r="O1" t="s">
        <v>57</v>
      </c>
      <c r="P1" t="s">
        <v>56</v>
      </c>
      <c r="Q1" t="s">
        <v>61</v>
      </c>
    </row>
    <row r="2" spans="1:17" x14ac:dyDescent="0.25">
      <c r="A2" t="s">
        <v>50</v>
      </c>
      <c r="B2">
        <v>1080685</v>
      </c>
      <c r="C2">
        <v>435</v>
      </c>
      <c r="D2">
        <v>1897325</v>
      </c>
      <c r="E2">
        <v>56840</v>
      </c>
      <c r="F2">
        <v>4612200.0999999996</v>
      </c>
      <c r="H2">
        <v>3035285</v>
      </c>
      <c r="M2">
        <v>1080685</v>
      </c>
      <c r="N2">
        <v>435</v>
      </c>
      <c r="O2">
        <v>1897325</v>
      </c>
      <c r="P2">
        <v>56840</v>
      </c>
      <c r="Q2">
        <v>4612200.0999999996</v>
      </c>
    </row>
    <row r="3" spans="1:17" x14ac:dyDescent="0.25">
      <c r="A3" t="s">
        <v>58</v>
      </c>
      <c r="B3" s="4">
        <v>3371632.12</v>
      </c>
      <c r="C3">
        <v>155291.76</v>
      </c>
      <c r="D3">
        <v>2889021.6199999996</v>
      </c>
      <c r="E3">
        <v>1231539.6000000001</v>
      </c>
      <c r="H3">
        <v>7647485.0999999996</v>
      </c>
      <c r="M3" s="1">
        <f>M2/Q2</f>
        <v>0.23431008554897695</v>
      </c>
      <c r="N3" s="1">
        <f>N2/Q2</f>
        <v>9.4315075358504072E-5</v>
      </c>
      <c r="O3" s="1">
        <f>O2/Q2</f>
        <v>0.41137092035534195</v>
      </c>
      <c r="P3" s="1">
        <f>P2/Q2</f>
        <v>1.23238365135112E-2</v>
      </c>
      <c r="Q3" s="1">
        <f>SUM(M3:P3)/Q2</f>
        <v>1.4268660145365086E-7</v>
      </c>
    </row>
    <row r="6" spans="1:17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  <c r="M6" t="s">
        <v>18</v>
      </c>
      <c r="N6" t="s">
        <v>19</v>
      </c>
      <c r="O6" t="s">
        <v>20</v>
      </c>
      <c r="P6" t="s">
        <v>21</v>
      </c>
      <c r="Q6" t="s">
        <v>22</v>
      </c>
    </row>
    <row r="7" spans="1:17" x14ac:dyDescent="0.25">
      <c r="A7" t="s">
        <v>50</v>
      </c>
      <c r="B7">
        <v>2900000</v>
      </c>
      <c r="C7">
        <v>1.4999999999999999E-2</v>
      </c>
      <c r="D7">
        <v>5.0000000000000001E-3</v>
      </c>
      <c r="E7">
        <v>0.98</v>
      </c>
      <c r="F7">
        <v>0.65</v>
      </c>
      <c r="G7">
        <v>0.45</v>
      </c>
      <c r="H7">
        <v>0.01</v>
      </c>
      <c r="I7">
        <v>0</v>
      </c>
      <c r="J7">
        <v>0.15</v>
      </c>
      <c r="K7">
        <v>0.85</v>
      </c>
      <c r="L7">
        <v>0</v>
      </c>
      <c r="M7">
        <v>0</v>
      </c>
      <c r="N7">
        <v>0.65</v>
      </c>
      <c r="O7">
        <v>0.33</v>
      </c>
      <c r="P7">
        <v>0</v>
      </c>
      <c r="Q7">
        <v>0.02</v>
      </c>
    </row>
    <row r="10" spans="1:17" x14ac:dyDescent="0.25">
      <c r="B10" t="s">
        <v>64</v>
      </c>
      <c r="C10" t="s">
        <v>65</v>
      </c>
      <c r="D10" t="s">
        <v>66</v>
      </c>
    </row>
    <row r="11" spans="1:17" x14ac:dyDescent="0.25">
      <c r="A11" t="s">
        <v>54</v>
      </c>
      <c r="B11" s="2">
        <f>G7</f>
        <v>0.45</v>
      </c>
      <c r="C11" s="2">
        <f>K7</f>
        <v>0.85</v>
      </c>
      <c r="D11" s="2">
        <f>O7</f>
        <v>0.33</v>
      </c>
    </row>
    <row r="12" spans="1:17" x14ac:dyDescent="0.25">
      <c r="A12" t="s">
        <v>57</v>
      </c>
      <c r="B12" s="2">
        <f>F7</f>
        <v>0.65</v>
      </c>
      <c r="C12" s="2">
        <f>J7</f>
        <v>0.15</v>
      </c>
      <c r="D12" s="2">
        <f>N7</f>
        <v>0.65</v>
      </c>
    </row>
    <row r="13" spans="1:17" x14ac:dyDescent="0.25">
      <c r="A13" t="s">
        <v>56</v>
      </c>
      <c r="B13" s="2">
        <f>I7</f>
        <v>0</v>
      </c>
      <c r="C13" s="2">
        <f>M7</f>
        <v>0</v>
      </c>
      <c r="D13" s="2">
        <f>Q7</f>
        <v>0.02</v>
      </c>
    </row>
    <row r="14" spans="1:17" x14ac:dyDescent="0.25">
      <c r="A14" t="s">
        <v>55</v>
      </c>
      <c r="B14" s="2">
        <f>H7</f>
        <v>0.01</v>
      </c>
      <c r="C14" s="2">
        <f>L7</f>
        <v>0</v>
      </c>
      <c r="D14" s="2">
        <f>P7</f>
        <v>0</v>
      </c>
    </row>
    <row r="27" spans="1:7" ht="45" x14ac:dyDescent="0.25">
      <c r="B27" s="5" t="s">
        <v>54</v>
      </c>
      <c r="C27" s="5" t="s">
        <v>57</v>
      </c>
      <c r="D27" s="5" t="s">
        <v>56</v>
      </c>
      <c r="E27" s="5" t="s">
        <v>55</v>
      </c>
    </row>
    <row r="28" spans="1:7" x14ac:dyDescent="0.25">
      <c r="A28" t="s">
        <v>50</v>
      </c>
      <c r="B28" s="2">
        <f>B36/A33</f>
        <v>0.35604070255949999</v>
      </c>
      <c r="C28" s="2">
        <v>0.62</v>
      </c>
      <c r="D28" s="2">
        <f>E36/A33</f>
        <v>1.8726412907999999E-2</v>
      </c>
      <c r="E28" s="2">
        <f>C36/A33</f>
        <v>1.433143845E-4</v>
      </c>
    </row>
    <row r="29" spans="1:7" x14ac:dyDescent="0.25">
      <c r="A29" t="s">
        <v>58</v>
      </c>
      <c r="B29" s="2">
        <v>0.44088116235754421</v>
      </c>
      <c r="C29" s="2">
        <v>0.3777740763430843</v>
      </c>
      <c r="D29" s="2">
        <v>0.16103850924796181</v>
      </c>
      <c r="E29" s="2">
        <v>2.0306252051409686E-2</v>
      </c>
    </row>
    <row r="32" spans="1:7" x14ac:dyDescent="0.25">
      <c r="A32" t="s">
        <v>44</v>
      </c>
      <c r="B32" t="s">
        <v>54</v>
      </c>
      <c r="C32" t="s">
        <v>55</v>
      </c>
      <c r="D32" t="s">
        <v>57</v>
      </c>
      <c r="E32" t="s">
        <v>56</v>
      </c>
      <c r="G32">
        <v>4.4570770000000003E-2</v>
      </c>
    </row>
    <row r="33" spans="1:5" x14ac:dyDescent="0.25">
      <c r="A33" s="3">
        <v>2900000</v>
      </c>
      <c r="B33">
        <v>1080685</v>
      </c>
      <c r="C33">
        <v>435</v>
      </c>
      <c r="D33">
        <v>1897325</v>
      </c>
      <c r="E33">
        <v>56840</v>
      </c>
    </row>
    <row r="35" spans="1:5" x14ac:dyDescent="0.25">
      <c r="B35">
        <v>48166.962577450002</v>
      </c>
      <c r="C35">
        <v>19.388284950000003</v>
      </c>
      <c r="D35">
        <v>84565.236190249998</v>
      </c>
      <c r="E35">
        <v>2533.4025667999999</v>
      </c>
    </row>
    <row r="36" spans="1:5" x14ac:dyDescent="0.25">
      <c r="B36" s="10">
        <v>1032518.03742255</v>
      </c>
      <c r="C36" s="7">
        <v>415.61171504999999</v>
      </c>
      <c r="D36" s="7">
        <v>1812759.7638097501</v>
      </c>
      <c r="E36" s="7">
        <v>54306.597433199997</v>
      </c>
    </row>
    <row r="37" spans="1:5" x14ac:dyDescent="0.25">
      <c r="B37" s="3"/>
    </row>
    <row r="42" spans="1:5" x14ac:dyDescent="0.25">
      <c r="B42" s="5" t="s">
        <v>63</v>
      </c>
      <c r="C42" s="5" t="s">
        <v>55</v>
      </c>
      <c r="E42">
        <v>7512200</v>
      </c>
    </row>
    <row r="43" spans="1:5" x14ac:dyDescent="0.25">
      <c r="A43" t="s">
        <v>48</v>
      </c>
      <c r="B43" s="1">
        <f>A33/E42</f>
        <v>0.38603871036447379</v>
      </c>
      <c r="C43" s="1">
        <f>A39/7647485.1</f>
        <v>0</v>
      </c>
    </row>
    <row r="44" spans="1:5" x14ac:dyDescent="0.25">
      <c r="A44" t="s">
        <v>58</v>
      </c>
      <c r="B44" s="1">
        <v>1</v>
      </c>
      <c r="C44" s="1">
        <f>A40/7647485.1</f>
        <v>0</v>
      </c>
    </row>
    <row r="52" spans="1:4" x14ac:dyDescent="0.25">
      <c r="B52" t="s">
        <v>67</v>
      </c>
    </row>
    <row r="53" spans="1:4" x14ac:dyDescent="0.25">
      <c r="A53" t="s">
        <v>66</v>
      </c>
      <c r="B53" s="2">
        <v>0.98</v>
      </c>
      <c r="C53">
        <f>0.98*2900000</f>
        <v>2842000</v>
      </c>
      <c r="D53">
        <v>0</v>
      </c>
    </row>
    <row r="54" spans="1:4" x14ac:dyDescent="0.25">
      <c r="A54" t="s">
        <v>65</v>
      </c>
      <c r="B54" s="11">
        <v>5.0000000000000002E-5</v>
      </c>
      <c r="C54">
        <f>0.005*2900000</f>
        <v>14500</v>
      </c>
      <c r="D54">
        <v>0</v>
      </c>
    </row>
    <row r="55" spans="1:4" x14ac:dyDescent="0.25">
      <c r="A55" t="s">
        <v>64</v>
      </c>
      <c r="B55" s="11">
        <v>1.4999999999999999E-4</v>
      </c>
      <c r="C55">
        <f>0.015*2900000</f>
        <v>43500</v>
      </c>
      <c r="D5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8" sqref="A8:D12"/>
    </sheetView>
  </sheetViews>
  <sheetFormatPr defaultRowHeight="15" x14ac:dyDescent="0.25"/>
  <cols>
    <col min="1" max="1" width="20.28515625" bestFit="1" customWidth="1"/>
    <col min="2" max="2" width="12.7109375" bestFit="1" customWidth="1"/>
    <col min="3" max="3" width="14.140625" bestFit="1" customWidth="1"/>
    <col min="4" max="4" width="13.5703125" bestFit="1" customWidth="1"/>
    <col min="5" max="5" width="21.7109375" bestFit="1" customWidth="1"/>
    <col min="6" max="6" width="14.28515625" customWidth="1"/>
    <col min="13" max="13" width="12.7109375" bestFit="1" customWidth="1"/>
    <col min="14" max="14" width="14.140625" bestFit="1" customWidth="1"/>
    <col min="15" max="15" width="13.5703125" bestFit="1" customWidth="1"/>
    <col min="16" max="16" width="21.7109375" bestFit="1" customWidth="1"/>
    <col min="17" max="17" width="14.42578125" bestFit="1" customWidth="1"/>
  </cols>
  <sheetData>
    <row r="1" spans="1:17" x14ac:dyDescent="0.25">
      <c r="A1" t="s">
        <v>6</v>
      </c>
      <c r="B1" t="s">
        <v>54</v>
      </c>
      <c r="C1" t="s">
        <v>55</v>
      </c>
      <c r="D1" t="s">
        <v>57</v>
      </c>
      <c r="E1" t="s">
        <v>56</v>
      </c>
      <c r="F1" t="s">
        <v>61</v>
      </c>
      <c r="H1" t="s">
        <v>62</v>
      </c>
      <c r="M1" t="s">
        <v>54</v>
      </c>
      <c r="N1" t="s">
        <v>55</v>
      </c>
      <c r="O1" t="s">
        <v>57</v>
      </c>
      <c r="P1" t="s">
        <v>56</v>
      </c>
      <c r="Q1" t="s">
        <v>61</v>
      </c>
    </row>
    <row r="2" spans="1:17" x14ac:dyDescent="0.25">
      <c r="A2" t="s">
        <v>51</v>
      </c>
      <c r="B2">
        <v>436701.78</v>
      </c>
      <c r="C2">
        <v>1648.32</v>
      </c>
      <c r="D2">
        <v>76749.899999999994</v>
      </c>
      <c r="E2">
        <v>0</v>
      </c>
      <c r="F2">
        <v>7132385.0999999996</v>
      </c>
      <c r="H2">
        <v>515100</v>
      </c>
      <c r="M2">
        <v>436701.78</v>
      </c>
      <c r="N2">
        <v>1648.32</v>
      </c>
      <c r="O2">
        <v>76749.899999999994</v>
      </c>
      <c r="P2">
        <v>0</v>
      </c>
      <c r="Q2">
        <v>7132385.0999999996</v>
      </c>
    </row>
    <row r="3" spans="1:17" x14ac:dyDescent="0.25">
      <c r="A3" t="s">
        <v>58</v>
      </c>
      <c r="B3" s="4">
        <v>3371632.12</v>
      </c>
      <c r="C3">
        <v>155291.76</v>
      </c>
      <c r="D3">
        <v>2889021.6199999996</v>
      </c>
      <c r="E3">
        <v>1231539.6000000001</v>
      </c>
      <c r="H3">
        <v>7647485.0999999996</v>
      </c>
    </row>
    <row r="5" spans="1:17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</row>
    <row r="6" spans="1:17" x14ac:dyDescent="0.25">
      <c r="A6" t="s">
        <v>51</v>
      </c>
      <c r="B6">
        <v>515100</v>
      </c>
      <c r="C6">
        <v>0.08</v>
      </c>
      <c r="D6">
        <v>7.0000000000000007E-2</v>
      </c>
      <c r="E6">
        <v>0.85</v>
      </c>
      <c r="F6">
        <v>0.03</v>
      </c>
      <c r="G6">
        <v>0.93</v>
      </c>
      <c r="H6">
        <v>0.04</v>
      </c>
      <c r="I6">
        <v>0</v>
      </c>
      <c r="J6">
        <v>0.03</v>
      </c>
      <c r="K6">
        <v>0.97</v>
      </c>
      <c r="L6">
        <v>0</v>
      </c>
      <c r="M6">
        <v>0</v>
      </c>
      <c r="N6">
        <v>0.17</v>
      </c>
      <c r="O6">
        <v>0.83</v>
      </c>
      <c r="P6">
        <v>0</v>
      </c>
      <c r="Q6">
        <v>0</v>
      </c>
    </row>
    <row r="8" spans="1:17" x14ac:dyDescent="0.25">
      <c r="B8" t="s">
        <v>64</v>
      </c>
      <c r="C8" t="s">
        <v>65</v>
      </c>
      <c r="D8" t="s">
        <v>66</v>
      </c>
    </row>
    <row r="9" spans="1:17" x14ac:dyDescent="0.25">
      <c r="A9" t="s">
        <v>54</v>
      </c>
      <c r="B9" s="2">
        <f>G6</f>
        <v>0.93</v>
      </c>
      <c r="C9" s="2">
        <f>K6</f>
        <v>0.97</v>
      </c>
      <c r="D9" s="2">
        <f>O6</f>
        <v>0.83</v>
      </c>
    </row>
    <row r="10" spans="1:17" x14ac:dyDescent="0.25">
      <c r="A10" t="s">
        <v>57</v>
      </c>
      <c r="B10" s="2">
        <f>F6</f>
        <v>0.03</v>
      </c>
      <c r="C10" s="2">
        <f>J6</f>
        <v>0.03</v>
      </c>
      <c r="D10" s="2">
        <f>N6</f>
        <v>0.17</v>
      </c>
    </row>
    <row r="11" spans="1:17" x14ac:dyDescent="0.25">
      <c r="A11" t="s">
        <v>56</v>
      </c>
      <c r="B11" s="2">
        <f>I6</f>
        <v>0</v>
      </c>
      <c r="C11" s="2">
        <f>M6</f>
        <v>0</v>
      </c>
      <c r="D11" s="2">
        <f>Q6</f>
        <v>0</v>
      </c>
    </row>
    <row r="12" spans="1:17" x14ac:dyDescent="0.25">
      <c r="A12" t="s">
        <v>55</v>
      </c>
      <c r="B12" s="2">
        <f>H6</f>
        <v>0.04</v>
      </c>
      <c r="C12" s="2">
        <f>L6</f>
        <v>0</v>
      </c>
      <c r="D12" s="2">
        <f>P6</f>
        <v>0</v>
      </c>
    </row>
    <row r="25" spans="1:5" ht="45" x14ac:dyDescent="0.25">
      <c r="B25" s="5" t="s">
        <v>54</v>
      </c>
      <c r="C25" s="5" t="s">
        <v>57</v>
      </c>
      <c r="D25" s="5" t="s">
        <v>56</v>
      </c>
      <c r="E25" s="5" t="s">
        <v>55</v>
      </c>
    </row>
    <row r="26" spans="1:5" x14ac:dyDescent="0.25">
      <c r="A26" t="s">
        <v>51</v>
      </c>
      <c r="B26" s="1">
        <f>B30/A30</f>
        <v>0.84780000000000011</v>
      </c>
      <c r="C26" s="1">
        <f>D30/A30</f>
        <v>0.14899999999999999</v>
      </c>
      <c r="D26" s="2">
        <f>E30/A30</f>
        <v>0</v>
      </c>
      <c r="E26" s="1">
        <f>C30/A30</f>
        <v>3.1999999999999997E-3</v>
      </c>
    </row>
    <row r="27" spans="1:5" x14ac:dyDescent="0.25">
      <c r="A27" t="s">
        <v>58</v>
      </c>
      <c r="B27" s="2">
        <v>0.44088116235754421</v>
      </c>
      <c r="C27" s="2">
        <v>0.3777740763430843</v>
      </c>
      <c r="D27" s="2">
        <v>0.16103850924796181</v>
      </c>
      <c r="E27" s="2">
        <v>2.0306252051409686E-2</v>
      </c>
    </row>
    <row r="29" spans="1:5" x14ac:dyDescent="0.25">
      <c r="A29" t="s">
        <v>44</v>
      </c>
      <c r="B29" t="s">
        <v>54</v>
      </c>
      <c r="C29" t="s">
        <v>55</v>
      </c>
      <c r="D29" t="s">
        <v>57</v>
      </c>
      <c r="E29" t="s">
        <v>56</v>
      </c>
    </row>
    <row r="30" spans="1:5" x14ac:dyDescent="0.25">
      <c r="A30" s="3">
        <v>515100</v>
      </c>
      <c r="B30">
        <v>436701.78</v>
      </c>
      <c r="C30">
        <v>1648.32</v>
      </c>
      <c r="D30">
        <v>76749.899999999994</v>
      </c>
      <c r="E30">
        <v>0</v>
      </c>
    </row>
    <row r="42" spans="1:5" x14ac:dyDescent="0.25">
      <c r="B42" s="5" t="s">
        <v>63</v>
      </c>
      <c r="C42" s="5" t="s">
        <v>55</v>
      </c>
      <c r="E42">
        <v>7512200</v>
      </c>
    </row>
    <row r="43" spans="1:5" x14ac:dyDescent="0.25">
      <c r="A43" t="s">
        <v>48</v>
      </c>
      <c r="B43" s="1">
        <f>A30/E42</f>
        <v>6.8568461968531183E-2</v>
      </c>
      <c r="C43" s="1">
        <f>A39/7647485.1</f>
        <v>0</v>
      </c>
    </row>
    <row r="44" spans="1:5" x14ac:dyDescent="0.25">
      <c r="A44" t="s">
        <v>58</v>
      </c>
      <c r="B44" s="1">
        <v>1</v>
      </c>
      <c r="C44" s="1">
        <f>A40/7647485.1</f>
        <v>0</v>
      </c>
    </row>
    <row r="52" spans="1:4" x14ac:dyDescent="0.25">
      <c r="B52" t="s">
        <v>67</v>
      </c>
    </row>
    <row r="53" spans="1:4" x14ac:dyDescent="0.25">
      <c r="A53" t="s">
        <v>66</v>
      </c>
      <c r="B53" s="2">
        <v>0.85</v>
      </c>
      <c r="C53">
        <f>B53*A30</f>
        <v>437835</v>
      </c>
      <c r="D53">
        <v>0</v>
      </c>
    </row>
    <row r="54" spans="1:4" x14ac:dyDescent="0.25">
      <c r="A54" t="s">
        <v>65</v>
      </c>
      <c r="B54" s="2">
        <v>7.0000000000000007E-2</v>
      </c>
      <c r="C54">
        <f>B54*A30</f>
        <v>36057</v>
      </c>
      <c r="D54">
        <v>0</v>
      </c>
    </row>
    <row r="55" spans="1:4" x14ac:dyDescent="0.25">
      <c r="A55" t="s">
        <v>64</v>
      </c>
      <c r="B55" s="2">
        <v>0.08</v>
      </c>
      <c r="C55">
        <f>B55*A30</f>
        <v>41208</v>
      </c>
      <c r="D5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41" workbookViewId="0">
      <selection activeCell="A58" sqref="A58:D61"/>
    </sheetView>
  </sheetViews>
  <sheetFormatPr defaultRowHeight="15" x14ac:dyDescent="0.25"/>
  <cols>
    <col min="1" max="1" width="20.140625" bestFit="1" customWidth="1"/>
    <col min="2" max="2" width="12.7109375" bestFit="1" customWidth="1"/>
    <col min="3" max="3" width="14.140625" bestFit="1" customWidth="1"/>
    <col min="4" max="4" width="13.5703125" bestFit="1" customWidth="1"/>
    <col min="5" max="5" width="21.7109375" bestFit="1" customWidth="1"/>
    <col min="6" max="6" width="16.5703125" customWidth="1"/>
    <col min="13" max="13" width="12.7109375" bestFit="1" customWidth="1"/>
    <col min="14" max="14" width="14.140625" bestFit="1" customWidth="1"/>
    <col min="15" max="15" width="13.5703125" bestFit="1" customWidth="1"/>
    <col min="16" max="16" width="21.7109375" bestFit="1" customWidth="1"/>
    <col min="17" max="17" width="14.42578125" bestFit="1" customWidth="1"/>
  </cols>
  <sheetData>
    <row r="1" spans="1:17" x14ac:dyDescent="0.25">
      <c r="A1" t="s">
        <v>6</v>
      </c>
      <c r="B1" t="s">
        <v>54</v>
      </c>
      <c r="C1" t="s">
        <v>55</v>
      </c>
      <c r="D1" t="s">
        <v>57</v>
      </c>
      <c r="E1" t="s">
        <v>56</v>
      </c>
      <c r="F1" t="s">
        <v>61</v>
      </c>
      <c r="H1" t="s">
        <v>62</v>
      </c>
      <c r="M1" t="s">
        <v>54</v>
      </c>
      <c r="N1" t="s">
        <v>55</v>
      </c>
      <c r="O1" t="s">
        <v>57</v>
      </c>
      <c r="P1" t="s">
        <v>56</v>
      </c>
      <c r="Q1" t="s">
        <v>61</v>
      </c>
    </row>
    <row r="2" spans="1:17" x14ac:dyDescent="0.25">
      <c r="A2" t="s">
        <v>52</v>
      </c>
      <c r="B2">
        <v>402079.19999999995</v>
      </c>
      <c r="C2">
        <v>3027.6</v>
      </c>
      <c r="D2">
        <v>281810.40000000002</v>
      </c>
      <c r="E2">
        <v>0</v>
      </c>
      <c r="F2">
        <v>7473485.0999999996</v>
      </c>
      <c r="H2">
        <v>174000</v>
      </c>
      <c r="M2">
        <v>100519.79999999999</v>
      </c>
      <c r="N2">
        <v>3027.6</v>
      </c>
      <c r="O2">
        <v>70452.600000000006</v>
      </c>
      <c r="P2">
        <v>0</v>
      </c>
      <c r="Q2">
        <v>7473485.0999999996</v>
      </c>
    </row>
    <row r="3" spans="1:17" x14ac:dyDescent="0.25">
      <c r="A3" t="s">
        <v>58</v>
      </c>
      <c r="B3" s="4">
        <v>3371632.12</v>
      </c>
      <c r="C3">
        <v>155291.76</v>
      </c>
      <c r="D3">
        <v>2889021.6199999996</v>
      </c>
      <c r="E3">
        <v>1231539.6000000001</v>
      </c>
      <c r="H3">
        <v>7647485.0999999996</v>
      </c>
      <c r="M3" s="1">
        <v>1.3100000000000001E-2</v>
      </c>
      <c r="N3" s="1">
        <v>4.0000000000000002E-4</v>
      </c>
      <c r="O3" s="1">
        <v>9.1999999999999998E-3</v>
      </c>
      <c r="P3" s="1">
        <v>0</v>
      </c>
      <c r="Q3" s="1">
        <v>0.97719999999999996</v>
      </c>
    </row>
    <row r="4" spans="1:17" x14ac:dyDescent="0.25">
      <c r="M4">
        <f>M2*4</f>
        <v>402079.19999999995</v>
      </c>
      <c r="N4">
        <f>N2*5</f>
        <v>15138</v>
      </c>
      <c r="O4">
        <f>O2*4</f>
        <v>281810.40000000002</v>
      </c>
    </row>
    <row r="6" spans="1:17" x14ac:dyDescent="0.25">
      <c r="A6" t="s">
        <v>6</v>
      </c>
      <c r="B6" t="s">
        <v>54</v>
      </c>
      <c r="C6" t="s">
        <v>55</v>
      </c>
      <c r="D6" t="s">
        <v>57</v>
      </c>
      <c r="E6" t="s">
        <v>56</v>
      </c>
      <c r="F6" t="s">
        <v>63</v>
      </c>
    </row>
    <row r="7" spans="1:17" x14ac:dyDescent="0.25">
      <c r="A7" t="s">
        <v>52</v>
      </c>
      <c r="B7">
        <v>402079.19999999995</v>
      </c>
      <c r="C7">
        <v>3027.6</v>
      </c>
      <c r="D7">
        <v>281810.40000000002</v>
      </c>
      <c r="E7">
        <v>0</v>
      </c>
      <c r="F7">
        <v>174000</v>
      </c>
    </row>
    <row r="8" spans="1:17" x14ac:dyDescent="0.25">
      <c r="A8" t="s">
        <v>58</v>
      </c>
      <c r="B8" s="4">
        <v>3371632.12</v>
      </c>
      <c r="C8">
        <v>155291.76</v>
      </c>
      <c r="D8">
        <v>2889021.6199999996</v>
      </c>
      <c r="E8">
        <v>1231539.6000000001</v>
      </c>
      <c r="F8">
        <v>7647485.0999999996</v>
      </c>
    </row>
    <row r="12" spans="1:17" x14ac:dyDescent="0.25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t="s">
        <v>14</v>
      </c>
      <c r="J12" t="s">
        <v>15</v>
      </c>
      <c r="K12" t="s">
        <v>16</v>
      </c>
      <c r="L12" t="s">
        <v>17</v>
      </c>
      <c r="M12" t="s">
        <v>18</v>
      </c>
      <c r="N12" t="s">
        <v>19</v>
      </c>
      <c r="O12" t="s">
        <v>20</v>
      </c>
      <c r="P12" t="s">
        <v>21</v>
      </c>
      <c r="Q12" t="s">
        <v>22</v>
      </c>
    </row>
    <row r="13" spans="1:17" x14ac:dyDescent="0.25">
      <c r="A13" t="s">
        <v>52</v>
      </c>
      <c r="B13">
        <v>174000</v>
      </c>
      <c r="C13">
        <v>0.28999999999999998</v>
      </c>
      <c r="D13">
        <v>0.13</v>
      </c>
      <c r="E13">
        <v>0.57999999999999996</v>
      </c>
      <c r="F13">
        <v>0.02</v>
      </c>
      <c r="G13">
        <v>0.92</v>
      </c>
      <c r="H13">
        <v>0.06</v>
      </c>
      <c r="I13">
        <v>0</v>
      </c>
      <c r="J13">
        <v>0.17</v>
      </c>
      <c r="K13">
        <v>0.83</v>
      </c>
      <c r="L13">
        <v>0</v>
      </c>
      <c r="M13">
        <v>0</v>
      </c>
      <c r="N13">
        <v>0.65</v>
      </c>
      <c r="O13">
        <v>0.35</v>
      </c>
      <c r="P13">
        <v>0</v>
      </c>
      <c r="Q13">
        <v>0</v>
      </c>
    </row>
    <row r="16" spans="1:17" x14ac:dyDescent="0.25">
      <c r="B16" t="s">
        <v>64</v>
      </c>
      <c r="C16" t="s">
        <v>65</v>
      </c>
      <c r="D16" t="s">
        <v>66</v>
      </c>
    </row>
    <row r="17" spans="1:4" x14ac:dyDescent="0.25">
      <c r="A17" t="s">
        <v>54</v>
      </c>
      <c r="B17" s="2">
        <f>G13</f>
        <v>0.92</v>
      </c>
      <c r="C17" s="2">
        <f>K13</f>
        <v>0.83</v>
      </c>
      <c r="D17" s="2">
        <f>O13</f>
        <v>0.35</v>
      </c>
    </row>
    <row r="18" spans="1:4" x14ac:dyDescent="0.25">
      <c r="A18" t="s">
        <v>57</v>
      </c>
      <c r="B18" s="2">
        <f>F13</f>
        <v>0.02</v>
      </c>
      <c r="C18" s="2">
        <f>J13</f>
        <v>0.17</v>
      </c>
      <c r="D18" s="2">
        <f>N13</f>
        <v>0.65</v>
      </c>
    </row>
    <row r="19" spans="1:4" x14ac:dyDescent="0.25">
      <c r="A19" t="s">
        <v>56</v>
      </c>
      <c r="B19" s="2">
        <f>I13</f>
        <v>0</v>
      </c>
      <c r="C19" s="2">
        <f>M13</f>
        <v>0</v>
      </c>
      <c r="D19" s="2">
        <f>Q13</f>
        <v>0</v>
      </c>
    </row>
    <row r="20" spans="1:4" x14ac:dyDescent="0.25">
      <c r="A20" t="s">
        <v>55</v>
      </c>
      <c r="B20" s="2">
        <f>H13</f>
        <v>0.06</v>
      </c>
      <c r="C20" s="2">
        <f>L13</f>
        <v>0</v>
      </c>
      <c r="D20" s="2">
        <f>P13</f>
        <v>0</v>
      </c>
    </row>
    <row r="35" spans="1:5" ht="45" x14ac:dyDescent="0.25">
      <c r="B35" s="5" t="s">
        <v>54</v>
      </c>
      <c r="C35" s="5" t="s">
        <v>57</v>
      </c>
      <c r="D35" s="5" t="s">
        <v>56</v>
      </c>
      <c r="E35" s="5" t="s">
        <v>55</v>
      </c>
    </row>
    <row r="36" spans="1:5" x14ac:dyDescent="0.25">
      <c r="A36" t="s">
        <v>52</v>
      </c>
      <c r="B36" s="2">
        <f>B40/A40</f>
        <v>0.57769999999999988</v>
      </c>
      <c r="C36" s="2">
        <f>D40/A40</f>
        <v>0.40490000000000004</v>
      </c>
      <c r="D36" s="2">
        <f>E40/A40</f>
        <v>0</v>
      </c>
      <c r="E36" s="2">
        <f>C40/A40</f>
        <v>1.7399999999999999E-2</v>
      </c>
    </row>
    <row r="37" spans="1:5" x14ac:dyDescent="0.25">
      <c r="A37" t="s">
        <v>58</v>
      </c>
      <c r="B37" s="2">
        <v>0.44088116235754421</v>
      </c>
      <c r="C37" s="2">
        <v>0.3777740763430843</v>
      </c>
      <c r="D37" s="2">
        <v>0.16103850924796181</v>
      </c>
      <c r="E37" s="2">
        <v>2.0306252051409686E-2</v>
      </c>
    </row>
    <row r="39" spans="1:5" x14ac:dyDescent="0.25">
      <c r="A39" t="s">
        <v>44</v>
      </c>
      <c r="B39" t="s">
        <v>54</v>
      </c>
      <c r="C39" t="s">
        <v>55</v>
      </c>
      <c r="D39" t="s">
        <v>57</v>
      </c>
      <c r="E39" t="s">
        <v>56</v>
      </c>
    </row>
    <row r="40" spans="1:5" x14ac:dyDescent="0.25">
      <c r="A40" s="3">
        <v>174000</v>
      </c>
      <c r="B40">
        <v>100519.79999999999</v>
      </c>
      <c r="C40">
        <v>3027.6</v>
      </c>
      <c r="D40">
        <v>70452.600000000006</v>
      </c>
      <c r="E40">
        <v>0</v>
      </c>
    </row>
    <row r="51" spans="1:5" x14ac:dyDescent="0.25">
      <c r="B51" s="5" t="s">
        <v>63</v>
      </c>
      <c r="C51" s="5" t="s">
        <v>55</v>
      </c>
      <c r="E51">
        <v>7512200</v>
      </c>
    </row>
    <row r="52" spans="1:5" x14ac:dyDescent="0.25">
      <c r="A52" t="s">
        <v>48</v>
      </c>
      <c r="B52" s="1">
        <f>A40/E51</f>
        <v>2.3162322621868427E-2</v>
      </c>
      <c r="C52" s="1">
        <f>A48/7647485.1</f>
        <v>0</v>
      </c>
    </row>
    <row r="53" spans="1:5" x14ac:dyDescent="0.25">
      <c r="A53" t="s">
        <v>58</v>
      </c>
      <c r="B53" s="1">
        <v>1</v>
      </c>
      <c r="C53" s="1">
        <f>A49/7647485.1</f>
        <v>0</v>
      </c>
    </row>
    <row r="58" spans="1:5" x14ac:dyDescent="0.25">
      <c r="B58" t="s">
        <v>68</v>
      </c>
    </row>
    <row r="59" spans="1:5" x14ac:dyDescent="0.25">
      <c r="A59" t="s">
        <v>66</v>
      </c>
      <c r="B59" s="2">
        <v>0.57999999999999996</v>
      </c>
      <c r="C59">
        <f>0.58*174000</f>
        <v>100920</v>
      </c>
      <c r="D59">
        <v>0</v>
      </c>
    </row>
    <row r="60" spans="1:5" x14ac:dyDescent="0.25">
      <c r="A60" t="s">
        <v>65</v>
      </c>
      <c r="B60" s="2">
        <v>0.13</v>
      </c>
      <c r="C60">
        <f>0.13*174000</f>
        <v>22620</v>
      </c>
      <c r="D60">
        <v>0</v>
      </c>
    </row>
    <row r="61" spans="1:5" x14ac:dyDescent="0.25">
      <c r="A61" t="s">
        <v>64</v>
      </c>
      <c r="B61" s="2">
        <v>0.28999999999999998</v>
      </c>
      <c r="C61">
        <f>0.29*A40</f>
        <v>50460</v>
      </c>
      <c r="D6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37" workbookViewId="0">
      <selection activeCell="M54" sqref="M54"/>
    </sheetView>
  </sheetViews>
  <sheetFormatPr defaultRowHeight="15" x14ac:dyDescent="0.25"/>
  <cols>
    <col min="1" max="1" width="15.85546875" bestFit="1" customWidth="1"/>
    <col min="2" max="2" width="12.7109375" bestFit="1" customWidth="1"/>
    <col min="3" max="3" width="14.140625" bestFit="1" customWidth="1"/>
    <col min="4" max="4" width="13.5703125" bestFit="1" customWidth="1"/>
    <col min="5" max="5" width="21.7109375" bestFit="1" customWidth="1"/>
    <col min="6" max="6" width="14.42578125" bestFit="1" customWidth="1"/>
    <col min="13" max="13" width="12.7109375" bestFit="1" customWidth="1"/>
    <col min="14" max="14" width="14.140625" bestFit="1" customWidth="1"/>
    <col min="15" max="15" width="13.5703125" bestFit="1" customWidth="1"/>
    <col min="16" max="16" width="21.7109375" bestFit="1" customWidth="1"/>
    <col min="17" max="17" width="14.42578125" bestFit="1" customWidth="1"/>
  </cols>
  <sheetData>
    <row r="1" spans="1:17" x14ac:dyDescent="0.25">
      <c r="A1" t="s">
        <v>6</v>
      </c>
      <c r="B1" t="s">
        <v>54</v>
      </c>
      <c r="C1" t="s">
        <v>55</v>
      </c>
      <c r="D1" t="s">
        <v>57</v>
      </c>
      <c r="E1" t="s">
        <v>56</v>
      </c>
      <c r="F1" t="s">
        <v>61</v>
      </c>
      <c r="H1" t="s">
        <v>62</v>
      </c>
      <c r="M1" t="s">
        <v>54</v>
      </c>
      <c r="N1" t="s">
        <v>55</v>
      </c>
      <c r="O1" t="s">
        <v>57</v>
      </c>
      <c r="P1" t="s">
        <v>56</v>
      </c>
      <c r="Q1" t="s">
        <v>61</v>
      </c>
    </row>
    <row r="2" spans="1:17" x14ac:dyDescent="0.25">
      <c r="A2" t="s">
        <v>53</v>
      </c>
      <c r="B2">
        <v>152775</v>
      </c>
      <c r="C2">
        <v>6790.0000000000009</v>
      </c>
      <c r="D2">
        <v>82934.999999999985</v>
      </c>
      <c r="E2">
        <v>0</v>
      </c>
      <c r="F2">
        <v>7637785.0999999996</v>
      </c>
      <c r="H2">
        <v>9700</v>
      </c>
      <c r="M2">
        <v>6111</v>
      </c>
      <c r="N2">
        <v>271.60000000000002</v>
      </c>
      <c r="O2">
        <v>3317.3999999999996</v>
      </c>
      <c r="P2">
        <v>0</v>
      </c>
      <c r="Q2">
        <v>7637785.0999999996</v>
      </c>
    </row>
    <row r="3" spans="1:17" x14ac:dyDescent="0.25">
      <c r="A3" t="s">
        <v>58</v>
      </c>
      <c r="B3" s="4">
        <v>3371632.12</v>
      </c>
      <c r="C3">
        <v>155291.76</v>
      </c>
      <c r="D3">
        <v>2889021.6199999996</v>
      </c>
      <c r="E3">
        <v>1231539.6000000001</v>
      </c>
      <c r="H3">
        <v>7647485.0999999996</v>
      </c>
      <c r="M3" s="1">
        <f>M2/H3</f>
        <v>7.9908622509117417E-4</v>
      </c>
      <c r="N3" s="1">
        <f>N2/H3</f>
        <v>3.551494333738552E-5</v>
      </c>
      <c r="O3" s="1">
        <f>O2/H3</f>
        <v>4.337896650494945E-4</v>
      </c>
      <c r="P3" s="1">
        <v>0</v>
      </c>
      <c r="Q3" s="1">
        <f>Q2/H3</f>
        <v>0.99873160916652193</v>
      </c>
    </row>
    <row r="4" spans="1:17" x14ac:dyDescent="0.25">
      <c r="M4">
        <f>M2*25</f>
        <v>152775</v>
      </c>
      <c r="N4">
        <f>N2*25</f>
        <v>6790.0000000000009</v>
      </c>
      <c r="O4">
        <f>O2*25</f>
        <v>82934.999999999985</v>
      </c>
    </row>
    <row r="6" spans="1:17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  <c r="M6" t="s">
        <v>18</v>
      </c>
      <c r="N6" t="s">
        <v>19</v>
      </c>
      <c r="O6" t="s">
        <v>20</v>
      </c>
      <c r="P6" t="s">
        <v>21</v>
      </c>
      <c r="Q6" t="s">
        <v>22</v>
      </c>
    </row>
    <row r="7" spans="1:17" x14ac:dyDescent="0.25">
      <c r="A7" t="s">
        <v>53</v>
      </c>
      <c r="B7">
        <v>9700</v>
      </c>
      <c r="C7">
        <v>0.4</v>
      </c>
      <c r="D7">
        <v>0.1</v>
      </c>
      <c r="E7">
        <v>0.5</v>
      </c>
      <c r="F7">
        <v>0.26</v>
      </c>
      <c r="G7">
        <v>0.67</v>
      </c>
      <c r="H7">
        <v>7.0000000000000007E-2</v>
      </c>
      <c r="I7">
        <v>0</v>
      </c>
      <c r="J7">
        <v>0.23</v>
      </c>
      <c r="K7">
        <v>0.77</v>
      </c>
      <c r="L7">
        <v>0</v>
      </c>
      <c r="M7">
        <v>0</v>
      </c>
      <c r="N7">
        <v>0.43</v>
      </c>
      <c r="O7">
        <v>0.56999999999999995</v>
      </c>
      <c r="P7">
        <v>0</v>
      </c>
      <c r="Q7">
        <v>0</v>
      </c>
    </row>
    <row r="9" spans="1:17" x14ac:dyDescent="0.25">
      <c r="B9" t="s">
        <v>64</v>
      </c>
      <c r="C9" t="s">
        <v>65</v>
      </c>
      <c r="D9" t="s">
        <v>66</v>
      </c>
    </row>
    <row r="10" spans="1:17" x14ac:dyDescent="0.25">
      <c r="A10" t="s">
        <v>54</v>
      </c>
      <c r="B10" s="2">
        <f>G7</f>
        <v>0.67</v>
      </c>
      <c r="C10" s="2">
        <f>K7</f>
        <v>0.77</v>
      </c>
      <c r="D10" s="2">
        <f>O7</f>
        <v>0.56999999999999995</v>
      </c>
    </row>
    <row r="11" spans="1:17" x14ac:dyDescent="0.25">
      <c r="A11" t="s">
        <v>57</v>
      </c>
      <c r="B11" s="2">
        <f>F7</f>
        <v>0.26</v>
      </c>
      <c r="C11" s="2">
        <f>J7</f>
        <v>0.23</v>
      </c>
      <c r="D11" s="2">
        <f>N7</f>
        <v>0.43</v>
      </c>
    </row>
    <row r="12" spans="1:17" x14ac:dyDescent="0.25">
      <c r="A12" t="s">
        <v>56</v>
      </c>
      <c r="B12" s="2">
        <f>I7</f>
        <v>0</v>
      </c>
      <c r="C12" s="2">
        <f>M7</f>
        <v>0</v>
      </c>
      <c r="D12" s="2">
        <f>P7</f>
        <v>0</v>
      </c>
    </row>
    <row r="13" spans="1:17" x14ac:dyDescent="0.25">
      <c r="A13" t="s">
        <v>55</v>
      </c>
      <c r="B13" s="2">
        <f>H7</f>
        <v>7.0000000000000007E-2</v>
      </c>
      <c r="C13" s="2">
        <f>L7</f>
        <v>0</v>
      </c>
      <c r="D13" s="2">
        <f>P7</f>
        <v>0</v>
      </c>
    </row>
    <row r="28" spans="1:5" ht="45" x14ac:dyDescent="0.25">
      <c r="B28" s="5" t="s">
        <v>54</v>
      </c>
      <c r="C28" s="5" t="s">
        <v>57</v>
      </c>
      <c r="D28" s="5" t="s">
        <v>56</v>
      </c>
      <c r="E28" s="5" t="s">
        <v>55</v>
      </c>
    </row>
    <row r="29" spans="1:5" x14ac:dyDescent="0.25">
      <c r="A29" t="s">
        <v>53</v>
      </c>
      <c r="B29" s="2">
        <f>B33/A33</f>
        <v>0.63</v>
      </c>
      <c r="C29" s="2">
        <f>D33/A33</f>
        <v>0.34199999999999997</v>
      </c>
      <c r="D29" s="2">
        <f>E33/A33</f>
        <v>0</v>
      </c>
      <c r="E29" s="2">
        <f>C33/A33</f>
        <v>2.8000000000000004E-2</v>
      </c>
    </row>
    <row r="30" spans="1:5" x14ac:dyDescent="0.25">
      <c r="A30" t="s">
        <v>58</v>
      </c>
      <c r="B30" s="2">
        <v>0.44088116235754421</v>
      </c>
      <c r="C30" s="2">
        <v>0.3777740763430843</v>
      </c>
      <c r="D30" s="2">
        <v>0.16103850924796181</v>
      </c>
      <c r="E30" s="2">
        <v>2.0306252051409686E-2</v>
      </c>
    </row>
    <row r="32" spans="1:5" x14ac:dyDescent="0.25">
      <c r="A32" t="s">
        <v>44</v>
      </c>
      <c r="B32" t="s">
        <v>54</v>
      </c>
      <c r="C32" t="s">
        <v>55</v>
      </c>
      <c r="D32" t="s">
        <v>57</v>
      </c>
      <c r="E32" t="s">
        <v>56</v>
      </c>
    </row>
    <row r="33" spans="1:5" x14ac:dyDescent="0.25">
      <c r="A33" s="3">
        <v>9700</v>
      </c>
      <c r="B33">
        <v>6111</v>
      </c>
      <c r="C33">
        <v>271.60000000000002</v>
      </c>
      <c r="D33">
        <v>3317.3999999999996</v>
      </c>
      <c r="E33">
        <v>0</v>
      </c>
    </row>
    <row r="44" spans="1:5" x14ac:dyDescent="0.25">
      <c r="B44" s="5" t="s">
        <v>63</v>
      </c>
      <c r="C44" s="5" t="s">
        <v>55</v>
      </c>
      <c r="E44">
        <v>7512200</v>
      </c>
    </row>
    <row r="45" spans="1:5" x14ac:dyDescent="0.25">
      <c r="A45" t="s">
        <v>48</v>
      </c>
      <c r="B45" s="1">
        <f>A33/E44</f>
        <v>1.2912329277708261E-3</v>
      </c>
      <c r="C45" s="1">
        <f>A41/7647485.1</f>
        <v>0</v>
      </c>
    </row>
    <row r="46" spans="1:5" x14ac:dyDescent="0.25">
      <c r="A46" t="s">
        <v>58</v>
      </c>
      <c r="B46" s="1">
        <v>1</v>
      </c>
      <c r="C46" s="1">
        <f>A42/7647485.1</f>
        <v>0</v>
      </c>
    </row>
    <row r="53" spans="1:4" x14ac:dyDescent="0.25">
      <c r="B53" t="s">
        <v>53</v>
      </c>
    </row>
    <row r="54" spans="1:4" x14ac:dyDescent="0.25">
      <c r="A54" t="s">
        <v>66</v>
      </c>
      <c r="B54" s="2">
        <v>0.5</v>
      </c>
      <c r="C54">
        <f>0.5*9700</f>
        <v>4850</v>
      </c>
      <c r="D54">
        <v>0</v>
      </c>
    </row>
    <row r="55" spans="1:4" x14ac:dyDescent="0.25">
      <c r="A55" t="s">
        <v>65</v>
      </c>
      <c r="B55" s="2">
        <v>0.1</v>
      </c>
      <c r="C55">
        <f>0.1*9700</f>
        <v>970</v>
      </c>
      <c r="D55">
        <v>0</v>
      </c>
    </row>
    <row r="56" spans="1:4" x14ac:dyDescent="0.25">
      <c r="A56" t="s">
        <v>64</v>
      </c>
      <c r="B56" s="2">
        <v>0.4</v>
      </c>
      <c r="C56">
        <f>0.4*9700</f>
        <v>3880</v>
      </c>
      <c r="D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azwateruse</vt:lpstr>
      <vt:lpstr>AMA</vt:lpstr>
      <vt:lpstr>CentralHighlands</vt:lpstr>
      <vt:lpstr>EasternPlateau</vt:lpstr>
      <vt:lpstr>LowerColoradoRiver</vt:lpstr>
      <vt:lpstr>SoutheasternArizona</vt:lpstr>
      <vt:lpstr>UpperColoradoRiver</vt:lpstr>
      <vt:lpstr>WesternPlateau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Sonnenschein</dc:creator>
  <cp:lastModifiedBy>Adrian Sonnenschein</cp:lastModifiedBy>
  <dcterms:created xsi:type="dcterms:W3CDTF">2012-08-30T21:36:23Z</dcterms:created>
  <dcterms:modified xsi:type="dcterms:W3CDTF">2012-10-09T23:42:20Z</dcterms:modified>
</cp:coreProperties>
</file>