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Arch\home\rmrr\tropic\data\"/>
    </mc:Choice>
  </mc:AlternateContent>
  <xr:revisionPtr revIDLastSave="0" documentId="13_ncr:1_{D3D1D07E-82B5-4D84-A53C-980823F9BC5E}" xr6:coauthVersionLast="47" xr6:coauthVersionMax="47" xr10:uidLastSave="{00000000-0000-0000-0000-000000000000}"/>
  <bookViews>
    <workbookView xWindow="-96" yWindow="-96" windowWidth="20928" windowHeight="12432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22" i="1" l="1"/>
  <c r="T121" i="1"/>
  <c r="T120" i="1"/>
  <c r="T119" i="1"/>
  <c r="T118" i="1"/>
  <c r="T117" i="1"/>
  <c r="S122" i="1"/>
  <c r="S121" i="1"/>
  <c r="S120" i="1"/>
  <c r="S119" i="1"/>
  <c r="S118" i="1"/>
  <c r="S117" i="1"/>
  <c r="S124" i="1"/>
  <c r="S123" i="1"/>
  <c r="S109" i="1"/>
  <c r="S108" i="1"/>
  <c r="S107" i="1"/>
  <c r="S106" i="1"/>
  <c r="S105" i="1"/>
  <c r="S96" i="1" l="1"/>
  <c r="S95" i="1"/>
  <c r="S94" i="1"/>
  <c r="S93" i="1"/>
  <c r="S92" i="1"/>
  <c r="S88" i="1"/>
  <c r="S91" i="1"/>
  <c r="S90" i="1"/>
  <c r="S89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4" i="1"/>
  <c r="V44" i="1"/>
  <c r="V49" i="1"/>
  <c r="S49" i="1"/>
  <c r="V48" i="1"/>
  <c r="S48" i="1"/>
  <c r="V47" i="1"/>
  <c r="S47" i="1"/>
  <c r="V46" i="1"/>
  <c r="S46" i="1"/>
  <c r="V45" i="1"/>
  <c r="S45" i="1"/>
  <c r="S43" i="1"/>
  <c r="V42" i="1"/>
  <c r="V43" i="1"/>
  <c r="S42" i="1"/>
  <c r="V41" i="1"/>
  <c r="S41" i="1"/>
  <c r="V40" i="1"/>
  <c r="S40" i="1"/>
  <c r="M35" i="1"/>
  <c r="M34" i="1"/>
  <c r="M33" i="1"/>
  <c r="M32" i="1"/>
  <c r="S31" i="1"/>
  <c r="S30" i="1"/>
  <c r="S29" i="1"/>
  <c r="S28" i="1"/>
  <c r="V27" i="1"/>
  <c r="V26" i="1"/>
  <c r="S27" i="1"/>
  <c r="S26" i="1"/>
  <c r="V25" i="1"/>
  <c r="S25" i="1"/>
  <c r="V24" i="1"/>
  <c r="S24" i="1"/>
  <c r="F3" i="2"/>
  <c r="F4" i="2"/>
  <c r="F5" i="2"/>
  <c r="F6" i="2"/>
  <c r="F7" i="2"/>
  <c r="F8" i="2"/>
  <c r="F9" i="2"/>
  <c r="F10" i="2"/>
  <c r="F11" i="2"/>
  <c r="F2" i="2"/>
  <c r="D3" i="2"/>
  <c r="D4" i="2"/>
  <c r="D5" i="2"/>
  <c r="D6" i="2"/>
  <c r="D7" i="2"/>
  <c r="D8" i="2"/>
  <c r="D9" i="2"/>
  <c r="D10" i="2"/>
  <c r="D11" i="2"/>
  <c r="D2" i="2"/>
  <c r="S2" i="1"/>
  <c r="V13" i="1"/>
  <c r="V12" i="1"/>
  <c r="V11" i="1"/>
  <c r="V10" i="1"/>
  <c r="V9" i="1"/>
  <c r="V8" i="1"/>
  <c r="S13" i="1"/>
  <c r="S12" i="1"/>
  <c r="S11" i="1"/>
  <c r="S10" i="1"/>
  <c r="S9" i="1"/>
  <c r="S8" i="1"/>
  <c r="V7" i="1"/>
  <c r="V6" i="1"/>
  <c r="V5" i="1"/>
  <c r="S7" i="1"/>
  <c r="S6" i="1"/>
  <c r="S5" i="1"/>
  <c r="V4" i="1"/>
  <c r="V3" i="1"/>
  <c r="S4" i="1"/>
  <c r="S3" i="1"/>
  <c r="V2" i="1"/>
</calcChain>
</file>

<file path=xl/sharedStrings.xml><?xml version="1.0" encoding="utf-8"?>
<sst xmlns="http://schemas.openxmlformats.org/spreadsheetml/2006/main" count="1628" uniqueCount="200">
  <si>
    <t>monomer_smiles</t>
  </si>
  <si>
    <t>polymerisation_type</t>
  </si>
  <si>
    <t>is_experimental</t>
  </si>
  <si>
    <t>polymer_smiles</t>
  </si>
  <si>
    <t>initiator_smiles</t>
  </si>
  <si>
    <t>solvent</t>
  </si>
  <si>
    <t>monomer_state</t>
  </si>
  <si>
    <t>polymer_state</t>
  </si>
  <si>
    <t>temperature</t>
  </si>
  <si>
    <t>pressure</t>
  </si>
  <si>
    <t>method</t>
  </si>
  <si>
    <t>delta_h</t>
  </si>
  <si>
    <t>delta_s</t>
  </si>
  <si>
    <t>ceiling_temperature</t>
  </si>
  <si>
    <t>date</t>
  </si>
  <si>
    <t>doi</t>
  </si>
  <si>
    <t>url</t>
  </si>
  <si>
    <t>dispersity</t>
  </si>
  <si>
    <t>degree_of_polymerisation</t>
  </si>
  <si>
    <t>number_average_molar_mass</t>
  </si>
  <si>
    <t>mass_average_molar_mass</t>
  </si>
  <si>
    <t>comment</t>
  </si>
  <si>
    <t>solvent_model</t>
  </si>
  <si>
    <t>comp_functional</t>
  </si>
  <si>
    <t>comp_basis_set</t>
  </si>
  <si>
    <t>comp_dispersion</t>
  </si>
  <si>
    <t>comp_forcefield</t>
  </si>
  <si>
    <t>repeating_units</t>
  </si>
  <si>
    <t>initial_monomer_conc</t>
  </si>
  <si>
    <t>bulk_monomer_conc</t>
  </si>
  <si>
    <t>delta_g</t>
  </si>
  <si>
    <t>10.1039/D2PY01366E</t>
  </si>
  <si>
    <t>10.1021/jacs.4c12678</t>
  </si>
  <si>
    <t>10.1021/jo702567v</t>
  </si>
  <si>
    <t>10.1039/C9PY01777A</t>
  </si>
  <si>
    <t>10.1007/s00214-012-1133-y</t>
  </si>
  <si>
    <t>10.1039/C7PY00236J</t>
  </si>
  <si>
    <t>10.1039/C7PY00118E</t>
  </si>
  <si>
    <t>10.1021/ja503830c</t>
  </si>
  <si>
    <t>10.1021/acs.macromol.4c01469</t>
  </si>
  <si>
    <t>10.1016/S0032-3861(97)10370-6</t>
  </si>
  <si>
    <t>10.1021/acs.macromol.0c00253</t>
  </si>
  <si>
    <t>10.1021/jo9010969</t>
  </si>
  <si>
    <t>medium</t>
  </si>
  <si>
    <t>O=C1CCCCCO1</t>
  </si>
  <si>
    <t>ROR</t>
  </si>
  <si>
    <t>FALSE</t>
  </si>
  <si>
    <t>COC(C)=O</t>
  </si>
  <si>
    <t>gas</t>
  </si>
  <si>
    <t>CHCl3</t>
  </si>
  <si>
    <t>CH3CN-CHCl3</t>
  </si>
  <si>
    <t>PCM</t>
  </si>
  <si>
    <t>O=C1COCCO1</t>
  </si>
  <si>
    <t>O=C1CCCCO1</t>
  </si>
  <si>
    <t>O=C1CCCO1</t>
  </si>
  <si>
    <t>delta_e</t>
  </si>
  <si>
    <t>DFT</t>
  </si>
  <si>
    <t>MP2</t>
  </si>
  <si>
    <t>6-31G(d)/6-311G(d,p)</t>
  </si>
  <si>
    <t>B3LYP</t>
  </si>
  <si>
    <t>6-311+G(d,p)</t>
  </si>
  <si>
    <t>GD3BJ</t>
  </si>
  <si>
    <t>CO</t>
  </si>
  <si>
    <t>O=C1OCc2ccccc12</t>
  </si>
  <si>
    <t>O=C1OC[C@H]2CCCC[C@@H]12</t>
  </si>
  <si>
    <t>O=C1OC[C@H]2C[C@@H]3CC[C@]12O3</t>
  </si>
  <si>
    <t>O=C1OC[C@H]2CCCC[C@H]12</t>
  </si>
  <si>
    <t>O=C2C[C@H]1CCCC[C@@H]1O2</t>
  </si>
  <si>
    <t>O=C1OC[C@@]23C=C[C@@H](C[C@H]12)O3</t>
  </si>
  <si>
    <t>O=C1OC[C@H]2C[C@@H]3C=C[C@]12O3</t>
  </si>
  <si>
    <t>O=C1O[C@H]2CCC[C@@H]1C2</t>
  </si>
  <si>
    <t>O=C1O[C@H]2C=CC[C@@H]1C2</t>
  </si>
  <si>
    <t>B3LYP/CBS-QB3</t>
  </si>
  <si>
    <t>6-31G(d)</t>
  </si>
  <si>
    <t>flag</t>
  </si>
  <si>
    <t>CC1CC(=O)OCC(C)(C)C1</t>
  </si>
  <si>
    <t>6-31G(d,p)</t>
  </si>
  <si>
    <t>values</t>
  </si>
  <si>
    <t>wrong units in the SI - updated</t>
  </si>
  <si>
    <t>CC1COC(=O)CC(C)(C)C1</t>
  </si>
  <si>
    <t>O=C1COC(=O)CO1</t>
  </si>
  <si>
    <t>C[C@@H]1OC(=O)[C@H](C)OC1=O</t>
  </si>
  <si>
    <t>C[C@@H]1OC(=O)[C@@H](C)OC1=O</t>
  </si>
  <si>
    <t>6-31G(d)/6-311++G(d,p)</t>
  </si>
  <si>
    <t>pcm</t>
  </si>
  <si>
    <t>COC(=O)[C@H](C)OC(=O)[C@H](C)OC(C)=O</t>
  </si>
  <si>
    <t>COC(=O)[C@@H](C)OC(=O)[C@H](C)OC(C)=O</t>
  </si>
  <si>
    <t>COC(=O)[C@H](C)OC(=O)[C@H](C)OC(=O)[C@H](C)OC(=O)[C@H](C)OC(C)=O</t>
  </si>
  <si>
    <t>COC(=O)[C@@H](C)OC(=O)[C@H](C)OC(=O)[C@@H](C)OC(=O)[C@H](C)OC(C)=O</t>
  </si>
  <si>
    <t>COC(=O)[C@H](C)OC(=O)[C@@H](C)OC(=O)[C@@H](C)OC(=O)[C@H](C)OC(C)=O</t>
  </si>
  <si>
    <t>COC(=O)[C@@H](C)OC(=O)[C@@H](C)OC(=O)[C@H](C)OC(=O)[C@H](C)OC(C)=O</t>
  </si>
  <si>
    <t>CC1OC(=O)C(C)OC1=O</t>
  </si>
  <si>
    <t>ωB97XD</t>
  </si>
  <si>
    <t>dcm</t>
  </si>
  <si>
    <t>cpcm</t>
  </si>
  <si>
    <t>CC(C)O</t>
  </si>
  <si>
    <t>COC(=O)OC</t>
  </si>
  <si>
    <t>CO[C@@H]2C[C@H]1OC(=O)OC[C@H]1O2</t>
  </si>
  <si>
    <t>CO[C@H]2C[C@H]1OC(=O)OC[C@H]1O2</t>
  </si>
  <si>
    <t>O=C1OCCCO1</t>
  </si>
  <si>
    <t>COC(=O)OC[C@H]1O[C@H](OC)C[C@H]1O</t>
  </si>
  <si>
    <t>COC(=O)OC[C@H]1O[C@@H](OC)C[C@H]1O</t>
  </si>
  <si>
    <t>COC(=O)O[C@@H]1C[C@@H](OC)O[C@@H]1CO</t>
  </si>
  <si>
    <t>COC(=O)O[C@@H]1C[C@H](OC)O[C@@H]1CO</t>
  </si>
  <si>
    <t>files available here: https://figshare.com/s/3526b5b0098c3b18c4df</t>
  </si>
  <si>
    <t>CO[C@H]1C[C@@H](OC(=O)OC(C)C)[C@@H](CO)O1</t>
  </si>
  <si>
    <t>CO[C@@H]1C[C@@H](OC(=O)OC(C)C)[C@@H](CO)O1</t>
  </si>
  <si>
    <t>CO[C@@H]1C[C@@H](O)[C@@H](COC(=O)OC(C)C)O1</t>
  </si>
  <si>
    <t>CO[C@H]1C[C@@H](O)[C@@H](COC(=O)OC(C)C)O1</t>
  </si>
  <si>
    <t>data available here: https://figshare.com/s/b3e1a28fc8658a133afb</t>
  </si>
  <si>
    <t>Cc3cn([C@H]2C[C@@H]1OC(=O)OC[C@H]1O2)c(=O)n(C)c3=O</t>
  </si>
  <si>
    <t>Cc3cn([C@H]2C[C@H]1OC(=O)OC[C@H]1O2)c(=O)n(C)c3=O</t>
  </si>
  <si>
    <t>Cc4cn([C@H]2C[C@H]1OC(=O)OC[C@H]1O2)c(=O)n(Cc3ccccc3)c4=O</t>
  </si>
  <si>
    <t>CC3(C)O[C@H]2O[C@@H]1COC(=O)O[C@@H]1[C@H]2O3</t>
  </si>
  <si>
    <t>data available here: https://figshare.com/s/f64826384c01aca6289f</t>
  </si>
  <si>
    <t>data available here: https://figshare.com/s/7420dc1db475151e7968</t>
  </si>
  <si>
    <t>COC(=O)OC[C@H]2O[C@@H](n1cc(C)c(=O)n(C)c1=O)C[C@@H]2O</t>
  </si>
  <si>
    <t>Cc2cn([C@H]1C[C@H](O)[C@@H](COC(=O)OC(C)C)O1)c(=O)n(C)c2=O</t>
  </si>
  <si>
    <t>COC(=O)OC[C@H]2O[C@@H](n1cc(C)c(=O)n(C)c1=O)C[C@H]2O</t>
  </si>
  <si>
    <t>Cc2cn([C@H]1C[C@@H](O)[C@@H](COC(=O)OC(C)C)O1)c(=O)n(C)c2=O</t>
  </si>
  <si>
    <t>COC(=O)O[C@H]2C[C@H](n1cc(C)c(=O)n(C)c1=O)O[C@@H]2CO</t>
  </si>
  <si>
    <t>Cc2cn([C@H]1C[C@H](OC(=O)OC(C)C)[C@@H](CO)O1)c(=O)n(C)c2=O</t>
  </si>
  <si>
    <t>Cc2cn([C@H]1C[C@@H](OC(=O)OC(C)C)[C@@H](CO)O1)c(=O)n(C)c2=O</t>
  </si>
  <si>
    <t>COC(=O)O[C@@H]2C[C@H](n1cc(C)c(=O)n(C)c1=O)O[C@@H]2CO</t>
  </si>
  <si>
    <t>COC(=O)OC[C@H]2O[C@@H]1OC(C)(C)O[C@@H]1[C@H]2O</t>
  </si>
  <si>
    <t>CC(C)OC(=O)OC[C@H]2O[C@@H]1OC(C)(C)O[C@@H]1[C@H]2O</t>
  </si>
  <si>
    <t>COC(=O)O[C@H]2[C@@H](CO)O[C@@H]1OC(C)(C)O[C@@H]12</t>
  </si>
  <si>
    <t>CC(C)OC(=O)O[C@H]2[C@@H](CO)O[C@@H]1OC(C)(C)O[C@@H]12</t>
  </si>
  <si>
    <t>CC(C)(C)OC(=O)N1CCOC(=O)C1</t>
  </si>
  <si>
    <t>CCCCOC(=O)N1CCOC(=O)C1</t>
  </si>
  <si>
    <t>O=C2CN(C(=O)OCc1ccccc1)CCO2</t>
  </si>
  <si>
    <t>O=C2CN(C(=O)Oc1ccccc1)CCO2</t>
  </si>
  <si>
    <t>toluene</t>
  </si>
  <si>
    <t>M062X</t>
  </si>
  <si>
    <t>CH2Cl2</t>
  </si>
  <si>
    <t>6-311+G(2d,p)</t>
  </si>
  <si>
    <t>6-31+G(d)</t>
  </si>
  <si>
    <t>DCM</t>
  </si>
  <si>
    <t>COC(=S)SC</t>
  </si>
  <si>
    <t>COC(=O)SC</t>
  </si>
  <si>
    <t>COC(=S)OC</t>
  </si>
  <si>
    <t>O=C2O[C@H]1C=CCO[C@@H]1CS2</t>
  </si>
  <si>
    <t>S=C2O[C@H]1CCCO[C@@H]1CS2</t>
  </si>
  <si>
    <t>O=C2O[C@H]1CCCO[C@@H]1CS2</t>
  </si>
  <si>
    <t>S=C2OC[C@H]1OCCC[C@@H]1O2</t>
  </si>
  <si>
    <t>O=C2OC[C@H]1OCCC[C@@H]1O2</t>
  </si>
  <si>
    <t>COC(=S)O[C@H]1C=CCO[C@@H]1CSC(=S)SC</t>
  </si>
  <si>
    <t>COC(=S)O[C@H]1CCCO[C@@H]1CSC(=S)SC</t>
  </si>
  <si>
    <t>COC(=O)SC[C@H]1OCCC[C@@H]1OC(=O)SC</t>
  </si>
  <si>
    <t>COC(=S)OC[C@H]1OCCC[C@@H]1OC(=S)OC</t>
  </si>
  <si>
    <t>COC(=O)OC[C@H]1OCCC[C@@H]1OC(=O)OC</t>
  </si>
  <si>
    <t>RCE</t>
  </si>
  <si>
    <t>other</t>
  </si>
  <si>
    <t>CC1CCCC(=O)O1</t>
  </si>
  <si>
    <t>CCCCCC1CCCC(=O)O1</t>
  </si>
  <si>
    <t>O=C1CCCCCCCCCCCCCCO1</t>
  </si>
  <si>
    <t>smd</t>
  </si>
  <si>
    <t>CGenFF</t>
  </si>
  <si>
    <t>CCCNC(=O)N1CCOC(=O)CC1</t>
  </si>
  <si>
    <t>CC(C)NC(=O)N1CCOC(=O)CC1</t>
  </si>
  <si>
    <t>CCN(CC)C(=O)N1CCOC(=O)CC1</t>
  </si>
  <si>
    <t>O=C2CCN(C(=O)N1CCCC1)CCO2</t>
  </si>
  <si>
    <t>CCOC(=O)N1CCOC(=O)CC1</t>
  </si>
  <si>
    <t>method_calc</t>
  </si>
  <si>
    <t>energies for 2 monomers</t>
  </si>
  <si>
    <t>normalisation</t>
  </si>
  <si>
    <t>yes</t>
  </si>
  <si>
    <t>RPED</t>
  </si>
  <si>
    <t>no</t>
  </si>
  <si>
    <t>energies calculated using energy increment of the rpeating unit,i.e. E(n)-E(n-1)-E(M)</t>
  </si>
  <si>
    <t>PCFF</t>
  </si>
  <si>
    <t>CC1CCC(=O)O1</t>
  </si>
  <si>
    <t>CC1(C)OC(=O)C(C)(C)OC1=O</t>
  </si>
  <si>
    <t>unspecified</t>
  </si>
  <si>
    <t>using Discover software with Insight interface, and the Polymer Consortium Force Field, energies calculated using E=E(5)-E(4)-E(M)</t>
  </si>
  <si>
    <t>IE_avg</t>
  </si>
  <si>
    <t>using an average of linear polyme chain length between n=2 and n=5</t>
  </si>
  <si>
    <t>advDFT</t>
  </si>
  <si>
    <t>10.1016/j.xcrp.2024.101910</t>
  </si>
  <si>
    <t>CC</t>
  </si>
  <si>
    <t>COOC</t>
  </si>
  <si>
    <t>OCc1ccccc1</t>
  </si>
  <si>
    <t>RER</t>
  </si>
  <si>
    <t>IE_n</t>
  </si>
  <si>
    <t>B3LYP/M06-2X</t>
  </si>
  <si>
    <t>6-31G(d)/def2-TZVP</t>
  </si>
  <si>
    <t>D3BJ/D3</t>
  </si>
  <si>
    <t>D3BJ/D4</t>
  </si>
  <si>
    <t>D3BJ/D5</t>
  </si>
  <si>
    <t>D3BJ/D6</t>
  </si>
  <si>
    <t>D3BJ/D7</t>
  </si>
  <si>
    <t>D3BJ/D8</t>
  </si>
  <si>
    <t>extrapolated using L values L = 2, 3, 4, 6, 8</t>
  </si>
  <si>
    <t>extrapolated using L values L = 3, 4, 6, 8</t>
  </si>
  <si>
    <t>D3BJ/D9</t>
  </si>
  <si>
    <t>MIR</t>
  </si>
  <si>
    <t>topology</t>
  </si>
  <si>
    <t>linear</t>
  </si>
  <si>
    <t>cyclic</t>
  </si>
  <si>
    <t>IE_exp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</si>
</sst>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4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17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17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17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17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17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8">
    <xf numFmtId="0" fontId="0" fillId="0" borderId="0" xfId="0"/>
    <xf numFmtId="49" fontId="0" fillId="34" borderId="0" xfId="0" applyNumberFormat="1" applyFill="1"/>
    <xf numFmtId="0" fontId="0" fillId="34" borderId="0" xfId="0" applyFill="1"/>
    <xf numFmtId="0" fontId="0" fillId="35" borderId="0" xfId="0" applyFill="1"/>
    <xf numFmtId="2" fontId="0" fillId="35" borderId="0" xfId="0" applyNumberFormat="1" applyFill="1"/>
    <xf numFmtId="0" fontId="5" fillId="0" borderId="0" xfId="6"/>
    <xf numFmtId="2" fontId="0" fillId="0" borderId="0" xfId="0" applyNumberFormat="1"/>
    <xf numFmtId="0" fontId="18" fillId="0" borderId="0" xfId="43"/>
    <xf numFmtId="0" fontId="0" fillId="0" borderId="0" xfId="0" applyAlignment="1">
      <alignment horizontal="center" vertical="center"/>
    </xf>
    <xf numFmtId="49" fontId="0" fillId="0" borderId="0" xfId="0" applyNumberFormat="1"/>
    <xf numFmtId="2" fontId="0" fillId="34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5" fillId="0" borderId="0" xfId="6" applyNumberFormat="1" applyAlignment="1">
      <alignment horizontal="center"/>
    </xf>
    <xf numFmtId="0" fontId="0" fillId="33" borderId="0" xfId="0" applyFill="1"/>
    <xf numFmtId="0" fontId="0" fillId="0" borderId="0" xfId="6" applyFont="1"/>
    <xf numFmtId="49" fontId="0" fillId="34" borderId="0" xfId="0" applyNumberFormat="1" applyFill="1" applyAlignment="1">
      <alignment horizontal="center"/>
    </xf>
    <xf numFmtId="0" fontId="21" fillId="0" borderId="0" xfId="43" applyFon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34" borderId="0" xfId="0" applyFill="1" applyAlignment="1">
      <alignment horizontal="center"/>
    </xf>
    <xf numFmtId="0" fontId="0" fillId="0" borderId="10" xfId="6" applyFont="1" applyBorder="1"/>
    <xf numFmtId="0" fontId="5" fillId="0" borderId="10" xfId="6" applyBorder="1"/>
    <xf numFmtId="2" fontId="0" fillId="0" borderId="10" xfId="0" applyNumberFormat="1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21" fillId="0" borderId="10" xfId="43" applyFont="1" applyFill="1" applyBorder="1" applyAlignment="1">
      <alignment horizontal="center"/>
    </xf>
    <xf numFmtId="0" fontId="0" fillId="34" borderId="0" xfId="0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5" fillId="0" borderId="10" xfId="6" applyNumberFormat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49" fontId="0" fillId="33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19" fillId="0" borderId="10" xfId="6" applyFont="1" applyBorder="1"/>
    <xf numFmtId="0" fontId="19" fillId="0" borderId="10" xfId="0" applyFont="1" applyBorder="1" applyAlignment="1">
      <alignment horizontal="center" vertical="center"/>
    </xf>
    <xf numFmtId="0" fontId="19" fillId="0" borderId="10" xfId="0" applyFont="1" applyBorder="1"/>
    <xf numFmtId="2" fontId="19" fillId="0" borderId="10" xfId="0" applyNumberFormat="1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49" fontId="19" fillId="0" borderId="10" xfId="0" applyNumberFormat="1" applyFont="1" applyBorder="1" applyAlignment="1">
      <alignment horizontal="center"/>
    </xf>
    <xf numFmtId="0" fontId="0" fillId="0" borderId="11" xfId="6" applyFont="1" applyBorder="1"/>
    <xf numFmtId="0" fontId="0" fillId="0" borderId="11" xfId="0" applyBorder="1" applyAlignment="1">
      <alignment horizontal="center" vertical="center"/>
    </xf>
    <xf numFmtId="0" fontId="5" fillId="0" borderId="11" xfId="6" applyBorder="1"/>
    <xf numFmtId="2" fontId="5" fillId="0" borderId="11" xfId="6" applyNumberFormat="1" applyBorder="1" applyAlignment="1">
      <alignment horizontal="center"/>
    </xf>
    <xf numFmtId="0" fontId="0" fillId="0" borderId="11" xfId="0" applyBorder="1"/>
    <xf numFmtId="2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49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43" applyNumberFormat="1" applyFont="1" applyAlignment="1">
      <alignment horizontal="center" vertical="center"/>
    </xf>
    <xf numFmtId="2" fontId="0" fillId="34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19" fillId="0" borderId="10" xfId="0" applyNumberFormat="1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5" fillId="0" borderId="0" xfId="6" applyAlignment="1">
      <alignment horizontal="center"/>
    </xf>
    <xf numFmtId="0" fontId="5" fillId="0" borderId="10" xfId="6" applyBorder="1" applyAlignment="1">
      <alignment horizontal="center"/>
    </xf>
    <xf numFmtId="0" fontId="20" fillId="0" borderId="0" xfId="0" applyFont="1" applyAlignment="1">
      <alignment horizontal="center" vertical="center"/>
    </xf>
  </cellXfs>
  <cellStyles count="44">
    <cellStyle name="20% - Accent1 2" xfId="20" xr:uid="{B898DE08-9780-4B43-AAE6-ED6E21FB690A}"/>
    <cellStyle name="20% - Accent2 2" xfId="24" xr:uid="{2A4F37AC-79CA-4770-ADA1-D572D5B06FDA}"/>
    <cellStyle name="20% - Accent3 2" xfId="28" xr:uid="{BCA4E94C-6DBD-4868-86F3-4E3FC64E3354}"/>
    <cellStyle name="20% - Accent4 2" xfId="32" xr:uid="{9B49D58B-0567-46F5-ABBD-F76D15CC57DE}"/>
    <cellStyle name="20% - Accent5 2" xfId="36" xr:uid="{06250877-4C4F-47CE-8DA4-232DFF825ED2}"/>
    <cellStyle name="20% - Accent6 2" xfId="40" xr:uid="{90C67AF5-666C-44F4-99B6-B930452DE02C}"/>
    <cellStyle name="40% - Accent1 2" xfId="21" xr:uid="{86BAE27D-033B-4F55-826D-57203012EFB2}"/>
    <cellStyle name="40% - Accent2 2" xfId="25" xr:uid="{C88E9C04-4B83-43C4-ADE6-64D616CC45E0}"/>
    <cellStyle name="40% - Accent3 2" xfId="29" xr:uid="{36FD73B0-E802-4426-9C6B-E9C512EEA69B}"/>
    <cellStyle name="40% - Accent4 2" xfId="33" xr:uid="{71593E2D-A4AC-427D-9C73-7F43DACE5437}"/>
    <cellStyle name="40% - Accent5 2" xfId="37" xr:uid="{B77D64C4-00A6-4CA0-A4FF-F19F3232E0DE}"/>
    <cellStyle name="40% - Accent6 2" xfId="41" xr:uid="{136946AD-B7AE-48A9-A4EC-B7BF5228AC39}"/>
    <cellStyle name="60% - Accent1 2" xfId="22" xr:uid="{86FC0328-1C98-4C2F-B675-09E677647DFC}"/>
    <cellStyle name="60% - Accent2 2" xfId="26" xr:uid="{E71172E8-32EC-4B86-A643-52D03AC72E83}"/>
    <cellStyle name="60% - Accent3 2" xfId="30" xr:uid="{618247C4-DD25-4E32-ADD1-ED21E9B2FCF6}"/>
    <cellStyle name="60% - Accent4 2" xfId="34" xr:uid="{A8F168AA-0EED-46EC-88F1-D33D719F4112}"/>
    <cellStyle name="60% - Accent5 2" xfId="38" xr:uid="{ECF57E34-1416-49E3-BC4E-E3AF9018C795}"/>
    <cellStyle name="60% - Accent6 2" xfId="42" xr:uid="{7B101CB3-8A0B-4F72-BA22-79E76668CF60}"/>
    <cellStyle name="Accent1 2" xfId="19" xr:uid="{25426C39-6547-4544-AECC-0B13F64BC5F4}"/>
    <cellStyle name="Accent2 2" xfId="23" xr:uid="{D83A84B1-2A21-4E37-8B4D-B71C086D6C19}"/>
    <cellStyle name="Accent3 2" xfId="27" xr:uid="{632C9FF1-9D59-4623-AF8B-71C2FE792FA6}"/>
    <cellStyle name="Accent4 2" xfId="31" xr:uid="{5A97DB8E-EBA2-4B6E-9787-30E0537E4986}"/>
    <cellStyle name="Accent5 2" xfId="35" xr:uid="{2C5004E9-B473-45D9-A59E-D5C323BCEB03}"/>
    <cellStyle name="Accent6 2" xfId="39" xr:uid="{6204CAF2-B152-416B-A761-FE11F58B1D0D}"/>
    <cellStyle name="Bad 2" xfId="8" xr:uid="{BBA70CAE-6213-47C5-973F-8E78FF325E27}"/>
    <cellStyle name="Calculation 2" xfId="12" xr:uid="{7C8C9345-BF51-44E1-BA94-0938EB2219C7}"/>
    <cellStyle name="Check Cell 2" xfId="14" xr:uid="{7CE43755-FD3A-49D3-A24E-F1B1886ABF7E}"/>
    <cellStyle name="Explanatory Text 2" xfId="17" xr:uid="{9FBAB03A-764F-44A3-BA70-03BADCD1484E}"/>
    <cellStyle name="Good 2" xfId="7" xr:uid="{4869BDE9-7857-41DA-970F-CAC67692A238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 2" xfId="10" xr:uid="{F57FA74E-258F-46E9-8227-9A30C3195044}"/>
    <cellStyle name="Linked Cell 2" xfId="13" xr:uid="{72EF05D1-0C1D-43BA-8C88-DFC909F2A93F}"/>
    <cellStyle name="Neutral 2" xfId="9" xr:uid="{954900AA-DD0C-4E42-BA4A-F992B78362B3}"/>
    <cellStyle name="Normal" xfId="0" builtinId="0"/>
    <cellStyle name="Normal 2" xfId="6" xr:uid="{8CB0FA23-5D8E-4E4F-96CC-A56120F27705}"/>
    <cellStyle name="Note 2" xfId="16" xr:uid="{2966D391-7485-4994-8CC1-E0A7C355D62A}"/>
    <cellStyle name="Output 2" xfId="11" xr:uid="{5F998537-D3FB-4F0E-8544-DC52EA7FC1B4}"/>
    <cellStyle name="Title" xfId="1" builtinId="15" customBuiltin="1"/>
    <cellStyle name="Total 2" xfId="18" xr:uid="{C930CECF-BE29-4CBD-AB33-FA25A836DED8}"/>
    <cellStyle name="Warning Text 2" xfId="15" xr:uid="{1AC536A1-4291-422D-B1B9-7430C42FBF18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K250"/>
  <sheetViews>
    <sheetView tabSelected="1" topLeftCell="P1" zoomScale="70" zoomScaleNormal="70" workbookViewId="0">
      <pane ySplit="1" topLeftCell="A100" activePane="bottomLeft" state="frozen"/>
      <selection activeCell="E1" sqref="E1"/>
      <selection pane="bottomLeft" activeCell="X118" sqref="X118"/>
    </sheetView>
  </sheetViews>
  <sheetFormatPr defaultRowHeight="14.4" x14ac:dyDescent="0.55000000000000004"/>
  <cols>
    <col min="1" max="1" width="71.15625" bestFit="1" customWidth="1"/>
    <col min="2" max="2" width="20.26171875" style="8" bestFit="1" customWidth="1"/>
    <col min="3" max="3" width="18.26171875" style="8" customWidth="1"/>
    <col min="4" max="4" width="96.26171875" bestFit="1" customWidth="1"/>
    <col min="5" max="5" width="20.15625" style="17" customWidth="1"/>
    <col min="6" max="6" width="22.41796875" style="11" customWidth="1"/>
    <col min="7" max="7" width="19.41796875" style="8" customWidth="1"/>
    <col min="8" max="8" width="15" style="8" customWidth="1"/>
    <col min="9" max="9" width="18.26171875" style="8" customWidth="1"/>
    <col min="10" max="10" width="20.26171875" style="8" customWidth="1"/>
    <col min="11" max="12" width="21.578125" customWidth="1"/>
    <col min="13" max="13" width="18.578125" style="8" customWidth="1"/>
    <col min="14" max="14" width="16.26171875" style="8" customWidth="1"/>
    <col min="15" max="17" width="19" style="8" customWidth="1"/>
    <col min="18" max="18" width="15.68359375" customWidth="1"/>
    <col min="19" max="19" width="21.15625" style="11" customWidth="1"/>
    <col min="20" max="20" width="20" style="51" customWidth="1"/>
    <col min="21" max="21" width="21.26171875" bestFit="1" customWidth="1"/>
    <col min="22" max="22" width="8.68359375" style="11" bestFit="1" customWidth="1"/>
    <col min="23" max="23" width="13.41796875" style="17" customWidth="1"/>
    <col min="24" max="24" width="33" style="17" bestFit="1" customWidth="1"/>
    <col min="25" max="25" width="16.83984375" customWidth="1"/>
    <col min="26" max="26" width="32.15625" style="8" customWidth="1"/>
    <col min="27" max="27" width="33.26171875" style="8" customWidth="1"/>
    <col min="28" max="28" width="26.68359375" style="8" customWidth="1"/>
    <col min="29" max="29" width="24.41796875" style="8" customWidth="1"/>
    <col min="30" max="30" width="16.83984375" style="8" customWidth="1"/>
    <col min="31" max="31" width="135.41796875" style="8" bestFit="1" customWidth="1"/>
  </cols>
  <sheetData>
    <row r="1" spans="1:37" x14ac:dyDescent="0.55000000000000004">
      <c r="A1" s="13" t="s">
        <v>0</v>
      </c>
      <c r="B1" s="33" t="s">
        <v>1</v>
      </c>
      <c r="C1" s="30" t="s">
        <v>2</v>
      </c>
      <c r="D1" s="1" t="s">
        <v>3</v>
      </c>
      <c r="E1" s="15" t="s">
        <v>196</v>
      </c>
      <c r="F1" s="10" t="s">
        <v>27</v>
      </c>
      <c r="G1" s="26" t="s">
        <v>4</v>
      </c>
      <c r="H1" s="26" t="s">
        <v>43</v>
      </c>
      <c r="I1" s="26" t="s">
        <v>5</v>
      </c>
      <c r="J1" s="26" t="s">
        <v>22</v>
      </c>
      <c r="K1" s="2" t="s">
        <v>6</v>
      </c>
      <c r="L1" s="2" t="s">
        <v>7</v>
      </c>
      <c r="M1" s="26" t="s">
        <v>8</v>
      </c>
      <c r="N1" s="26" t="s">
        <v>9</v>
      </c>
      <c r="O1" s="26" t="s">
        <v>10</v>
      </c>
      <c r="P1" s="26" t="s">
        <v>163</v>
      </c>
      <c r="Q1" s="26" t="s">
        <v>165</v>
      </c>
      <c r="R1" s="2" t="s">
        <v>55</v>
      </c>
      <c r="S1" s="10" t="s">
        <v>11</v>
      </c>
      <c r="T1" s="50" t="s">
        <v>12</v>
      </c>
      <c r="U1" s="2" t="s">
        <v>13</v>
      </c>
      <c r="V1" s="10" t="s">
        <v>30</v>
      </c>
      <c r="W1" s="19" t="s">
        <v>14</v>
      </c>
      <c r="X1" s="15" t="s">
        <v>15</v>
      </c>
      <c r="Y1" s="2" t="s">
        <v>16</v>
      </c>
      <c r="Z1" s="26" t="s">
        <v>23</v>
      </c>
      <c r="AA1" s="26" t="s">
        <v>24</v>
      </c>
      <c r="AB1" s="26" t="s">
        <v>25</v>
      </c>
      <c r="AC1" s="26" t="s">
        <v>26</v>
      </c>
      <c r="AD1" s="26" t="s">
        <v>74</v>
      </c>
      <c r="AE1" s="26" t="s">
        <v>21</v>
      </c>
      <c r="AF1" s="3" t="s">
        <v>28</v>
      </c>
      <c r="AG1" s="4" t="s">
        <v>29</v>
      </c>
      <c r="AH1" s="3" t="s">
        <v>17</v>
      </c>
      <c r="AI1" s="3" t="s">
        <v>18</v>
      </c>
      <c r="AJ1" s="3" t="s">
        <v>19</v>
      </c>
      <c r="AK1" s="3" t="s">
        <v>20</v>
      </c>
    </row>
    <row r="2" spans="1:37" x14ac:dyDescent="0.55000000000000004">
      <c r="A2" t="s">
        <v>44</v>
      </c>
      <c r="B2" s="8" t="s">
        <v>45</v>
      </c>
      <c r="C2" s="31" t="s">
        <v>46</v>
      </c>
      <c r="D2" s="9"/>
      <c r="E2" s="18" t="s">
        <v>197</v>
      </c>
      <c r="F2" s="11">
        <v>1</v>
      </c>
      <c r="G2" s="8" t="s">
        <v>47</v>
      </c>
      <c r="H2" s="8" t="s">
        <v>48</v>
      </c>
      <c r="M2" s="8">
        <v>298.14999999999998</v>
      </c>
      <c r="O2" s="8" t="s">
        <v>177</v>
      </c>
      <c r="P2" s="8" t="s">
        <v>167</v>
      </c>
      <c r="Q2" s="8" t="s">
        <v>166</v>
      </c>
      <c r="S2" s="11">
        <f>4.184*-15.4</f>
        <v>-64.433599999999998</v>
      </c>
      <c r="V2" s="11">
        <f>4.184*-2.4</f>
        <v>-10.041600000000001</v>
      </c>
      <c r="W2" s="17">
        <v>2009</v>
      </c>
      <c r="X2" s="16" t="s">
        <v>42</v>
      </c>
      <c r="Z2" s="8" t="s">
        <v>57</v>
      </c>
      <c r="AA2" s="8" t="s">
        <v>58</v>
      </c>
      <c r="AG2" s="6"/>
    </row>
    <row r="3" spans="1:37" x14ac:dyDescent="0.55000000000000004">
      <c r="A3" t="s">
        <v>44</v>
      </c>
      <c r="B3" s="8" t="s">
        <v>45</v>
      </c>
      <c r="C3" s="31" t="s">
        <v>46</v>
      </c>
      <c r="D3" s="9"/>
      <c r="E3" s="18" t="s">
        <v>197</v>
      </c>
      <c r="F3" s="11">
        <v>1</v>
      </c>
      <c r="G3" s="8" t="s">
        <v>47</v>
      </c>
      <c r="H3" s="8" t="s">
        <v>5</v>
      </c>
      <c r="I3" s="8" t="s">
        <v>49</v>
      </c>
      <c r="J3" s="8" t="s">
        <v>51</v>
      </c>
      <c r="M3" s="8">
        <v>298.14999999999998</v>
      </c>
      <c r="O3" s="8" t="s">
        <v>177</v>
      </c>
      <c r="P3" s="8" t="s">
        <v>167</v>
      </c>
      <c r="Q3" s="8" t="s">
        <v>166</v>
      </c>
      <c r="S3" s="11">
        <f>4.184*-9.6</f>
        <v>-40.166400000000003</v>
      </c>
      <c r="V3" s="11">
        <f>4.184*-1.7</f>
        <v>-7.1128</v>
      </c>
      <c r="W3" s="17">
        <v>2009</v>
      </c>
      <c r="X3" s="16" t="s">
        <v>42</v>
      </c>
      <c r="Z3" s="8" t="s">
        <v>57</v>
      </c>
      <c r="AG3" s="6"/>
    </row>
    <row r="4" spans="1:37" x14ac:dyDescent="0.55000000000000004">
      <c r="A4" t="s">
        <v>44</v>
      </c>
      <c r="B4" s="8" t="s">
        <v>45</v>
      </c>
      <c r="C4" s="31" t="s">
        <v>46</v>
      </c>
      <c r="D4" s="9"/>
      <c r="E4" s="18" t="s">
        <v>197</v>
      </c>
      <c r="F4" s="11">
        <v>1</v>
      </c>
      <c r="G4" s="8" t="s">
        <v>47</v>
      </c>
      <c r="H4" s="8" t="s">
        <v>5</v>
      </c>
      <c r="I4" s="8" t="s">
        <v>50</v>
      </c>
      <c r="J4" s="8" t="s">
        <v>51</v>
      </c>
      <c r="M4" s="8">
        <v>298.14999999999998</v>
      </c>
      <c r="O4" s="8" t="s">
        <v>177</v>
      </c>
      <c r="P4" s="8" t="s">
        <v>167</v>
      </c>
      <c r="Q4" s="8" t="s">
        <v>166</v>
      </c>
      <c r="S4" s="11">
        <f>4.184*-10</f>
        <v>-41.84</v>
      </c>
      <c r="V4" s="11">
        <f>4.184*-2.3</f>
        <v>-9.6231999999999989</v>
      </c>
      <c r="W4" s="17">
        <v>2009</v>
      </c>
      <c r="X4" s="16" t="s">
        <v>42</v>
      </c>
      <c r="Z4" s="8" t="s">
        <v>57</v>
      </c>
      <c r="AG4" s="6"/>
    </row>
    <row r="5" spans="1:37" x14ac:dyDescent="0.55000000000000004">
      <c r="A5" t="s">
        <v>52</v>
      </c>
      <c r="B5" s="8" t="s">
        <v>45</v>
      </c>
      <c r="C5" s="31" t="s">
        <v>46</v>
      </c>
      <c r="D5" s="9"/>
      <c r="E5" s="18" t="s">
        <v>197</v>
      </c>
      <c r="F5" s="11">
        <v>1</v>
      </c>
      <c r="G5" s="8" t="s">
        <v>47</v>
      </c>
      <c r="H5" s="8" t="s">
        <v>48</v>
      </c>
      <c r="M5" s="8">
        <v>298.14999999999998</v>
      </c>
      <c r="O5" s="8" t="s">
        <v>177</v>
      </c>
      <c r="P5" s="8" t="s">
        <v>167</v>
      </c>
      <c r="Q5" s="8" t="s">
        <v>166</v>
      </c>
      <c r="S5" s="11">
        <f>4.184*-13.2</f>
        <v>-55.2288</v>
      </c>
      <c r="V5" s="11">
        <f>4.184*-0.5</f>
        <v>-2.0920000000000001</v>
      </c>
      <c r="W5" s="17">
        <v>2009</v>
      </c>
      <c r="X5" s="16" t="s">
        <v>42</v>
      </c>
      <c r="Z5" s="8" t="s">
        <v>57</v>
      </c>
      <c r="AG5" s="6"/>
    </row>
    <row r="6" spans="1:37" ht="15.6" x14ac:dyDescent="0.6">
      <c r="A6" s="14" t="s">
        <v>52</v>
      </c>
      <c r="B6" s="8" t="s">
        <v>45</v>
      </c>
      <c r="C6" s="31" t="s">
        <v>46</v>
      </c>
      <c r="D6" s="5"/>
      <c r="E6" s="55" t="s">
        <v>197</v>
      </c>
      <c r="F6" s="11">
        <v>1</v>
      </c>
      <c r="G6" s="8" t="s">
        <v>47</v>
      </c>
      <c r="H6" s="8" t="s">
        <v>5</v>
      </c>
      <c r="I6" s="8" t="s">
        <v>49</v>
      </c>
      <c r="J6" s="8" t="s">
        <v>51</v>
      </c>
      <c r="M6" s="8">
        <v>298.14999999999998</v>
      </c>
      <c r="O6" s="8" t="s">
        <v>177</v>
      </c>
      <c r="P6" s="8" t="s">
        <v>167</v>
      </c>
      <c r="Q6" s="8" t="s">
        <v>166</v>
      </c>
      <c r="S6" s="12">
        <f>4.184*-8.5</f>
        <v>-35.564</v>
      </c>
      <c r="V6" s="11">
        <f>4.184*-0.8</f>
        <v>-3.3472000000000004</v>
      </c>
      <c r="W6" s="17">
        <v>2009</v>
      </c>
      <c r="X6" s="16" t="s">
        <v>42</v>
      </c>
      <c r="Z6" s="8" t="s">
        <v>57</v>
      </c>
    </row>
    <row r="7" spans="1:37" ht="15.6" x14ac:dyDescent="0.6">
      <c r="A7" s="14" t="s">
        <v>52</v>
      </c>
      <c r="B7" s="8" t="s">
        <v>45</v>
      </c>
      <c r="C7" s="31" t="s">
        <v>46</v>
      </c>
      <c r="D7" s="5"/>
      <c r="E7" s="55" t="s">
        <v>197</v>
      </c>
      <c r="F7" s="11">
        <v>1</v>
      </c>
      <c r="G7" s="8" t="s">
        <v>47</v>
      </c>
      <c r="H7" s="8" t="s">
        <v>5</v>
      </c>
      <c r="I7" s="8" t="s">
        <v>50</v>
      </c>
      <c r="J7" s="8" t="s">
        <v>51</v>
      </c>
      <c r="M7" s="8">
        <v>298.14999999999998</v>
      </c>
      <c r="O7" s="8" t="s">
        <v>177</v>
      </c>
      <c r="P7" s="8" t="s">
        <v>167</v>
      </c>
      <c r="Q7" s="8" t="s">
        <v>166</v>
      </c>
      <c r="S7" s="12">
        <f>4.184*-8.2</f>
        <v>-34.308799999999998</v>
      </c>
      <c r="V7" s="11">
        <f>4.184*-1</f>
        <v>-4.1840000000000002</v>
      </c>
      <c r="W7" s="17">
        <v>2009</v>
      </c>
      <c r="X7" s="16" t="s">
        <v>42</v>
      </c>
      <c r="Z7" s="8" t="s">
        <v>57</v>
      </c>
    </row>
    <row r="8" spans="1:37" ht="15.6" x14ac:dyDescent="0.6">
      <c r="A8" s="14" t="s">
        <v>53</v>
      </c>
      <c r="B8" s="8" t="s">
        <v>45</v>
      </c>
      <c r="C8" s="31" t="s">
        <v>46</v>
      </c>
      <c r="D8" s="5"/>
      <c r="E8" s="55" t="s">
        <v>197</v>
      </c>
      <c r="F8" s="11">
        <v>1</v>
      </c>
      <c r="G8" s="8" t="s">
        <v>47</v>
      </c>
      <c r="H8" s="8" t="s">
        <v>48</v>
      </c>
      <c r="M8" s="8">
        <v>298.14999999999998</v>
      </c>
      <c r="O8" s="8" t="s">
        <v>177</v>
      </c>
      <c r="P8" s="8" t="s">
        <v>167</v>
      </c>
      <c r="Q8" s="8" t="s">
        <v>166</v>
      </c>
      <c r="S8" s="12">
        <f>4.184*-16.2</f>
        <v>-67.780799999999999</v>
      </c>
      <c r="V8" s="11">
        <f>4.184*-1.9</f>
        <v>-7.9496000000000002</v>
      </c>
      <c r="W8" s="17">
        <v>2009</v>
      </c>
      <c r="X8" s="16" t="s">
        <v>42</v>
      </c>
      <c r="Z8" s="8" t="s">
        <v>57</v>
      </c>
    </row>
    <row r="9" spans="1:37" ht="15.6" x14ac:dyDescent="0.6">
      <c r="A9" s="14" t="s">
        <v>53</v>
      </c>
      <c r="B9" s="8" t="s">
        <v>45</v>
      </c>
      <c r="C9" s="31" t="s">
        <v>46</v>
      </c>
      <c r="D9" s="5"/>
      <c r="E9" s="55" t="s">
        <v>197</v>
      </c>
      <c r="F9" s="11">
        <v>1</v>
      </c>
      <c r="G9" s="8" t="s">
        <v>47</v>
      </c>
      <c r="H9" s="8" t="s">
        <v>5</v>
      </c>
      <c r="I9" s="8" t="s">
        <v>49</v>
      </c>
      <c r="J9" s="8" t="s">
        <v>51</v>
      </c>
      <c r="M9" s="8">
        <v>298.14999999999998</v>
      </c>
      <c r="O9" s="8" t="s">
        <v>177</v>
      </c>
      <c r="P9" s="8" t="s">
        <v>167</v>
      </c>
      <c r="Q9" s="8" t="s">
        <v>166</v>
      </c>
      <c r="S9" s="12">
        <f>4.184*-12.6</f>
        <v>-52.718400000000003</v>
      </c>
      <c r="V9" s="11">
        <f>4.184*-2.7</f>
        <v>-11.296800000000001</v>
      </c>
      <c r="W9" s="17">
        <v>2009</v>
      </c>
      <c r="X9" s="16" t="s">
        <v>42</v>
      </c>
      <c r="Z9" s="8" t="s">
        <v>57</v>
      </c>
    </row>
    <row r="10" spans="1:37" ht="15.6" x14ac:dyDescent="0.6">
      <c r="A10" s="14" t="s">
        <v>53</v>
      </c>
      <c r="B10" s="8" t="s">
        <v>45</v>
      </c>
      <c r="C10" s="31" t="s">
        <v>46</v>
      </c>
      <c r="D10" s="5"/>
      <c r="E10" s="55" t="s">
        <v>197</v>
      </c>
      <c r="F10" s="11">
        <v>1</v>
      </c>
      <c r="G10" s="8" t="s">
        <v>47</v>
      </c>
      <c r="H10" s="8" t="s">
        <v>5</v>
      </c>
      <c r="I10" s="8" t="s">
        <v>50</v>
      </c>
      <c r="J10" s="8" t="s">
        <v>51</v>
      </c>
      <c r="M10" s="8">
        <v>298.14999999999998</v>
      </c>
      <c r="O10" s="8" t="s">
        <v>177</v>
      </c>
      <c r="P10" s="8" t="s">
        <v>167</v>
      </c>
      <c r="Q10" s="8" t="s">
        <v>166</v>
      </c>
      <c r="S10" s="12">
        <f>4.184*-12.2</f>
        <v>-51.044800000000002</v>
      </c>
      <c r="V10" s="11">
        <f>4.184*-2.5</f>
        <v>-10.46</v>
      </c>
      <c r="W10" s="17">
        <v>2009</v>
      </c>
      <c r="X10" s="16" t="s">
        <v>42</v>
      </c>
      <c r="Z10" s="8" t="s">
        <v>57</v>
      </c>
    </row>
    <row r="11" spans="1:37" ht="15.6" x14ac:dyDescent="0.6">
      <c r="A11" s="14" t="s">
        <v>54</v>
      </c>
      <c r="B11" s="8" t="s">
        <v>45</v>
      </c>
      <c r="C11" s="31" t="s">
        <v>46</v>
      </c>
      <c r="D11" s="5"/>
      <c r="E11" s="55" t="s">
        <v>197</v>
      </c>
      <c r="F11" s="11">
        <v>1</v>
      </c>
      <c r="G11" s="8" t="s">
        <v>47</v>
      </c>
      <c r="H11" s="8" t="s">
        <v>48</v>
      </c>
      <c r="M11" s="8">
        <v>298.14999999999998</v>
      </c>
      <c r="O11" s="8" t="s">
        <v>177</v>
      </c>
      <c r="P11" s="8" t="s">
        <v>167</v>
      </c>
      <c r="Q11" s="8" t="s">
        <v>166</v>
      </c>
      <c r="S11" s="12">
        <f>4.184*-11.5</f>
        <v>-48.116</v>
      </c>
      <c r="V11" s="11">
        <f>4.184*1.2</f>
        <v>5.0208000000000004</v>
      </c>
      <c r="W11" s="17">
        <v>2009</v>
      </c>
      <c r="X11" s="16" t="s">
        <v>42</v>
      </c>
      <c r="Z11" s="8" t="s">
        <v>57</v>
      </c>
    </row>
    <row r="12" spans="1:37" ht="15.6" x14ac:dyDescent="0.6">
      <c r="A12" s="14" t="s">
        <v>54</v>
      </c>
      <c r="B12" s="8" t="s">
        <v>45</v>
      </c>
      <c r="C12" s="31" t="s">
        <v>46</v>
      </c>
      <c r="D12" s="5"/>
      <c r="E12" s="55" t="s">
        <v>197</v>
      </c>
      <c r="F12" s="11">
        <v>1</v>
      </c>
      <c r="G12" s="8" t="s">
        <v>47</v>
      </c>
      <c r="H12" s="8" t="s">
        <v>5</v>
      </c>
      <c r="I12" s="8" t="s">
        <v>49</v>
      </c>
      <c r="J12" s="8" t="s">
        <v>51</v>
      </c>
      <c r="M12" s="8">
        <v>298.14999999999998</v>
      </c>
      <c r="O12" s="8" t="s">
        <v>177</v>
      </c>
      <c r="P12" s="8" t="s">
        <v>167</v>
      </c>
      <c r="Q12" s="8" t="s">
        <v>166</v>
      </c>
      <c r="S12" s="12">
        <f>4.184*-9.4</f>
        <v>-39.329600000000006</v>
      </c>
      <c r="V12" s="11">
        <f>4.184*2.8</f>
        <v>11.715199999999999</v>
      </c>
      <c r="W12" s="17">
        <v>2009</v>
      </c>
      <c r="X12" s="16" t="s">
        <v>42</v>
      </c>
      <c r="Z12" s="8" t="s">
        <v>57</v>
      </c>
    </row>
    <row r="13" spans="1:37" s="23" customFormat="1" ht="15.6" x14ac:dyDescent="0.6">
      <c r="A13" s="20" t="s">
        <v>54</v>
      </c>
      <c r="B13" s="27" t="s">
        <v>45</v>
      </c>
      <c r="C13" s="32" t="s">
        <v>46</v>
      </c>
      <c r="D13" s="21"/>
      <c r="E13" s="56" t="s">
        <v>197</v>
      </c>
      <c r="F13" s="22">
        <v>1</v>
      </c>
      <c r="G13" s="27" t="s">
        <v>47</v>
      </c>
      <c r="H13" s="27" t="s">
        <v>5</v>
      </c>
      <c r="I13" s="27" t="s">
        <v>50</v>
      </c>
      <c r="J13" s="27" t="s">
        <v>51</v>
      </c>
      <c r="M13" s="27">
        <v>298.14999999999998</v>
      </c>
      <c r="N13" s="27"/>
      <c r="O13" s="27" t="s">
        <v>177</v>
      </c>
      <c r="P13" s="27" t="s">
        <v>167</v>
      </c>
      <c r="Q13" s="27" t="s">
        <v>166</v>
      </c>
      <c r="S13" s="28">
        <f>4.184*-9.1</f>
        <v>-38.074399999999997</v>
      </c>
      <c r="T13" s="52"/>
      <c r="V13" s="22">
        <f>4.184*2.9</f>
        <v>12.133599999999999</v>
      </c>
      <c r="W13" s="24">
        <v>2009</v>
      </c>
      <c r="X13" s="25" t="s">
        <v>42</v>
      </c>
      <c r="Z13" s="27" t="s">
        <v>57</v>
      </c>
      <c r="AA13" s="27"/>
      <c r="AB13" s="27"/>
      <c r="AC13" s="27"/>
      <c r="AD13" s="27"/>
      <c r="AE13" s="27"/>
    </row>
    <row r="14" spans="1:37" ht="15.6" x14ac:dyDescent="0.6">
      <c r="A14" s="14" t="s">
        <v>63</v>
      </c>
      <c r="B14" s="8" t="s">
        <v>45</v>
      </c>
      <c r="C14" s="8" t="b">
        <v>0</v>
      </c>
      <c r="D14" s="5"/>
      <c r="E14" s="55" t="s">
        <v>197</v>
      </c>
      <c r="F14" s="12">
        <v>1</v>
      </c>
      <c r="G14" s="8" t="s">
        <v>62</v>
      </c>
      <c r="H14" s="8" t="s">
        <v>48</v>
      </c>
      <c r="M14" s="8">
        <v>298.14999999999998</v>
      </c>
      <c r="N14" s="8">
        <v>1</v>
      </c>
      <c r="O14" s="8" t="s">
        <v>56</v>
      </c>
      <c r="P14" s="8" t="s">
        <v>167</v>
      </c>
      <c r="Q14" s="8" t="s">
        <v>166</v>
      </c>
      <c r="S14" s="12">
        <v>-17.991199999999999</v>
      </c>
      <c r="V14" s="11">
        <v>25.940800000000003</v>
      </c>
      <c r="W14" s="17">
        <v>2024</v>
      </c>
      <c r="X14" s="18" t="s">
        <v>32</v>
      </c>
      <c r="Z14" s="8" t="s">
        <v>59</v>
      </c>
      <c r="AA14" s="8" t="s">
        <v>60</v>
      </c>
      <c r="AB14" s="8" t="s">
        <v>61</v>
      </c>
    </row>
    <row r="15" spans="1:37" ht="15.6" x14ac:dyDescent="0.6">
      <c r="A15" s="14" t="s">
        <v>64</v>
      </c>
      <c r="B15" s="8" t="s">
        <v>45</v>
      </c>
      <c r="C15" s="8" t="b">
        <v>0</v>
      </c>
      <c r="D15" s="5"/>
      <c r="E15" s="55" t="s">
        <v>197</v>
      </c>
      <c r="F15" s="12">
        <v>1</v>
      </c>
      <c r="G15" s="8" t="s">
        <v>62</v>
      </c>
      <c r="H15" s="8" t="s">
        <v>48</v>
      </c>
      <c r="M15" s="8">
        <v>298.14999999999998</v>
      </c>
      <c r="N15" s="8">
        <v>1</v>
      </c>
      <c r="O15" s="8" t="s">
        <v>56</v>
      </c>
      <c r="P15" s="8" t="s">
        <v>167</v>
      </c>
      <c r="Q15" s="8" t="s">
        <v>166</v>
      </c>
      <c r="S15" s="12">
        <v>-24.267199999999999</v>
      </c>
      <c r="V15" s="11">
        <v>20.92</v>
      </c>
      <c r="W15" s="17">
        <v>2024</v>
      </c>
      <c r="X15" s="18" t="s">
        <v>32</v>
      </c>
      <c r="Z15" s="8" t="s">
        <v>59</v>
      </c>
      <c r="AA15" s="8" t="s">
        <v>60</v>
      </c>
      <c r="AB15" s="8" t="s">
        <v>61</v>
      </c>
    </row>
    <row r="16" spans="1:37" ht="15.6" x14ac:dyDescent="0.6">
      <c r="A16" s="14" t="s">
        <v>54</v>
      </c>
      <c r="B16" s="8" t="s">
        <v>45</v>
      </c>
      <c r="C16" s="8" t="b">
        <v>0</v>
      </c>
      <c r="D16" s="5"/>
      <c r="E16" s="55" t="s">
        <v>197</v>
      </c>
      <c r="F16" s="12">
        <v>1</v>
      </c>
      <c r="G16" s="8" t="s">
        <v>62</v>
      </c>
      <c r="H16" s="8" t="s">
        <v>48</v>
      </c>
      <c r="M16" s="8">
        <v>298.14999999999998</v>
      </c>
      <c r="N16" s="8">
        <v>1</v>
      </c>
      <c r="O16" s="8" t="s">
        <v>56</v>
      </c>
      <c r="P16" s="8" t="s">
        <v>167</v>
      </c>
      <c r="Q16" s="8" t="s">
        <v>166</v>
      </c>
      <c r="S16" s="12">
        <v>-28.869600000000002</v>
      </c>
      <c r="V16" s="11">
        <v>8.3680000000000003</v>
      </c>
      <c r="W16" s="17">
        <v>2024</v>
      </c>
      <c r="X16" s="18" t="s">
        <v>32</v>
      </c>
      <c r="Z16" s="8" t="s">
        <v>59</v>
      </c>
      <c r="AA16" s="8" t="s">
        <v>60</v>
      </c>
      <c r="AB16" s="8" t="s">
        <v>61</v>
      </c>
    </row>
    <row r="17" spans="1:31" ht="15.6" x14ac:dyDescent="0.6">
      <c r="A17" s="14" t="s">
        <v>65</v>
      </c>
      <c r="B17" s="8" t="s">
        <v>45</v>
      </c>
      <c r="C17" s="8" t="b">
        <v>0</v>
      </c>
      <c r="D17" s="5"/>
      <c r="E17" s="55" t="s">
        <v>197</v>
      </c>
      <c r="F17" s="12">
        <v>1</v>
      </c>
      <c r="G17" s="8" t="s">
        <v>62</v>
      </c>
      <c r="H17" s="8" t="s">
        <v>48</v>
      </c>
      <c r="M17" s="8">
        <v>298.14999999999998</v>
      </c>
      <c r="N17" s="8">
        <v>1</v>
      </c>
      <c r="O17" s="8" t="s">
        <v>56</v>
      </c>
      <c r="P17" s="8" t="s">
        <v>167</v>
      </c>
      <c r="Q17" s="8" t="s">
        <v>166</v>
      </c>
      <c r="S17" s="12">
        <v>-43.513600000000004</v>
      </c>
      <c r="V17" s="11">
        <v>1.6736000000000002</v>
      </c>
      <c r="W17" s="17">
        <v>2024</v>
      </c>
      <c r="X17" s="18" t="s">
        <v>32</v>
      </c>
      <c r="Z17" s="8" t="s">
        <v>59</v>
      </c>
      <c r="AA17" s="8" t="s">
        <v>60</v>
      </c>
      <c r="AB17" s="8" t="s">
        <v>61</v>
      </c>
    </row>
    <row r="18" spans="1:31" ht="15.6" x14ac:dyDescent="0.6">
      <c r="A18" s="14" t="s">
        <v>67</v>
      </c>
      <c r="B18" s="8" t="s">
        <v>45</v>
      </c>
      <c r="C18" s="8" t="b">
        <v>0</v>
      </c>
      <c r="D18" s="5"/>
      <c r="E18" s="55" t="s">
        <v>197</v>
      </c>
      <c r="F18" s="12">
        <v>1</v>
      </c>
      <c r="G18" s="8" t="s">
        <v>62</v>
      </c>
      <c r="H18" s="8" t="s">
        <v>48</v>
      </c>
      <c r="M18" s="8">
        <v>298.14999999999998</v>
      </c>
      <c r="N18" s="8">
        <v>1</v>
      </c>
      <c r="O18" s="8" t="s">
        <v>56</v>
      </c>
      <c r="P18" s="8" t="s">
        <v>167</v>
      </c>
      <c r="Q18" s="8" t="s">
        <v>166</v>
      </c>
      <c r="S18" s="12">
        <v>-41.84</v>
      </c>
      <c r="V18" s="11">
        <v>0.41840000000000005</v>
      </c>
      <c r="W18" s="17">
        <v>2024</v>
      </c>
      <c r="X18" s="18" t="s">
        <v>32</v>
      </c>
      <c r="Z18" s="8" t="s">
        <v>59</v>
      </c>
      <c r="AA18" s="8" t="s">
        <v>60</v>
      </c>
      <c r="AB18" s="8" t="s">
        <v>61</v>
      </c>
    </row>
    <row r="19" spans="1:31" ht="15.6" x14ac:dyDescent="0.6">
      <c r="A19" s="14" t="s">
        <v>66</v>
      </c>
      <c r="B19" s="8" t="s">
        <v>45</v>
      </c>
      <c r="C19" s="8" t="b">
        <v>0</v>
      </c>
      <c r="D19" s="5"/>
      <c r="E19" s="55" t="s">
        <v>197</v>
      </c>
      <c r="F19" s="12">
        <v>1</v>
      </c>
      <c r="G19" s="8" t="s">
        <v>62</v>
      </c>
      <c r="H19" s="8" t="s">
        <v>48</v>
      </c>
      <c r="M19" s="8">
        <v>298.14999999999998</v>
      </c>
      <c r="N19" s="8">
        <v>1</v>
      </c>
      <c r="O19" s="8" t="s">
        <v>56</v>
      </c>
      <c r="P19" s="8" t="s">
        <v>167</v>
      </c>
      <c r="Q19" s="8" t="s">
        <v>166</v>
      </c>
      <c r="S19" s="12">
        <v>-46.442399999999999</v>
      </c>
      <c r="V19" s="11">
        <v>-2.5104000000000002</v>
      </c>
      <c r="W19" s="17">
        <v>2024</v>
      </c>
      <c r="X19" s="18" t="s">
        <v>32</v>
      </c>
      <c r="Z19" s="8" t="s">
        <v>59</v>
      </c>
      <c r="AA19" s="8" t="s">
        <v>60</v>
      </c>
      <c r="AB19" s="8" t="s">
        <v>61</v>
      </c>
    </row>
    <row r="20" spans="1:31" ht="15.6" x14ac:dyDescent="0.6">
      <c r="A20" s="14" t="s">
        <v>68</v>
      </c>
      <c r="B20" s="8" t="s">
        <v>45</v>
      </c>
      <c r="C20" s="8" t="b">
        <v>0</v>
      </c>
      <c r="D20" s="5"/>
      <c r="E20" s="55" t="s">
        <v>197</v>
      </c>
      <c r="F20" s="12">
        <v>1</v>
      </c>
      <c r="G20" s="8" t="s">
        <v>62</v>
      </c>
      <c r="H20" s="8" t="s">
        <v>48</v>
      </c>
      <c r="M20" s="8">
        <v>298.14999999999998</v>
      </c>
      <c r="N20" s="8">
        <v>1</v>
      </c>
      <c r="O20" s="8" t="s">
        <v>56</v>
      </c>
      <c r="P20" s="8" t="s">
        <v>167</v>
      </c>
      <c r="Q20" s="8" t="s">
        <v>166</v>
      </c>
      <c r="S20" s="12">
        <v>-51.463200000000008</v>
      </c>
      <c r="V20" s="11">
        <v>-5.0208000000000004</v>
      </c>
      <c r="W20" s="17">
        <v>2024</v>
      </c>
      <c r="X20" s="18" t="s">
        <v>32</v>
      </c>
      <c r="Z20" s="8" t="s">
        <v>59</v>
      </c>
      <c r="AA20" s="8" t="s">
        <v>60</v>
      </c>
      <c r="AB20" s="8" t="s">
        <v>61</v>
      </c>
    </row>
    <row r="21" spans="1:31" ht="15.6" x14ac:dyDescent="0.6">
      <c r="A21" s="14" t="s">
        <v>69</v>
      </c>
      <c r="B21" s="8" t="s">
        <v>45</v>
      </c>
      <c r="C21" s="8" t="b">
        <v>0</v>
      </c>
      <c r="D21" s="5"/>
      <c r="E21" s="55" t="s">
        <v>197</v>
      </c>
      <c r="F21" s="12">
        <v>1</v>
      </c>
      <c r="G21" s="8" t="s">
        <v>62</v>
      </c>
      <c r="H21" s="8" t="s">
        <v>48</v>
      </c>
      <c r="M21" s="8">
        <v>298.14999999999998</v>
      </c>
      <c r="N21" s="8">
        <v>1</v>
      </c>
      <c r="O21" s="8" t="s">
        <v>56</v>
      </c>
      <c r="P21" s="8" t="s">
        <v>167</v>
      </c>
      <c r="Q21" s="8" t="s">
        <v>166</v>
      </c>
      <c r="S21" s="12">
        <v>-52.718400000000003</v>
      </c>
      <c r="V21" s="11">
        <v>-7.1128</v>
      </c>
      <c r="W21" s="17">
        <v>2024</v>
      </c>
      <c r="X21" s="18" t="s">
        <v>32</v>
      </c>
      <c r="Z21" s="8" t="s">
        <v>59</v>
      </c>
      <c r="AA21" s="8" t="s">
        <v>60</v>
      </c>
      <c r="AB21" s="8" t="s">
        <v>61</v>
      </c>
    </row>
    <row r="22" spans="1:31" ht="15.6" x14ac:dyDescent="0.6">
      <c r="A22" s="14" t="s">
        <v>70</v>
      </c>
      <c r="B22" s="8" t="s">
        <v>45</v>
      </c>
      <c r="C22" s="8" t="b">
        <v>0</v>
      </c>
      <c r="D22" s="5"/>
      <c r="E22" s="55" t="s">
        <v>197</v>
      </c>
      <c r="F22" s="12">
        <v>1</v>
      </c>
      <c r="G22" s="8" t="s">
        <v>62</v>
      </c>
      <c r="H22" s="8" t="s">
        <v>48</v>
      </c>
      <c r="M22" s="8">
        <v>298.14999999999998</v>
      </c>
      <c r="N22" s="8">
        <v>1</v>
      </c>
      <c r="O22" s="8" t="s">
        <v>56</v>
      </c>
      <c r="P22" s="8" t="s">
        <v>167</v>
      </c>
      <c r="Q22" s="8" t="s">
        <v>166</v>
      </c>
      <c r="S22" s="12">
        <v>-53.136800000000001</v>
      </c>
      <c r="V22" s="11">
        <v>-7.5312000000000001</v>
      </c>
      <c r="W22" s="17">
        <v>2024</v>
      </c>
      <c r="X22" s="18" t="s">
        <v>32</v>
      </c>
      <c r="Z22" s="8" t="s">
        <v>59</v>
      </c>
      <c r="AA22" s="8" t="s">
        <v>60</v>
      </c>
      <c r="AB22" s="8" t="s">
        <v>61</v>
      </c>
    </row>
    <row r="23" spans="1:31" s="23" customFormat="1" ht="15.6" x14ac:dyDescent="0.6">
      <c r="A23" s="20" t="s">
        <v>71</v>
      </c>
      <c r="B23" s="27" t="s">
        <v>45</v>
      </c>
      <c r="C23" s="27" t="b">
        <v>0</v>
      </c>
      <c r="D23" s="21"/>
      <c r="E23" s="56" t="s">
        <v>197</v>
      </c>
      <c r="F23" s="28">
        <v>1</v>
      </c>
      <c r="G23" s="27" t="s">
        <v>62</v>
      </c>
      <c r="H23" s="27" t="s">
        <v>48</v>
      </c>
      <c r="I23" s="27"/>
      <c r="J23" s="27"/>
      <c r="M23" s="27">
        <v>298.14999999999998</v>
      </c>
      <c r="N23" s="27">
        <v>1</v>
      </c>
      <c r="O23" s="27" t="s">
        <v>56</v>
      </c>
      <c r="P23" s="27" t="s">
        <v>167</v>
      </c>
      <c r="Q23" s="27" t="s">
        <v>166</v>
      </c>
      <c r="S23" s="28">
        <v>-61.086399999999998</v>
      </c>
      <c r="T23" s="52"/>
      <c r="V23" s="22">
        <v>-15.8992</v>
      </c>
      <c r="W23" s="24">
        <v>2024</v>
      </c>
      <c r="X23" s="29" t="s">
        <v>32</v>
      </c>
      <c r="Z23" s="27" t="s">
        <v>59</v>
      </c>
      <c r="AA23" s="27" t="s">
        <v>60</v>
      </c>
      <c r="AB23" s="27" t="s">
        <v>61</v>
      </c>
      <c r="AC23" s="27"/>
      <c r="AD23" s="27"/>
      <c r="AE23" s="27"/>
    </row>
    <row r="24" spans="1:31" ht="15.6" x14ac:dyDescent="0.6">
      <c r="A24" s="14" t="s">
        <v>54</v>
      </c>
      <c r="B24" s="8" t="s">
        <v>45</v>
      </c>
      <c r="C24" s="8" t="b">
        <v>0</v>
      </c>
      <c r="D24" s="5"/>
      <c r="E24" s="55" t="s">
        <v>197</v>
      </c>
      <c r="F24" s="12">
        <v>1</v>
      </c>
      <c r="G24" s="8" t="s">
        <v>62</v>
      </c>
      <c r="H24" s="8" t="s">
        <v>48</v>
      </c>
      <c r="M24" s="8">
        <v>298.14999999999998</v>
      </c>
      <c r="N24" s="8">
        <v>1</v>
      </c>
      <c r="O24" s="8" t="s">
        <v>177</v>
      </c>
      <c r="P24" s="8" t="s">
        <v>167</v>
      </c>
      <c r="Q24" s="8" t="s">
        <v>166</v>
      </c>
      <c r="S24" s="12">
        <f>4.184*-9.9</f>
        <v>-41.421600000000005</v>
      </c>
      <c r="V24" s="11">
        <f>4.184*0.3</f>
        <v>1.2552000000000001</v>
      </c>
      <c r="W24" s="17">
        <v>2008</v>
      </c>
      <c r="X24" s="18" t="s">
        <v>33</v>
      </c>
      <c r="Z24" s="8" t="s">
        <v>72</v>
      </c>
      <c r="AA24" s="8" t="s">
        <v>73</v>
      </c>
    </row>
    <row r="25" spans="1:31" ht="15.6" x14ac:dyDescent="0.6">
      <c r="A25" s="14" t="s">
        <v>53</v>
      </c>
      <c r="B25" s="8" t="s">
        <v>45</v>
      </c>
      <c r="C25" s="8" t="b">
        <v>0</v>
      </c>
      <c r="D25" s="5"/>
      <c r="E25" s="55" t="s">
        <v>197</v>
      </c>
      <c r="F25" s="12">
        <v>1</v>
      </c>
      <c r="G25" s="8" t="s">
        <v>62</v>
      </c>
      <c r="H25" s="8" t="s">
        <v>48</v>
      </c>
      <c r="M25" s="8">
        <v>298.14999999999998</v>
      </c>
      <c r="N25" s="8">
        <v>1</v>
      </c>
      <c r="O25" s="8" t="s">
        <v>177</v>
      </c>
      <c r="P25" s="8" t="s">
        <v>167</v>
      </c>
      <c r="Q25" s="8" t="s">
        <v>166</v>
      </c>
      <c r="S25" s="12">
        <f>4.184*-12.8</f>
        <v>-53.555200000000006</v>
      </c>
      <c r="V25" s="11">
        <f>4.184*-2.4</f>
        <v>-10.041600000000001</v>
      </c>
      <c r="W25" s="17">
        <v>2008</v>
      </c>
      <c r="X25" s="18" t="s">
        <v>33</v>
      </c>
      <c r="Z25" s="8" t="s">
        <v>72</v>
      </c>
      <c r="AA25" s="8" t="s">
        <v>73</v>
      </c>
    </row>
    <row r="26" spans="1:31" ht="15.6" x14ac:dyDescent="0.6">
      <c r="A26" s="14" t="s">
        <v>54</v>
      </c>
      <c r="B26" s="8" t="s">
        <v>45</v>
      </c>
      <c r="C26" s="8" t="b">
        <v>0</v>
      </c>
      <c r="D26" s="5"/>
      <c r="E26" s="55" t="s">
        <v>197</v>
      </c>
      <c r="F26" s="12">
        <v>1</v>
      </c>
      <c r="G26" s="8" t="s">
        <v>47</v>
      </c>
      <c r="H26" s="8" t="s">
        <v>48</v>
      </c>
      <c r="M26" s="8">
        <v>298.14999999999998</v>
      </c>
      <c r="N26" s="8">
        <v>1</v>
      </c>
      <c r="O26" s="8" t="s">
        <v>177</v>
      </c>
      <c r="P26" s="8" t="s">
        <v>167</v>
      </c>
      <c r="Q26" s="8" t="s">
        <v>166</v>
      </c>
      <c r="S26" s="12">
        <f>4.184*-8.8</f>
        <v>-36.819200000000002</v>
      </c>
      <c r="V26" s="11">
        <f>4.184*1</f>
        <v>4.1840000000000002</v>
      </c>
      <c r="W26" s="17">
        <v>2008</v>
      </c>
      <c r="X26" s="18" t="s">
        <v>33</v>
      </c>
      <c r="Z26" s="8" t="s">
        <v>72</v>
      </c>
      <c r="AA26" s="8" t="s">
        <v>73</v>
      </c>
    </row>
    <row r="27" spans="1:31" s="36" customFormat="1" ht="15.6" x14ac:dyDescent="0.6">
      <c r="A27" s="34" t="s">
        <v>53</v>
      </c>
      <c r="B27" s="35" t="s">
        <v>45</v>
      </c>
      <c r="C27" s="35" t="b">
        <v>0</v>
      </c>
      <c r="D27" s="21"/>
      <c r="E27" s="56" t="s">
        <v>197</v>
      </c>
      <c r="F27" s="28">
        <v>1</v>
      </c>
      <c r="G27" s="35" t="s">
        <v>47</v>
      </c>
      <c r="H27" s="35" t="s">
        <v>48</v>
      </c>
      <c r="I27" s="35"/>
      <c r="J27" s="35"/>
      <c r="M27" s="35">
        <v>298.14999999999998</v>
      </c>
      <c r="N27" s="35">
        <v>1</v>
      </c>
      <c r="O27" s="35" t="s">
        <v>177</v>
      </c>
      <c r="P27" s="35" t="s">
        <v>167</v>
      </c>
      <c r="Q27" s="35" t="s">
        <v>166</v>
      </c>
      <c r="S27" s="28">
        <f>4.184*-10.7</f>
        <v>-44.768799999999999</v>
      </c>
      <c r="T27" s="53"/>
      <c r="V27" s="37">
        <f>4.184*-1.3</f>
        <v>-5.4392000000000005</v>
      </c>
      <c r="W27" s="38">
        <v>2008</v>
      </c>
      <c r="X27" s="39" t="s">
        <v>33</v>
      </c>
      <c r="Z27" s="35" t="s">
        <v>72</v>
      </c>
      <c r="AA27" s="35" t="s">
        <v>73</v>
      </c>
      <c r="AB27" s="35"/>
      <c r="AC27" s="35"/>
      <c r="AD27" s="35"/>
      <c r="AE27" s="35"/>
    </row>
    <row r="28" spans="1:31" ht="15.6" x14ac:dyDescent="0.6">
      <c r="A28" s="14" t="s">
        <v>54</v>
      </c>
      <c r="B28" s="8" t="s">
        <v>195</v>
      </c>
      <c r="C28" s="8" t="b">
        <v>0</v>
      </c>
      <c r="D28" s="5"/>
      <c r="E28" s="55" t="s">
        <v>197</v>
      </c>
      <c r="F28" s="12">
        <v>3</v>
      </c>
      <c r="G28" s="8" t="s">
        <v>62</v>
      </c>
      <c r="H28" s="8" t="s">
        <v>48</v>
      </c>
      <c r="M28" s="8">
        <v>298.14999999999998</v>
      </c>
      <c r="N28" s="8">
        <v>1</v>
      </c>
      <c r="O28" s="8" t="s">
        <v>177</v>
      </c>
      <c r="P28" s="8" t="s">
        <v>183</v>
      </c>
      <c r="Q28" s="8" t="s">
        <v>166</v>
      </c>
      <c r="S28" s="12">
        <f>4.184*-9.6</f>
        <v>-40.166400000000003</v>
      </c>
      <c r="W28" s="17">
        <v>2008</v>
      </c>
      <c r="X28" s="18" t="s">
        <v>33</v>
      </c>
      <c r="Z28" s="8" t="s">
        <v>57</v>
      </c>
      <c r="AA28" s="8" t="s">
        <v>73</v>
      </c>
      <c r="AE28" s="8" t="s">
        <v>169</v>
      </c>
    </row>
    <row r="29" spans="1:31" ht="15.6" x14ac:dyDescent="0.6">
      <c r="A29" s="14" t="s">
        <v>54</v>
      </c>
      <c r="B29" s="8" t="s">
        <v>195</v>
      </c>
      <c r="C29" s="8" t="b">
        <v>0</v>
      </c>
      <c r="D29" s="5"/>
      <c r="E29" s="55" t="s">
        <v>197</v>
      </c>
      <c r="F29" s="12">
        <v>4</v>
      </c>
      <c r="G29" s="8" t="s">
        <v>62</v>
      </c>
      <c r="H29" s="8" t="s">
        <v>48</v>
      </c>
      <c r="M29" s="8">
        <v>298.14999999999998</v>
      </c>
      <c r="N29" s="8">
        <v>1</v>
      </c>
      <c r="O29" s="8" t="s">
        <v>177</v>
      </c>
      <c r="P29" s="8" t="s">
        <v>183</v>
      </c>
      <c r="Q29" s="8" t="s">
        <v>166</v>
      </c>
      <c r="S29" s="12">
        <f>4.184*-8.4</f>
        <v>-35.145600000000002</v>
      </c>
      <c r="W29" s="17">
        <v>2008</v>
      </c>
      <c r="X29" s="18" t="s">
        <v>33</v>
      </c>
      <c r="Z29" s="8" t="s">
        <v>57</v>
      </c>
      <c r="AA29" s="8" t="s">
        <v>73</v>
      </c>
      <c r="AE29" s="8" t="s">
        <v>169</v>
      </c>
    </row>
    <row r="30" spans="1:31" ht="15.6" x14ac:dyDescent="0.6">
      <c r="A30" s="14" t="s">
        <v>53</v>
      </c>
      <c r="B30" s="8" t="s">
        <v>195</v>
      </c>
      <c r="C30" s="8" t="b">
        <v>0</v>
      </c>
      <c r="D30" s="5"/>
      <c r="E30" s="55" t="s">
        <v>197</v>
      </c>
      <c r="F30" s="12">
        <v>3</v>
      </c>
      <c r="G30" s="8" t="s">
        <v>62</v>
      </c>
      <c r="H30" s="8" t="s">
        <v>48</v>
      </c>
      <c r="M30" s="8">
        <v>298.14999999999998</v>
      </c>
      <c r="N30" s="8">
        <v>1</v>
      </c>
      <c r="O30" s="8" t="s">
        <v>177</v>
      </c>
      <c r="P30" s="8" t="s">
        <v>183</v>
      </c>
      <c r="Q30" s="8" t="s">
        <v>166</v>
      </c>
      <c r="S30" s="12">
        <f>4.184*-11.3</f>
        <v>-47.279200000000003</v>
      </c>
      <c r="W30" s="17">
        <v>2008</v>
      </c>
      <c r="X30" s="18" t="s">
        <v>33</v>
      </c>
      <c r="Z30" s="8" t="s">
        <v>57</v>
      </c>
      <c r="AA30" s="8" t="s">
        <v>73</v>
      </c>
      <c r="AE30" s="8" t="s">
        <v>169</v>
      </c>
    </row>
    <row r="31" spans="1:31" s="23" customFormat="1" ht="15.6" x14ac:dyDescent="0.6">
      <c r="A31" s="20" t="s">
        <v>53</v>
      </c>
      <c r="B31" s="27" t="s">
        <v>195</v>
      </c>
      <c r="C31" s="27" t="b">
        <v>0</v>
      </c>
      <c r="D31" s="21"/>
      <c r="E31" s="56" t="s">
        <v>197</v>
      </c>
      <c r="F31" s="28">
        <v>4</v>
      </c>
      <c r="G31" s="27" t="s">
        <v>62</v>
      </c>
      <c r="H31" s="27" t="s">
        <v>48</v>
      </c>
      <c r="I31" s="27"/>
      <c r="J31" s="27"/>
      <c r="M31" s="27">
        <v>298.14999999999998</v>
      </c>
      <c r="N31" s="27">
        <v>1</v>
      </c>
      <c r="O31" s="27" t="s">
        <v>177</v>
      </c>
      <c r="P31" s="27" t="s">
        <v>183</v>
      </c>
      <c r="Q31" s="27" t="s">
        <v>166</v>
      </c>
      <c r="S31" s="28">
        <f>4.184*-10.9</f>
        <v>-45.605600000000003</v>
      </c>
      <c r="T31" s="52"/>
      <c r="V31" s="22"/>
      <c r="W31" s="24">
        <v>2008</v>
      </c>
      <c r="X31" s="29" t="s">
        <v>33</v>
      </c>
      <c r="Z31" s="27" t="s">
        <v>57</v>
      </c>
      <c r="AA31" s="27" t="s">
        <v>73</v>
      </c>
      <c r="AB31" s="27"/>
      <c r="AC31" s="27"/>
      <c r="AD31" s="27"/>
      <c r="AE31" s="27" t="s">
        <v>169</v>
      </c>
    </row>
    <row r="32" spans="1:31" ht="15.6" x14ac:dyDescent="0.6">
      <c r="A32" s="14" t="s">
        <v>75</v>
      </c>
      <c r="B32" s="8" t="s">
        <v>45</v>
      </c>
      <c r="C32" s="8" t="b">
        <v>0</v>
      </c>
      <c r="D32" s="5"/>
      <c r="E32" s="55" t="s">
        <v>197</v>
      </c>
      <c r="F32" s="12">
        <v>1</v>
      </c>
      <c r="G32" s="8" t="s">
        <v>62</v>
      </c>
      <c r="H32" s="8" t="s">
        <v>48</v>
      </c>
      <c r="M32" s="8">
        <f>273.15-50</f>
        <v>223.14999999999998</v>
      </c>
      <c r="O32" s="8" t="s">
        <v>56</v>
      </c>
      <c r="P32" s="8" t="s">
        <v>167</v>
      </c>
      <c r="Q32" s="8" t="s">
        <v>166</v>
      </c>
      <c r="S32" s="12">
        <v>-22.448029999999999</v>
      </c>
      <c r="T32" s="51">
        <v>-126.91023</v>
      </c>
      <c r="V32" s="11">
        <v>5.8338599999999996</v>
      </c>
      <c r="W32" s="17">
        <v>2020</v>
      </c>
      <c r="X32" s="18" t="s">
        <v>34</v>
      </c>
      <c r="Z32" s="8" t="s">
        <v>59</v>
      </c>
      <c r="AA32" s="8" t="s">
        <v>76</v>
      </c>
      <c r="AD32" s="8" t="s">
        <v>77</v>
      </c>
      <c r="AE32" s="8" t="s">
        <v>78</v>
      </c>
    </row>
    <row r="33" spans="1:31" ht="15.6" x14ac:dyDescent="0.6">
      <c r="A33" s="14" t="s">
        <v>75</v>
      </c>
      <c r="B33" s="8" t="s">
        <v>45</v>
      </c>
      <c r="C33" s="8" t="b">
        <v>0</v>
      </c>
      <c r="D33" s="5"/>
      <c r="E33" s="55" t="s">
        <v>197</v>
      </c>
      <c r="F33" s="12">
        <v>1</v>
      </c>
      <c r="G33" s="8" t="s">
        <v>62</v>
      </c>
      <c r="H33" s="8" t="s">
        <v>48</v>
      </c>
      <c r="M33" s="8">
        <f>273.15+25</f>
        <v>298.14999999999998</v>
      </c>
      <c r="O33" s="8" t="s">
        <v>56</v>
      </c>
      <c r="P33" s="8" t="s">
        <v>167</v>
      </c>
      <c r="Q33" s="8" t="s">
        <v>166</v>
      </c>
      <c r="S33" s="12">
        <v>-21.31118</v>
      </c>
      <c r="T33" s="51">
        <v>-122.539221</v>
      </c>
      <c r="V33" s="11">
        <v>15.204269999999999</v>
      </c>
      <c r="W33" s="17">
        <v>2020</v>
      </c>
      <c r="X33" s="17" t="s">
        <v>34</v>
      </c>
      <c r="Z33" s="8" t="s">
        <v>59</v>
      </c>
      <c r="AA33" s="8" t="s">
        <v>76</v>
      </c>
      <c r="AD33" s="8" t="s">
        <v>77</v>
      </c>
      <c r="AE33" s="8" t="s">
        <v>78</v>
      </c>
    </row>
    <row r="34" spans="1:31" ht="15.6" x14ac:dyDescent="0.6">
      <c r="A34" s="14" t="s">
        <v>75</v>
      </c>
      <c r="B34" s="8" t="s">
        <v>45</v>
      </c>
      <c r="C34" s="8" t="b">
        <v>0</v>
      </c>
      <c r="D34" s="5"/>
      <c r="E34" s="55" t="s">
        <v>197</v>
      </c>
      <c r="F34" s="12">
        <v>1</v>
      </c>
      <c r="G34" s="8" t="s">
        <v>62</v>
      </c>
      <c r="H34" s="8" t="s">
        <v>48</v>
      </c>
      <c r="M34" s="8">
        <f>273.15+100</f>
        <v>373.15</v>
      </c>
      <c r="O34" s="8" t="s">
        <v>56</v>
      </c>
      <c r="P34" s="8" t="s">
        <v>167</v>
      </c>
      <c r="Q34" s="8" t="s">
        <v>166</v>
      </c>
      <c r="S34" s="12">
        <v>-20.13496</v>
      </c>
      <c r="T34" s="51">
        <v>-118.9888</v>
      </c>
      <c r="V34" s="11">
        <v>24.22024</v>
      </c>
      <c r="W34" s="17">
        <v>2020</v>
      </c>
      <c r="X34" s="17" t="s">
        <v>34</v>
      </c>
      <c r="Z34" s="8" t="s">
        <v>59</v>
      </c>
      <c r="AA34" s="8" t="s">
        <v>76</v>
      </c>
      <c r="AD34" s="8" t="s">
        <v>77</v>
      </c>
      <c r="AE34" s="8" t="s">
        <v>78</v>
      </c>
    </row>
    <row r="35" spans="1:31" s="23" customFormat="1" ht="15.6" x14ac:dyDescent="0.6">
      <c r="A35" s="20" t="s">
        <v>75</v>
      </c>
      <c r="B35" s="27" t="s">
        <v>45</v>
      </c>
      <c r="C35" s="27" t="b">
        <v>0</v>
      </c>
      <c r="D35" s="21"/>
      <c r="E35" s="56" t="s">
        <v>197</v>
      </c>
      <c r="F35" s="28">
        <v>1</v>
      </c>
      <c r="G35" s="27" t="s">
        <v>62</v>
      </c>
      <c r="H35" s="27" t="s">
        <v>48</v>
      </c>
      <c r="I35" s="27"/>
      <c r="J35" s="27"/>
      <c r="M35" s="27">
        <f>273.15+150</f>
        <v>423.15</v>
      </c>
      <c r="N35" s="27"/>
      <c r="O35" s="27" t="s">
        <v>56</v>
      </c>
      <c r="P35" s="27" t="s">
        <v>167</v>
      </c>
      <c r="Q35" s="27" t="s">
        <v>166</v>
      </c>
      <c r="S35" s="28">
        <v>-19.33156</v>
      </c>
      <c r="T35" s="52">
        <v>-116.97914</v>
      </c>
      <c r="V35" s="22">
        <v>30.11449</v>
      </c>
      <c r="W35" s="24">
        <v>2020</v>
      </c>
      <c r="X35" s="24" t="s">
        <v>34</v>
      </c>
      <c r="Z35" s="27" t="s">
        <v>59</v>
      </c>
      <c r="AA35" s="27" t="s">
        <v>76</v>
      </c>
      <c r="AB35" s="27"/>
      <c r="AC35" s="27"/>
      <c r="AD35" s="27" t="s">
        <v>77</v>
      </c>
      <c r="AE35" s="27" t="s">
        <v>78</v>
      </c>
    </row>
    <row r="36" spans="1:31" ht="15.6" x14ac:dyDescent="0.6">
      <c r="A36" s="14" t="s">
        <v>79</v>
      </c>
      <c r="B36" s="8" t="s">
        <v>45</v>
      </c>
      <c r="C36" s="8" t="b">
        <v>0</v>
      </c>
      <c r="D36" s="5"/>
      <c r="E36" s="55" t="s">
        <v>197</v>
      </c>
      <c r="F36" s="12">
        <v>1</v>
      </c>
      <c r="G36" s="8" t="s">
        <v>62</v>
      </c>
      <c r="H36" s="8" t="s">
        <v>48</v>
      </c>
      <c r="M36" s="8">
        <v>223.14999999999998</v>
      </c>
      <c r="O36" s="8" t="s">
        <v>56</v>
      </c>
      <c r="P36" s="8" t="s">
        <v>167</v>
      </c>
      <c r="Q36" s="8" t="s">
        <v>166</v>
      </c>
      <c r="S36" s="12">
        <v>-17.393940000000001</v>
      </c>
      <c r="T36" s="51">
        <v>-120.95659999999999</v>
      </c>
      <c r="V36" s="11">
        <v>9.5620700000000003</v>
      </c>
      <c r="W36" s="17">
        <v>2020</v>
      </c>
      <c r="X36" s="17" t="s">
        <v>34</v>
      </c>
      <c r="Z36" s="8" t="s">
        <v>59</v>
      </c>
      <c r="AA36" s="8" t="s">
        <v>76</v>
      </c>
      <c r="AD36" s="8" t="s">
        <v>77</v>
      </c>
      <c r="AE36" s="8" t="s">
        <v>78</v>
      </c>
    </row>
    <row r="37" spans="1:31" ht="15.6" x14ac:dyDescent="0.6">
      <c r="A37" s="14" t="s">
        <v>79</v>
      </c>
      <c r="B37" s="8" t="s">
        <v>45</v>
      </c>
      <c r="C37" s="8" t="b">
        <v>0</v>
      </c>
      <c r="D37" s="5"/>
      <c r="E37" s="55" t="s">
        <v>197</v>
      </c>
      <c r="F37" s="12">
        <v>1</v>
      </c>
      <c r="G37" s="8" t="s">
        <v>62</v>
      </c>
      <c r="H37" s="8" t="s">
        <v>48</v>
      </c>
      <c r="M37" s="8">
        <v>298.14999999999998</v>
      </c>
      <c r="O37" s="8" t="s">
        <v>56</v>
      </c>
      <c r="P37" s="8" t="s">
        <v>167</v>
      </c>
      <c r="Q37" s="8" t="s">
        <v>166</v>
      </c>
      <c r="S37" s="12">
        <v>-16.272849999999998</v>
      </c>
      <c r="T37" s="51">
        <v>-116.31344</v>
      </c>
      <c r="V37" s="11">
        <v>18.383749999999999</v>
      </c>
      <c r="W37" s="17">
        <v>2020</v>
      </c>
      <c r="X37" s="17" t="s">
        <v>34</v>
      </c>
      <c r="Z37" s="8" t="s">
        <v>59</v>
      </c>
      <c r="AA37" s="8" t="s">
        <v>76</v>
      </c>
      <c r="AD37" s="8" t="s">
        <v>77</v>
      </c>
      <c r="AE37" s="8" t="s">
        <v>78</v>
      </c>
    </row>
    <row r="38" spans="1:31" ht="15.6" x14ac:dyDescent="0.6">
      <c r="A38" s="14" t="s">
        <v>79</v>
      </c>
      <c r="B38" s="8" t="s">
        <v>45</v>
      </c>
      <c r="C38" s="8" t="b">
        <v>0</v>
      </c>
      <c r="D38" s="5"/>
      <c r="E38" s="55" t="s">
        <v>197</v>
      </c>
      <c r="F38" s="12">
        <v>1</v>
      </c>
      <c r="G38" s="8" t="s">
        <v>62</v>
      </c>
      <c r="H38" s="8" t="s">
        <v>48</v>
      </c>
      <c r="M38" s="8">
        <v>373.15</v>
      </c>
      <c r="O38" s="8" t="s">
        <v>56</v>
      </c>
      <c r="P38" s="8" t="s">
        <v>167</v>
      </c>
      <c r="Q38" s="8" t="s">
        <v>166</v>
      </c>
      <c r="S38" s="12">
        <v>-15.11238</v>
      </c>
      <c r="T38" s="51">
        <v>-113.14403</v>
      </c>
      <c r="V38" s="11">
        <v>27.063649999999999</v>
      </c>
      <c r="W38" s="17">
        <v>2020</v>
      </c>
      <c r="X38" s="17" t="s">
        <v>34</v>
      </c>
      <c r="Z38" s="8" t="s">
        <v>59</v>
      </c>
      <c r="AA38" s="8" t="s">
        <v>76</v>
      </c>
      <c r="AD38" s="8" t="s">
        <v>77</v>
      </c>
      <c r="AE38" s="8" t="s">
        <v>78</v>
      </c>
    </row>
    <row r="39" spans="1:31" s="23" customFormat="1" ht="15.6" x14ac:dyDescent="0.6">
      <c r="A39" s="20" t="s">
        <v>79</v>
      </c>
      <c r="B39" s="27" t="s">
        <v>45</v>
      </c>
      <c r="C39" s="27" t="b">
        <v>0</v>
      </c>
      <c r="D39" s="21"/>
      <c r="E39" s="56" t="s">
        <v>197</v>
      </c>
      <c r="F39" s="28">
        <v>1</v>
      </c>
      <c r="G39" s="27" t="s">
        <v>62</v>
      </c>
      <c r="H39" s="27" t="s">
        <v>48</v>
      </c>
      <c r="I39" s="27"/>
      <c r="J39" s="27"/>
      <c r="M39" s="27">
        <v>423.15</v>
      </c>
      <c r="N39" s="27"/>
      <c r="O39" s="27" t="s">
        <v>56</v>
      </c>
      <c r="P39" s="27" t="s">
        <v>167</v>
      </c>
      <c r="Q39" s="27" t="s">
        <v>166</v>
      </c>
      <c r="S39" s="28">
        <v>-14.327349999999999</v>
      </c>
      <c r="T39" s="52">
        <v>-110.94597</v>
      </c>
      <c r="V39" s="22">
        <v>32.571950000000001</v>
      </c>
      <c r="W39" s="24">
        <v>2020</v>
      </c>
      <c r="X39" s="24" t="s">
        <v>34</v>
      </c>
      <c r="Z39" s="27" t="s">
        <v>59</v>
      </c>
      <c r="AA39" s="27" t="s">
        <v>76</v>
      </c>
      <c r="AB39" s="27"/>
      <c r="AC39" s="27"/>
      <c r="AD39" s="27" t="s">
        <v>77</v>
      </c>
      <c r="AE39" s="27" t="s">
        <v>78</v>
      </c>
    </row>
    <row r="40" spans="1:31" ht="15.6" x14ac:dyDescent="0.6">
      <c r="A40" s="14" t="s">
        <v>80</v>
      </c>
      <c r="B40" s="8" t="s">
        <v>45</v>
      </c>
      <c r="C40" s="8" t="b">
        <v>0</v>
      </c>
      <c r="D40" s="5"/>
      <c r="E40" s="55" t="s">
        <v>197</v>
      </c>
      <c r="F40" s="12">
        <v>1</v>
      </c>
      <c r="G40" s="8" t="s">
        <v>47</v>
      </c>
      <c r="H40" s="8" t="s">
        <v>48</v>
      </c>
      <c r="M40" s="8">
        <v>298.14999999999998</v>
      </c>
      <c r="O40" s="8" t="s">
        <v>177</v>
      </c>
      <c r="P40" s="8" t="s">
        <v>167</v>
      </c>
      <c r="Q40" s="8" t="s">
        <v>166</v>
      </c>
      <c r="S40" s="12">
        <f>4.184*-14.6</f>
        <v>-61.086399999999998</v>
      </c>
      <c r="V40" s="11">
        <f>4.184*-7.4</f>
        <v>-30.961600000000004</v>
      </c>
      <c r="W40" s="17">
        <v>2012</v>
      </c>
      <c r="X40" s="17" t="s">
        <v>35</v>
      </c>
      <c r="Z40" s="8" t="s">
        <v>57</v>
      </c>
      <c r="AA40" s="8" t="s">
        <v>83</v>
      </c>
    </row>
    <row r="41" spans="1:31" ht="15.6" x14ac:dyDescent="0.6">
      <c r="A41" s="14" t="s">
        <v>80</v>
      </c>
      <c r="B41" s="8" t="s">
        <v>45</v>
      </c>
      <c r="C41" s="8" t="b">
        <v>0</v>
      </c>
      <c r="D41" s="5"/>
      <c r="E41" s="55" t="s">
        <v>197</v>
      </c>
      <c r="F41" s="12">
        <v>1</v>
      </c>
      <c r="G41" s="8" t="s">
        <v>47</v>
      </c>
      <c r="H41" s="8" t="s">
        <v>5</v>
      </c>
      <c r="I41" s="8" t="s">
        <v>49</v>
      </c>
      <c r="J41" s="8" t="s">
        <v>84</v>
      </c>
      <c r="M41" s="8">
        <v>298.14999999999998</v>
      </c>
      <c r="O41" s="8" t="s">
        <v>177</v>
      </c>
      <c r="P41" s="8" t="s">
        <v>167</v>
      </c>
      <c r="Q41" s="8" t="s">
        <v>166</v>
      </c>
      <c r="S41" s="12">
        <f>4.184*-7.5</f>
        <v>-31.380000000000003</v>
      </c>
      <c r="V41" s="11">
        <f>4.184*-0.5</f>
        <v>-2.0920000000000001</v>
      </c>
      <c r="W41" s="17">
        <v>2012</v>
      </c>
      <c r="X41" s="17" t="s">
        <v>35</v>
      </c>
      <c r="Z41" s="8" t="s">
        <v>57</v>
      </c>
      <c r="AA41" s="8" t="s">
        <v>83</v>
      </c>
    </row>
    <row r="42" spans="1:31" ht="15.6" x14ac:dyDescent="0.6">
      <c r="A42" s="14" t="s">
        <v>81</v>
      </c>
      <c r="B42" s="8" t="s">
        <v>45</v>
      </c>
      <c r="C42" s="8" t="b">
        <v>0</v>
      </c>
      <c r="D42" s="5" t="s">
        <v>85</v>
      </c>
      <c r="E42" s="55" t="s">
        <v>197</v>
      </c>
      <c r="F42" s="12">
        <v>1</v>
      </c>
      <c r="G42" s="8" t="s">
        <v>47</v>
      </c>
      <c r="H42" s="8" t="s">
        <v>48</v>
      </c>
      <c r="M42" s="8">
        <v>298.14999999999998</v>
      </c>
      <c r="O42" s="8" t="s">
        <v>177</v>
      </c>
      <c r="P42" s="8" t="s">
        <v>167</v>
      </c>
      <c r="Q42" s="8" t="s">
        <v>166</v>
      </c>
      <c r="S42" s="12">
        <f>4.184*-16.1</f>
        <v>-67.362400000000008</v>
      </c>
      <c r="V42" s="11">
        <f>4.184*-5.1</f>
        <v>-21.3384</v>
      </c>
      <c r="W42" s="17">
        <v>2012</v>
      </c>
      <c r="X42" s="17" t="s">
        <v>35</v>
      </c>
      <c r="Z42" s="8" t="s">
        <v>57</v>
      </c>
      <c r="AA42" s="8" t="s">
        <v>83</v>
      </c>
    </row>
    <row r="43" spans="1:31" ht="15.6" x14ac:dyDescent="0.6">
      <c r="A43" s="14" t="s">
        <v>81</v>
      </c>
      <c r="B43" s="8" t="s">
        <v>45</v>
      </c>
      <c r="C43" s="8" t="b">
        <v>0</v>
      </c>
      <c r="D43" s="5" t="s">
        <v>85</v>
      </c>
      <c r="E43" s="55" t="s">
        <v>197</v>
      </c>
      <c r="F43" s="12">
        <v>1</v>
      </c>
      <c r="G43" s="8" t="s">
        <v>47</v>
      </c>
      <c r="H43" s="8" t="s">
        <v>5</v>
      </c>
      <c r="I43" s="8" t="s">
        <v>49</v>
      </c>
      <c r="J43" s="8" t="s">
        <v>84</v>
      </c>
      <c r="M43" s="8">
        <v>298.14999999999998</v>
      </c>
      <c r="O43" s="8" t="s">
        <v>177</v>
      </c>
      <c r="P43" s="8" t="s">
        <v>167</v>
      </c>
      <c r="Q43" s="8" t="s">
        <v>166</v>
      </c>
      <c r="S43" s="12">
        <f>4.184*-3.8</f>
        <v>-15.8992</v>
      </c>
      <c r="V43" s="11">
        <f>4.184*-0.8</f>
        <v>-3.3472000000000004</v>
      </c>
      <c r="W43" s="17">
        <v>2012</v>
      </c>
      <c r="X43" s="17" t="s">
        <v>35</v>
      </c>
      <c r="Z43" s="8" t="s">
        <v>57</v>
      </c>
      <c r="AA43" s="8" t="s">
        <v>83</v>
      </c>
    </row>
    <row r="44" spans="1:31" ht="15.6" x14ac:dyDescent="0.6">
      <c r="A44" s="14" t="s">
        <v>82</v>
      </c>
      <c r="B44" s="8" t="s">
        <v>45</v>
      </c>
      <c r="C44" s="8" t="b">
        <v>0</v>
      </c>
      <c r="D44" s="5" t="s">
        <v>86</v>
      </c>
      <c r="E44" s="55" t="s">
        <v>197</v>
      </c>
      <c r="F44" s="12">
        <v>1</v>
      </c>
      <c r="G44" s="8" t="s">
        <v>47</v>
      </c>
      <c r="H44" s="8" t="s">
        <v>48</v>
      </c>
      <c r="M44" s="8">
        <v>298.14999999999998</v>
      </c>
      <c r="O44" s="8" t="s">
        <v>177</v>
      </c>
      <c r="P44" s="8" t="s">
        <v>167</v>
      </c>
      <c r="Q44" s="8" t="s">
        <v>166</v>
      </c>
      <c r="S44" s="12">
        <f>4.184*-24</f>
        <v>-100.416</v>
      </c>
      <c r="V44" s="11">
        <f>4.184*-11.2</f>
        <v>-46.860799999999998</v>
      </c>
      <c r="W44" s="17">
        <v>2012</v>
      </c>
      <c r="X44" s="17" t="s">
        <v>35</v>
      </c>
      <c r="Z44" s="8" t="s">
        <v>57</v>
      </c>
      <c r="AA44" s="8" t="s">
        <v>83</v>
      </c>
    </row>
    <row r="45" spans="1:31" s="23" customFormat="1" ht="15.6" x14ac:dyDescent="0.6">
      <c r="A45" s="20" t="s">
        <v>82</v>
      </c>
      <c r="B45" s="27" t="s">
        <v>45</v>
      </c>
      <c r="C45" s="27" t="b">
        <v>0</v>
      </c>
      <c r="D45" s="21" t="s">
        <v>86</v>
      </c>
      <c r="E45" s="56" t="s">
        <v>197</v>
      </c>
      <c r="F45" s="28">
        <v>1</v>
      </c>
      <c r="G45" s="27" t="s">
        <v>47</v>
      </c>
      <c r="H45" s="27" t="s">
        <v>5</v>
      </c>
      <c r="I45" s="27" t="s">
        <v>49</v>
      </c>
      <c r="J45" s="27" t="s">
        <v>84</v>
      </c>
      <c r="M45" s="27">
        <v>298.14999999999998</v>
      </c>
      <c r="N45" s="27"/>
      <c r="O45" s="27" t="s">
        <v>177</v>
      </c>
      <c r="P45" s="27" t="s">
        <v>167</v>
      </c>
      <c r="Q45" s="27" t="s">
        <v>166</v>
      </c>
      <c r="S45" s="28">
        <f>4.184*-11</f>
        <v>-46.024000000000001</v>
      </c>
      <c r="T45" s="52"/>
      <c r="V45" s="22">
        <f>4.184*0.3</f>
        <v>1.2552000000000001</v>
      </c>
      <c r="W45" s="24">
        <v>2012</v>
      </c>
      <c r="X45" s="24" t="s">
        <v>35</v>
      </c>
      <c r="Z45" s="27" t="s">
        <v>57</v>
      </c>
      <c r="AA45" s="27" t="s">
        <v>83</v>
      </c>
      <c r="AB45" s="27"/>
      <c r="AC45" s="27"/>
      <c r="AD45" s="27"/>
      <c r="AE45" s="27"/>
    </row>
    <row r="46" spans="1:31" ht="15.6" x14ac:dyDescent="0.6">
      <c r="A46" s="14" t="s">
        <v>53</v>
      </c>
      <c r="B46" s="8" t="s">
        <v>45</v>
      </c>
      <c r="C46" s="8" t="b">
        <v>0</v>
      </c>
      <c r="D46" s="5"/>
      <c r="E46" s="55" t="s">
        <v>197</v>
      </c>
      <c r="F46" s="12">
        <v>1</v>
      </c>
      <c r="G46" s="8" t="s">
        <v>47</v>
      </c>
      <c r="H46" s="8" t="s">
        <v>48</v>
      </c>
      <c r="M46" s="8">
        <v>298.14999999999998</v>
      </c>
      <c r="O46" s="8" t="s">
        <v>177</v>
      </c>
      <c r="P46" s="8" t="s">
        <v>167</v>
      </c>
      <c r="Q46" s="8" t="s">
        <v>166</v>
      </c>
      <c r="S46" s="12">
        <f>4.184*-16.2</f>
        <v>-67.780799999999999</v>
      </c>
      <c r="V46" s="11">
        <f>4.184*-1.9</f>
        <v>-7.9496000000000002</v>
      </c>
      <c r="W46" s="17">
        <v>2012</v>
      </c>
      <c r="X46" s="17" t="s">
        <v>35</v>
      </c>
      <c r="Z46" s="8" t="s">
        <v>57</v>
      </c>
      <c r="AA46" s="8" t="s">
        <v>83</v>
      </c>
    </row>
    <row r="47" spans="1:31" ht="15.6" x14ac:dyDescent="0.6">
      <c r="A47" s="14" t="s">
        <v>53</v>
      </c>
      <c r="B47" s="8" t="s">
        <v>45</v>
      </c>
      <c r="C47" s="8" t="b">
        <v>0</v>
      </c>
      <c r="D47" s="5"/>
      <c r="E47" s="55" t="s">
        <v>197</v>
      </c>
      <c r="F47" s="12">
        <v>1</v>
      </c>
      <c r="G47" s="8" t="s">
        <v>47</v>
      </c>
      <c r="H47" s="8" t="s">
        <v>5</v>
      </c>
      <c r="I47" s="8" t="s">
        <v>49</v>
      </c>
      <c r="J47" s="8" t="s">
        <v>84</v>
      </c>
      <c r="M47" s="8">
        <v>298.14999999999998</v>
      </c>
      <c r="O47" s="8" t="s">
        <v>177</v>
      </c>
      <c r="P47" s="8" t="s">
        <v>167</v>
      </c>
      <c r="Q47" s="8" t="s">
        <v>166</v>
      </c>
      <c r="S47" s="12">
        <f>4.184*-12.6</f>
        <v>-52.718400000000003</v>
      </c>
      <c r="V47" s="11">
        <f>4.184*-2.7</f>
        <v>-11.296800000000001</v>
      </c>
      <c r="W47" s="17">
        <v>2012</v>
      </c>
      <c r="X47" s="18" t="s">
        <v>35</v>
      </c>
      <c r="Z47" s="8" t="s">
        <v>57</v>
      </c>
      <c r="AA47" s="8" t="s">
        <v>83</v>
      </c>
    </row>
    <row r="48" spans="1:31" ht="15.6" x14ac:dyDescent="0.6">
      <c r="A48" s="14" t="s">
        <v>52</v>
      </c>
      <c r="B48" s="8" t="s">
        <v>45</v>
      </c>
      <c r="C48" s="8" t="b">
        <v>0</v>
      </c>
      <c r="D48" s="5"/>
      <c r="E48" s="55" t="s">
        <v>197</v>
      </c>
      <c r="F48" s="12">
        <v>1</v>
      </c>
      <c r="G48" s="8" t="s">
        <v>47</v>
      </c>
      <c r="H48" s="8" t="s">
        <v>48</v>
      </c>
      <c r="M48" s="8">
        <v>298.14999999999998</v>
      </c>
      <c r="O48" s="8" t="s">
        <v>177</v>
      </c>
      <c r="P48" s="8" t="s">
        <v>167</v>
      </c>
      <c r="Q48" s="8" t="s">
        <v>166</v>
      </c>
      <c r="S48" s="12">
        <f>4.184*-13.2</f>
        <v>-55.2288</v>
      </c>
      <c r="V48" s="11">
        <f>4.184*-0.5</f>
        <v>-2.0920000000000001</v>
      </c>
      <c r="W48" s="17">
        <v>2005</v>
      </c>
      <c r="X48" s="18" t="s">
        <v>35</v>
      </c>
      <c r="Z48" s="8" t="s">
        <v>57</v>
      </c>
      <c r="AA48" s="8" t="s">
        <v>83</v>
      </c>
    </row>
    <row r="49" spans="1:31" s="23" customFormat="1" ht="15.6" x14ac:dyDescent="0.6">
      <c r="A49" s="20" t="s">
        <v>52</v>
      </c>
      <c r="B49" s="27" t="s">
        <v>45</v>
      </c>
      <c r="C49" s="27" t="b">
        <v>0</v>
      </c>
      <c r="D49" s="21"/>
      <c r="E49" s="56" t="s">
        <v>197</v>
      </c>
      <c r="F49" s="28">
        <v>1</v>
      </c>
      <c r="G49" s="27" t="s">
        <v>47</v>
      </c>
      <c r="H49" s="27" t="s">
        <v>5</v>
      </c>
      <c r="I49" s="27" t="s">
        <v>49</v>
      </c>
      <c r="J49" s="27" t="s">
        <v>84</v>
      </c>
      <c r="M49" s="27">
        <v>298.14999999999998</v>
      </c>
      <c r="N49" s="27"/>
      <c r="O49" s="27" t="s">
        <v>177</v>
      </c>
      <c r="P49" s="27" t="s">
        <v>167</v>
      </c>
      <c r="Q49" s="27" t="s">
        <v>166</v>
      </c>
      <c r="S49" s="28">
        <f>4.184*-8.5</f>
        <v>-35.564</v>
      </c>
      <c r="T49" s="52"/>
      <c r="V49" s="22">
        <f>4.184*-0.8</f>
        <v>-3.3472000000000004</v>
      </c>
      <c r="W49" s="24">
        <v>2005</v>
      </c>
      <c r="X49" s="29" t="s">
        <v>35</v>
      </c>
      <c r="Z49" s="27" t="s">
        <v>57</v>
      </c>
      <c r="AA49" s="27" t="s">
        <v>83</v>
      </c>
      <c r="AB49" s="27"/>
      <c r="AC49" s="27"/>
      <c r="AD49" s="27"/>
      <c r="AE49" s="27"/>
    </row>
    <row r="50" spans="1:31" ht="15.6" x14ac:dyDescent="0.6">
      <c r="A50" s="14" t="s">
        <v>81</v>
      </c>
      <c r="B50" s="8" t="s">
        <v>45</v>
      </c>
      <c r="C50" s="8" t="b">
        <v>0</v>
      </c>
      <c r="D50" s="5" t="s">
        <v>87</v>
      </c>
      <c r="E50" s="55" t="s">
        <v>197</v>
      </c>
      <c r="F50" s="12">
        <v>2</v>
      </c>
      <c r="G50" s="8" t="s">
        <v>47</v>
      </c>
      <c r="H50" s="8" t="s">
        <v>48</v>
      </c>
      <c r="M50" s="8">
        <v>298.14999999999998</v>
      </c>
      <c r="O50" s="8" t="s">
        <v>177</v>
      </c>
      <c r="P50" s="57" t="s">
        <v>167</v>
      </c>
      <c r="Q50" s="57" t="s">
        <v>168</v>
      </c>
      <c r="S50" s="12">
        <f>4.184*-37.3</f>
        <v>-156.06319999999999</v>
      </c>
      <c r="W50" s="17">
        <v>2005</v>
      </c>
      <c r="X50" s="18" t="s">
        <v>35</v>
      </c>
      <c r="Z50" s="8" t="s">
        <v>57</v>
      </c>
      <c r="AA50" s="8" t="s">
        <v>83</v>
      </c>
      <c r="AE50" s="8" t="s">
        <v>164</v>
      </c>
    </row>
    <row r="51" spans="1:31" ht="15.6" x14ac:dyDescent="0.6">
      <c r="A51" s="14" t="s">
        <v>81</v>
      </c>
      <c r="B51" s="8" t="s">
        <v>45</v>
      </c>
      <c r="C51" s="8" t="b">
        <v>0</v>
      </c>
      <c r="D51" s="5" t="s">
        <v>87</v>
      </c>
      <c r="E51" s="55" t="s">
        <v>197</v>
      </c>
      <c r="F51" s="12">
        <v>2</v>
      </c>
      <c r="G51" s="8" t="s">
        <v>47</v>
      </c>
      <c r="H51" s="8" t="s">
        <v>5</v>
      </c>
      <c r="I51" s="8" t="s">
        <v>49</v>
      </c>
      <c r="J51" s="8" t="s">
        <v>84</v>
      </c>
      <c r="M51" s="8">
        <v>298.14999999999998</v>
      </c>
      <c r="O51" s="8" t="s">
        <v>177</v>
      </c>
      <c r="P51" s="57" t="s">
        <v>167</v>
      </c>
      <c r="Q51" s="57" t="s">
        <v>168</v>
      </c>
      <c r="S51" s="12">
        <f>4.184*-23.7</f>
        <v>-99.160799999999995</v>
      </c>
      <c r="W51" s="17">
        <v>2005</v>
      </c>
      <c r="X51" s="18" t="s">
        <v>35</v>
      </c>
      <c r="Z51" s="8" t="s">
        <v>57</v>
      </c>
      <c r="AA51" s="8" t="s">
        <v>83</v>
      </c>
    </row>
    <row r="52" spans="1:31" ht="15.6" x14ac:dyDescent="0.6">
      <c r="A52" s="14" t="s">
        <v>82</v>
      </c>
      <c r="B52" s="8" t="s">
        <v>45</v>
      </c>
      <c r="C52" s="8" t="b">
        <v>0</v>
      </c>
      <c r="D52" s="5" t="s">
        <v>88</v>
      </c>
      <c r="E52" s="55" t="s">
        <v>197</v>
      </c>
      <c r="F52" s="12">
        <v>2</v>
      </c>
      <c r="G52" s="8" t="s">
        <v>47</v>
      </c>
      <c r="H52" s="8" t="s">
        <v>48</v>
      </c>
      <c r="M52" s="8">
        <v>298.14999999999998</v>
      </c>
      <c r="O52" s="8" t="s">
        <v>177</v>
      </c>
      <c r="P52" s="57" t="s">
        <v>167</v>
      </c>
      <c r="Q52" s="57" t="s">
        <v>168</v>
      </c>
      <c r="S52" s="12">
        <f>4.184*-39</f>
        <v>-163.17600000000002</v>
      </c>
      <c r="W52" s="17">
        <v>2005</v>
      </c>
      <c r="X52" s="18" t="s">
        <v>35</v>
      </c>
      <c r="Z52" s="8" t="s">
        <v>57</v>
      </c>
      <c r="AA52" s="8" t="s">
        <v>83</v>
      </c>
    </row>
    <row r="53" spans="1:31" ht="15.6" x14ac:dyDescent="0.6">
      <c r="A53" s="14" t="s">
        <v>82</v>
      </c>
      <c r="B53" s="8" t="s">
        <v>45</v>
      </c>
      <c r="C53" s="8" t="b">
        <v>0</v>
      </c>
      <c r="D53" s="5" t="s">
        <v>88</v>
      </c>
      <c r="E53" s="55" t="s">
        <v>197</v>
      </c>
      <c r="F53" s="12">
        <v>2</v>
      </c>
      <c r="G53" s="8" t="s">
        <v>47</v>
      </c>
      <c r="H53" s="8" t="s">
        <v>5</v>
      </c>
      <c r="I53" s="8" t="s">
        <v>49</v>
      </c>
      <c r="J53" s="8" t="s">
        <v>84</v>
      </c>
      <c r="M53" s="8">
        <v>298.14999999999998</v>
      </c>
      <c r="O53" s="8" t="s">
        <v>177</v>
      </c>
      <c r="P53" s="57" t="s">
        <v>167</v>
      </c>
      <c r="Q53" s="57" t="s">
        <v>168</v>
      </c>
      <c r="S53" s="12">
        <f>-4.184*25</f>
        <v>-104.60000000000001</v>
      </c>
      <c r="W53" s="17">
        <v>2005</v>
      </c>
      <c r="X53" s="17" t="s">
        <v>35</v>
      </c>
      <c r="Z53" s="8" t="s">
        <v>57</v>
      </c>
      <c r="AA53" s="8" t="s">
        <v>83</v>
      </c>
    </row>
    <row r="54" spans="1:31" ht="15.6" x14ac:dyDescent="0.6">
      <c r="A54" s="14" t="s">
        <v>82</v>
      </c>
      <c r="B54" s="8" t="s">
        <v>45</v>
      </c>
      <c r="C54" s="8" t="b">
        <v>0</v>
      </c>
      <c r="D54" s="5" t="s">
        <v>89</v>
      </c>
      <c r="E54" s="55" t="s">
        <v>197</v>
      </c>
      <c r="F54" s="12">
        <v>2</v>
      </c>
      <c r="G54" s="8" t="s">
        <v>47</v>
      </c>
      <c r="H54" s="8" t="s">
        <v>48</v>
      </c>
      <c r="M54" s="8">
        <v>298.14999999999998</v>
      </c>
      <c r="O54" s="8" t="s">
        <v>177</v>
      </c>
      <c r="P54" s="57" t="s">
        <v>167</v>
      </c>
      <c r="Q54" s="57" t="s">
        <v>168</v>
      </c>
      <c r="S54" s="12">
        <f>-4.184*37.9</f>
        <v>-158.5736</v>
      </c>
      <c r="W54" s="17">
        <v>2005</v>
      </c>
      <c r="X54" s="17" t="s">
        <v>35</v>
      </c>
      <c r="Z54" s="8" t="s">
        <v>57</v>
      </c>
      <c r="AA54" s="8" t="s">
        <v>83</v>
      </c>
    </row>
    <row r="55" spans="1:31" ht="15.6" x14ac:dyDescent="0.6">
      <c r="A55" s="14" t="s">
        <v>82</v>
      </c>
      <c r="B55" s="8" t="s">
        <v>45</v>
      </c>
      <c r="C55" s="8" t="b">
        <v>0</v>
      </c>
      <c r="D55" s="5" t="s">
        <v>89</v>
      </c>
      <c r="E55" s="55" t="s">
        <v>197</v>
      </c>
      <c r="F55" s="12">
        <v>2</v>
      </c>
      <c r="G55" s="8" t="s">
        <v>47</v>
      </c>
      <c r="H55" s="8" t="s">
        <v>5</v>
      </c>
      <c r="I55" s="8" t="s">
        <v>49</v>
      </c>
      <c r="J55" s="8" t="s">
        <v>84</v>
      </c>
      <c r="M55" s="8">
        <v>298.14999999999998</v>
      </c>
      <c r="O55" s="8" t="s">
        <v>177</v>
      </c>
      <c r="P55" s="57" t="s">
        <v>167</v>
      </c>
      <c r="Q55" s="57" t="s">
        <v>168</v>
      </c>
      <c r="S55" s="12">
        <f>4.184*23.5</f>
        <v>98.323999999999998</v>
      </c>
      <c r="W55" s="17">
        <v>2005</v>
      </c>
      <c r="X55" s="17" t="s">
        <v>35</v>
      </c>
      <c r="Z55" s="8" t="s">
        <v>57</v>
      </c>
      <c r="AA55" s="8" t="s">
        <v>83</v>
      </c>
    </row>
    <row r="56" spans="1:31" ht="15.6" x14ac:dyDescent="0.6">
      <c r="A56" s="14" t="s">
        <v>91</v>
      </c>
      <c r="B56" s="8" t="s">
        <v>45</v>
      </c>
      <c r="C56" s="8" t="b">
        <v>0</v>
      </c>
      <c r="D56" s="5" t="s">
        <v>90</v>
      </c>
      <c r="E56" s="55" t="s">
        <v>197</v>
      </c>
      <c r="F56" s="12">
        <v>2</v>
      </c>
      <c r="G56" s="8" t="s">
        <v>47</v>
      </c>
      <c r="H56" s="8" t="s">
        <v>48</v>
      </c>
      <c r="M56" s="8">
        <v>298.14999999999998</v>
      </c>
      <c r="O56" s="8" t="s">
        <v>177</v>
      </c>
      <c r="P56" s="57" t="s">
        <v>167</v>
      </c>
      <c r="Q56" s="57" t="s">
        <v>168</v>
      </c>
      <c r="S56" s="12">
        <f>4.184*-38.7</f>
        <v>-161.92080000000001</v>
      </c>
      <c r="W56" s="17">
        <v>2005</v>
      </c>
      <c r="X56" s="17" t="s">
        <v>35</v>
      </c>
      <c r="Z56" s="8" t="s">
        <v>57</v>
      </c>
      <c r="AA56" s="8" t="s">
        <v>83</v>
      </c>
    </row>
    <row r="57" spans="1:31" ht="15.6" x14ac:dyDescent="0.6">
      <c r="A57" s="14" t="s">
        <v>91</v>
      </c>
      <c r="B57" s="8" t="s">
        <v>45</v>
      </c>
      <c r="C57" s="8" t="b">
        <v>0</v>
      </c>
      <c r="D57" s="5" t="s">
        <v>90</v>
      </c>
      <c r="E57" s="55" t="s">
        <v>197</v>
      </c>
      <c r="F57" s="12">
        <v>2</v>
      </c>
      <c r="G57" s="8" t="s">
        <v>47</v>
      </c>
      <c r="H57" s="8" t="s">
        <v>5</v>
      </c>
      <c r="I57" s="8" t="s">
        <v>49</v>
      </c>
      <c r="J57" s="8" t="s">
        <v>84</v>
      </c>
      <c r="M57" s="8">
        <v>298.14999999999998</v>
      </c>
      <c r="O57" s="8" t="s">
        <v>177</v>
      </c>
      <c r="P57" s="57" t="s">
        <v>167</v>
      </c>
      <c r="Q57" s="57" t="s">
        <v>168</v>
      </c>
      <c r="S57" s="12">
        <f>4.184*-25.6</f>
        <v>-107.11040000000001</v>
      </c>
      <c r="W57" s="17">
        <v>2005</v>
      </c>
      <c r="X57" s="17" t="s">
        <v>35</v>
      </c>
      <c r="Z57" s="8" t="s">
        <v>57</v>
      </c>
      <c r="AA57" s="8" t="s">
        <v>83</v>
      </c>
    </row>
    <row r="58" spans="1:31" s="44" customFormat="1" ht="15.6" x14ac:dyDescent="0.6">
      <c r="A58" s="42" t="s">
        <v>97</v>
      </c>
      <c r="B58" s="41" t="s">
        <v>45</v>
      </c>
      <c r="C58" s="41" t="b">
        <v>0</v>
      </c>
      <c r="D58" s="44" t="s">
        <v>100</v>
      </c>
      <c r="E58" s="46" t="s">
        <v>197</v>
      </c>
      <c r="F58" s="43">
        <v>1</v>
      </c>
      <c r="G58" s="41" t="s">
        <v>62</v>
      </c>
      <c r="H58" s="41" t="s">
        <v>5</v>
      </c>
      <c r="I58" s="41" t="s">
        <v>93</v>
      </c>
      <c r="J58" s="41" t="s">
        <v>94</v>
      </c>
      <c r="M58" s="41">
        <v>298.14999999999998</v>
      </c>
      <c r="N58" s="41"/>
      <c r="O58" s="41" t="s">
        <v>56</v>
      </c>
      <c r="P58" s="41" t="s">
        <v>167</v>
      </c>
      <c r="Q58" s="41" t="s">
        <v>166</v>
      </c>
      <c r="S58" s="43">
        <f>4.184*2.8</f>
        <v>11.715199999999999</v>
      </c>
      <c r="T58" s="54"/>
      <c r="V58" s="45"/>
      <c r="W58" s="46">
        <v>2017</v>
      </c>
      <c r="X58" s="46" t="s">
        <v>36</v>
      </c>
      <c r="Z58" s="41" t="s">
        <v>92</v>
      </c>
      <c r="AA58" s="41" t="s">
        <v>135</v>
      </c>
      <c r="AB58" s="41"/>
      <c r="AC58" s="41"/>
      <c r="AD58" s="41"/>
      <c r="AE58" s="41" t="s">
        <v>104</v>
      </c>
    </row>
    <row r="59" spans="1:31" ht="15.6" x14ac:dyDescent="0.6">
      <c r="A59" s="5" t="s">
        <v>97</v>
      </c>
      <c r="B59" s="8" t="s">
        <v>45</v>
      </c>
      <c r="C59" s="8" t="b">
        <v>0</v>
      </c>
      <c r="D59" t="s">
        <v>102</v>
      </c>
      <c r="E59" s="17" t="s">
        <v>197</v>
      </c>
      <c r="F59" s="12">
        <v>1</v>
      </c>
      <c r="G59" s="8" t="s">
        <v>62</v>
      </c>
      <c r="H59" s="8" t="s">
        <v>5</v>
      </c>
      <c r="I59" s="8" t="s">
        <v>93</v>
      </c>
      <c r="J59" s="8" t="s">
        <v>94</v>
      </c>
      <c r="M59" s="8">
        <v>298.14999999999998</v>
      </c>
      <c r="O59" s="8" t="s">
        <v>56</v>
      </c>
      <c r="P59" s="8" t="s">
        <v>167</v>
      </c>
      <c r="Q59" s="8" t="s">
        <v>166</v>
      </c>
      <c r="S59" s="12">
        <f>4.184*3.7</f>
        <v>15.480800000000002</v>
      </c>
      <c r="W59" s="17">
        <v>2017</v>
      </c>
      <c r="X59" s="17" t="s">
        <v>36</v>
      </c>
      <c r="Z59" s="8" t="s">
        <v>92</v>
      </c>
      <c r="AA59" s="8" t="s">
        <v>135</v>
      </c>
      <c r="AE59" s="8" t="s">
        <v>104</v>
      </c>
    </row>
    <row r="60" spans="1:31" ht="15.6" x14ac:dyDescent="0.6">
      <c r="A60" s="5" t="s">
        <v>98</v>
      </c>
      <c r="B60" s="8" t="s">
        <v>45</v>
      </c>
      <c r="C60" s="8" t="b">
        <v>0</v>
      </c>
      <c r="D60" t="s">
        <v>101</v>
      </c>
      <c r="E60" s="17" t="s">
        <v>197</v>
      </c>
      <c r="F60" s="12">
        <v>1</v>
      </c>
      <c r="G60" s="8" t="s">
        <v>62</v>
      </c>
      <c r="H60" s="8" t="s">
        <v>5</v>
      </c>
      <c r="I60" s="8" t="s">
        <v>93</v>
      </c>
      <c r="J60" s="8" t="s">
        <v>94</v>
      </c>
      <c r="M60" s="8">
        <v>298.14999999999998</v>
      </c>
      <c r="O60" s="8" t="s">
        <v>56</v>
      </c>
      <c r="P60" s="8" t="s">
        <v>167</v>
      </c>
      <c r="Q60" s="8" t="s">
        <v>166</v>
      </c>
      <c r="S60" s="12">
        <f>4.184*5.3</f>
        <v>22.1752</v>
      </c>
      <c r="W60" s="17">
        <v>2017</v>
      </c>
      <c r="X60" s="17" t="s">
        <v>36</v>
      </c>
      <c r="Z60" s="8" t="s">
        <v>92</v>
      </c>
      <c r="AA60" s="8" t="s">
        <v>135</v>
      </c>
      <c r="AE60" s="8" t="s">
        <v>104</v>
      </c>
    </row>
    <row r="61" spans="1:31" ht="15.6" x14ac:dyDescent="0.6">
      <c r="A61" s="5" t="s">
        <v>98</v>
      </c>
      <c r="B61" s="8" t="s">
        <v>45</v>
      </c>
      <c r="C61" s="8" t="b">
        <v>0</v>
      </c>
      <c r="D61" t="s">
        <v>103</v>
      </c>
      <c r="E61" s="17" t="s">
        <v>197</v>
      </c>
      <c r="F61" s="12">
        <v>1</v>
      </c>
      <c r="G61" s="8" t="s">
        <v>62</v>
      </c>
      <c r="H61" s="8" t="s">
        <v>5</v>
      </c>
      <c r="I61" s="8" t="s">
        <v>93</v>
      </c>
      <c r="J61" s="8" t="s">
        <v>94</v>
      </c>
      <c r="M61" s="8">
        <v>298.14999999999998</v>
      </c>
      <c r="O61" s="8" t="s">
        <v>56</v>
      </c>
      <c r="P61" s="8" t="s">
        <v>167</v>
      </c>
      <c r="Q61" s="8" t="s">
        <v>166</v>
      </c>
      <c r="S61" s="12">
        <f>9.7*4.184</f>
        <v>40.584800000000001</v>
      </c>
      <c r="W61" s="17">
        <v>2017</v>
      </c>
      <c r="X61" s="17" t="s">
        <v>36</v>
      </c>
      <c r="Z61" s="8" t="s">
        <v>92</v>
      </c>
      <c r="AA61" s="8" t="s">
        <v>135</v>
      </c>
      <c r="AE61" s="8" t="s">
        <v>104</v>
      </c>
    </row>
    <row r="62" spans="1:31" s="23" customFormat="1" ht="15.6" x14ac:dyDescent="0.6">
      <c r="A62" s="21" t="s">
        <v>99</v>
      </c>
      <c r="B62" s="27" t="s">
        <v>45</v>
      </c>
      <c r="C62" s="27" t="b">
        <v>0</v>
      </c>
      <c r="E62" s="24" t="s">
        <v>197</v>
      </c>
      <c r="F62" s="28">
        <v>1</v>
      </c>
      <c r="G62" s="27" t="s">
        <v>62</v>
      </c>
      <c r="H62" s="27" t="s">
        <v>5</v>
      </c>
      <c r="I62" s="27" t="s">
        <v>93</v>
      </c>
      <c r="J62" s="27" t="s">
        <v>94</v>
      </c>
      <c r="M62" s="27">
        <v>298.14999999999998</v>
      </c>
      <c r="N62" s="27"/>
      <c r="O62" s="27" t="s">
        <v>56</v>
      </c>
      <c r="P62" s="27" t="s">
        <v>167</v>
      </c>
      <c r="Q62" s="27" t="s">
        <v>166</v>
      </c>
      <c r="S62" s="28">
        <f>4.184*2.2</f>
        <v>9.2048000000000005</v>
      </c>
      <c r="T62" s="52"/>
      <c r="V62" s="22"/>
      <c r="W62" s="24">
        <v>2017</v>
      </c>
      <c r="X62" s="24" t="s">
        <v>36</v>
      </c>
      <c r="Z62" s="27" t="s">
        <v>92</v>
      </c>
      <c r="AA62" s="27" t="s">
        <v>135</v>
      </c>
      <c r="AB62" s="27"/>
      <c r="AC62" s="27"/>
      <c r="AD62" s="27"/>
      <c r="AE62" s="27" t="s">
        <v>104</v>
      </c>
    </row>
    <row r="63" spans="1:31" ht="15.6" x14ac:dyDescent="0.6">
      <c r="A63" s="14" t="s">
        <v>97</v>
      </c>
      <c r="B63" s="8" t="s">
        <v>45</v>
      </c>
      <c r="C63" s="8" t="b">
        <v>0</v>
      </c>
      <c r="D63" s="5" t="s">
        <v>107</v>
      </c>
      <c r="E63" s="55" t="s">
        <v>197</v>
      </c>
      <c r="F63" s="12">
        <v>1</v>
      </c>
      <c r="G63" s="8" t="s">
        <v>95</v>
      </c>
      <c r="H63" s="8" t="s">
        <v>5</v>
      </c>
      <c r="I63" s="8" t="s">
        <v>93</v>
      </c>
      <c r="J63" s="8" t="s">
        <v>94</v>
      </c>
      <c r="M63" s="8">
        <v>298.14999999999998</v>
      </c>
      <c r="O63" s="8" t="s">
        <v>56</v>
      </c>
      <c r="P63" s="8" t="s">
        <v>167</v>
      </c>
      <c r="Q63" s="8" t="s">
        <v>166</v>
      </c>
      <c r="S63" s="12">
        <f>4.184*3.1</f>
        <v>12.970400000000001</v>
      </c>
      <c r="W63" s="17">
        <v>2017</v>
      </c>
      <c r="X63" s="17" t="s">
        <v>36</v>
      </c>
      <c r="Z63" s="8" t="s">
        <v>92</v>
      </c>
      <c r="AA63" s="8" t="s">
        <v>135</v>
      </c>
      <c r="AE63" s="8" t="s">
        <v>104</v>
      </c>
    </row>
    <row r="64" spans="1:31" ht="15.6" x14ac:dyDescent="0.6">
      <c r="A64" s="14" t="s">
        <v>97</v>
      </c>
      <c r="B64" s="8" t="s">
        <v>45</v>
      </c>
      <c r="C64" s="8" t="b">
        <v>0</v>
      </c>
      <c r="D64" s="5" t="s">
        <v>106</v>
      </c>
      <c r="E64" s="55" t="s">
        <v>197</v>
      </c>
      <c r="F64" s="12">
        <v>1</v>
      </c>
      <c r="G64" s="8" t="s">
        <v>95</v>
      </c>
      <c r="H64" s="8" t="s">
        <v>5</v>
      </c>
      <c r="I64" s="8" t="s">
        <v>93</v>
      </c>
      <c r="J64" s="8" t="s">
        <v>94</v>
      </c>
      <c r="M64" s="8">
        <v>298.14999999999998</v>
      </c>
      <c r="O64" s="8" t="s">
        <v>56</v>
      </c>
      <c r="P64" s="8" t="s">
        <v>167</v>
      </c>
      <c r="Q64" s="8" t="s">
        <v>166</v>
      </c>
      <c r="S64" s="12">
        <f>4.184*4.5</f>
        <v>18.827999999999999</v>
      </c>
      <c r="W64" s="17">
        <v>2017</v>
      </c>
      <c r="X64" s="17" t="s">
        <v>36</v>
      </c>
      <c r="Z64" s="8" t="s">
        <v>92</v>
      </c>
      <c r="AA64" s="8" t="s">
        <v>135</v>
      </c>
      <c r="AE64" s="8" t="s">
        <v>104</v>
      </c>
    </row>
    <row r="65" spans="1:31" ht="15.6" x14ac:dyDescent="0.6">
      <c r="A65" s="14" t="s">
        <v>98</v>
      </c>
      <c r="B65" s="8" t="s">
        <v>45</v>
      </c>
      <c r="C65" s="8" t="b">
        <v>0</v>
      </c>
      <c r="D65" s="5" t="s">
        <v>108</v>
      </c>
      <c r="E65" s="55" t="s">
        <v>197</v>
      </c>
      <c r="F65" s="12">
        <v>1</v>
      </c>
      <c r="G65" s="8" t="s">
        <v>95</v>
      </c>
      <c r="H65" s="8" t="s">
        <v>5</v>
      </c>
      <c r="I65" s="8" t="s">
        <v>93</v>
      </c>
      <c r="J65" s="8" t="s">
        <v>94</v>
      </c>
      <c r="M65" s="8">
        <v>298.14999999999998</v>
      </c>
      <c r="O65" s="8" t="s">
        <v>56</v>
      </c>
      <c r="P65" s="8" t="s">
        <v>167</v>
      </c>
      <c r="Q65" s="8" t="s">
        <v>166</v>
      </c>
      <c r="S65" s="12">
        <f>4.184*6.2</f>
        <v>25.940800000000003</v>
      </c>
      <c r="W65" s="17">
        <v>2017</v>
      </c>
      <c r="X65" s="17" t="s">
        <v>36</v>
      </c>
      <c r="Z65" s="8" t="s">
        <v>92</v>
      </c>
      <c r="AA65" s="8" t="s">
        <v>135</v>
      </c>
      <c r="AE65" s="8" t="s">
        <v>104</v>
      </c>
    </row>
    <row r="66" spans="1:31" ht="15.6" x14ac:dyDescent="0.6">
      <c r="A66" s="14" t="s">
        <v>98</v>
      </c>
      <c r="B66" s="8" t="s">
        <v>45</v>
      </c>
      <c r="C66" s="8" t="b">
        <v>0</v>
      </c>
      <c r="D66" s="5" t="s">
        <v>105</v>
      </c>
      <c r="E66" s="55" t="s">
        <v>197</v>
      </c>
      <c r="F66" s="12">
        <v>1</v>
      </c>
      <c r="G66" s="8" t="s">
        <v>95</v>
      </c>
      <c r="H66" s="8" t="s">
        <v>5</v>
      </c>
      <c r="I66" s="8" t="s">
        <v>93</v>
      </c>
      <c r="J66" s="8" t="s">
        <v>94</v>
      </c>
      <c r="M66" s="8">
        <v>298.14999999999998</v>
      </c>
      <c r="O66" s="8" t="s">
        <v>56</v>
      </c>
      <c r="P66" s="8" t="s">
        <v>167</v>
      </c>
      <c r="Q66" s="8" t="s">
        <v>166</v>
      </c>
      <c r="S66" s="12">
        <f>4.184*8.5</f>
        <v>35.564</v>
      </c>
      <c r="W66" s="17">
        <v>2017</v>
      </c>
      <c r="X66" s="17" t="s">
        <v>36</v>
      </c>
      <c r="Z66" s="8" t="s">
        <v>92</v>
      </c>
      <c r="AA66" s="8" t="s">
        <v>135</v>
      </c>
      <c r="AE66" s="8" t="s">
        <v>104</v>
      </c>
    </row>
    <row r="67" spans="1:31" s="23" customFormat="1" ht="16.5" customHeight="1" x14ac:dyDescent="0.6">
      <c r="A67" s="20" t="s">
        <v>99</v>
      </c>
      <c r="B67" s="27" t="s">
        <v>45</v>
      </c>
      <c r="C67" s="27" t="b">
        <v>0</v>
      </c>
      <c r="D67" s="21"/>
      <c r="E67" s="56" t="s">
        <v>197</v>
      </c>
      <c r="F67" s="28">
        <v>1</v>
      </c>
      <c r="G67" s="27" t="s">
        <v>95</v>
      </c>
      <c r="H67" s="27" t="s">
        <v>5</v>
      </c>
      <c r="I67" s="27" t="s">
        <v>93</v>
      </c>
      <c r="J67" s="27" t="s">
        <v>94</v>
      </c>
      <c r="M67" s="27">
        <v>298.14999999999998</v>
      </c>
      <c r="N67" s="27"/>
      <c r="O67" s="27" t="s">
        <v>56</v>
      </c>
      <c r="P67" s="27" t="s">
        <v>167</v>
      </c>
      <c r="Q67" s="27" t="s">
        <v>166</v>
      </c>
      <c r="S67" s="28">
        <f>4.184*3.6</f>
        <v>15.0624</v>
      </c>
      <c r="T67" s="52"/>
      <c r="V67" s="22"/>
      <c r="W67" s="24">
        <v>2017</v>
      </c>
      <c r="X67" s="24" t="s">
        <v>36</v>
      </c>
      <c r="Z67" s="27" t="s">
        <v>92</v>
      </c>
      <c r="AA67" s="27" t="s">
        <v>135</v>
      </c>
      <c r="AB67" s="27"/>
      <c r="AC67" s="27"/>
      <c r="AD67" s="27"/>
      <c r="AE67" s="27" t="s">
        <v>104</v>
      </c>
    </row>
    <row r="68" spans="1:31" ht="15.6" x14ac:dyDescent="0.6">
      <c r="A68" s="14" t="s">
        <v>97</v>
      </c>
      <c r="B68" s="8" t="s">
        <v>45</v>
      </c>
      <c r="C68" s="8" t="b">
        <v>0</v>
      </c>
      <c r="D68" s="5"/>
      <c r="E68" s="55" t="s">
        <v>197</v>
      </c>
      <c r="F68" s="12">
        <v>1</v>
      </c>
      <c r="G68" s="8" t="s">
        <v>96</v>
      </c>
      <c r="H68" s="8" t="s">
        <v>5</v>
      </c>
      <c r="I68" s="8" t="s">
        <v>93</v>
      </c>
      <c r="J68" s="8" t="s">
        <v>94</v>
      </c>
      <c r="M68" s="8">
        <v>298.14999999999998</v>
      </c>
      <c r="O68" s="8" t="s">
        <v>56</v>
      </c>
      <c r="P68" s="8" t="s">
        <v>167</v>
      </c>
      <c r="Q68" s="8" t="s">
        <v>166</v>
      </c>
      <c r="S68" s="12">
        <f>-4.184*6.6</f>
        <v>-27.6144</v>
      </c>
      <c r="W68" s="17">
        <v>2017</v>
      </c>
      <c r="X68" s="17" t="s">
        <v>36</v>
      </c>
      <c r="Z68" s="8" t="s">
        <v>92</v>
      </c>
      <c r="AA68" s="8" t="s">
        <v>135</v>
      </c>
      <c r="AE68" s="8" t="s">
        <v>109</v>
      </c>
    </row>
    <row r="69" spans="1:31" ht="15.6" x14ac:dyDescent="0.6">
      <c r="A69" s="14" t="s">
        <v>98</v>
      </c>
      <c r="B69" s="8" t="s">
        <v>45</v>
      </c>
      <c r="C69" s="8" t="b">
        <v>0</v>
      </c>
      <c r="E69" s="17" t="s">
        <v>197</v>
      </c>
      <c r="F69" s="12">
        <v>1</v>
      </c>
      <c r="G69" s="8" t="s">
        <v>96</v>
      </c>
      <c r="H69" s="8" t="s">
        <v>5</v>
      </c>
      <c r="I69" s="8" t="s">
        <v>93</v>
      </c>
      <c r="J69" s="8" t="s">
        <v>94</v>
      </c>
      <c r="M69" s="8">
        <v>298.14999999999998</v>
      </c>
      <c r="O69" s="8" t="s">
        <v>56</v>
      </c>
      <c r="P69" s="8" t="s">
        <v>167</v>
      </c>
      <c r="Q69" s="8" t="s">
        <v>166</v>
      </c>
      <c r="S69" s="12">
        <f>4.184*-4.6</f>
        <v>-19.246399999999998</v>
      </c>
      <c r="W69" s="17">
        <v>2017</v>
      </c>
      <c r="X69" s="17" t="s">
        <v>36</v>
      </c>
      <c r="Z69" s="8" t="s">
        <v>92</v>
      </c>
      <c r="AA69" s="8" t="s">
        <v>135</v>
      </c>
      <c r="AE69" s="8" t="s">
        <v>109</v>
      </c>
    </row>
    <row r="70" spans="1:31" s="23" customFormat="1" ht="15.6" x14ac:dyDescent="0.6">
      <c r="A70" s="20" t="s">
        <v>99</v>
      </c>
      <c r="B70" s="27" t="s">
        <v>45</v>
      </c>
      <c r="C70" s="27" t="b">
        <v>0</v>
      </c>
      <c r="D70" s="21"/>
      <c r="E70" s="56" t="s">
        <v>197</v>
      </c>
      <c r="F70" s="28">
        <v>1</v>
      </c>
      <c r="G70" s="27" t="s">
        <v>96</v>
      </c>
      <c r="H70" s="27" t="s">
        <v>5</v>
      </c>
      <c r="I70" s="27" t="s">
        <v>93</v>
      </c>
      <c r="J70" s="27" t="s">
        <v>94</v>
      </c>
      <c r="M70" s="27">
        <v>298.14999999999998</v>
      </c>
      <c r="N70" s="27"/>
      <c r="O70" s="27" t="s">
        <v>56</v>
      </c>
      <c r="P70" s="27" t="s">
        <v>167</v>
      </c>
      <c r="Q70" s="27" t="s">
        <v>166</v>
      </c>
      <c r="S70" s="28">
        <f>4.184*-6.5</f>
        <v>-27.196000000000002</v>
      </c>
      <c r="T70" s="52"/>
      <c r="V70" s="22"/>
      <c r="W70" s="24">
        <v>2017</v>
      </c>
      <c r="X70" s="24" t="s">
        <v>36</v>
      </c>
      <c r="Z70" s="27" t="s">
        <v>92</v>
      </c>
      <c r="AA70" s="27" t="s">
        <v>135</v>
      </c>
      <c r="AB70" s="27"/>
      <c r="AC70" s="27"/>
      <c r="AD70" s="27"/>
      <c r="AE70" s="27" t="s">
        <v>109</v>
      </c>
    </row>
    <row r="71" spans="1:31" ht="15.6" x14ac:dyDescent="0.6">
      <c r="A71" s="14" t="s">
        <v>110</v>
      </c>
      <c r="B71" s="8" t="s">
        <v>45</v>
      </c>
      <c r="C71" s="8" t="b">
        <v>0</v>
      </c>
      <c r="D71" s="5"/>
      <c r="E71" s="55" t="s">
        <v>197</v>
      </c>
      <c r="F71" s="12">
        <v>1</v>
      </c>
      <c r="G71" s="8" t="s">
        <v>96</v>
      </c>
      <c r="H71" s="8" t="s">
        <v>5</v>
      </c>
      <c r="I71" s="8" t="s">
        <v>93</v>
      </c>
      <c r="J71" s="8" t="s">
        <v>94</v>
      </c>
      <c r="M71" s="8">
        <v>298.14999999999998</v>
      </c>
      <c r="O71" s="8" t="s">
        <v>56</v>
      </c>
      <c r="P71" s="8" t="s">
        <v>167</v>
      </c>
      <c r="Q71" s="8" t="s">
        <v>166</v>
      </c>
      <c r="S71" s="12">
        <f>4.184*-15</f>
        <v>-62.760000000000005</v>
      </c>
      <c r="W71" s="17">
        <v>2017</v>
      </c>
      <c r="X71" s="18" t="s">
        <v>37</v>
      </c>
      <c r="Z71" s="8" t="s">
        <v>92</v>
      </c>
      <c r="AA71" s="8" t="s">
        <v>135</v>
      </c>
      <c r="AE71" s="8" t="s">
        <v>114</v>
      </c>
    </row>
    <row r="72" spans="1:31" ht="15.6" x14ac:dyDescent="0.6">
      <c r="A72" s="14" t="s">
        <v>111</v>
      </c>
      <c r="B72" s="8" t="s">
        <v>45</v>
      </c>
      <c r="C72" s="8" t="b">
        <v>0</v>
      </c>
      <c r="D72" s="5"/>
      <c r="E72" s="55" t="s">
        <v>197</v>
      </c>
      <c r="F72" s="12">
        <v>1</v>
      </c>
      <c r="G72" s="8" t="s">
        <v>96</v>
      </c>
      <c r="H72" s="8" t="s">
        <v>5</v>
      </c>
      <c r="I72" s="8" t="s">
        <v>93</v>
      </c>
      <c r="J72" s="8" t="s">
        <v>94</v>
      </c>
      <c r="M72" s="8">
        <v>298.14999999999998</v>
      </c>
      <c r="O72" s="8" t="s">
        <v>56</v>
      </c>
      <c r="P72" s="8" t="s">
        <v>167</v>
      </c>
      <c r="Q72" s="8" t="s">
        <v>166</v>
      </c>
      <c r="S72" s="12">
        <f>4.184*-5.2</f>
        <v>-21.756800000000002</v>
      </c>
      <c r="W72" s="17">
        <v>2017</v>
      </c>
      <c r="X72" s="17" t="s">
        <v>37</v>
      </c>
      <c r="Z72" s="8" t="s">
        <v>92</v>
      </c>
      <c r="AA72" s="8" t="s">
        <v>135</v>
      </c>
      <c r="AE72" s="8" t="s">
        <v>114</v>
      </c>
    </row>
    <row r="73" spans="1:31" ht="15.6" x14ac:dyDescent="0.6">
      <c r="A73" s="14" t="s">
        <v>112</v>
      </c>
      <c r="B73" s="8" t="s">
        <v>45</v>
      </c>
      <c r="C73" s="8" t="b">
        <v>0</v>
      </c>
      <c r="D73" s="5"/>
      <c r="E73" s="55" t="s">
        <v>197</v>
      </c>
      <c r="F73" s="12">
        <v>1</v>
      </c>
      <c r="G73" s="8" t="s">
        <v>96</v>
      </c>
      <c r="H73" s="8" t="s">
        <v>5</v>
      </c>
      <c r="I73" s="8" t="s">
        <v>93</v>
      </c>
      <c r="J73" s="8" t="s">
        <v>94</v>
      </c>
      <c r="M73" s="8">
        <v>298.14999999999998</v>
      </c>
      <c r="O73" s="8" t="s">
        <v>56</v>
      </c>
      <c r="P73" s="8" t="s">
        <v>167</v>
      </c>
      <c r="Q73" s="8" t="s">
        <v>166</v>
      </c>
      <c r="S73" s="12">
        <f>-6.2*4.184</f>
        <v>-25.940800000000003</v>
      </c>
      <c r="W73" s="17">
        <v>2017</v>
      </c>
      <c r="X73" s="18" t="s">
        <v>37</v>
      </c>
      <c r="Z73" s="8" t="s">
        <v>92</v>
      </c>
      <c r="AA73" s="8" t="s">
        <v>135</v>
      </c>
      <c r="AE73" s="8" t="s">
        <v>114</v>
      </c>
    </row>
    <row r="74" spans="1:31" s="23" customFormat="1" ht="15.6" x14ac:dyDescent="0.6">
      <c r="A74" s="20" t="s">
        <v>113</v>
      </c>
      <c r="B74" s="27" t="s">
        <v>45</v>
      </c>
      <c r="C74" s="27" t="b">
        <v>0</v>
      </c>
      <c r="D74" s="21"/>
      <c r="E74" s="56" t="s">
        <v>197</v>
      </c>
      <c r="F74" s="28">
        <v>1</v>
      </c>
      <c r="G74" s="27" t="s">
        <v>96</v>
      </c>
      <c r="H74" s="27" t="s">
        <v>5</v>
      </c>
      <c r="I74" s="27" t="s">
        <v>93</v>
      </c>
      <c r="J74" s="27" t="s">
        <v>94</v>
      </c>
      <c r="M74" s="27">
        <v>298.14999999999998</v>
      </c>
      <c r="N74" s="27"/>
      <c r="O74" s="27" t="s">
        <v>56</v>
      </c>
      <c r="P74" s="27" t="s">
        <v>167</v>
      </c>
      <c r="Q74" s="27" t="s">
        <v>166</v>
      </c>
      <c r="S74" s="28">
        <f>4.184*-6.5</f>
        <v>-27.196000000000002</v>
      </c>
      <c r="T74" s="52"/>
      <c r="V74" s="22"/>
      <c r="W74" s="24">
        <v>2017</v>
      </c>
      <c r="X74" s="29" t="s">
        <v>37</v>
      </c>
      <c r="Z74" s="27" t="s">
        <v>92</v>
      </c>
      <c r="AA74" s="27" t="s">
        <v>135</v>
      </c>
      <c r="AB74" s="27"/>
      <c r="AC74" s="27"/>
      <c r="AD74" s="27"/>
      <c r="AE74" s="27" t="s">
        <v>114</v>
      </c>
    </row>
    <row r="75" spans="1:31" ht="15.6" x14ac:dyDescent="0.6">
      <c r="A75" s="14" t="s">
        <v>110</v>
      </c>
      <c r="B75" s="8" t="s">
        <v>45</v>
      </c>
      <c r="C75" s="8" t="b">
        <v>0</v>
      </c>
      <c r="D75" s="5" t="s">
        <v>116</v>
      </c>
      <c r="E75" s="55" t="s">
        <v>197</v>
      </c>
      <c r="F75" s="12">
        <v>1</v>
      </c>
      <c r="G75" s="8" t="s">
        <v>62</v>
      </c>
      <c r="H75" s="8" t="s">
        <v>5</v>
      </c>
      <c r="I75" s="8" t="s">
        <v>93</v>
      </c>
      <c r="J75" s="8" t="s">
        <v>94</v>
      </c>
      <c r="M75" s="8">
        <v>298.14999999999998</v>
      </c>
      <c r="O75" s="8" t="s">
        <v>56</v>
      </c>
      <c r="P75" s="8" t="s">
        <v>167</v>
      </c>
      <c r="Q75" s="8" t="s">
        <v>166</v>
      </c>
      <c r="S75" s="12">
        <f>4.184*-6.7</f>
        <v>-28.032800000000002</v>
      </c>
      <c r="W75" s="17">
        <v>2017</v>
      </c>
      <c r="X75" s="47" t="s">
        <v>37</v>
      </c>
      <c r="Z75" s="8" t="s">
        <v>92</v>
      </c>
      <c r="AA75" s="8" t="s">
        <v>135</v>
      </c>
      <c r="AE75" s="8" t="s">
        <v>115</v>
      </c>
    </row>
    <row r="76" spans="1:31" ht="15.6" x14ac:dyDescent="0.6">
      <c r="A76" s="14" t="s">
        <v>110</v>
      </c>
      <c r="B76" s="8" t="s">
        <v>45</v>
      </c>
      <c r="C76" s="8" t="b">
        <v>0</v>
      </c>
      <c r="D76" s="5" t="s">
        <v>120</v>
      </c>
      <c r="E76" s="55" t="s">
        <v>197</v>
      </c>
      <c r="F76" s="12">
        <v>1</v>
      </c>
      <c r="G76" s="8" t="s">
        <v>62</v>
      </c>
      <c r="H76" s="8" t="s">
        <v>5</v>
      </c>
      <c r="I76" s="8" t="s">
        <v>93</v>
      </c>
      <c r="J76" s="8" t="s">
        <v>94</v>
      </c>
      <c r="M76" s="8">
        <v>298.14999999999998</v>
      </c>
      <c r="O76" s="8" t="s">
        <v>56</v>
      </c>
      <c r="P76" s="8" t="s">
        <v>167</v>
      </c>
      <c r="Q76" s="8" t="s">
        <v>166</v>
      </c>
      <c r="S76" s="12">
        <f>4.184*-6</f>
        <v>-25.103999999999999</v>
      </c>
      <c r="W76" s="17">
        <v>2017</v>
      </c>
      <c r="X76" s="48" t="s">
        <v>37</v>
      </c>
      <c r="Z76" s="8" t="s">
        <v>92</v>
      </c>
      <c r="AA76" s="8" t="s">
        <v>135</v>
      </c>
      <c r="AE76" s="8" t="s">
        <v>115</v>
      </c>
    </row>
    <row r="77" spans="1:31" ht="15.6" x14ac:dyDescent="0.6">
      <c r="A77" s="14" t="s">
        <v>110</v>
      </c>
      <c r="B77" s="8" t="s">
        <v>45</v>
      </c>
      <c r="C77" s="8" t="b">
        <v>0</v>
      </c>
      <c r="D77" s="5" t="s">
        <v>117</v>
      </c>
      <c r="E77" s="55" t="s">
        <v>197</v>
      </c>
      <c r="F77" s="12">
        <v>1</v>
      </c>
      <c r="G77" s="8" t="s">
        <v>95</v>
      </c>
      <c r="H77" s="8" t="s">
        <v>5</v>
      </c>
      <c r="I77" s="8" t="s">
        <v>93</v>
      </c>
      <c r="J77" s="8" t="s">
        <v>94</v>
      </c>
      <c r="M77" s="8">
        <v>298.14999999999998</v>
      </c>
      <c r="O77" s="8" t="s">
        <v>56</v>
      </c>
      <c r="P77" s="8" t="s">
        <v>167</v>
      </c>
      <c r="Q77" s="8" t="s">
        <v>166</v>
      </c>
      <c r="S77" s="12">
        <f>4.184*-5.9</f>
        <v>-24.685600000000001</v>
      </c>
      <c r="W77" s="17">
        <v>2017</v>
      </c>
      <c r="X77" s="49" t="s">
        <v>37</v>
      </c>
      <c r="Z77" s="8" t="s">
        <v>92</v>
      </c>
      <c r="AA77" s="8" t="s">
        <v>135</v>
      </c>
      <c r="AE77" s="8" t="s">
        <v>115</v>
      </c>
    </row>
    <row r="78" spans="1:31" ht="15.6" x14ac:dyDescent="0.6">
      <c r="A78" s="14" t="s">
        <v>110</v>
      </c>
      <c r="B78" s="8" t="s">
        <v>45</v>
      </c>
      <c r="C78" s="8" t="b">
        <v>0</v>
      </c>
      <c r="D78" s="5" t="s">
        <v>121</v>
      </c>
      <c r="E78" s="55" t="s">
        <v>197</v>
      </c>
      <c r="F78" s="12">
        <v>1</v>
      </c>
      <c r="G78" s="8" t="s">
        <v>95</v>
      </c>
      <c r="H78" s="8" t="s">
        <v>5</v>
      </c>
      <c r="I78" s="8" t="s">
        <v>93</v>
      </c>
      <c r="J78" s="8" t="s">
        <v>94</v>
      </c>
      <c r="M78" s="8">
        <v>298.14999999999998</v>
      </c>
      <c r="O78" s="8" t="s">
        <v>56</v>
      </c>
      <c r="P78" s="8" t="s">
        <v>167</v>
      </c>
      <c r="Q78" s="8" t="s">
        <v>166</v>
      </c>
      <c r="S78" s="12">
        <f>4.184*-5.9</f>
        <v>-24.685600000000001</v>
      </c>
      <c r="W78" s="17">
        <v>2017</v>
      </c>
      <c r="X78" s="49" t="s">
        <v>37</v>
      </c>
      <c r="Z78" s="8" t="s">
        <v>92</v>
      </c>
      <c r="AA78" s="8" t="s">
        <v>135</v>
      </c>
      <c r="AE78" s="8" t="s">
        <v>115</v>
      </c>
    </row>
    <row r="79" spans="1:31" ht="15.6" x14ac:dyDescent="0.6">
      <c r="A79" s="14" t="s">
        <v>111</v>
      </c>
      <c r="B79" s="8" t="s">
        <v>45</v>
      </c>
      <c r="C79" s="8" t="b">
        <v>0</v>
      </c>
      <c r="D79" s="5" t="s">
        <v>118</v>
      </c>
      <c r="E79" s="55" t="s">
        <v>197</v>
      </c>
      <c r="F79" s="12">
        <v>1</v>
      </c>
      <c r="G79" s="8" t="s">
        <v>62</v>
      </c>
      <c r="H79" s="8" t="s">
        <v>5</v>
      </c>
      <c r="I79" s="8" t="s">
        <v>93</v>
      </c>
      <c r="J79" s="8" t="s">
        <v>94</v>
      </c>
      <c r="M79" s="8">
        <v>298.14999999999998</v>
      </c>
      <c r="O79" s="8" t="s">
        <v>56</v>
      </c>
      <c r="P79" s="8" t="s">
        <v>167</v>
      </c>
      <c r="Q79" s="8" t="s">
        <v>166</v>
      </c>
      <c r="S79" s="12">
        <f>4.184*0.3</f>
        <v>1.2552000000000001</v>
      </c>
      <c r="W79" s="17">
        <v>2017</v>
      </c>
      <c r="X79" s="17" t="s">
        <v>37</v>
      </c>
      <c r="Z79" s="8" t="s">
        <v>92</v>
      </c>
      <c r="AA79" s="8" t="s">
        <v>135</v>
      </c>
      <c r="AE79" s="8" t="s">
        <v>115</v>
      </c>
    </row>
    <row r="80" spans="1:31" ht="15.6" x14ac:dyDescent="0.6">
      <c r="A80" s="14" t="s">
        <v>111</v>
      </c>
      <c r="B80" s="8" t="s">
        <v>45</v>
      </c>
      <c r="C80" s="8" t="b">
        <v>0</v>
      </c>
      <c r="D80" s="5" t="s">
        <v>123</v>
      </c>
      <c r="E80" s="55" t="s">
        <v>197</v>
      </c>
      <c r="F80" s="12">
        <v>1</v>
      </c>
      <c r="G80" s="8" t="s">
        <v>62</v>
      </c>
      <c r="H80" s="8" t="s">
        <v>5</v>
      </c>
      <c r="I80" s="8" t="s">
        <v>93</v>
      </c>
      <c r="J80" s="8" t="s">
        <v>94</v>
      </c>
      <c r="M80" s="8">
        <v>298.14999999999998</v>
      </c>
      <c r="O80" s="8" t="s">
        <v>56</v>
      </c>
      <c r="P80" s="8" t="s">
        <v>167</v>
      </c>
      <c r="Q80" s="8" t="s">
        <v>166</v>
      </c>
      <c r="S80" s="12">
        <f>4.184*4.5</f>
        <v>18.827999999999999</v>
      </c>
      <c r="W80" s="17">
        <v>2017</v>
      </c>
      <c r="X80" s="17" t="s">
        <v>37</v>
      </c>
      <c r="Z80" s="8" t="s">
        <v>92</v>
      </c>
      <c r="AA80" s="8" t="s">
        <v>135</v>
      </c>
      <c r="AE80" s="8" t="s">
        <v>115</v>
      </c>
    </row>
    <row r="81" spans="1:31" ht="15.6" x14ac:dyDescent="0.6">
      <c r="A81" s="14" t="s">
        <v>111</v>
      </c>
      <c r="B81" s="8" t="s">
        <v>45</v>
      </c>
      <c r="C81" s="8" t="b">
        <v>0</v>
      </c>
      <c r="D81" s="5" t="s">
        <v>119</v>
      </c>
      <c r="E81" s="55" t="s">
        <v>197</v>
      </c>
      <c r="F81" s="12">
        <v>1</v>
      </c>
      <c r="G81" s="8" t="s">
        <v>95</v>
      </c>
      <c r="H81" s="8" t="s">
        <v>5</v>
      </c>
      <c r="I81" s="8" t="s">
        <v>93</v>
      </c>
      <c r="J81" s="8" t="s">
        <v>94</v>
      </c>
      <c r="M81" s="8">
        <v>298.14999999999998</v>
      </c>
      <c r="O81" s="8" t="s">
        <v>56</v>
      </c>
      <c r="P81" s="8" t="s">
        <v>167</v>
      </c>
      <c r="Q81" s="8" t="s">
        <v>166</v>
      </c>
      <c r="S81" s="12">
        <f>4.184*1.9</f>
        <v>7.9496000000000002</v>
      </c>
      <c r="W81" s="17">
        <v>2017</v>
      </c>
      <c r="X81" s="17" t="s">
        <v>37</v>
      </c>
      <c r="Z81" s="8" t="s">
        <v>92</v>
      </c>
      <c r="AA81" s="8" t="s">
        <v>135</v>
      </c>
      <c r="AE81" s="8" t="s">
        <v>115</v>
      </c>
    </row>
    <row r="82" spans="1:31" ht="15.6" x14ac:dyDescent="0.6">
      <c r="A82" s="14" t="s">
        <v>111</v>
      </c>
      <c r="B82" s="8" t="s">
        <v>45</v>
      </c>
      <c r="C82" s="8" t="b">
        <v>0</v>
      </c>
      <c r="D82" s="5" t="s">
        <v>122</v>
      </c>
      <c r="E82" s="55" t="s">
        <v>197</v>
      </c>
      <c r="F82" s="12">
        <v>1</v>
      </c>
      <c r="G82" s="8" t="s">
        <v>95</v>
      </c>
      <c r="H82" s="8" t="s">
        <v>5</v>
      </c>
      <c r="I82" s="8" t="s">
        <v>93</v>
      </c>
      <c r="J82" s="8" t="s">
        <v>94</v>
      </c>
      <c r="M82" s="8">
        <v>298.14999999999998</v>
      </c>
      <c r="O82" s="8" t="s">
        <v>56</v>
      </c>
      <c r="P82" s="8" t="s">
        <v>167</v>
      </c>
      <c r="Q82" s="8" t="s">
        <v>166</v>
      </c>
      <c r="S82" s="12">
        <f>4.184*5.4</f>
        <v>22.593600000000002</v>
      </c>
      <c r="W82" s="17">
        <v>2017</v>
      </c>
      <c r="X82" s="17" t="s">
        <v>37</v>
      </c>
      <c r="Z82" s="8" t="s">
        <v>92</v>
      </c>
      <c r="AA82" s="8" t="s">
        <v>135</v>
      </c>
      <c r="AE82" s="8" t="s">
        <v>115</v>
      </c>
    </row>
    <row r="83" spans="1:31" ht="15.6" x14ac:dyDescent="0.6">
      <c r="A83" s="14" t="s">
        <v>113</v>
      </c>
      <c r="B83" s="8" t="s">
        <v>45</v>
      </c>
      <c r="C83" s="8" t="b">
        <v>0</v>
      </c>
      <c r="D83" s="5" t="s">
        <v>124</v>
      </c>
      <c r="E83" s="55" t="s">
        <v>197</v>
      </c>
      <c r="F83" s="12">
        <v>1</v>
      </c>
      <c r="G83" s="8" t="s">
        <v>62</v>
      </c>
      <c r="H83" s="8" t="s">
        <v>5</v>
      </c>
      <c r="I83" s="8" t="s">
        <v>93</v>
      </c>
      <c r="J83" s="8" t="s">
        <v>94</v>
      </c>
      <c r="M83" s="8">
        <v>298.14999999999998</v>
      </c>
      <c r="O83" s="8" t="s">
        <v>56</v>
      </c>
      <c r="P83" s="8" t="s">
        <v>167</v>
      </c>
      <c r="Q83" s="8" t="s">
        <v>166</v>
      </c>
      <c r="S83" s="12">
        <f>4.184*1.9</f>
        <v>7.9496000000000002</v>
      </c>
      <c r="W83" s="17">
        <v>2017</v>
      </c>
      <c r="X83" s="18" t="s">
        <v>37</v>
      </c>
      <c r="Z83" s="8" t="s">
        <v>92</v>
      </c>
      <c r="AA83" s="8" t="s">
        <v>135</v>
      </c>
      <c r="AE83" s="8" t="s">
        <v>115</v>
      </c>
    </row>
    <row r="84" spans="1:31" ht="15.6" x14ac:dyDescent="0.6">
      <c r="A84" s="14" t="s">
        <v>113</v>
      </c>
      <c r="B84" s="8" t="s">
        <v>45</v>
      </c>
      <c r="C84" s="8" t="b">
        <v>0</v>
      </c>
      <c r="D84" s="5" t="s">
        <v>126</v>
      </c>
      <c r="E84" s="55" t="s">
        <v>197</v>
      </c>
      <c r="F84" s="12">
        <v>1</v>
      </c>
      <c r="G84" s="8" t="s">
        <v>62</v>
      </c>
      <c r="H84" s="8" t="s">
        <v>5</v>
      </c>
      <c r="I84" s="8" t="s">
        <v>93</v>
      </c>
      <c r="J84" s="8" t="s">
        <v>94</v>
      </c>
      <c r="M84" s="8">
        <v>298.14999999999998</v>
      </c>
      <c r="O84" s="8" t="s">
        <v>56</v>
      </c>
      <c r="P84" s="8" t="s">
        <v>167</v>
      </c>
      <c r="Q84" s="8" t="s">
        <v>166</v>
      </c>
      <c r="S84" s="12">
        <f>4.184*5</f>
        <v>20.92</v>
      </c>
      <c r="W84" s="17">
        <v>2017</v>
      </c>
      <c r="X84" s="18" t="s">
        <v>37</v>
      </c>
      <c r="Z84" s="8" t="s">
        <v>92</v>
      </c>
      <c r="AA84" s="8" t="s">
        <v>135</v>
      </c>
      <c r="AE84" s="8" t="s">
        <v>115</v>
      </c>
    </row>
    <row r="85" spans="1:31" ht="15.6" x14ac:dyDescent="0.6">
      <c r="A85" s="14" t="s">
        <v>113</v>
      </c>
      <c r="B85" s="8" t="s">
        <v>45</v>
      </c>
      <c r="C85" s="8" t="b">
        <v>0</v>
      </c>
      <c r="D85" s="5" t="s">
        <v>125</v>
      </c>
      <c r="E85" s="55" t="s">
        <v>197</v>
      </c>
      <c r="F85" s="12">
        <v>1</v>
      </c>
      <c r="G85" s="8" t="s">
        <v>95</v>
      </c>
      <c r="H85" s="8" t="s">
        <v>5</v>
      </c>
      <c r="I85" s="8" t="s">
        <v>93</v>
      </c>
      <c r="J85" s="8" t="s">
        <v>94</v>
      </c>
      <c r="M85" s="8">
        <v>298.14999999999998</v>
      </c>
      <c r="O85" s="8" t="s">
        <v>56</v>
      </c>
      <c r="P85" s="8" t="s">
        <v>167</v>
      </c>
      <c r="Q85" s="8" t="s">
        <v>166</v>
      </c>
      <c r="S85" s="12">
        <f>4.184*2.3</f>
        <v>9.6231999999999989</v>
      </c>
      <c r="W85" s="17">
        <v>2017</v>
      </c>
      <c r="X85" s="8" t="s">
        <v>37</v>
      </c>
      <c r="Z85" s="8" t="s">
        <v>92</v>
      </c>
      <c r="AA85" s="8" t="s">
        <v>135</v>
      </c>
      <c r="AE85" s="8" t="s">
        <v>115</v>
      </c>
    </row>
    <row r="86" spans="1:31" s="23" customFormat="1" ht="15.6" x14ac:dyDescent="0.6">
      <c r="A86" s="20" t="s">
        <v>113</v>
      </c>
      <c r="B86" s="27" t="s">
        <v>45</v>
      </c>
      <c r="C86" s="27" t="b">
        <v>0</v>
      </c>
      <c r="D86" s="21" t="s">
        <v>127</v>
      </c>
      <c r="E86" s="56" t="s">
        <v>197</v>
      </c>
      <c r="F86" s="28">
        <v>1</v>
      </c>
      <c r="G86" s="27" t="s">
        <v>95</v>
      </c>
      <c r="H86" s="27" t="s">
        <v>5</v>
      </c>
      <c r="I86" s="27" t="s">
        <v>93</v>
      </c>
      <c r="J86" s="27" t="s">
        <v>94</v>
      </c>
      <c r="M86" s="27">
        <v>298.14999999999998</v>
      </c>
      <c r="N86" s="27"/>
      <c r="O86" s="27" t="s">
        <v>56</v>
      </c>
      <c r="P86" s="27" t="s">
        <v>167</v>
      </c>
      <c r="Q86" s="27" t="s">
        <v>166</v>
      </c>
      <c r="S86" s="28">
        <f>4.184*4.7</f>
        <v>19.664800000000003</v>
      </c>
      <c r="T86" s="52"/>
      <c r="V86" s="22"/>
      <c r="W86" s="24">
        <v>2017</v>
      </c>
      <c r="X86" s="29" t="s">
        <v>37</v>
      </c>
      <c r="Z86" s="27" t="s">
        <v>92</v>
      </c>
      <c r="AA86" s="27" t="s">
        <v>135</v>
      </c>
      <c r="AB86" s="27"/>
      <c r="AC86" s="27"/>
      <c r="AD86" s="27"/>
      <c r="AE86" s="27" t="s">
        <v>115</v>
      </c>
    </row>
    <row r="87" spans="1:31" ht="15.6" x14ac:dyDescent="0.6">
      <c r="A87" s="14" t="s">
        <v>128</v>
      </c>
      <c r="B87" s="8" t="s">
        <v>45</v>
      </c>
      <c r="C87" s="8" t="b">
        <v>0</v>
      </c>
      <c r="D87" s="5"/>
      <c r="E87" s="55" t="s">
        <v>197</v>
      </c>
      <c r="F87" s="12">
        <v>1</v>
      </c>
      <c r="G87" s="8" t="s">
        <v>47</v>
      </c>
      <c r="H87" s="8" t="s">
        <v>5</v>
      </c>
      <c r="I87" s="8" t="s">
        <v>132</v>
      </c>
      <c r="J87" s="8" t="s">
        <v>94</v>
      </c>
      <c r="M87" s="8">
        <v>298.14999999999998</v>
      </c>
      <c r="O87" s="8" t="s">
        <v>56</v>
      </c>
      <c r="P87" s="8" t="s">
        <v>167</v>
      </c>
      <c r="Q87" s="8" t="s">
        <v>166</v>
      </c>
      <c r="S87" s="12">
        <f>4.184*-9.3</f>
        <v>-38.911200000000008</v>
      </c>
      <c r="W87" s="17">
        <v>2014</v>
      </c>
      <c r="X87" s="18" t="s">
        <v>38</v>
      </c>
      <c r="Z87" s="8" t="s">
        <v>133</v>
      </c>
      <c r="AA87" s="8" t="s">
        <v>60</v>
      </c>
    </row>
    <row r="88" spans="1:31" ht="15.6" x14ac:dyDescent="0.6">
      <c r="A88" s="14" t="s">
        <v>129</v>
      </c>
      <c r="B88" s="8" t="s">
        <v>45</v>
      </c>
      <c r="C88" s="8" t="b">
        <v>0</v>
      </c>
      <c r="D88" s="5"/>
      <c r="E88" s="55" t="s">
        <v>197</v>
      </c>
      <c r="F88" s="12">
        <v>1</v>
      </c>
      <c r="G88" s="8" t="s">
        <v>47</v>
      </c>
      <c r="H88" s="8" t="s">
        <v>5</v>
      </c>
      <c r="I88" s="8" t="s">
        <v>132</v>
      </c>
      <c r="J88" s="8" t="s">
        <v>94</v>
      </c>
      <c r="M88" s="8">
        <v>298.14999999999998</v>
      </c>
      <c r="O88" s="8" t="s">
        <v>56</v>
      </c>
      <c r="P88" s="8" t="s">
        <v>167</v>
      </c>
      <c r="Q88" s="8" t="s">
        <v>166</v>
      </c>
      <c r="S88" s="12">
        <f>4.184*-9.4</f>
        <v>-39.329600000000006</v>
      </c>
      <c r="W88" s="17">
        <v>2014</v>
      </c>
      <c r="X88" s="17" t="s">
        <v>38</v>
      </c>
      <c r="Z88" s="8" t="s">
        <v>133</v>
      </c>
      <c r="AA88" s="8" t="s">
        <v>60</v>
      </c>
    </row>
    <row r="89" spans="1:31" ht="15.6" x14ac:dyDescent="0.6">
      <c r="A89" s="14" t="s">
        <v>130</v>
      </c>
      <c r="B89" s="8" t="s">
        <v>45</v>
      </c>
      <c r="C89" s="8" t="b">
        <v>0</v>
      </c>
      <c r="D89" s="5"/>
      <c r="E89" s="55" t="s">
        <v>197</v>
      </c>
      <c r="F89" s="12">
        <v>1</v>
      </c>
      <c r="G89" s="8" t="s">
        <v>47</v>
      </c>
      <c r="H89" s="8" t="s">
        <v>5</v>
      </c>
      <c r="I89" s="8" t="s">
        <v>132</v>
      </c>
      <c r="J89" s="8" t="s">
        <v>94</v>
      </c>
      <c r="M89" s="8">
        <v>298.14999999999998</v>
      </c>
      <c r="O89" s="8" t="s">
        <v>56</v>
      </c>
      <c r="P89" s="8" t="s">
        <v>167</v>
      </c>
      <c r="Q89" s="8" t="s">
        <v>166</v>
      </c>
      <c r="S89" s="12">
        <f>4.184*-8.7</f>
        <v>-36.400799999999997</v>
      </c>
      <c r="W89" s="17">
        <v>2014</v>
      </c>
      <c r="X89" s="18" t="s">
        <v>38</v>
      </c>
      <c r="Z89" s="8" t="s">
        <v>133</v>
      </c>
      <c r="AA89" s="8" t="s">
        <v>60</v>
      </c>
    </row>
    <row r="90" spans="1:31" ht="15.6" x14ac:dyDescent="0.6">
      <c r="A90" s="14" t="s">
        <v>131</v>
      </c>
      <c r="B90" s="8" t="s">
        <v>45</v>
      </c>
      <c r="C90" s="8" t="b">
        <v>0</v>
      </c>
      <c r="D90" s="5"/>
      <c r="E90" s="55" t="s">
        <v>197</v>
      </c>
      <c r="F90" s="12">
        <v>1</v>
      </c>
      <c r="G90" s="8" t="s">
        <v>47</v>
      </c>
      <c r="H90" s="8" t="s">
        <v>5</v>
      </c>
      <c r="I90" s="8" t="s">
        <v>132</v>
      </c>
      <c r="J90" s="8" t="s">
        <v>94</v>
      </c>
      <c r="M90" s="8">
        <v>298.14999999999998</v>
      </c>
      <c r="O90" s="8" t="s">
        <v>56</v>
      </c>
      <c r="P90" s="8" t="s">
        <v>167</v>
      </c>
      <c r="Q90" s="8" t="s">
        <v>166</v>
      </c>
      <c r="S90" s="12">
        <f>4.184*-4.9</f>
        <v>-20.501600000000003</v>
      </c>
      <c r="W90" s="17">
        <v>2014</v>
      </c>
      <c r="X90" s="18" t="s">
        <v>38</v>
      </c>
      <c r="Z90" s="8" t="s">
        <v>133</v>
      </c>
      <c r="AA90" s="8" t="s">
        <v>60</v>
      </c>
    </row>
    <row r="91" spans="1:31" s="23" customFormat="1" ht="15.6" x14ac:dyDescent="0.6">
      <c r="A91" s="20" t="s">
        <v>129</v>
      </c>
      <c r="B91" s="27" t="s">
        <v>45</v>
      </c>
      <c r="C91" s="27" t="b">
        <v>0</v>
      </c>
      <c r="D91" s="21"/>
      <c r="E91" s="56" t="s">
        <v>197</v>
      </c>
      <c r="F91" s="28">
        <v>1</v>
      </c>
      <c r="G91" s="27" t="s">
        <v>47</v>
      </c>
      <c r="H91" s="27" t="s">
        <v>5</v>
      </c>
      <c r="I91" s="27" t="s">
        <v>134</v>
      </c>
      <c r="J91" s="27" t="s">
        <v>94</v>
      </c>
      <c r="M91" s="27">
        <v>298.14999999999998</v>
      </c>
      <c r="N91" s="27"/>
      <c r="O91" s="27" t="s">
        <v>56</v>
      </c>
      <c r="P91" s="27" t="s">
        <v>167</v>
      </c>
      <c r="Q91" s="27" t="s">
        <v>166</v>
      </c>
      <c r="S91" s="28">
        <f>4.184*-8.7</f>
        <v>-36.400799999999997</v>
      </c>
      <c r="T91" s="52"/>
      <c r="V91" s="22"/>
      <c r="W91" s="24">
        <v>2014</v>
      </c>
      <c r="X91" s="29" t="s">
        <v>38</v>
      </c>
      <c r="Z91" s="27" t="s">
        <v>133</v>
      </c>
      <c r="AA91" s="27" t="s">
        <v>60</v>
      </c>
      <c r="AB91" s="27"/>
      <c r="AC91" s="27"/>
      <c r="AD91" s="27"/>
      <c r="AE91" s="27"/>
    </row>
    <row r="92" spans="1:31" ht="15.6" x14ac:dyDescent="0.6">
      <c r="A92" s="14" t="s">
        <v>141</v>
      </c>
      <c r="B92" s="8" t="s">
        <v>45</v>
      </c>
      <c r="C92" s="8" t="b">
        <v>0</v>
      </c>
      <c r="D92" s="5" t="s">
        <v>146</v>
      </c>
      <c r="E92" s="55" t="s">
        <v>197</v>
      </c>
      <c r="F92" s="12">
        <v>1</v>
      </c>
      <c r="G92" s="8" t="s">
        <v>138</v>
      </c>
      <c r="H92" s="8" t="s">
        <v>5</v>
      </c>
      <c r="I92" s="8" t="s">
        <v>137</v>
      </c>
      <c r="J92" s="8" t="s">
        <v>94</v>
      </c>
      <c r="M92" s="8">
        <v>298.14999999999998</v>
      </c>
      <c r="O92" s="8" t="s">
        <v>56</v>
      </c>
      <c r="P92" s="8" t="s">
        <v>167</v>
      </c>
      <c r="Q92" s="8" t="s">
        <v>166</v>
      </c>
      <c r="S92" s="12">
        <f>4.184*-6.42</f>
        <v>-26.861280000000001</v>
      </c>
      <c r="W92" s="17">
        <v>2022</v>
      </c>
      <c r="X92" s="18" t="s">
        <v>31</v>
      </c>
      <c r="Z92" s="8" t="s">
        <v>92</v>
      </c>
      <c r="AA92" s="8" t="s">
        <v>136</v>
      </c>
    </row>
    <row r="93" spans="1:31" ht="15.6" x14ac:dyDescent="0.6">
      <c r="A93" s="14" t="s">
        <v>142</v>
      </c>
      <c r="B93" s="8" t="s">
        <v>45</v>
      </c>
      <c r="C93" s="8" t="b">
        <v>0</v>
      </c>
      <c r="D93" s="5" t="s">
        <v>147</v>
      </c>
      <c r="E93" s="55" t="s">
        <v>197</v>
      </c>
      <c r="F93" s="12">
        <v>1</v>
      </c>
      <c r="G93" s="8" t="s">
        <v>138</v>
      </c>
      <c r="H93" s="8" t="s">
        <v>5</v>
      </c>
      <c r="I93" s="8" t="s">
        <v>137</v>
      </c>
      <c r="J93" s="8" t="s">
        <v>94</v>
      </c>
      <c r="M93" s="8">
        <v>298.14999999999998</v>
      </c>
      <c r="O93" s="8" t="s">
        <v>56</v>
      </c>
      <c r="P93" s="8" t="s">
        <v>167</v>
      </c>
      <c r="Q93" s="8" t="s">
        <v>166</v>
      </c>
      <c r="S93" s="12">
        <f>-4.184*6.22</f>
        <v>-26.024480000000001</v>
      </c>
      <c r="W93" s="17">
        <v>2022</v>
      </c>
      <c r="X93" s="18" t="s">
        <v>31</v>
      </c>
      <c r="Z93" s="8" t="s">
        <v>92</v>
      </c>
      <c r="AA93" s="8" t="s">
        <v>136</v>
      </c>
    </row>
    <row r="94" spans="1:31" ht="15.6" x14ac:dyDescent="0.6">
      <c r="A94" s="14" t="s">
        <v>143</v>
      </c>
      <c r="B94" s="8" t="s">
        <v>45</v>
      </c>
      <c r="C94" s="8" t="b">
        <v>0</v>
      </c>
      <c r="D94" s="5" t="s">
        <v>148</v>
      </c>
      <c r="E94" s="55" t="s">
        <v>197</v>
      </c>
      <c r="F94" s="12">
        <v>1</v>
      </c>
      <c r="G94" s="8" t="s">
        <v>139</v>
      </c>
      <c r="H94" s="8" t="s">
        <v>5</v>
      </c>
      <c r="I94" s="8" t="s">
        <v>137</v>
      </c>
      <c r="J94" s="8" t="s">
        <v>94</v>
      </c>
      <c r="M94" s="8">
        <v>298.14999999999998</v>
      </c>
      <c r="O94" s="8" t="s">
        <v>56</v>
      </c>
      <c r="P94" s="8" t="s">
        <v>167</v>
      </c>
      <c r="Q94" s="8" t="s">
        <v>166</v>
      </c>
      <c r="S94" s="12">
        <f>4.184*-4.91</f>
        <v>-20.54344</v>
      </c>
      <c r="W94" s="17">
        <v>2022</v>
      </c>
      <c r="X94" s="18" t="s">
        <v>31</v>
      </c>
      <c r="Z94" s="8" t="s">
        <v>92</v>
      </c>
      <c r="AA94" s="8" t="s">
        <v>136</v>
      </c>
    </row>
    <row r="95" spans="1:31" ht="15.6" x14ac:dyDescent="0.6">
      <c r="A95" s="14" t="s">
        <v>144</v>
      </c>
      <c r="B95" s="8" t="s">
        <v>45</v>
      </c>
      <c r="C95" s="8" t="b">
        <v>0</v>
      </c>
      <c r="D95" s="5" t="s">
        <v>149</v>
      </c>
      <c r="E95" s="55" t="s">
        <v>197</v>
      </c>
      <c r="F95" s="12">
        <v>1</v>
      </c>
      <c r="G95" s="8" t="s">
        <v>140</v>
      </c>
      <c r="H95" s="8" t="s">
        <v>5</v>
      </c>
      <c r="I95" s="8" t="s">
        <v>137</v>
      </c>
      <c r="J95" s="8" t="s">
        <v>94</v>
      </c>
      <c r="M95" s="8">
        <v>298.14999999999998</v>
      </c>
      <c r="O95" s="8" t="s">
        <v>56</v>
      </c>
      <c r="P95" s="8" t="s">
        <v>167</v>
      </c>
      <c r="Q95" s="8" t="s">
        <v>166</v>
      </c>
      <c r="S95" s="12">
        <f>4.184*-8.58</f>
        <v>-35.898720000000004</v>
      </c>
      <c r="W95" s="17">
        <v>2022</v>
      </c>
      <c r="X95" s="18" t="s">
        <v>31</v>
      </c>
      <c r="Z95" s="8" t="s">
        <v>92</v>
      </c>
      <c r="AA95" s="8" t="s">
        <v>136</v>
      </c>
    </row>
    <row r="96" spans="1:31" s="23" customFormat="1" ht="15.6" x14ac:dyDescent="0.6">
      <c r="A96" s="20" t="s">
        <v>145</v>
      </c>
      <c r="B96" s="27" t="s">
        <v>45</v>
      </c>
      <c r="C96" s="27" t="b">
        <v>0</v>
      </c>
      <c r="D96" s="21" t="s">
        <v>150</v>
      </c>
      <c r="E96" s="56" t="s">
        <v>197</v>
      </c>
      <c r="F96" s="28">
        <v>1</v>
      </c>
      <c r="G96" s="27" t="s">
        <v>96</v>
      </c>
      <c r="H96" s="27" t="s">
        <v>5</v>
      </c>
      <c r="I96" s="27" t="s">
        <v>137</v>
      </c>
      <c r="J96" s="27" t="s">
        <v>94</v>
      </c>
      <c r="M96" s="27">
        <v>298.14999999999998</v>
      </c>
      <c r="N96" s="27"/>
      <c r="O96" s="27" t="s">
        <v>56</v>
      </c>
      <c r="P96" s="27" t="s">
        <v>167</v>
      </c>
      <c r="Q96" s="27" t="s">
        <v>166</v>
      </c>
      <c r="S96" s="28">
        <f>4.184*-8.9</f>
        <v>-37.2376</v>
      </c>
      <c r="T96" s="52"/>
      <c r="V96" s="22"/>
      <c r="W96" s="24">
        <v>2022</v>
      </c>
      <c r="X96" s="29" t="s">
        <v>31</v>
      </c>
      <c r="Z96" s="27" t="s">
        <v>92</v>
      </c>
      <c r="AA96" s="27" t="s">
        <v>136</v>
      </c>
      <c r="AB96" s="27"/>
      <c r="AC96" s="27"/>
      <c r="AD96" s="27"/>
      <c r="AE96" s="27"/>
    </row>
    <row r="97" spans="1:31" ht="15.6" x14ac:dyDescent="0.6">
      <c r="A97" s="14" t="s">
        <v>53</v>
      </c>
      <c r="B97" s="8" t="s">
        <v>151</v>
      </c>
      <c r="C97" s="8" t="b">
        <v>0</v>
      </c>
      <c r="D97" s="5"/>
      <c r="E97" s="55" t="s">
        <v>197</v>
      </c>
      <c r="F97" s="12">
        <v>3</v>
      </c>
      <c r="H97" s="8" t="s">
        <v>5</v>
      </c>
      <c r="I97" s="8" t="s">
        <v>132</v>
      </c>
      <c r="M97" s="8">
        <v>298.14999999999998</v>
      </c>
      <c r="O97" s="8" t="s">
        <v>152</v>
      </c>
      <c r="P97" s="8" t="s">
        <v>167</v>
      </c>
      <c r="Q97" s="8" t="s">
        <v>166</v>
      </c>
      <c r="S97" s="12">
        <v>-11</v>
      </c>
      <c r="T97" s="51">
        <v>-36.799999999999997</v>
      </c>
      <c r="W97" s="17">
        <v>2024</v>
      </c>
      <c r="X97" s="8" t="s">
        <v>39</v>
      </c>
      <c r="AC97" s="8" t="s">
        <v>157</v>
      </c>
    </row>
    <row r="98" spans="1:31" ht="15.6" x14ac:dyDescent="0.6">
      <c r="A98" s="14" t="s">
        <v>153</v>
      </c>
      <c r="B98" s="8" t="s">
        <v>151</v>
      </c>
      <c r="C98" s="8" t="b">
        <v>0</v>
      </c>
      <c r="D98" s="5"/>
      <c r="E98" s="55" t="s">
        <v>197</v>
      </c>
      <c r="F98" s="12">
        <v>3</v>
      </c>
      <c r="H98" s="8" t="s">
        <v>5</v>
      </c>
      <c r="I98" s="8" t="s">
        <v>132</v>
      </c>
      <c r="M98" s="8">
        <v>298.14999999999998</v>
      </c>
      <c r="O98" s="8" t="s">
        <v>152</v>
      </c>
      <c r="P98" s="8" t="s">
        <v>167</v>
      </c>
      <c r="Q98" s="8" t="s">
        <v>166</v>
      </c>
      <c r="S98" s="12">
        <v>-7.9</v>
      </c>
      <c r="T98" s="51">
        <v>-39.200000000000003</v>
      </c>
      <c r="W98" s="17">
        <v>2024</v>
      </c>
      <c r="X98" s="17" t="s">
        <v>39</v>
      </c>
      <c r="AC98" s="8" t="s">
        <v>157</v>
      </c>
    </row>
    <row r="99" spans="1:31" ht="15.6" x14ac:dyDescent="0.6">
      <c r="A99" s="14" t="s">
        <v>154</v>
      </c>
      <c r="B99" s="8" t="s">
        <v>151</v>
      </c>
      <c r="C99" s="8" t="b">
        <v>0</v>
      </c>
      <c r="D99" s="5"/>
      <c r="E99" s="55" t="s">
        <v>197</v>
      </c>
      <c r="F99" s="12">
        <v>3</v>
      </c>
      <c r="H99" s="8" t="s">
        <v>5</v>
      </c>
      <c r="I99" s="8" t="s">
        <v>132</v>
      </c>
      <c r="M99" s="8">
        <v>298.14999999999998</v>
      </c>
      <c r="O99" s="8" t="s">
        <v>152</v>
      </c>
      <c r="P99" s="8" t="s">
        <v>167</v>
      </c>
      <c r="Q99" s="8" t="s">
        <v>166</v>
      </c>
      <c r="S99" s="12">
        <v>-9.8000000000000007</v>
      </c>
      <c r="T99" s="51">
        <v>-40.799999999999997</v>
      </c>
      <c r="W99" s="17">
        <v>2024</v>
      </c>
      <c r="X99" s="17" t="s">
        <v>39</v>
      </c>
      <c r="AC99" s="8" t="s">
        <v>157</v>
      </c>
    </row>
    <row r="100" spans="1:31" ht="15.6" x14ac:dyDescent="0.6">
      <c r="A100" s="14" t="s">
        <v>155</v>
      </c>
      <c r="B100" s="8" t="s">
        <v>151</v>
      </c>
      <c r="C100" s="8" t="b">
        <v>0</v>
      </c>
      <c r="D100" s="5"/>
      <c r="E100" s="55" t="s">
        <v>197</v>
      </c>
      <c r="F100" s="12">
        <v>3</v>
      </c>
      <c r="H100" s="8" t="s">
        <v>5</v>
      </c>
      <c r="I100" s="8" t="s">
        <v>132</v>
      </c>
      <c r="M100" s="8">
        <v>298.14999999999998</v>
      </c>
      <c r="O100" s="8" t="s">
        <v>152</v>
      </c>
      <c r="P100" s="8" t="s">
        <v>167</v>
      </c>
      <c r="Q100" s="8" t="s">
        <v>166</v>
      </c>
      <c r="S100" s="12">
        <v>3.3</v>
      </c>
      <c r="T100" s="51">
        <v>24.2</v>
      </c>
      <c r="W100" s="17">
        <v>2024</v>
      </c>
      <c r="X100" s="17" t="s">
        <v>39</v>
      </c>
      <c r="AC100" s="8" t="s">
        <v>157</v>
      </c>
    </row>
    <row r="101" spans="1:31" ht="15.6" x14ac:dyDescent="0.6">
      <c r="A101" s="14" t="s">
        <v>54</v>
      </c>
      <c r="B101" s="8" t="s">
        <v>151</v>
      </c>
      <c r="C101" s="8" t="b">
        <v>0</v>
      </c>
      <c r="D101" s="5"/>
      <c r="E101" s="55" t="s">
        <v>197</v>
      </c>
      <c r="F101" s="12">
        <v>3</v>
      </c>
      <c r="H101" s="8" t="s">
        <v>5</v>
      </c>
      <c r="I101" s="8" t="s">
        <v>132</v>
      </c>
      <c r="M101" s="8">
        <v>298.14999999999998</v>
      </c>
      <c r="O101" s="8" t="s">
        <v>152</v>
      </c>
      <c r="P101" s="8" t="s">
        <v>167</v>
      </c>
      <c r="Q101" s="8" t="s">
        <v>166</v>
      </c>
      <c r="S101" s="12">
        <v>-3</v>
      </c>
      <c r="T101" s="51">
        <v>-48.9</v>
      </c>
      <c r="W101" s="17">
        <v>2024</v>
      </c>
      <c r="X101" s="17" t="s">
        <v>39</v>
      </c>
      <c r="AC101" s="8" t="s">
        <v>157</v>
      </c>
    </row>
    <row r="102" spans="1:31" ht="15.6" x14ac:dyDescent="0.6">
      <c r="A102" s="14" t="s">
        <v>81</v>
      </c>
      <c r="B102" s="8" t="s">
        <v>151</v>
      </c>
      <c r="C102" s="8" t="b">
        <v>0</v>
      </c>
      <c r="D102" s="5"/>
      <c r="E102" s="55" t="s">
        <v>197</v>
      </c>
      <c r="F102" s="12">
        <v>3</v>
      </c>
      <c r="H102" s="8" t="s">
        <v>5</v>
      </c>
      <c r="I102" s="8" t="s">
        <v>132</v>
      </c>
      <c r="M102" s="8">
        <v>298.14999999999998</v>
      </c>
      <c r="O102" s="8" t="s">
        <v>152</v>
      </c>
      <c r="P102" s="8" t="s">
        <v>167</v>
      </c>
      <c r="Q102" s="8" t="s">
        <v>166</v>
      </c>
      <c r="S102" s="12">
        <v>-27.3</v>
      </c>
      <c r="T102" s="51">
        <v>-45.7</v>
      </c>
      <c r="W102" s="17">
        <v>2024</v>
      </c>
      <c r="X102" s="17" t="s">
        <v>39</v>
      </c>
      <c r="AC102" s="8" t="s">
        <v>157</v>
      </c>
    </row>
    <row r="103" spans="1:31" ht="15.6" x14ac:dyDescent="0.6">
      <c r="A103" s="14" t="s">
        <v>44</v>
      </c>
      <c r="B103" s="8" t="s">
        <v>151</v>
      </c>
      <c r="C103" s="8" t="b">
        <v>0</v>
      </c>
      <c r="D103" s="5"/>
      <c r="E103" s="55" t="s">
        <v>197</v>
      </c>
      <c r="F103" s="12">
        <v>3</v>
      </c>
      <c r="H103" s="8" t="s">
        <v>5</v>
      </c>
      <c r="I103" s="8" t="s">
        <v>132</v>
      </c>
      <c r="M103" s="8">
        <v>298.14999999999998</v>
      </c>
      <c r="O103" s="8" t="s">
        <v>152</v>
      </c>
      <c r="P103" s="8" t="s">
        <v>167</v>
      </c>
      <c r="Q103" s="8" t="s">
        <v>166</v>
      </c>
      <c r="S103" s="12">
        <v>-17.100000000000001</v>
      </c>
      <c r="T103" s="51">
        <v>-22.2</v>
      </c>
      <c r="W103" s="17">
        <v>2024</v>
      </c>
      <c r="X103" s="17" t="s">
        <v>39</v>
      </c>
      <c r="AC103" s="8" t="s">
        <v>157</v>
      </c>
    </row>
    <row r="104" spans="1:31" s="23" customFormat="1" ht="15.6" x14ac:dyDescent="0.6">
      <c r="A104" s="20" t="s">
        <v>99</v>
      </c>
      <c r="B104" s="27" t="s">
        <v>151</v>
      </c>
      <c r="C104" s="27" t="b">
        <v>0</v>
      </c>
      <c r="D104" s="21"/>
      <c r="E104" s="56" t="s">
        <v>197</v>
      </c>
      <c r="F104" s="28">
        <v>3</v>
      </c>
      <c r="G104" s="27"/>
      <c r="H104" s="27" t="s">
        <v>5</v>
      </c>
      <c r="I104" s="27" t="s">
        <v>132</v>
      </c>
      <c r="J104" s="27"/>
      <c r="M104" s="27">
        <v>299.14999999999998</v>
      </c>
      <c r="N104" s="27"/>
      <c r="O104" s="27" t="s">
        <v>152</v>
      </c>
      <c r="P104" s="27" t="s">
        <v>167</v>
      </c>
      <c r="Q104" s="27" t="s">
        <v>166</v>
      </c>
      <c r="S104" s="28">
        <v>-14.3</v>
      </c>
      <c r="T104" s="52">
        <v>-30.8</v>
      </c>
      <c r="V104" s="22"/>
      <c r="W104" s="24">
        <v>2024</v>
      </c>
      <c r="X104" s="24" t="s">
        <v>39</v>
      </c>
      <c r="Z104" s="27"/>
      <c r="AA104" s="27"/>
      <c r="AB104" s="27"/>
      <c r="AC104" s="27" t="s">
        <v>157</v>
      </c>
      <c r="AD104" s="27"/>
      <c r="AE104" s="27"/>
    </row>
    <row r="105" spans="1:31" ht="15.6" x14ac:dyDescent="0.6">
      <c r="A105" s="14" t="s">
        <v>158</v>
      </c>
      <c r="B105" s="8" t="s">
        <v>45</v>
      </c>
      <c r="C105" s="8" t="b">
        <v>0</v>
      </c>
      <c r="D105" s="5"/>
      <c r="E105" s="55" t="s">
        <v>197</v>
      </c>
      <c r="F105" s="12">
        <v>1</v>
      </c>
      <c r="G105" s="8" t="s">
        <v>47</v>
      </c>
      <c r="H105" s="8" t="s">
        <v>5</v>
      </c>
      <c r="I105" s="8" t="s">
        <v>93</v>
      </c>
      <c r="J105" s="8" t="s">
        <v>156</v>
      </c>
      <c r="M105" s="8">
        <v>298.14999999999998</v>
      </c>
      <c r="N105" s="8">
        <v>1</v>
      </c>
      <c r="O105" s="8" t="s">
        <v>56</v>
      </c>
      <c r="P105" s="8" t="s">
        <v>167</v>
      </c>
      <c r="Q105" s="8" t="s">
        <v>166</v>
      </c>
      <c r="S105" s="12">
        <f>4.184*-16</f>
        <v>-66.944000000000003</v>
      </c>
      <c r="W105" s="17">
        <v>2020</v>
      </c>
      <c r="X105" s="18" t="s">
        <v>41</v>
      </c>
      <c r="Z105" s="8" t="s">
        <v>133</v>
      </c>
      <c r="AA105" s="8" t="s">
        <v>60</v>
      </c>
    </row>
    <row r="106" spans="1:31" ht="15.6" x14ac:dyDescent="0.6">
      <c r="A106" s="14" t="s">
        <v>159</v>
      </c>
      <c r="B106" s="8" t="s">
        <v>45</v>
      </c>
      <c r="C106" s="8" t="b">
        <v>0</v>
      </c>
      <c r="D106" s="5"/>
      <c r="E106" s="55" t="s">
        <v>197</v>
      </c>
      <c r="F106" s="12">
        <v>1</v>
      </c>
      <c r="G106" s="8" t="s">
        <v>47</v>
      </c>
      <c r="H106" s="8" t="s">
        <v>5</v>
      </c>
      <c r="I106" s="8" t="s">
        <v>93</v>
      </c>
      <c r="J106" s="8" t="s">
        <v>156</v>
      </c>
      <c r="M106" s="8">
        <v>298.14999999999998</v>
      </c>
      <c r="N106" s="8">
        <v>1</v>
      </c>
      <c r="O106" s="8" t="s">
        <v>56</v>
      </c>
      <c r="P106" s="8" t="s">
        <v>167</v>
      </c>
      <c r="Q106" s="8" t="s">
        <v>166</v>
      </c>
      <c r="S106" s="12">
        <f>4.184*-17.6</f>
        <v>-73.638400000000004</v>
      </c>
      <c r="W106" s="17">
        <v>2020</v>
      </c>
      <c r="X106" s="18" t="s">
        <v>41</v>
      </c>
      <c r="Z106" s="8" t="s">
        <v>133</v>
      </c>
      <c r="AA106" s="8" t="s">
        <v>60</v>
      </c>
    </row>
    <row r="107" spans="1:31" ht="15.6" x14ac:dyDescent="0.6">
      <c r="A107" s="14" t="s">
        <v>160</v>
      </c>
      <c r="B107" s="8" t="s">
        <v>45</v>
      </c>
      <c r="C107" s="8" t="b">
        <v>0</v>
      </c>
      <c r="D107" s="5"/>
      <c r="E107" s="55" t="s">
        <v>197</v>
      </c>
      <c r="F107" s="12">
        <v>1</v>
      </c>
      <c r="G107" s="8" t="s">
        <v>47</v>
      </c>
      <c r="H107" s="8" t="s">
        <v>5</v>
      </c>
      <c r="I107" s="8" t="s">
        <v>93</v>
      </c>
      <c r="J107" s="8" t="s">
        <v>156</v>
      </c>
      <c r="M107" s="8">
        <v>298.14999999999998</v>
      </c>
      <c r="N107" s="8">
        <v>1</v>
      </c>
      <c r="O107" s="8" t="s">
        <v>56</v>
      </c>
      <c r="P107" s="8" t="s">
        <v>167</v>
      </c>
      <c r="Q107" s="8" t="s">
        <v>166</v>
      </c>
      <c r="S107" s="12">
        <f>4.184*-16.6</f>
        <v>-69.454400000000007</v>
      </c>
      <c r="W107" s="17">
        <v>2020</v>
      </c>
      <c r="X107" s="18" t="s">
        <v>41</v>
      </c>
      <c r="Z107" s="8" t="s">
        <v>133</v>
      </c>
      <c r="AA107" s="8" t="s">
        <v>60</v>
      </c>
    </row>
    <row r="108" spans="1:31" ht="15.6" x14ac:dyDescent="0.6">
      <c r="A108" s="14" t="s">
        <v>161</v>
      </c>
      <c r="B108" s="8" t="s">
        <v>45</v>
      </c>
      <c r="C108" s="8" t="b">
        <v>0</v>
      </c>
      <c r="D108" s="5"/>
      <c r="E108" s="55" t="s">
        <v>197</v>
      </c>
      <c r="F108" s="12">
        <v>1</v>
      </c>
      <c r="G108" s="8" t="s">
        <v>47</v>
      </c>
      <c r="H108" s="8" t="s">
        <v>5</v>
      </c>
      <c r="I108" s="8" t="s">
        <v>93</v>
      </c>
      <c r="J108" s="8" t="s">
        <v>156</v>
      </c>
      <c r="M108" s="8">
        <v>298.14999999999998</v>
      </c>
      <c r="N108" s="8">
        <v>1</v>
      </c>
      <c r="O108" s="8" t="s">
        <v>56</v>
      </c>
      <c r="P108" s="8" t="s">
        <v>167</v>
      </c>
      <c r="Q108" s="8" t="s">
        <v>166</v>
      </c>
      <c r="S108" s="12">
        <f>4.184*-17.4</f>
        <v>-72.801599999999993</v>
      </c>
      <c r="W108" s="17">
        <v>2020</v>
      </c>
      <c r="X108" s="8" t="s">
        <v>41</v>
      </c>
      <c r="Z108" s="8" t="s">
        <v>133</v>
      </c>
      <c r="AA108" s="8" t="s">
        <v>60</v>
      </c>
    </row>
    <row r="109" spans="1:31" s="23" customFormat="1" ht="15.6" x14ac:dyDescent="0.6">
      <c r="A109" s="20" t="s">
        <v>162</v>
      </c>
      <c r="B109" s="27" t="s">
        <v>45</v>
      </c>
      <c r="C109" s="27" t="b">
        <v>0</v>
      </c>
      <c r="D109" s="21"/>
      <c r="E109" s="56" t="s">
        <v>197</v>
      </c>
      <c r="F109" s="28">
        <v>1</v>
      </c>
      <c r="G109" s="27" t="s">
        <v>47</v>
      </c>
      <c r="H109" s="27" t="s">
        <v>5</v>
      </c>
      <c r="I109" s="27" t="s">
        <v>93</v>
      </c>
      <c r="J109" s="27" t="s">
        <v>156</v>
      </c>
      <c r="M109" s="27">
        <v>298.14999999999998</v>
      </c>
      <c r="N109" s="27">
        <v>1</v>
      </c>
      <c r="O109" s="27" t="s">
        <v>56</v>
      </c>
      <c r="P109" s="27" t="s">
        <v>167</v>
      </c>
      <c r="Q109" s="27" t="s">
        <v>166</v>
      </c>
      <c r="S109" s="28">
        <f>4.184*-14.7</f>
        <v>-61.504799999999996</v>
      </c>
      <c r="T109" s="52"/>
      <c r="V109" s="22"/>
      <c r="W109" s="24">
        <v>2020</v>
      </c>
      <c r="X109" s="24" t="s">
        <v>41</v>
      </c>
      <c r="Z109" s="27" t="s">
        <v>133</v>
      </c>
      <c r="AA109" s="27" t="s">
        <v>60</v>
      </c>
      <c r="AB109" s="27"/>
      <c r="AC109" s="27"/>
      <c r="AD109" s="27"/>
      <c r="AE109" s="27"/>
    </row>
    <row r="110" spans="1:31" ht="15.6" x14ac:dyDescent="0.6">
      <c r="A110" s="14" t="s">
        <v>54</v>
      </c>
      <c r="B110" s="8" t="s">
        <v>173</v>
      </c>
      <c r="C110" s="8" t="b">
        <v>0</v>
      </c>
      <c r="D110" s="5"/>
      <c r="E110" s="55" t="s">
        <v>173</v>
      </c>
      <c r="F110" s="12">
        <v>5</v>
      </c>
      <c r="H110" s="8" t="s">
        <v>173</v>
      </c>
      <c r="M110" s="8" t="s">
        <v>173</v>
      </c>
      <c r="O110" s="8" t="s">
        <v>173</v>
      </c>
      <c r="P110" s="8" t="s">
        <v>183</v>
      </c>
      <c r="Q110" s="8" t="s">
        <v>166</v>
      </c>
      <c r="S110" s="12">
        <v>-15.4</v>
      </c>
      <c r="W110" s="17">
        <v>1998</v>
      </c>
      <c r="X110" s="17" t="s">
        <v>40</v>
      </c>
      <c r="AC110" s="8" t="s">
        <v>170</v>
      </c>
      <c r="AE110" s="8" t="s">
        <v>174</v>
      </c>
    </row>
    <row r="111" spans="1:31" ht="15.6" x14ac:dyDescent="0.6">
      <c r="A111" s="14" t="s">
        <v>171</v>
      </c>
      <c r="B111" s="8" t="s">
        <v>173</v>
      </c>
      <c r="C111" s="8" t="b">
        <v>0</v>
      </c>
      <c r="D111" s="5"/>
      <c r="E111" s="55" t="s">
        <v>173</v>
      </c>
      <c r="F111" s="12">
        <v>5</v>
      </c>
      <c r="H111" s="8" t="s">
        <v>173</v>
      </c>
      <c r="M111" s="8" t="s">
        <v>173</v>
      </c>
      <c r="O111" s="8" t="s">
        <v>173</v>
      </c>
      <c r="P111" s="8" t="s">
        <v>183</v>
      </c>
      <c r="Q111" s="8" t="s">
        <v>166</v>
      </c>
      <c r="S111" s="12">
        <v>-7.1</v>
      </c>
      <c r="W111" s="17">
        <v>1998</v>
      </c>
      <c r="X111" s="17" t="s">
        <v>40</v>
      </c>
      <c r="AC111" s="8" t="s">
        <v>170</v>
      </c>
      <c r="AE111" s="8" t="s">
        <v>174</v>
      </c>
    </row>
    <row r="112" spans="1:31" ht="15.6" x14ac:dyDescent="0.6">
      <c r="A112" s="14" t="s">
        <v>53</v>
      </c>
      <c r="B112" s="8" t="s">
        <v>173</v>
      </c>
      <c r="C112" s="8" t="b">
        <v>0</v>
      </c>
      <c r="D112" s="5"/>
      <c r="E112" s="55" t="s">
        <v>173</v>
      </c>
      <c r="F112" s="12">
        <v>5</v>
      </c>
      <c r="H112" s="8" t="s">
        <v>173</v>
      </c>
      <c r="M112" s="8" t="s">
        <v>173</v>
      </c>
      <c r="O112" s="8" t="s">
        <v>173</v>
      </c>
      <c r="P112" s="8" t="s">
        <v>183</v>
      </c>
      <c r="Q112" s="8" t="s">
        <v>166</v>
      </c>
      <c r="S112" s="12">
        <v>-26.8</v>
      </c>
      <c r="W112" s="17">
        <v>1998</v>
      </c>
      <c r="X112" s="17" t="s">
        <v>40</v>
      </c>
      <c r="AC112" s="8" t="s">
        <v>170</v>
      </c>
      <c r="AE112" s="8" t="s">
        <v>174</v>
      </c>
    </row>
    <row r="113" spans="1:31" ht="15.6" x14ac:dyDescent="0.6">
      <c r="A113" s="14" t="s">
        <v>44</v>
      </c>
      <c r="B113" s="8" t="s">
        <v>173</v>
      </c>
      <c r="C113" s="8" t="b">
        <v>0</v>
      </c>
      <c r="D113" s="5"/>
      <c r="E113" s="55" t="s">
        <v>173</v>
      </c>
      <c r="F113" s="12">
        <v>5</v>
      </c>
      <c r="H113" s="8" t="s">
        <v>173</v>
      </c>
      <c r="M113" s="8" t="s">
        <v>173</v>
      </c>
      <c r="O113" s="8" t="s">
        <v>173</v>
      </c>
      <c r="P113" s="8" t="s">
        <v>183</v>
      </c>
      <c r="Q113" s="8" t="s">
        <v>166</v>
      </c>
      <c r="S113" s="12">
        <v>-35.9</v>
      </c>
      <c r="W113" s="17">
        <v>1998</v>
      </c>
      <c r="X113" s="17" t="s">
        <v>40</v>
      </c>
      <c r="AC113" s="8" t="s">
        <v>170</v>
      </c>
      <c r="AE113" s="8" t="s">
        <v>174</v>
      </c>
    </row>
    <row r="114" spans="1:31" ht="15.6" x14ac:dyDescent="0.6">
      <c r="A114" s="14" t="s">
        <v>80</v>
      </c>
      <c r="B114" s="8" t="s">
        <v>173</v>
      </c>
      <c r="C114" s="8" t="b">
        <v>0</v>
      </c>
      <c r="D114" s="5"/>
      <c r="E114" s="55" t="s">
        <v>173</v>
      </c>
      <c r="F114" s="12">
        <v>5</v>
      </c>
      <c r="H114" s="8" t="s">
        <v>173</v>
      </c>
      <c r="M114" s="8" t="s">
        <v>173</v>
      </c>
      <c r="O114" s="8" t="s">
        <v>173</v>
      </c>
      <c r="P114" s="8" t="s">
        <v>183</v>
      </c>
      <c r="Q114" s="8" t="s">
        <v>166</v>
      </c>
      <c r="S114" s="12">
        <v>-23</v>
      </c>
      <c r="W114" s="17">
        <v>1998</v>
      </c>
      <c r="X114" s="17" t="s">
        <v>40</v>
      </c>
      <c r="AC114" s="8" t="s">
        <v>170</v>
      </c>
      <c r="AE114" s="8" t="s">
        <v>174</v>
      </c>
    </row>
    <row r="115" spans="1:31" ht="15.6" x14ac:dyDescent="0.6">
      <c r="A115" s="14" t="s">
        <v>91</v>
      </c>
      <c r="B115" s="8" t="s">
        <v>173</v>
      </c>
      <c r="C115" s="8" t="b">
        <v>0</v>
      </c>
      <c r="D115" s="5"/>
      <c r="E115" s="55" t="s">
        <v>173</v>
      </c>
      <c r="F115" s="12">
        <v>5</v>
      </c>
      <c r="H115" s="8" t="s">
        <v>173</v>
      </c>
      <c r="M115" s="8" t="s">
        <v>173</v>
      </c>
      <c r="O115" s="8" t="s">
        <v>173</v>
      </c>
      <c r="P115" s="8" t="s">
        <v>183</v>
      </c>
      <c r="Q115" s="8" t="s">
        <v>166</v>
      </c>
      <c r="S115" s="12">
        <v>-20.9</v>
      </c>
      <c r="W115" s="17">
        <v>1998</v>
      </c>
      <c r="X115" s="18" t="s">
        <v>40</v>
      </c>
      <c r="AC115" s="8" t="s">
        <v>170</v>
      </c>
      <c r="AE115" s="8" t="s">
        <v>174</v>
      </c>
    </row>
    <row r="116" spans="1:31" s="23" customFormat="1" ht="15.6" x14ac:dyDescent="0.6">
      <c r="A116" s="20" t="s">
        <v>172</v>
      </c>
      <c r="B116" s="27" t="s">
        <v>173</v>
      </c>
      <c r="C116" s="27" t="b">
        <v>0</v>
      </c>
      <c r="D116" s="21"/>
      <c r="E116" s="56" t="s">
        <v>173</v>
      </c>
      <c r="F116" s="28">
        <v>5</v>
      </c>
      <c r="G116" s="27"/>
      <c r="H116" s="27" t="s">
        <v>173</v>
      </c>
      <c r="I116" s="27"/>
      <c r="J116" s="27"/>
      <c r="M116" s="27" t="s">
        <v>173</v>
      </c>
      <c r="N116" s="27"/>
      <c r="O116" s="27" t="s">
        <v>173</v>
      </c>
      <c r="P116" s="27" t="s">
        <v>183</v>
      </c>
      <c r="Q116" s="27" t="s">
        <v>166</v>
      </c>
      <c r="S116" s="28">
        <v>-13.5</v>
      </c>
      <c r="T116" s="52"/>
      <c r="V116" s="22"/>
      <c r="W116" s="24">
        <v>1998</v>
      </c>
      <c r="X116" s="29" t="s">
        <v>40</v>
      </c>
      <c r="Z116" s="27"/>
      <c r="AA116" s="27"/>
      <c r="AB116" s="27"/>
      <c r="AC116" s="27" t="s">
        <v>170</v>
      </c>
      <c r="AD116" s="27"/>
      <c r="AE116" s="27" t="s">
        <v>174</v>
      </c>
    </row>
    <row r="117" spans="1:31" ht="15.6" x14ac:dyDescent="0.6">
      <c r="A117" s="14" t="s">
        <v>53</v>
      </c>
      <c r="B117" s="8" t="s">
        <v>45</v>
      </c>
      <c r="C117" s="8" t="b">
        <v>0</v>
      </c>
      <c r="D117" s="5"/>
      <c r="E117" s="55" t="s">
        <v>197</v>
      </c>
      <c r="F117" s="12">
        <v>2.5</v>
      </c>
      <c r="G117" s="8" t="s">
        <v>179</v>
      </c>
      <c r="H117" s="8" t="s">
        <v>48</v>
      </c>
      <c r="M117" s="8">
        <v>300</v>
      </c>
      <c r="O117" s="8" t="s">
        <v>177</v>
      </c>
      <c r="P117" s="8" t="s">
        <v>175</v>
      </c>
      <c r="Q117" s="8" t="s">
        <v>166</v>
      </c>
      <c r="S117" s="12">
        <f>-4.184*12.9</f>
        <v>-53.973600000000005</v>
      </c>
      <c r="T117" s="51">
        <f>4.184*-45.5</f>
        <v>-190.37200000000001</v>
      </c>
      <c r="W117" s="17">
        <v>2024</v>
      </c>
      <c r="X117" s="18" t="s">
        <v>178</v>
      </c>
      <c r="Z117" s="8" t="s">
        <v>184</v>
      </c>
      <c r="AA117" s="8" t="s">
        <v>185</v>
      </c>
      <c r="AB117" s="8" t="s">
        <v>186</v>
      </c>
      <c r="AE117" s="8" t="s">
        <v>176</v>
      </c>
    </row>
    <row r="118" spans="1:31" ht="15.6" x14ac:dyDescent="0.6">
      <c r="A118" s="14" t="s">
        <v>53</v>
      </c>
      <c r="B118" s="8" t="s">
        <v>45</v>
      </c>
      <c r="C118" s="8" t="b">
        <v>0</v>
      </c>
      <c r="D118" s="5"/>
      <c r="E118" s="55" t="s">
        <v>197</v>
      </c>
      <c r="F118" s="12">
        <v>2.5</v>
      </c>
      <c r="G118" s="8" t="s">
        <v>180</v>
      </c>
      <c r="H118" s="8" t="s">
        <v>48</v>
      </c>
      <c r="M118" s="8">
        <v>300</v>
      </c>
      <c r="O118" s="8" t="s">
        <v>177</v>
      </c>
      <c r="P118" s="8" t="s">
        <v>175</v>
      </c>
      <c r="Q118" s="8" t="s">
        <v>166</v>
      </c>
      <c r="S118" s="12">
        <f>-4.184*14.5</f>
        <v>-60.667999999999999</v>
      </c>
      <c r="T118" s="51">
        <f>4.184*-46.8</f>
        <v>-195.81119999999999</v>
      </c>
      <c r="W118" s="17">
        <v>2024</v>
      </c>
      <c r="X118" s="18" t="s">
        <v>178</v>
      </c>
      <c r="Z118" s="8" t="s">
        <v>184</v>
      </c>
      <c r="AA118" s="8" t="s">
        <v>185</v>
      </c>
      <c r="AB118" s="8" t="s">
        <v>187</v>
      </c>
      <c r="AE118" s="8" t="s">
        <v>176</v>
      </c>
    </row>
    <row r="119" spans="1:31" ht="15.6" x14ac:dyDescent="0.6">
      <c r="A119" s="14" t="s">
        <v>53</v>
      </c>
      <c r="B119" s="8" t="s">
        <v>45</v>
      </c>
      <c r="C119" s="8" t="b">
        <v>0</v>
      </c>
      <c r="D119" s="5"/>
      <c r="E119" s="55" t="s">
        <v>197</v>
      </c>
      <c r="F119" s="12">
        <v>2.5</v>
      </c>
      <c r="G119" s="8" t="s">
        <v>179</v>
      </c>
      <c r="H119" s="8" t="s">
        <v>5</v>
      </c>
      <c r="I119" s="8" t="s">
        <v>132</v>
      </c>
      <c r="J119" s="8" t="s">
        <v>156</v>
      </c>
      <c r="M119" s="8">
        <v>300</v>
      </c>
      <c r="O119" s="8" t="s">
        <v>177</v>
      </c>
      <c r="P119" s="8" t="s">
        <v>175</v>
      </c>
      <c r="Q119" s="8" t="s">
        <v>166</v>
      </c>
      <c r="S119" s="12">
        <f>-4.184*8.6</f>
        <v>-35.982399999999998</v>
      </c>
      <c r="T119" s="51">
        <f>4.184*-35</f>
        <v>-146.44</v>
      </c>
      <c r="W119" s="17">
        <v>2024</v>
      </c>
      <c r="X119" s="18" t="s">
        <v>178</v>
      </c>
      <c r="Z119" s="8" t="s">
        <v>184</v>
      </c>
      <c r="AA119" s="8" t="s">
        <v>185</v>
      </c>
      <c r="AB119" s="8" t="s">
        <v>188</v>
      </c>
      <c r="AE119" s="8" t="s">
        <v>176</v>
      </c>
    </row>
    <row r="120" spans="1:31" ht="15.6" x14ac:dyDescent="0.6">
      <c r="A120" s="14" t="s">
        <v>53</v>
      </c>
      <c r="B120" s="8" t="s">
        <v>45</v>
      </c>
      <c r="C120" s="8" t="b">
        <v>0</v>
      </c>
      <c r="D120" s="5"/>
      <c r="E120" s="55" t="s">
        <v>197</v>
      </c>
      <c r="F120" s="12">
        <v>2.5</v>
      </c>
      <c r="G120" s="8" t="s">
        <v>180</v>
      </c>
      <c r="H120" s="8" t="s">
        <v>5</v>
      </c>
      <c r="I120" s="8" t="s">
        <v>132</v>
      </c>
      <c r="J120" s="8" t="s">
        <v>156</v>
      </c>
      <c r="M120" s="8">
        <v>300</v>
      </c>
      <c r="O120" s="8" t="s">
        <v>177</v>
      </c>
      <c r="P120" s="8" t="s">
        <v>175</v>
      </c>
      <c r="Q120" s="8" t="s">
        <v>166</v>
      </c>
      <c r="S120" s="12">
        <f>4.184*-8.8</f>
        <v>-36.819200000000002</v>
      </c>
      <c r="T120" s="51">
        <f>4.184*-36</f>
        <v>-150.624</v>
      </c>
      <c r="W120" s="17">
        <v>2024</v>
      </c>
      <c r="X120" s="18" t="s">
        <v>178</v>
      </c>
      <c r="Z120" s="8" t="s">
        <v>184</v>
      </c>
      <c r="AA120" s="8" t="s">
        <v>185</v>
      </c>
      <c r="AB120" s="8" t="s">
        <v>189</v>
      </c>
      <c r="AE120" s="8" t="s">
        <v>176</v>
      </c>
    </row>
    <row r="121" spans="1:31" ht="15.6" x14ac:dyDescent="0.6">
      <c r="A121" s="14" t="s">
        <v>53</v>
      </c>
      <c r="B121" s="8" t="s">
        <v>45</v>
      </c>
      <c r="C121" s="8" t="b">
        <v>0</v>
      </c>
      <c r="D121" s="5"/>
      <c r="E121" s="55" t="s">
        <v>197</v>
      </c>
      <c r="F121" s="12">
        <v>2.5</v>
      </c>
      <c r="G121" s="8" t="s">
        <v>62</v>
      </c>
      <c r="H121" s="8" t="s">
        <v>5</v>
      </c>
      <c r="I121" s="8" t="s">
        <v>132</v>
      </c>
      <c r="J121" s="8" t="s">
        <v>156</v>
      </c>
      <c r="M121" s="8">
        <v>300</v>
      </c>
      <c r="O121" s="8" t="s">
        <v>177</v>
      </c>
      <c r="P121" s="8" t="s">
        <v>175</v>
      </c>
      <c r="Q121" s="8" t="s">
        <v>166</v>
      </c>
      <c r="S121" s="12">
        <f>4.184*-8.6</f>
        <v>-35.982399999999998</v>
      </c>
      <c r="T121" s="51">
        <f>4.184*-34</f>
        <v>-142.256</v>
      </c>
      <c r="W121" s="17">
        <v>2024</v>
      </c>
      <c r="X121" s="18" t="s">
        <v>178</v>
      </c>
      <c r="Z121" s="8" t="s">
        <v>184</v>
      </c>
      <c r="AA121" s="8" t="s">
        <v>185</v>
      </c>
      <c r="AB121" s="8" t="s">
        <v>190</v>
      </c>
      <c r="AE121" s="8" t="s">
        <v>176</v>
      </c>
    </row>
    <row r="122" spans="1:31" s="23" customFormat="1" ht="15.6" x14ac:dyDescent="0.6">
      <c r="A122" s="14" t="s">
        <v>53</v>
      </c>
      <c r="B122" s="27" t="s">
        <v>45</v>
      </c>
      <c r="C122" s="27" t="b">
        <v>0</v>
      </c>
      <c r="D122" s="21"/>
      <c r="E122" s="56" t="s">
        <v>197</v>
      </c>
      <c r="F122" s="28">
        <v>2.5</v>
      </c>
      <c r="G122" s="27" t="s">
        <v>181</v>
      </c>
      <c r="H122" s="27" t="s">
        <v>5</v>
      </c>
      <c r="I122" s="27" t="s">
        <v>132</v>
      </c>
      <c r="J122" s="27" t="s">
        <v>156</v>
      </c>
      <c r="M122" s="27">
        <v>300</v>
      </c>
      <c r="N122" s="27"/>
      <c r="O122" s="27" t="s">
        <v>177</v>
      </c>
      <c r="P122" s="27" t="s">
        <v>175</v>
      </c>
      <c r="Q122" s="27" t="s">
        <v>166</v>
      </c>
      <c r="S122" s="28">
        <f>4.184*-9</f>
        <v>-37.655999999999999</v>
      </c>
      <c r="T122" s="52">
        <f>4.184*-36.1</f>
        <v>-151.04240000000001</v>
      </c>
      <c r="V122" s="22"/>
      <c r="W122" s="24">
        <v>2024</v>
      </c>
      <c r="X122" s="29" t="s">
        <v>178</v>
      </c>
      <c r="Z122" s="27" t="s">
        <v>184</v>
      </c>
      <c r="AA122" s="27" t="s">
        <v>185</v>
      </c>
      <c r="AB122" s="27" t="s">
        <v>191</v>
      </c>
      <c r="AC122" s="27"/>
      <c r="AD122" s="27"/>
      <c r="AE122" s="27" t="s">
        <v>176</v>
      </c>
    </row>
    <row r="123" spans="1:31" ht="15.6" x14ac:dyDescent="0.6">
      <c r="A123" s="40" t="s">
        <v>53</v>
      </c>
      <c r="B123" s="8" t="s">
        <v>182</v>
      </c>
      <c r="C123" s="8" t="b">
        <v>0</v>
      </c>
      <c r="D123" s="5"/>
      <c r="E123" s="55" t="s">
        <v>198</v>
      </c>
      <c r="F123" s="12">
        <v>100</v>
      </c>
      <c r="H123" s="8" t="s">
        <v>5</v>
      </c>
      <c r="I123" s="8" t="s">
        <v>132</v>
      </c>
      <c r="J123" s="8" t="s">
        <v>156</v>
      </c>
      <c r="M123" s="8">
        <v>300</v>
      </c>
      <c r="O123" s="8" t="s">
        <v>177</v>
      </c>
      <c r="P123" s="8" t="s">
        <v>199</v>
      </c>
      <c r="Q123" s="8" t="s">
        <v>166</v>
      </c>
      <c r="S123" s="12">
        <f>-10.2*4.184</f>
        <v>-42.6768</v>
      </c>
      <c r="W123" s="17">
        <v>2024</v>
      </c>
      <c r="X123" s="18" t="s">
        <v>178</v>
      </c>
      <c r="Z123" s="8" t="s">
        <v>184</v>
      </c>
      <c r="AA123" s="8" t="s">
        <v>185</v>
      </c>
      <c r="AB123" s="8" t="s">
        <v>191</v>
      </c>
      <c r="AE123" s="8" t="s">
        <v>192</v>
      </c>
    </row>
    <row r="124" spans="1:31" s="23" customFormat="1" ht="15.6" x14ac:dyDescent="0.6">
      <c r="A124" s="20" t="s">
        <v>53</v>
      </c>
      <c r="B124" s="27" t="s">
        <v>182</v>
      </c>
      <c r="C124" s="27" t="b">
        <v>0</v>
      </c>
      <c r="D124" s="21"/>
      <c r="E124" s="56" t="s">
        <v>198</v>
      </c>
      <c r="F124" s="28">
        <v>101</v>
      </c>
      <c r="G124" s="27"/>
      <c r="H124" s="27" t="s">
        <v>5</v>
      </c>
      <c r="I124" s="27" t="s">
        <v>132</v>
      </c>
      <c r="J124" s="27" t="s">
        <v>156</v>
      </c>
      <c r="M124" s="27">
        <v>301</v>
      </c>
      <c r="N124" s="27"/>
      <c r="O124" s="27" t="s">
        <v>177</v>
      </c>
      <c r="P124" s="27" t="s">
        <v>199</v>
      </c>
      <c r="Q124" s="27" t="s">
        <v>166</v>
      </c>
      <c r="S124" s="28">
        <f>4.184*-9.5</f>
        <v>-39.748000000000005</v>
      </c>
      <c r="T124" s="52"/>
      <c r="V124" s="22"/>
      <c r="W124" s="24">
        <v>2024</v>
      </c>
      <c r="X124" s="29" t="s">
        <v>178</v>
      </c>
      <c r="Z124" s="27" t="s">
        <v>184</v>
      </c>
      <c r="AA124" s="27" t="s">
        <v>185</v>
      </c>
      <c r="AB124" s="27" t="s">
        <v>194</v>
      </c>
      <c r="AC124" s="27"/>
      <c r="AD124" s="27"/>
      <c r="AE124" s="27" t="s">
        <v>193</v>
      </c>
    </row>
    <row r="125" spans="1:31" ht="15.6" x14ac:dyDescent="0.6">
      <c r="A125" s="14"/>
      <c r="D125" s="5"/>
      <c r="E125" s="55"/>
      <c r="F125" s="12"/>
      <c r="S125" s="12"/>
      <c r="X125" s="18"/>
    </row>
    <row r="126" spans="1:31" ht="15.6" x14ac:dyDescent="0.6">
      <c r="A126" s="14"/>
      <c r="D126" s="5"/>
      <c r="E126" s="55"/>
      <c r="F126" s="12"/>
      <c r="S126" s="12"/>
      <c r="X126" s="18"/>
    </row>
    <row r="127" spans="1:31" ht="15.6" x14ac:dyDescent="0.6">
      <c r="A127" s="14"/>
      <c r="D127" s="5"/>
      <c r="E127" s="55"/>
      <c r="F127" s="12"/>
      <c r="S127" s="12"/>
    </row>
    <row r="128" spans="1:31" ht="15.6" x14ac:dyDescent="0.6">
      <c r="A128" s="14"/>
      <c r="D128" s="5"/>
      <c r="E128" s="55"/>
      <c r="F128" s="12"/>
      <c r="S128" s="12"/>
    </row>
    <row r="129" spans="1:24" ht="15.6" x14ac:dyDescent="0.6">
      <c r="A129" s="14"/>
      <c r="D129" s="5"/>
      <c r="E129" s="55"/>
      <c r="F129" s="12"/>
      <c r="S129" s="12"/>
      <c r="X129" s="18"/>
    </row>
    <row r="130" spans="1:24" ht="15.6" x14ac:dyDescent="0.6">
      <c r="A130" s="14"/>
      <c r="D130" s="5"/>
      <c r="E130" s="55"/>
      <c r="F130" s="12"/>
      <c r="S130" s="12"/>
      <c r="X130" s="18"/>
    </row>
    <row r="131" spans="1:24" ht="15.6" x14ac:dyDescent="0.6">
      <c r="A131" s="14"/>
      <c r="D131" s="5"/>
      <c r="E131" s="55"/>
      <c r="F131" s="12"/>
      <c r="S131" s="12"/>
      <c r="X131" s="7"/>
    </row>
    <row r="132" spans="1:24" ht="15.6" x14ac:dyDescent="0.6">
      <c r="A132" s="14"/>
      <c r="D132" s="5"/>
      <c r="E132" s="55"/>
      <c r="F132" s="12"/>
      <c r="S132" s="12"/>
      <c r="X132" s="18"/>
    </row>
    <row r="133" spans="1:24" ht="15.6" x14ac:dyDescent="0.6">
      <c r="A133" s="14"/>
      <c r="D133" s="5"/>
      <c r="E133" s="55"/>
      <c r="F133" s="12"/>
      <c r="S133" s="12"/>
      <c r="X133" s="18"/>
    </row>
    <row r="134" spans="1:24" ht="15.6" x14ac:dyDescent="0.6">
      <c r="A134" s="14"/>
      <c r="D134" s="5"/>
      <c r="E134" s="55"/>
      <c r="F134" s="12"/>
      <c r="S134" s="12"/>
      <c r="X134" s="18"/>
    </row>
    <row r="135" spans="1:24" ht="15.6" x14ac:dyDescent="0.6">
      <c r="A135" s="14"/>
      <c r="D135" s="5"/>
      <c r="E135" s="55"/>
      <c r="F135" s="12"/>
      <c r="S135" s="12"/>
      <c r="X135" s="18"/>
    </row>
    <row r="136" spans="1:24" ht="15.6" x14ac:dyDescent="0.6">
      <c r="A136" s="14"/>
      <c r="D136" s="5"/>
      <c r="E136" s="55"/>
      <c r="F136" s="12"/>
      <c r="S136" s="12"/>
      <c r="X136" s="18"/>
    </row>
    <row r="137" spans="1:24" ht="15.6" x14ac:dyDescent="0.6">
      <c r="A137" s="14"/>
      <c r="D137" s="5"/>
      <c r="E137" s="55"/>
      <c r="F137" s="12"/>
      <c r="S137" s="12"/>
      <c r="X137" s="18"/>
    </row>
    <row r="138" spans="1:24" ht="15.6" x14ac:dyDescent="0.6">
      <c r="A138" s="14"/>
      <c r="D138" s="5"/>
      <c r="E138" s="55"/>
      <c r="F138" s="12"/>
      <c r="S138" s="12"/>
      <c r="X138" s="18"/>
    </row>
    <row r="139" spans="1:24" ht="15.6" x14ac:dyDescent="0.6">
      <c r="A139" s="14"/>
      <c r="D139" s="5"/>
      <c r="E139" s="55"/>
      <c r="F139" s="12"/>
      <c r="S139" s="12"/>
      <c r="X139" s="18"/>
    </row>
    <row r="140" spans="1:24" ht="15.6" x14ac:dyDescent="0.6">
      <c r="A140" s="14"/>
      <c r="D140" s="5"/>
      <c r="E140" s="55"/>
      <c r="F140" s="12"/>
      <c r="S140" s="12"/>
      <c r="X140" s="18"/>
    </row>
    <row r="141" spans="1:24" ht="15.6" x14ac:dyDescent="0.6">
      <c r="A141" s="14"/>
      <c r="D141" s="5"/>
      <c r="E141" s="55"/>
      <c r="F141" s="12"/>
      <c r="S141" s="12"/>
      <c r="X141" s="18"/>
    </row>
    <row r="142" spans="1:24" ht="15.6" x14ac:dyDescent="0.6">
      <c r="A142" s="14"/>
      <c r="D142" s="5"/>
      <c r="E142" s="55"/>
      <c r="F142" s="12"/>
      <c r="S142" s="12"/>
      <c r="X142" s="18"/>
    </row>
    <row r="143" spans="1:24" ht="15.6" x14ac:dyDescent="0.6">
      <c r="A143" s="14"/>
      <c r="D143" s="5"/>
      <c r="E143" s="55"/>
      <c r="F143" s="12"/>
      <c r="S143" s="12"/>
      <c r="X143" s="18"/>
    </row>
    <row r="144" spans="1:24" ht="15.6" x14ac:dyDescent="0.6">
      <c r="A144" s="14"/>
      <c r="D144" s="5"/>
      <c r="E144" s="55"/>
      <c r="F144" s="12"/>
      <c r="S144" s="12"/>
      <c r="X144" s="18"/>
    </row>
    <row r="145" spans="1:24" ht="15.6" x14ac:dyDescent="0.6">
      <c r="A145" s="14"/>
      <c r="D145" s="5"/>
      <c r="E145" s="55"/>
      <c r="F145" s="12"/>
      <c r="S145" s="12"/>
      <c r="X145" s="18"/>
    </row>
    <row r="146" spans="1:24" ht="15.6" x14ac:dyDescent="0.6">
      <c r="A146" s="14"/>
      <c r="D146" s="5"/>
      <c r="E146" s="55"/>
      <c r="F146" s="12"/>
      <c r="S146" s="12"/>
      <c r="X146" s="18"/>
    </row>
    <row r="147" spans="1:24" ht="15.6" x14ac:dyDescent="0.6">
      <c r="A147" s="14"/>
      <c r="D147" s="5"/>
      <c r="E147" s="55"/>
      <c r="F147" s="12"/>
      <c r="S147" s="12"/>
      <c r="X147" s="18"/>
    </row>
    <row r="148" spans="1:24" ht="15.6" x14ac:dyDescent="0.6">
      <c r="A148" s="14"/>
      <c r="D148" s="5"/>
      <c r="E148" s="55"/>
      <c r="F148" s="12"/>
      <c r="S148" s="12"/>
      <c r="X148" s="18"/>
    </row>
    <row r="149" spans="1:24" ht="15.6" x14ac:dyDescent="0.6">
      <c r="A149" s="14"/>
      <c r="D149" s="5"/>
      <c r="E149" s="55"/>
      <c r="F149" s="12"/>
      <c r="S149" s="12"/>
      <c r="X149" s="18"/>
    </row>
    <row r="150" spans="1:24" ht="15.6" x14ac:dyDescent="0.6">
      <c r="A150" s="14"/>
      <c r="D150" s="5"/>
      <c r="E150" s="55"/>
      <c r="F150" s="12"/>
      <c r="S150" s="12"/>
      <c r="X150" s="18"/>
    </row>
    <row r="151" spans="1:24" ht="15.6" x14ac:dyDescent="0.6">
      <c r="A151" s="14"/>
      <c r="D151" s="5"/>
      <c r="E151" s="55"/>
      <c r="F151" s="12"/>
      <c r="S151" s="12"/>
      <c r="X151" s="18"/>
    </row>
    <row r="152" spans="1:24" ht="15.6" x14ac:dyDescent="0.6">
      <c r="A152" s="14"/>
      <c r="D152" s="5"/>
      <c r="E152" s="55"/>
      <c r="F152" s="12"/>
      <c r="S152" s="12"/>
      <c r="X152" s="18"/>
    </row>
    <row r="153" spans="1:24" ht="15.6" x14ac:dyDescent="0.6">
      <c r="A153" s="14"/>
      <c r="D153" s="5"/>
      <c r="E153" s="55"/>
      <c r="F153" s="12"/>
      <c r="S153" s="12"/>
      <c r="X153" s="18"/>
    </row>
    <row r="154" spans="1:24" ht="15.6" x14ac:dyDescent="0.6">
      <c r="A154" s="14"/>
      <c r="D154" s="5"/>
      <c r="E154" s="55"/>
      <c r="F154" s="12"/>
      <c r="S154" s="12"/>
      <c r="X154" s="18"/>
    </row>
    <row r="155" spans="1:24" ht="15.6" x14ac:dyDescent="0.6">
      <c r="A155" s="14"/>
      <c r="D155" s="5"/>
      <c r="E155" s="55"/>
      <c r="F155" s="12"/>
      <c r="S155" s="12"/>
      <c r="X155" s="18"/>
    </row>
    <row r="156" spans="1:24" ht="15.6" x14ac:dyDescent="0.6">
      <c r="A156" s="14"/>
      <c r="D156" s="5"/>
      <c r="E156" s="55"/>
      <c r="F156" s="12"/>
      <c r="S156" s="12"/>
      <c r="X156" s="18"/>
    </row>
    <row r="157" spans="1:24" ht="15.6" x14ac:dyDescent="0.6">
      <c r="A157" s="14"/>
      <c r="D157" s="5"/>
      <c r="E157" s="55"/>
      <c r="F157" s="12"/>
      <c r="S157" s="12"/>
      <c r="X157" s="18"/>
    </row>
    <row r="158" spans="1:24" ht="15.6" x14ac:dyDescent="0.6">
      <c r="A158" s="14"/>
      <c r="D158" s="5"/>
      <c r="E158" s="55"/>
      <c r="F158" s="12"/>
      <c r="S158" s="12"/>
      <c r="X158" s="18"/>
    </row>
    <row r="159" spans="1:24" ht="15.6" x14ac:dyDescent="0.6">
      <c r="A159" s="14"/>
      <c r="D159" s="5"/>
      <c r="E159" s="55"/>
      <c r="F159" s="12"/>
      <c r="S159" s="12"/>
      <c r="X159" s="18"/>
    </row>
    <row r="160" spans="1:24" ht="15.6" x14ac:dyDescent="0.6">
      <c r="A160" s="14"/>
      <c r="D160" s="5"/>
      <c r="E160" s="55"/>
      <c r="F160" s="12"/>
      <c r="S160" s="12"/>
      <c r="X160" s="18"/>
    </row>
    <row r="161" spans="1:24" ht="15.6" x14ac:dyDescent="0.6">
      <c r="A161" s="14"/>
      <c r="D161" s="5"/>
      <c r="E161" s="55"/>
      <c r="F161" s="12"/>
      <c r="S161" s="12"/>
      <c r="X161" s="18"/>
    </row>
    <row r="162" spans="1:24" ht="15.6" x14ac:dyDescent="0.6">
      <c r="A162" s="14"/>
      <c r="D162" s="5"/>
      <c r="E162" s="55"/>
      <c r="F162" s="12"/>
      <c r="S162" s="12"/>
      <c r="X162" s="18"/>
    </row>
    <row r="163" spans="1:24" ht="15.6" x14ac:dyDescent="0.6">
      <c r="A163" s="14"/>
      <c r="D163" s="5"/>
      <c r="E163" s="55"/>
      <c r="F163" s="12"/>
      <c r="S163" s="12"/>
      <c r="X163" s="18"/>
    </row>
    <row r="164" spans="1:24" ht="15.6" x14ac:dyDescent="0.6">
      <c r="A164" s="14"/>
      <c r="D164" s="5"/>
      <c r="E164" s="55"/>
      <c r="F164" s="12"/>
      <c r="S164" s="12"/>
      <c r="X164" s="18"/>
    </row>
    <row r="165" spans="1:24" ht="15.6" x14ac:dyDescent="0.6">
      <c r="A165" s="14"/>
      <c r="D165" s="5"/>
      <c r="E165" s="55"/>
      <c r="F165" s="12"/>
      <c r="S165" s="12"/>
      <c r="X165" s="18"/>
    </row>
    <row r="166" spans="1:24" ht="15.6" x14ac:dyDescent="0.6">
      <c r="A166" s="14"/>
      <c r="D166" s="5"/>
      <c r="E166" s="55"/>
      <c r="F166" s="12"/>
      <c r="S166" s="12"/>
      <c r="X166" s="18"/>
    </row>
    <row r="167" spans="1:24" ht="15.6" x14ac:dyDescent="0.6">
      <c r="A167" s="14"/>
      <c r="D167" s="5"/>
      <c r="E167" s="55"/>
      <c r="F167" s="12"/>
      <c r="S167" s="12"/>
      <c r="X167" s="18"/>
    </row>
    <row r="168" spans="1:24" ht="15.6" x14ac:dyDescent="0.6">
      <c r="A168" s="14"/>
      <c r="D168" s="5"/>
      <c r="E168" s="55"/>
      <c r="F168" s="12"/>
      <c r="S168" s="12"/>
      <c r="X168" s="18"/>
    </row>
    <row r="169" spans="1:24" ht="15.6" x14ac:dyDescent="0.6">
      <c r="A169" s="14"/>
      <c r="D169" s="5"/>
      <c r="E169" s="55"/>
      <c r="F169" s="12"/>
      <c r="S169" s="12"/>
      <c r="X169" s="18"/>
    </row>
    <row r="170" spans="1:24" ht="15.6" x14ac:dyDescent="0.6">
      <c r="A170" s="14"/>
      <c r="D170" s="5"/>
      <c r="E170" s="55"/>
      <c r="F170" s="12"/>
      <c r="S170" s="12"/>
      <c r="X170" s="18"/>
    </row>
    <row r="171" spans="1:24" ht="15.6" x14ac:dyDescent="0.6">
      <c r="A171" s="14"/>
      <c r="D171" s="5"/>
      <c r="E171" s="55"/>
      <c r="F171" s="12"/>
      <c r="S171" s="12"/>
      <c r="X171" s="18"/>
    </row>
    <row r="172" spans="1:24" ht="15.6" x14ac:dyDescent="0.6">
      <c r="A172" s="14"/>
      <c r="D172" s="5"/>
      <c r="E172" s="55"/>
      <c r="F172" s="12"/>
      <c r="S172" s="12"/>
      <c r="X172" s="18"/>
    </row>
    <row r="173" spans="1:24" ht="15.6" x14ac:dyDescent="0.6">
      <c r="A173" s="14"/>
      <c r="D173" s="5"/>
      <c r="E173" s="55"/>
      <c r="F173" s="12"/>
      <c r="S173" s="12"/>
      <c r="X173" s="18"/>
    </row>
    <row r="174" spans="1:24" ht="15.6" x14ac:dyDescent="0.6">
      <c r="A174" s="14"/>
      <c r="D174" s="5"/>
      <c r="E174" s="55"/>
      <c r="F174" s="12"/>
      <c r="S174" s="12"/>
      <c r="X174" s="18"/>
    </row>
    <row r="175" spans="1:24" ht="15.6" x14ac:dyDescent="0.6">
      <c r="A175" s="14"/>
      <c r="D175" s="5"/>
      <c r="E175" s="55"/>
      <c r="F175" s="12"/>
      <c r="S175" s="12"/>
      <c r="X175" s="18"/>
    </row>
    <row r="176" spans="1:24" ht="15.6" x14ac:dyDescent="0.6">
      <c r="A176" s="14"/>
      <c r="D176" s="5"/>
      <c r="E176" s="55"/>
      <c r="F176" s="12"/>
      <c r="S176" s="12"/>
      <c r="X176" s="18"/>
    </row>
    <row r="177" spans="1:24" ht="15.6" x14ac:dyDescent="0.6">
      <c r="A177" s="14"/>
      <c r="D177" s="5"/>
      <c r="E177" s="55"/>
      <c r="F177" s="12"/>
      <c r="S177" s="12"/>
      <c r="X177" s="18"/>
    </row>
    <row r="178" spans="1:24" ht="15.6" x14ac:dyDescent="0.6">
      <c r="A178" s="14"/>
      <c r="D178" s="5"/>
      <c r="E178" s="55"/>
      <c r="F178" s="12"/>
      <c r="S178" s="12"/>
      <c r="X178" s="18"/>
    </row>
    <row r="179" spans="1:24" ht="15.6" x14ac:dyDescent="0.6">
      <c r="A179" s="14"/>
      <c r="D179" s="5"/>
      <c r="E179" s="55"/>
      <c r="F179" s="12"/>
      <c r="S179" s="12"/>
      <c r="X179" s="18"/>
    </row>
    <row r="180" spans="1:24" ht="15.6" x14ac:dyDescent="0.6">
      <c r="A180" s="14"/>
      <c r="D180" s="5"/>
      <c r="E180" s="55"/>
      <c r="F180" s="12"/>
      <c r="S180" s="12"/>
      <c r="X180" s="18"/>
    </row>
    <row r="181" spans="1:24" ht="15.6" x14ac:dyDescent="0.6">
      <c r="A181" s="14"/>
      <c r="D181" s="5"/>
      <c r="E181" s="55"/>
      <c r="F181" s="12"/>
      <c r="S181" s="12"/>
      <c r="X181" s="18"/>
    </row>
    <row r="182" spans="1:24" ht="15.6" x14ac:dyDescent="0.6">
      <c r="A182" s="14"/>
      <c r="D182" s="5"/>
      <c r="E182" s="55"/>
      <c r="F182" s="12"/>
      <c r="S182" s="12"/>
      <c r="X182" s="18"/>
    </row>
    <row r="183" spans="1:24" ht="15.6" x14ac:dyDescent="0.6">
      <c r="A183" s="14"/>
      <c r="D183" s="5"/>
      <c r="E183" s="55"/>
      <c r="F183" s="12"/>
      <c r="S183" s="12"/>
      <c r="X183" s="18"/>
    </row>
    <row r="184" spans="1:24" ht="15.6" x14ac:dyDescent="0.6">
      <c r="A184" s="14"/>
      <c r="D184" s="5"/>
      <c r="E184" s="55"/>
      <c r="F184" s="12"/>
      <c r="S184" s="12"/>
      <c r="X184" s="18"/>
    </row>
    <row r="185" spans="1:24" ht="15.6" x14ac:dyDescent="0.6">
      <c r="A185" s="14"/>
      <c r="D185" s="5"/>
      <c r="E185" s="55"/>
      <c r="F185" s="12"/>
      <c r="S185" s="12"/>
      <c r="X185" s="18"/>
    </row>
    <row r="186" spans="1:24" ht="15.6" x14ac:dyDescent="0.6">
      <c r="A186" s="14"/>
      <c r="D186" s="5"/>
      <c r="E186" s="55"/>
      <c r="F186" s="12"/>
      <c r="S186" s="12"/>
      <c r="X186" s="18"/>
    </row>
    <row r="187" spans="1:24" ht="15.6" x14ac:dyDescent="0.6">
      <c r="A187" s="14"/>
      <c r="D187" s="5"/>
      <c r="E187" s="55"/>
      <c r="F187" s="12"/>
      <c r="S187" s="12"/>
      <c r="X187" s="18"/>
    </row>
    <row r="188" spans="1:24" ht="15.6" x14ac:dyDescent="0.6">
      <c r="A188" s="14"/>
      <c r="D188" s="5"/>
      <c r="E188" s="55"/>
      <c r="F188" s="12"/>
      <c r="S188" s="12"/>
      <c r="X188" s="18"/>
    </row>
    <row r="189" spans="1:24" ht="15.6" x14ac:dyDescent="0.6">
      <c r="A189" s="14"/>
      <c r="D189" s="5"/>
      <c r="E189" s="55"/>
      <c r="F189" s="12"/>
      <c r="S189" s="12"/>
      <c r="X189" s="18"/>
    </row>
    <row r="190" spans="1:24" ht="15.6" x14ac:dyDescent="0.6">
      <c r="A190" s="14"/>
      <c r="D190" s="5"/>
      <c r="E190" s="55"/>
      <c r="F190" s="12"/>
      <c r="S190" s="12"/>
      <c r="X190" s="18"/>
    </row>
    <row r="191" spans="1:24" ht="15.6" x14ac:dyDescent="0.6">
      <c r="A191" s="14"/>
      <c r="D191" s="5"/>
      <c r="E191" s="55"/>
      <c r="F191" s="12"/>
      <c r="S191" s="12"/>
      <c r="X191" s="18"/>
    </row>
    <row r="192" spans="1:24" ht="15.6" x14ac:dyDescent="0.6">
      <c r="A192" s="14"/>
      <c r="D192" s="5"/>
      <c r="E192" s="55"/>
      <c r="F192" s="12"/>
      <c r="S192" s="12"/>
      <c r="X192" s="18"/>
    </row>
    <row r="193" spans="1:24" ht="15.6" x14ac:dyDescent="0.6">
      <c r="A193" s="14"/>
      <c r="D193" s="5"/>
      <c r="E193" s="55"/>
      <c r="F193" s="12"/>
      <c r="S193" s="12"/>
      <c r="X193" s="18"/>
    </row>
    <row r="194" spans="1:24" ht="15.6" x14ac:dyDescent="0.6">
      <c r="A194" s="14"/>
      <c r="D194" s="5"/>
      <c r="E194" s="55"/>
      <c r="F194" s="12"/>
      <c r="S194" s="12"/>
      <c r="X194" s="18"/>
    </row>
    <row r="195" spans="1:24" ht="15.6" x14ac:dyDescent="0.6">
      <c r="A195" s="14"/>
      <c r="D195" s="5"/>
      <c r="E195" s="55"/>
      <c r="F195" s="12"/>
      <c r="S195" s="12"/>
      <c r="X195" s="18"/>
    </row>
    <row r="196" spans="1:24" ht="15.6" x14ac:dyDescent="0.6">
      <c r="A196" s="14"/>
      <c r="D196" s="5"/>
      <c r="E196" s="55"/>
      <c r="F196" s="12"/>
      <c r="S196" s="12"/>
      <c r="X196" s="18"/>
    </row>
    <row r="197" spans="1:24" ht="15.6" x14ac:dyDescent="0.6">
      <c r="A197" s="14"/>
      <c r="D197" s="5"/>
      <c r="E197" s="55"/>
      <c r="F197" s="12"/>
      <c r="S197" s="12"/>
      <c r="X197" s="18"/>
    </row>
    <row r="198" spans="1:24" ht="15.6" x14ac:dyDescent="0.6">
      <c r="A198" s="14"/>
      <c r="D198" s="5"/>
      <c r="E198" s="55"/>
      <c r="F198" s="12"/>
      <c r="S198" s="12"/>
      <c r="X198" s="18"/>
    </row>
    <row r="199" spans="1:24" ht="15.6" x14ac:dyDescent="0.6">
      <c r="A199" s="14"/>
      <c r="D199" s="5"/>
      <c r="E199" s="55"/>
      <c r="F199" s="12"/>
      <c r="S199" s="12"/>
      <c r="X199" s="18"/>
    </row>
    <row r="200" spans="1:24" ht="15.6" x14ac:dyDescent="0.6">
      <c r="A200" s="14"/>
      <c r="D200" s="5"/>
      <c r="E200" s="55"/>
      <c r="F200" s="12"/>
      <c r="S200" s="12"/>
      <c r="X200" s="18"/>
    </row>
    <row r="201" spans="1:24" ht="15.6" x14ac:dyDescent="0.6">
      <c r="A201" s="14"/>
      <c r="D201" s="5"/>
      <c r="E201" s="55"/>
      <c r="F201" s="12"/>
      <c r="S201" s="12"/>
      <c r="X201" s="18"/>
    </row>
    <row r="202" spans="1:24" ht="15.6" x14ac:dyDescent="0.6">
      <c r="A202" s="14"/>
      <c r="D202" s="5"/>
      <c r="E202" s="55"/>
      <c r="F202" s="12"/>
      <c r="S202" s="12"/>
      <c r="X202" s="18"/>
    </row>
    <row r="203" spans="1:24" ht="15.6" x14ac:dyDescent="0.6">
      <c r="A203" s="14"/>
      <c r="D203" s="5"/>
      <c r="E203" s="55"/>
      <c r="F203" s="12"/>
      <c r="S203" s="12"/>
      <c r="X203" s="18"/>
    </row>
    <row r="204" spans="1:24" ht="15.6" x14ac:dyDescent="0.6">
      <c r="A204" s="14"/>
      <c r="D204" s="5"/>
      <c r="E204" s="55"/>
      <c r="F204" s="12"/>
      <c r="S204" s="12"/>
      <c r="X204" s="18"/>
    </row>
    <row r="205" spans="1:24" ht="15.6" x14ac:dyDescent="0.6">
      <c r="A205" s="14"/>
      <c r="D205" s="5"/>
      <c r="E205" s="55"/>
      <c r="F205" s="12"/>
      <c r="S205" s="12"/>
      <c r="X205" s="18"/>
    </row>
    <row r="206" spans="1:24" ht="15.6" x14ac:dyDescent="0.6">
      <c r="A206" s="14"/>
      <c r="D206" s="5"/>
      <c r="E206" s="55"/>
      <c r="F206" s="12"/>
      <c r="S206" s="12"/>
      <c r="X206" s="18"/>
    </row>
    <row r="207" spans="1:24" ht="15.6" x14ac:dyDescent="0.6">
      <c r="A207" s="14"/>
      <c r="D207" s="5"/>
      <c r="E207" s="55"/>
      <c r="F207" s="12"/>
      <c r="S207" s="12"/>
      <c r="X207" s="18"/>
    </row>
    <row r="208" spans="1:24" ht="15.6" x14ac:dyDescent="0.6">
      <c r="A208" s="14"/>
      <c r="D208" s="5"/>
      <c r="E208" s="55"/>
      <c r="F208" s="12"/>
      <c r="S208" s="12"/>
      <c r="X208" s="18"/>
    </row>
    <row r="209" spans="1:24" ht="15.6" x14ac:dyDescent="0.6">
      <c r="A209" s="14"/>
      <c r="D209" s="5"/>
      <c r="E209" s="55"/>
      <c r="F209" s="12"/>
      <c r="S209" s="12"/>
      <c r="X209" s="18"/>
    </row>
    <row r="210" spans="1:24" ht="15.6" x14ac:dyDescent="0.6">
      <c r="A210" s="14"/>
      <c r="D210" s="5"/>
      <c r="E210" s="55"/>
      <c r="F210" s="12"/>
      <c r="S210" s="12"/>
      <c r="X210" s="18"/>
    </row>
    <row r="211" spans="1:24" ht="15.6" x14ac:dyDescent="0.6">
      <c r="A211" s="14"/>
      <c r="D211" s="5"/>
      <c r="E211" s="55"/>
      <c r="F211" s="12"/>
      <c r="S211" s="12"/>
      <c r="X211" s="18"/>
    </row>
    <row r="212" spans="1:24" ht="15.6" x14ac:dyDescent="0.6">
      <c r="A212" s="14"/>
      <c r="D212" s="5"/>
      <c r="E212" s="55"/>
      <c r="F212" s="12"/>
      <c r="S212" s="12"/>
      <c r="X212" s="18"/>
    </row>
    <row r="213" spans="1:24" ht="15.6" x14ac:dyDescent="0.6">
      <c r="A213" s="14"/>
      <c r="D213" s="5"/>
      <c r="E213" s="55"/>
      <c r="F213" s="12"/>
      <c r="S213" s="12"/>
      <c r="X213" s="18"/>
    </row>
    <row r="214" spans="1:24" ht="15.6" x14ac:dyDescent="0.6">
      <c r="A214" s="14"/>
      <c r="D214" s="5"/>
      <c r="E214" s="55"/>
      <c r="F214" s="12"/>
      <c r="S214" s="12"/>
      <c r="X214" s="18"/>
    </row>
    <row r="215" spans="1:24" ht="15.6" x14ac:dyDescent="0.6">
      <c r="A215" s="14"/>
      <c r="D215" s="5"/>
      <c r="E215" s="55"/>
      <c r="F215" s="12"/>
      <c r="S215" s="12"/>
      <c r="X215" s="18"/>
    </row>
    <row r="216" spans="1:24" ht="15.6" x14ac:dyDescent="0.6">
      <c r="A216" s="14"/>
      <c r="D216" s="5"/>
      <c r="E216" s="55"/>
      <c r="F216" s="12"/>
      <c r="S216" s="12"/>
      <c r="X216" s="18"/>
    </row>
    <row r="217" spans="1:24" ht="15.6" x14ac:dyDescent="0.6">
      <c r="A217" s="14"/>
      <c r="D217" s="5"/>
      <c r="E217" s="55"/>
      <c r="F217" s="12"/>
      <c r="S217" s="12"/>
      <c r="X217" s="18"/>
    </row>
    <row r="218" spans="1:24" ht="15.6" x14ac:dyDescent="0.6">
      <c r="A218" s="14"/>
      <c r="D218" s="5"/>
      <c r="E218" s="55"/>
      <c r="F218" s="12"/>
      <c r="S218" s="12"/>
      <c r="X218" s="18"/>
    </row>
    <row r="219" spans="1:24" ht="15.6" x14ac:dyDescent="0.6">
      <c r="A219" s="14"/>
      <c r="D219" s="5"/>
      <c r="E219" s="55"/>
      <c r="F219" s="12"/>
      <c r="S219" s="12"/>
      <c r="X219" s="18"/>
    </row>
    <row r="220" spans="1:24" ht="15.6" x14ac:dyDescent="0.6">
      <c r="A220" s="14"/>
      <c r="D220" s="5"/>
      <c r="E220" s="55"/>
      <c r="F220" s="12"/>
      <c r="S220" s="12"/>
      <c r="X220" s="18"/>
    </row>
    <row r="221" spans="1:24" ht="15.6" x14ac:dyDescent="0.6">
      <c r="A221" s="14"/>
      <c r="D221" s="5"/>
      <c r="E221" s="55"/>
      <c r="F221" s="12"/>
      <c r="S221" s="12"/>
      <c r="X221" s="18"/>
    </row>
    <row r="222" spans="1:24" ht="15.6" x14ac:dyDescent="0.6">
      <c r="A222" s="14"/>
      <c r="D222" s="5"/>
      <c r="E222" s="55"/>
      <c r="F222" s="12"/>
      <c r="S222" s="12"/>
      <c r="X222" s="18"/>
    </row>
    <row r="223" spans="1:24" ht="15.6" x14ac:dyDescent="0.6">
      <c r="A223" s="14"/>
      <c r="D223" s="5"/>
      <c r="E223" s="55"/>
      <c r="F223" s="12"/>
      <c r="S223" s="12"/>
      <c r="X223" s="18"/>
    </row>
    <row r="224" spans="1:24" ht="15.6" x14ac:dyDescent="0.6">
      <c r="A224" s="14"/>
      <c r="D224" s="5"/>
      <c r="E224" s="55"/>
      <c r="F224" s="12"/>
      <c r="S224" s="12"/>
      <c r="X224" s="18"/>
    </row>
    <row r="225" spans="1:24" ht="15.6" x14ac:dyDescent="0.6">
      <c r="A225" s="14"/>
      <c r="D225" s="5"/>
      <c r="E225" s="55"/>
      <c r="F225" s="12"/>
      <c r="S225" s="12"/>
      <c r="X225" s="18"/>
    </row>
    <row r="226" spans="1:24" ht="15.6" x14ac:dyDescent="0.6">
      <c r="A226" s="14"/>
      <c r="D226" s="5"/>
      <c r="E226" s="55"/>
      <c r="F226" s="12"/>
      <c r="S226" s="12"/>
      <c r="X226" s="18"/>
    </row>
    <row r="227" spans="1:24" ht="15.6" x14ac:dyDescent="0.6">
      <c r="A227" s="14"/>
      <c r="D227" s="5"/>
      <c r="E227" s="55"/>
      <c r="F227" s="12"/>
      <c r="S227" s="12"/>
      <c r="X227" s="18"/>
    </row>
    <row r="228" spans="1:24" ht="15.6" x14ac:dyDescent="0.6">
      <c r="A228" s="14"/>
      <c r="D228" s="5"/>
      <c r="E228" s="55"/>
      <c r="F228" s="12"/>
      <c r="S228" s="12"/>
      <c r="X228" s="18"/>
    </row>
    <row r="229" spans="1:24" ht="15.6" x14ac:dyDescent="0.6">
      <c r="A229" s="14"/>
      <c r="D229" s="5"/>
      <c r="E229" s="55"/>
      <c r="F229" s="12"/>
      <c r="S229" s="12"/>
      <c r="X229" s="18"/>
    </row>
    <row r="230" spans="1:24" ht="15.6" x14ac:dyDescent="0.6">
      <c r="A230" s="14"/>
      <c r="D230" s="5"/>
      <c r="E230" s="55"/>
      <c r="F230" s="12"/>
      <c r="S230" s="12"/>
      <c r="X230" s="18"/>
    </row>
    <row r="231" spans="1:24" ht="15.6" x14ac:dyDescent="0.6">
      <c r="A231" s="14"/>
      <c r="D231" s="5"/>
      <c r="E231" s="55"/>
      <c r="F231" s="12"/>
      <c r="S231" s="12"/>
      <c r="X231" s="18"/>
    </row>
    <row r="232" spans="1:24" ht="15.6" x14ac:dyDescent="0.6">
      <c r="A232" s="14"/>
      <c r="D232" s="5"/>
      <c r="E232" s="55"/>
      <c r="F232" s="12"/>
      <c r="S232" s="12"/>
      <c r="X232" s="18"/>
    </row>
    <row r="233" spans="1:24" ht="15.6" x14ac:dyDescent="0.6">
      <c r="A233" s="14"/>
      <c r="D233" s="5"/>
      <c r="E233" s="55"/>
      <c r="F233" s="12"/>
      <c r="S233" s="12"/>
      <c r="X233" s="18"/>
    </row>
    <row r="234" spans="1:24" ht="15.6" x14ac:dyDescent="0.6">
      <c r="A234" s="14"/>
      <c r="D234" s="5"/>
      <c r="E234" s="55"/>
      <c r="F234" s="12"/>
      <c r="S234" s="12"/>
      <c r="X234" s="18"/>
    </row>
    <row r="235" spans="1:24" ht="15.6" x14ac:dyDescent="0.6">
      <c r="A235" s="14"/>
      <c r="D235" s="5"/>
      <c r="E235" s="55"/>
      <c r="F235" s="12"/>
      <c r="S235" s="12"/>
      <c r="X235" s="18"/>
    </row>
    <row r="236" spans="1:24" ht="15.6" x14ac:dyDescent="0.6">
      <c r="A236" s="14"/>
      <c r="D236" s="5"/>
      <c r="E236" s="55"/>
      <c r="F236" s="12"/>
      <c r="S236" s="12"/>
      <c r="X236" s="18"/>
    </row>
    <row r="237" spans="1:24" ht="15.6" x14ac:dyDescent="0.6">
      <c r="A237" s="14"/>
      <c r="D237" s="5"/>
      <c r="E237" s="55"/>
      <c r="F237" s="12"/>
      <c r="S237" s="12"/>
      <c r="X237" s="18"/>
    </row>
    <row r="238" spans="1:24" ht="15.6" x14ac:dyDescent="0.6">
      <c r="A238" s="14"/>
      <c r="D238" s="5"/>
      <c r="E238" s="55"/>
      <c r="F238" s="12"/>
      <c r="S238" s="12"/>
      <c r="X238" s="18"/>
    </row>
    <row r="239" spans="1:24" ht="15.6" x14ac:dyDescent="0.6">
      <c r="A239" s="14"/>
      <c r="D239" s="5"/>
      <c r="E239" s="55"/>
      <c r="F239" s="12"/>
      <c r="S239" s="12"/>
      <c r="X239" s="18"/>
    </row>
    <row r="240" spans="1:24" ht="15.6" x14ac:dyDescent="0.6">
      <c r="A240" s="14"/>
      <c r="D240" s="5"/>
      <c r="E240" s="55"/>
      <c r="F240" s="12"/>
      <c r="S240" s="12"/>
      <c r="X240" s="18"/>
    </row>
    <row r="241" spans="1:24" ht="15.6" x14ac:dyDescent="0.6">
      <c r="A241" s="14"/>
      <c r="D241" s="5"/>
      <c r="E241" s="55"/>
      <c r="F241" s="12"/>
      <c r="S241" s="12"/>
      <c r="X241" s="18"/>
    </row>
    <row r="242" spans="1:24" ht="15.6" x14ac:dyDescent="0.6">
      <c r="A242" s="14"/>
      <c r="D242" s="5"/>
      <c r="E242" s="55"/>
      <c r="F242" s="12"/>
      <c r="S242" s="12"/>
      <c r="X242" s="18"/>
    </row>
    <row r="243" spans="1:24" ht="15.6" x14ac:dyDescent="0.6">
      <c r="A243" s="14"/>
      <c r="D243" s="5"/>
      <c r="E243" s="55"/>
      <c r="F243" s="12"/>
      <c r="S243" s="12"/>
      <c r="X243" s="18"/>
    </row>
    <row r="244" spans="1:24" ht="15.6" x14ac:dyDescent="0.6">
      <c r="A244" s="14"/>
      <c r="D244" s="5"/>
      <c r="E244" s="55"/>
      <c r="F244" s="12"/>
      <c r="S244" s="12"/>
      <c r="X244" s="18"/>
    </row>
    <row r="245" spans="1:24" ht="15.6" x14ac:dyDescent="0.6">
      <c r="A245" s="14"/>
      <c r="D245" s="5"/>
      <c r="E245" s="55"/>
      <c r="F245" s="12"/>
      <c r="S245" s="12"/>
      <c r="X245" s="18"/>
    </row>
    <row r="246" spans="1:24" ht="15.6" x14ac:dyDescent="0.6">
      <c r="A246" s="14"/>
      <c r="D246" s="5"/>
      <c r="E246" s="55"/>
      <c r="F246" s="12"/>
      <c r="S246" s="12"/>
      <c r="X246" s="18"/>
    </row>
    <row r="247" spans="1:24" ht="15.6" x14ac:dyDescent="0.6">
      <c r="A247" s="14"/>
      <c r="D247" s="5"/>
      <c r="E247" s="55"/>
      <c r="F247" s="12"/>
      <c r="S247" s="12"/>
      <c r="X247" s="18"/>
    </row>
    <row r="248" spans="1:24" ht="15.6" x14ac:dyDescent="0.6">
      <c r="A248" s="14"/>
      <c r="D248" s="5"/>
      <c r="E248" s="55"/>
      <c r="F248" s="12"/>
      <c r="S248" s="12"/>
      <c r="X248" s="18"/>
    </row>
    <row r="249" spans="1:24" ht="15.6" x14ac:dyDescent="0.6">
      <c r="A249" s="14"/>
      <c r="D249" s="5"/>
      <c r="E249" s="55"/>
      <c r="F249" s="12"/>
      <c r="S249" s="12"/>
      <c r="X249" s="18"/>
    </row>
    <row r="250" spans="1:24" ht="15.6" x14ac:dyDescent="0.6">
      <c r="A250" s="14"/>
      <c r="D250" s="5"/>
      <c r="E250" s="55"/>
      <c r="F250" s="12"/>
      <c r="S250" s="12"/>
      <c r="X250" s="18"/>
    </row>
  </sheetData>
  <sortState xmlns:xlrd2="http://schemas.microsoft.com/office/spreadsheetml/2017/richdata2" ref="A6:AK251">
    <sortCondition ref="A6:A251"/>
  </sortState>
  <phoneticPr fontId="2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3935F-1B1E-4DFB-9238-449CFB8CDF80}">
  <sheetPr codeName="Sheet2"/>
  <dimension ref="A1:F11"/>
  <sheetViews>
    <sheetView workbookViewId="0">
      <selection activeCell="K18" sqref="K18"/>
    </sheetView>
  </sheetViews>
  <sheetFormatPr defaultRowHeight="14.4" x14ac:dyDescent="0.55000000000000004"/>
  <cols>
    <col min="4" max="4" width="9.15625" style="6"/>
  </cols>
  <sheetData>
    <row r="1" spans="1:6" x14ac:dyDescent="0.55000000000000004">
      <c r="A1">
        <v>4.1840000000000002</v>
      </c>
    </row>
    <row r="2" spans="1:6" x14ac:dyDescent="0.55000000000000004">
      <c r="C2">
        <v>-4.3</v>
      </c>
      <c r="D2" s="6">
        <f>C2*$A$1</f>
        <v>-17.991199999999999</v>
      </c>
      <c r="E2">
        <v>6.2</v>
      </c>
      <c r="F2">
        <f>E2*$A$1</f>
        <v>25.940800000000003</v>
      </c>
    </row>
    <row r="3" spans="1:6" x14ac:dyDescent="0.55000000000000004">
      <c r="C3">
        <v>-5.8</v>
      </c>
      <c r="D3" s="6">
        <f t="shared" ref="D3:D11" si="0">C3*$A$1</f>
        <v>-24.267199999999999</v>
      </c>
      <c r="E3">
        <v>5</v>
      </c>
      <c r="F3">
        <f t="shared" ref="F3:F11" si="1">E3*$A$1</f>
        <v>20.92</v>
      </c>
    </row>
    <row r="4" spans="1:6" x14ac:dyDescent="0.55000000000000004">
      <c r="C4">
        <v>-6.9</v>
      </c>
      <c r="D4" s="6">
        <f t="shared" si="0"/>
        <v>-28.869600000000002</v>
      </c>
      <c r="E4">
        <v>2</v>
      </c>
      <c r="F4">
        <f t="shared" si="1"/>
        <v>8.3680000000000003</v>
      </c>
    </row>
    <row r="5" spans="1:6" x14ac:dyDescent="0.55000000000000004">
      <c r="C5">
        <v>-10.4</v>
      </c>
      <c r="D5" s="6">
        <f t="shared" si="0"/>
        <v>-43.513600000000004</v>
      </c>
      <c r="E5">
        <v>0.4</v>
      </c>
      <c r="F5">
        <f t="shared" si="1"/>
        <v>1.6736000000000002</v>
      </c>
    </row>
    <row r="6" spans="1:6" x14ac:dyDescent="0.55000000000000004">
      <c r="C6">
        <v>-10</v>
      </c>
      <c r="D6" s="6">
        <f t="shared" si="0"/>
        <v>-41.84</v>
      </c>
      <c r="E6">
        <v>0.1</v>
      </c>
      <c r="F6">
        <f t="shared" si="1"/>
        <v>0.41840000000000005</v>
      </c>
    </row>
    <row r="7" spans="1:6" x14ac:dyDescent="0.55000000000000004">
      <c r="C7">
        <v>-11.1</v>
      </c>
      <c r="D7" s="6">
        <f t="shared" si="0"/>
        <v>-46.442399999999999</v>
      </c>
      <c r="E7">
        <v>-0.6</v>
      </c>
      <c r="F7">
        <f t="shared" si="1"/>
        <v>-2.5104000000000002</v>
      </c>
    </row>
    <row r="8" spans="1:6" x14ac:dyDescent="0.55000000000000004">
      <c r="C8">
        <v>-12.3</v>
      </c>
      <c r="D8" s="6">
        <f t="shared" si="0"/>
        <v>-51.463200000000008</v>
      </c>
      <c r="E8">
        <v>-1.2</v>
      </c>
      <c r="F8">
        <f t="shared" si="1"/>
        <v>-5.0208000000000004</v>
      </c>
    </row>
    <row r="9" spans="1:6" x14ac:dyDescent="0.55000000000000004">
      <c r="C9">
        <v>-12.6</v>
      </c>
      <c r="D9" s="6">
        <f t="shared" si="0"/>
        <v>-52.718400000000003</v>
      </c>
      <c r="E9">
        <v>-1.7</v>
      </c>
      <c r="F9">
        <f t="shared" si="1"/>
        <v>-7.1128</v>
      </c>
    </row>
    <row r="10" spans="1:6" x14ac:dyDescent="0.55000000000000004">
      <c r="C10">
        <v>-12.7</v>
      </c>
      <c r="D10" s="6">
        <f t="shared" si="0"/>
        <v>-53.136800000000001</v>
      </c>
      <c r="E10">
        <v>-1.8</v>
      </c>
      <c r="F10">
        <f t="shared" si="1"/>
        <v>-7.5312000000000001</v>
      </c>
    </row>
    <row r="11" spans="1:6" x14ac:dyDescent="0.55000000000000004">
      <c r="C11">
        <v>-14.6</v>
      </c>
      <c r="D11" s="6">
        <f t="shared" si="0"/>
        <v>-61.086399999999998</v>
      </c>
      <c r="E11">
        <v>-3.8</v>
      </c>
      <c r="F11">
        <f t="shared" si="1"/>
        <v>-15.8992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40bb28e-6377-48b0-832f-151ffa71870e" xsi:nil="true"/>
    <lcf76f155ced4ddcb4097134ff3c332f xmlns="b5f270ae-dbad-4cfd-80e2-71659db687aa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CBC9445B8347939C6B4510D67668" ma:contentTypeVersion="14" ma:contentTypeDescription="Create a new document." ma:contentTypeScope="" ma:versionID="debcf52f3d4c81bc84586c816ca1bc65">
  <xsd:schema xmlns:xsd="http://www.w3.org/2001/XMLSchema" xmlns:xs="http://www.w3.org/2001/XMLSchema" xmlns:p="http://schemas.microsoft.com/office/2006/metadata/properties" xmlns:ns2="b5f270ae-dbad-4cfd-80e2-71659db687aa" xmlns:ns3="240bb28e-6377-48b0-832f-151ffa71870e" targetNamespace="http://schemas.microsoft.com/office/2006/metadata/properties" ma:root="true" ma:fieldsID="0db2ad47acd613f43945cc47365a45bf" ns2:_="" ns3:_="">
    <xsd:import namespace="b5f270ae-dbad-4cfd-80e2-71659db687aa"/>
    <xsd:import namespace="240bb28e-6377-48b0-832f-151ffa71870e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f270ae-dbad-4cfd-80e2-71659db687aa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74661dae-d6df-48fc-a54e-a577d2899e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5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0bb28e-6377-48b0-832f-151ffa71870e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a2a4eeb5-89df-47ea-8a5b-df4bfa994101}" ma:internalName="TaxCatchAll" ma:showField="CatchAllData" ma:web="240bb28e-6377-48b0-832f-151ffa7187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7D46577-38CE-4231-97C2-B04068C673BC}">
  <ds:schemaRefs>
    <ds:schemaRef ds:uri="http://schemas.microsoft.com/office/2006/metadata/properties"/>
    <ds:schemaRef ds:uri="http://schemas.microsoft.com/office/infopath/2007/PartnerControls"/>
    <ds:schemaRef ds:uri="240bb28e-6377-48b0-832f-151ffa71870e"/>
    <ds:schemaRef ds:uri="b5f270ae-dbad-4cfd-80e2-71659db687aa"/>
  </ds:schemaRefs>
</ds:datastoreItem>
</file>

<file path=customXml/itemProps2.xml><?xml version="1.0" encoding="utf-8"?>
<ds:datastoreItem xmlns:ds="http://schemas.openxmlformats.org/officeDocument/2006/customXml" ds:itemID="{69A04C8A-82DB-49AC-ABA9-9A9E1D23595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70A1618-E412-402D-A0A2-B99BF6A487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f270ae-dbad-4cfd-80e2-71659db687aa"/>
    <ds:schemaRef ds:uri="240bb28e-6377-48b0-832f-151ffa7187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Reese</dc:creator>
  <cp:lastModifiedBy>Ryan Reese</cp:lastModifiedBy>
  <dcterms:created xsi:type="dcterms:W3CDTF">2015-06-05T18:17:20Z</dcterms:created>
  <dcterms:modified xsi:type="dcterms:W3CDTF">2025-07-11T11:24:20Z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0x0101002914CBC9445B8347939C6B4510D67668</vt:lpwstr>
  </property>
  <property fmtid="{D5CDD505-2E9C-101B-9397-08002B2CF9AE}" pid="3" name="MediaServiceImageTags">
    <vt:lpwstr/>
  </property>
</Properties>
</file>