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defaultThemeVersion="124226"/>
  <mc:AlternateContent>
    <mc:Choice Requires="x15">
      <x15ac:absPath xmlns:x15ac="http://schemas.microsoft.com/office/spreadsheetml/2010/11/ac" url="C:\Projects\PitchBook\legacy\legacy-trash\src\main\resources\com\pitchbook\excel\processor\preloaded\"/>
    </mc:Choice>
  </mc:AlternateContent>
  <xr:revisionPtr revIDLastSave="0" documentId="13_ncr:1_{C63241A8-0879-4FFD-ACB5-5759F2A62CA5}" xr6:coauthVersionLast="45" xr6:coauthVersionMax="45" xr10:uidLastSave="{00000000-0000-0000-0000-000000000000}"/>
  <bookViews>
    <workbookView xWindow="-120" yWindow="-120" windowWidth="29040" windowHeight="15840" xr2:uid="{00000000-000D-0000-FFFF-FFFF00000000}" activeTab="0" firstSheet="0"/>
  </bookViews>
  <sheets>
    <sheet name="Data" sheetId="1" r:id="rId1"/>
    <sheet name="Disclaimer" r:id="rId5" sheetId="2"/>
  </sheets>
  <definedNames>
    <definedName name="Copyright">#REF!</definedName>
    <definedName name="CreatedFor">Data!$G$5</definedName>
    <definedName name="CreatedForTitle">Data!$F$5</definedName>
    <definedName name="DownloadedOn">Data!$G$4</definedName>
    <definedName name="SearchCriteria">Data!$B$4</definedName>
    <definedName name="SearchCriteriaType">Data!$A$4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
  </authors>
  <commentList>
    <comment ref="K80" authorId="0">
      <text>
        <t>Estimated</t>
      </text>
    </comment>
    <comment ref="K60" authorId="0">
      <text>
        <t>Estimated</t>
      </text>
    </comment>
    <comment ref="K82" authorId="0">
      <text>
        <t>Estimated</t>
      </text>
    </comment>
    <comment ref="K81" authorId="0">
      <text>
        <t>Estimated</t>
      </text>
    </comment>
    <comment ref="K84" authorId="0">
      <text>
        <t>Estimated</t>
      </text>
    </comment>
    <comment ref="K20" authorId="0">
      <text>
        <t>Estimated</t>
      </text>
    </comment>
    <comment ref="K42" authorId="0">
      <text>
        <t>Estimated</t>
      </text>
    </comment>
    <comment ref="K86" authorId="0">
      <text>
        <t>Estimated</t>
      </text>
    </comment>
    <comment ref="K85" authorId="0">
      <text>
        <t>Estimated</t>
      </text>
    </comment>
    <comment ref="K22" authorId="0">
      <text>
        <t>Estimated</t>
      </text>
    </comment>
    <comment ref="K21" authorId="0">
      <text>
        <t>Estimated</t>
      </text>
    </comment>
    <comment ref="K46" authorId="0">
      <text>
        <t>Estimated</t>
      </text>
    </comment>
    <comment ref="K68" authorId="0">
      <text>
        <t>Estimated</t>
      </text>
    </comment>
    <comment ref="K45" authorId="0">
      <text>
        <t>Estimated</t>
      </text>
    </comment>
    <comment ref="K26" authorId="0">
      <text>
        <t>Estimated</t>
      </text>
    </comment>
    <comment ref="K28" authorId="0">
      <text>
        <t>Estimated</t>
      </text>
    </comment>
    <comment ref="K27" authorId="0">
      <text>
        <t>Estimated</t>
      </text>
    </comment>
    <comment ref="K49" authorId="0">
      <text>
        <t>Estimated</t>
      </text>
    </comment>
    <comment ref="K91" authorId="0">
      <text>
        <t>Estimated</t>
      </text>
    </comment>
    <comment ref="K90" authorId="0">
      <text>
        <t>Estimated</t>
      </text>
    </comment>
    <comment ref="K93" authorId="0">
      <text>
        <t>Estimated</t>
      </text>
    </comment>
    <comment ref="K92" authorId="0">
      <text>
        <t>Estimated</t>
      </text>
    </comment>
    <comment ref="K95" authorId="0">
      <text>
        <t>Estimated</t>
      </text>
    </comment>
    <comment ref="K94" authorId="0">
      <text>
        <t>Estimated</t>
      </text>
    </comment>
    <comment ref="K31" authorId="0">
      <text>
        <t>Estimated</t>
      </text>
    </comment>
    <comment ref="K53" authorId="0">
      <text>
        <t>Estimated</t>
      </text>
    </comment>
    <comment ref="K97" authorId="0">
      <text>
        <t>Estimated</t>
      </text>
    </comment>
    <comment ref="K30" authorId="0">
      <text>
        <t>Estimated</t>
      </text>
    </comment>
    <comment ref="K96" authorId="0">
      <text>
        <t>Estimated</t>
      </text>
    </comment>
    <comment ref="K11" authorId="0">
      <text>
        <t>Estimated</t>
      </text>
    </comment>
    <comment ref="K33" authorId="0">
      <text>
        <t>Estimated</t>
      </text>
    </comment>
    <comment ref="K76" authorId="0">
      <text>
        <t>Estimated</t>
      </text>
    </comment>
    <comment ref="K98" authorId="0">
      <text>
        <t>Estimated</t>
      </text>
    </comment>
    <comment ref="K13" authorId="0">
      <text>
        <t>Estimated</t>
      </text>
    </comment>
    <comment ref="K12" authorId="0">
      <text>
        <t>Estimated</t>
      </text>
    </comment>
    <comment ref="K15" authorId="0">
      <text>
        <t>Estimated</t>
      </text>
    </comment>
    <comment ref="K37" authorId="0">
      <text>
        <t>Estimated</t>
      </text>
    </comment>
    <comment ref="K14" authorId="0">
      <text>
        <t>Estimated</t>
      </text>
    </comment>
    <comment ref="K36" authorId="0">
      <text>
        <t>Estimated</t>
      </text>
    </comment>
    <comment ref="K17" authorId="0">
      <text>
        <t>Estimated</t>
      </text>
    </comment>
    <comment ref="K39" authorId="0">
      <text>
        <t>Estimated</t>
      </text>
    </comment>
    <comment ref="K16" authorId="0">
      <text>
        <t>Estimated</t>
      </text>
    </comment>
    <comment ref="K38" authorId="0">
      <text>
        <t>Estimated</t>
      </text>
    </comment>
  </commentList>
</comments>
</file>

<file path=xl/sharedStrings.xml><?xml version="1.0" encoding="utf-8"?>
<sst xmlns="http://schemas.openxmlformats.org/spreadsheetml/2006/main" count="58" uniqueCount="52">
  <si>
    <t>Search Criteria:</t>
  </si>
  <si>
    <t>Downloaded on:</t>
  </si>
  <si>
    <t xml:space="preserve"> </t>
  </si>
  <si>
    <t xml:space="preserve">Fund Returns Data Download </t>
  </si>
  <si>
    <t xml:space="preserve"> Search Link:</t>
  </si>
  <si>
    <t>PitchBook Link</t>
  </si>
  <si>
    <t>View Company Online</t>
  </si>
  <si>
    <t xml:space="preserve">Include Active Positions; Fund Types: Venture - General; Angel Fund; Venture Capital - Early Stage; Fund Size: Min: 5M; Max: 15M; Fund Vintage Year: From: 2009; To: 2020; </t>
  </si>
  <si>
    <t>Created for:</t>
  </si>
  <si>
    <t>Vishal Tripathi, Plexo Capital</t>
  </si>
  <si>
    <t>https://my.pitchbook.com/?pcc=361644-13</t>
  </si>
  <si>
    <t>Fund ID</t>
  </si>
  <si>
    <t>Fund Name</t>
  </si>
  <si>
    <t>Fund Former Name</t>
  </si>
  <si>
    <t>Fund Type</t>
  </si>
  <si>
    <t>Fund Size</t>
  </si>
  <si>
    <t>Fund Location</t>
  </si>
  <si>
    <t>Quartile</t>
  </si>
  <si>
    <t>Vintage</t>
  </si>
  <si>
    <t>Called %</t>
  </si>
  <si>
    <t>Contributions</t>
  </si>
  <si>
    <t>Dry Powder</t>
  </si>
  <si>
    <t>Distributions</t>
  </si>
  <si>
    <t>NAV</t>
  </si>
  <si>
    <t>IRR</t>
  </si>
  <si>
    <t>Benchmark %</t>
  </si>
  <si>
    <t>Difference % (from Benchmark)</t>
  </si>
  <si>
    <t>DPI</t>
  </si>
  <si>
    <t>DPI Difference (from Benchmark)</t>
  </si>
  <si>
    <t>RVPI</t>
  </si>
  <si>
    <t>RVPI Difference (from Benchmark)</t>
  </si>
  <si>
    <t>TVPI</t>
  </si>
  <si>
    <t>TVPI Difference (from Benchmark)</t>
  </si>
  <si>
    <t>Benchmark Definition</t>
  </si>
  <si>
    <t>Calculations based on</t>
  </si>
  <si>
    <t>As of Period</t>
  </si>
  <si>
    <t>Fund Size Group</t>
  </si>
  <si>
    <t>Investor Name</t>
  </si>
  <si>
    <t>Investor Location</t>
  </si>
  <si>
    <t>Fund Industry Preferences</t>
  </si>
  <si>
    <t>Fund Financing Type Preferences</t>
  </si>
  <si>
    <t>Fund Regional Preferences</t>
  </si>
  <si>
    <t>LP Returns Source</t>
  </si>
  <si>
    <t>All data copyright PitchBook Data, Inc.</t>
  </si>
  <si>
    <t>For customized data reports and analyses, contact us at:</t>
  </si>
  <si>
    <t xml:space="preserve">clientservices@pitchbook.com </t>
  </si>
  <si>
    <t xml:space="preserve">In accordance with the </t>
  </si>
  <si>
    <t>PitchBook User Agreement</t>
  </si>
  <si>
    <t>, this document and its contents are meant for data purposes only. This file must be deleted by all recipients after 30 days of download unless express written consent has been given by PitchBook Data, Inc.</t>
  </si>
  <si>
    <t>If you have any further questions or concerns, please contact client services at 1-877-267-5593 or by email at</t>
  </si>
  <si>
    <t>clientservices@pitchbook.com.</t>
  </si>
  <si>
    <t>© PitchBook Data, Inc.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</si>
</sst>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0.00;(#,##0.00)"/>
    <numFmt numFmtId="166" formatCode="#,##0.00&quot;%&quot;;-#,##0.00&quot;%&quot;"/>
    <numFmt numFmtId="167" formatCode="#,##0.00x"/>
  </numFmts>
  <fonts count="226" x14ac:knownFonts="1">
    <font>
      <sz val="10"/>
      <name val="Arial"/>
    </font>
    <font>
      <sz val="8"/>
      <color indexed="8"/>
      <name val="Arial"/>
      <family val="2"/>
    </font>
    <font>
      <b/>
      <sz val="16"/>
      <color indexed="8"/>
      <name val="Arial"/>
      <family val="2"/>
    </font>
    <font>
      <b/>
      <sz val="10"/>
      <color indexed="8"/>
      <name val="Arial"/>
      <family val="2"/>
    </font>
    <font>
      <b/>
      <sz val="8"/>
      <color indexed="16"/>
      <name val="Arial"/>
      <family val="2"/>
    </font>
    <font>
      <u/>
      <sz val="11"/>
      <color indexed="12"/>
      <name val="Calibri"/>
      <family val="2"/>
    </font>
    <font>
      <sz val="6"/>
      <color indexed="8"/>
      <name val="Arial"/>
      <family val="2"/>
    </font>
    <font>
      <b/>
      <sz val="8"/>
      <color indexed="9"/>
      <name val="Arial"/>
      <family val="2"/>
    </font>
    <font>
      <b/>
      <sz val="8"/>
      <color indexed="8"/>
      <name val="Arial"/>
      <family val="2"/>
    </font>
    <font>
      <sz val="14"/>
      <color indexed="8"/>
      <name val="Arial"/>
      <family val="2"/>
    </font>
    <font>
      <u/>
      <sz val="14"/>
      <color indexed="12"/>
      <name val="Arial"/>
      <family val="2"/>
      <charset val="204"/>
    </font>
    <font>
      <u/>
      <sz val="8"/>
      <color indexed="12"/>
      <name val="Calibri"/>
      <family val="2"/>
    </font>
    <font>
      <name val="Arial"/>
      <sz val="8.0"/>
      <color indexed="12"/>
    </font>
    <font>
      <name val="Arial"/>
      <sz val="8.0"/>
      <color indexed="9"/>
      <b val="true"/>
    </font>
    <font>
      <name val="Arial"/>
      <sz val="8.0"/>
      <color indexed="9"/>
      <b val="true"/>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Arial"/>
      <sz val="8.0"/>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Calibri"/>
      <sz val="8.0"/>
      <color rgb="0000FF"/>
    </font>
    <font>
      <name val="Arial"/>
      <sz val="8.0"/>
    </font>
    <font xmlns:main="http://schemas.openxmlformats.org/spreadsheetml/2006/main">
      <main:b/>
      <main:sz val="14"/>
      <main:color indexed="8"/>
      <main:name val="Arial"/>
      <main:family val="2"/>
    </font>
    <font xmlns:main="http://schemas.openxmlformats.org/spreadsheetml/2006/main">
      <main:i/>
      <main:sz val="10"/>
      <main:color indexed="8"/>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sz val="10"/>
      <main:color theme="3" tint="0.39997558519241921"/>
      <main:name val="Arial"/>
      <main:family val="2"/>
      <main:charset val="204"/>
    </font>
    <font xmlns:main="http://schemas.openxmlformats.org/spreadsheetml/2006/main">
      <main:i/>
      <main:u/>
      <main:sz val="10"/>
      <main:color indexed="12"/>
      <main:name val="Arial"/>
      <main:family val="2"/>
      <main:charset val="204"/>
    </font>
    <font xmlns:main="http://schemas.openxmlformats.org/spreadsheetml/2006/main">
      <main:i/>
      <main:sz val="10"/>
      <main:color theme="3" tint="0.39997558519241921"/>
      <main:name val="Arial"/>
      <main:family val="2"/>
      <main:charset val="204"/>
    </font>
    <font>
      <name val="Arial"/>
      <sz val="8.0"/>
    </font>
  </fonts>
  <fills count="11">
    <fill>
      <patternFill patternType="none"/>
    </fill>
    <fill>
      <patternFill patternType="gray125"/>
    </fill>
    <fill>
      <patternFill patternType="solid">
        <fgColor indexed="9"/>
        <bgColor indexed="64"/>
      </patternFill>
    </fill>
    <fill>
      <patternFill patternType="solid">
        <fgColor indexed="62"/>
        <bgColor indexed="64"/>
      </patternFill>
    </fill>
    <fill>
      <patternFill patternType="solid">
        <fgColor indexed="13"/>
        <bgColor indexed="64"/>
      </patternFill>
    </fill>
    <fill>
      <patternFill patternType="none">
        <fgColor rgb="4F81BD"/>
      </patternFill>
    </fill>
    <fill>
      <patternFill patternType="solid">
        <fgColor rgb="4F81BD"/>
      </patternFill>
    </fill>
    <fill>
      <patternFill patternType="none">
        <fgColor rgb="EEF3F8"/>
      </patternFill>
    </fill>
    <fill>
      <patternFill patternType="solid">
        <fgColor rgb="EEF3F8"/>
      </patternFill>
    </fill>
    <fill>
      <patternFill patternType="none">
        <fgColor rgb="FFFFFF"/>
      </patternFill>
    </fill>
    <fill>
      <patternFill patternType="solid">
        <fgColor rgb="FFFFFF"/>
      </patternFill>
    </fill>
  </fills>
  <borders count="1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hair">
        <color indexed="55"/>
      </left>
      <right style="hair">
        <color indexed="55"/>
      </right>
      <top/>
      <bottom/>
      <diagonal/>
    </border>
    <border>
      <left/>
      <right style="thin">
        <color indexed="64"/>
      </right>
      <top style="thin">
        <color indexed="64"/>
      </top>
      <bottom/>
      <diagonal/>
    </border>
    <border>
      <left style="hair">
        <color indexed="64"/>
      </left>
      <right style="hair">
        <color indexed="64"/>
      </right>
      <top/>
      <bottom/>
      <diagonal/>
    </border>
    <border>
      <top style="thin"/>
    </border>
    <border>
      <top style="thin">
        <color indexed="8"/>
      </top>
    </border>
    <border>
      <right style="thin"/>
      <top style="thin">
        <color indexed="8"/>
      </top>
    </border>
    <border>
      <right style="thin">
        <color indexed="8"/>
      </right>
      <top style="thin">
        <color indexed="8"/>
      </top>
    </border>
    <border>
      <right style="dotted"/>
    </border>
    <border>
      <right style="dotted">
        <color rgb="969696"/>
      </right>
    </border>
  </borders>
  <cellStyleXfs count="2">
    <xf numFmtId="0" fontId="0" fillId="0" borderId="0"/>
    <xf numFmtId="0" fontId="5" fillId="0" borderId="0" applyNumberFormat="0" applyFill="0" applyBorder="0" applyAlignment="0" applyProtection="0">
      <alignment vertical="top"/>
      <protection locked="0"/>
    </xf>
  </cellStyleXfs>
  <cellXfs count="247">
    <xf numFmtId="0" fontId="0" fillId="0" borderId="0" xfId="0"/>
    <xf numFmtId="0" fontId="1" fillId="2" borderId="0" xfId="0" applyFont="1" applyFill="1">
      <alignment wrapText="false"/>
    </xf>
    <xf numFmtId="164" fontId="1" fillId="2" borderId="0" xfId="0" applyNumberFormat="1" applyFont="1" applyFill="1"/>
    <xf numFmtId="0" fontId="3" fillId="2" borderId="0" xfId="0" applyFont="1" applyFill="1"/>
    <xf numFmtId="0" fontId="4" fillId="2" borderId="0" xfId="0" applyFont="1" applyFill="1"/>
    <xf numFmtId="0" fontId="1" fillId="2" borderId="0" xfId="0" applyFont="1" applyFill="1" applyAlignment="1">
      <alignment horizontal="right"/>
    </xf>
    <xf numFmtId="0" fontId="6" fillId="2" borderId="0" xfId="0" applyFont="1" applyFill="1"/>
    <xf numFmtId="0" fontId="7" fillId="3" borderId="1" xfId="0" applyFont="1" applyFill="1" applyBorder="1" applyAlignment="1">
      <alignment horizontal="left"/>
    </xf>
    <xf numFmtId="0" fontId="7" fillId="3" borderId="2" xfId="0" applyFont="1" applyFill="1" applyBorder="1" applyAlignment="1">
      <alignment horizontal="left"/>
    </xf>
    <xf numFmtId="164" fontId="7" fillId="3" borderId="2" xfId="0" applyNumberFormat="1" applyFont="1" applyFill="1" applyBorder="1" applyAlignment="1">
      <alignment horizontal="left" wrapText="1"/>
    </xf>
    <xf numFmtId="0" fontId="1" fillId="0" borderId="0" xfId="0" applyFont="1"/>
    <xf numFmtId="164" fontId="1" fillId="0" borderId="0" xfId="0" applyNumberFormat="1" applyFont="1"/>
    <xf numFmtId="0" fontId="9" fillId="2" borderId="0" xfId="0" applyFont="1" applyFill="1" applyAlignment="1">
      <alignment horizontal="right"/>
    </xf>
    <xf numFmtId="14" fontId="1" fillId="2" borderId="0" xfId="0" applyNumberFormat="1" applyFont="1" applyFill="1" applyAlignment="1">
      <alignment horizontal="left"/>
    </xf>
    <xf numFmtId="0" fontId="1" fillId="4" borderId="3" xfId="0" applyNumberFormat="1" applyFont="1" applyFill="1" applyBorder="1"/>
    <xf numFmtId="0" fontId="1" fillId="4" borderId="4" xfId="0" applyNumberFormat="1" applyFont="1" applyFill="1" applyBorder="1"/>
    <xf numFmtId="0" fontId="1" fillId="4" borderId="0" xfId="0" applyNumberFormat="1" applyFont="1" applyFill="1" applyBorder="1"/>
    <xf numFmtId="0" fontId="1" fillId="2" borderId="3" xfId="0" applyNumberFormat="1" applyFont="1" applyFill="1" applyBorder="1"/>
    <xf numFmtId="0" fontId="1" fillId="2" borderId="4" xfId="0" applyNumberFormat="1" applyFont="1" applyFill="1" applyBorder="1"/>
    <xf numFmtId="0" fontId="1" fillId="2" borderId="0" xfId="0" applyNumberFormat="1" applyFont="1" applyFill="1" applyBorder="1"/>
    <xf numFmtId="0" fontId="10" fillId="2" borderId="0" xfId="1" applyFont="1" applyFill="1" applyAlignment="1" applyProtection="1"/>
    <xf numFmtId="14" fontId="1" fillId="4" borderId="4" xfId="0" applyNumberFormat="1" applyFont="1" applyFill="1" applyBorder="1"/>
    <xf numFmtId="14" fontId="1" fillId="2" borderId="4" xfId="0" applyNumberFormat="1" applyFont="1" applyFill="1" applyBorder="1"/>
    <xf numFmtId="0" fontId="8" fillId="0" borderId="0" xfId="0" applyFont="1" applyFill="1" applyAlignment="1">
      <alignment horizontal="left"/>
    </xf>
    <xf numFmtId="0" fontId="1" fillId="0" borderId="0" xfId="0" applyFont="1" applyFill="1"/>
    <xf numFmtId="0" fontId="4" fillId="2" borderId="0" xfId="0" applyFont="1" applyFill="1" applyAlignment="1">
      <alignment horizontal="left" vertical="top" wrapText="1"/>
    </xf>
    <xf numFmtId="0" fontId="1" fillId="2" borderId="0" xfId="0" applyFont="1" applyFill="1" applyAlignment="1">
      <alignment horizontal="right" vertical="top"/>
    </xf>
    <xf numFmtId="0" fontId="4" fillId="2" borderId="0" xfId="0" applyFont="1" applyFill="1" applyAlignment="1">
      <alignment horizontal="left" vertical="top" wrapText="true"/>
    </xf>
    <xf numFmtId="0" fontId="2" fillId="2" borderId="0" xfId="0" applyFont="1" applyFill="1" applyAlignment="1">
      <alignment horizontal="center"/>
    </xf>
    <xf numFmtId="0" fontId="1" fillId="2" borderId="0" xfId="0" applyFont="1" applyFill="1" applyAlignment="1">
      <alignment horizontal="left"/>
    </xf>
    <xf numFmtId="0" fontId="7" fillId="3" borderId="5" xfId="0" applyFont="1" applyFill="1" applyBorder="1" applyAlignment="1">
      <alignment horizontal="left" wrapText="1"/>
    </xf>
    <xf numFmtId="0" fontId="11" fillId="4" borderId="6" xfId="1" applyFont="1" applyFill="1" applyBorder="1" applyAlignment="1" applyProtection="1"/>
    <xf numFmtId="0" fontId="11" fillId="2" borderId="6" xfId="1" applyFont="1" applyFill="1" applyBorder="1" applyAlignment="1" applyProtection="1"/>
    <xf numFmtId="0" fontId="12" fillId="0" borderId="0" xfId="0" applyFont="true">
      <alignment wrapText="true"/>
    </xf>
    <xf numFmtId="0" fontId="13" fillId="6" borderId="8" xfId="0" applyFill="true" applyFont="true" applyBorder="true">
      <alignment horizontal="center" vertical="center" wrapText="true"/>
    </xf>
    <xf numFmtId="0" fontId="14" fillId="6" borderId="10" xfId="0" applyFill="true" applyFont="true" applyBorder="true">
      <alignment horizontal="center" vertical="center" wrapText="true"/>
    </xf>
    <xf numFmtId="0" fontId="15" fillId="8" borderId="12" xfId="0" applyFill="true" applyFont="true" applyBorder="true">
      <alignment horizontal="left" vertical="top" indent="1" wrapText="false"/>
    </xf>
    <xf numFmtId="0" fontId="16" fillId="8" borderId="12" xfId="0" applyFill="true" applyFont="true" applyBorder="true">
      <alignment horizontal="left" vertical="top" indent="1" wrapText="false"/>
    </xf>
    <xf numFmtId="0" fontId="17" fillId="8" borderId="12" xfId="0" applyFill="true" applyFont="true" applyBorder="true">
      <alignment horizontal="left" vertical="top" indent="1" wrapText="false"/>
    </xf>
    <xf numFmtId="0" fontId="18" fillId="8" borderId="12" xfId="0" applyFill="true" applyFont="true" applyBorder="true">
      <alignment horizontal="left" vertical="top" indent="1" wrapText="false"/>
    </xf>
    <xf numFmtId="165" fontId="19" fillId="8" borderId="12" xfId="0" applyFill="true" applyFont="true" applyBorder="true" applyNumberFormat="true">
      <alignment horizontal="right" vertical="top" indent="1" wrapText="false"/>
    </xf>
    <xf numFmtId="0" fontId="20" fillId="8" borderId="12" xfId="0" applyFill="true" applyFont="true" applyBorder="true">
      <alignment horizontal="left" vertical="top" indent="1" wrapText="false"/>
    </xf>
    <xf numFmtId="0" fontId="21" fillId="8" borderId="12" xfId="0" applyFill="true" applyFont="true" applyBorder="true">
      <alignment horizontal="right" vertical="top" indent="1" wrapText="false"/>
    </xf>
    <xf numFmtId="0" fontId="22" fillId="8" borderId="12" xfId="0" applyFill="true" applyFont="true" applyBorder="true">
      <alignment horizontal="right" vertical="top" indent="1" wrapText="false"/>
    </xf>
    <xf numFmtId="166" fontId="23" fillId="8" borderId="12" xfId="0" applyFill="true" applyFont="true" applyBorder="true" applyNumberFormat="true">
      <alignment horizontal="right" vertical="top" indent="1" wrapText="false"/>
    </xf>
    <xf numFmtId="165" fontId="24" fillId="8" borderId="12" xfId="0" applyFill="true" applyFont="true" applyBorder="true" applyNumberFormat="true">
      <alignment horizontal="right" vertical="top" indent="1" wrapText="false"/>
    </xf>
    <xf numFmtId="165" fontId="25" fillId="8" borderId="12" xfId="0" applyFill="true" applyFont="true" applyBorder="true" applyNumberFormat="true">
      <alignment horizontal="right" vertical="top" indent="1" wrapText="false"/>
    </xf>
    <xf numFmtId="165" fontId="26" fillId="8" borderId="12" xfId="0" applyFill="true" applyFont="true" applyBorder="true" applyNumberFormat="true">
      <alignment horizontal="right" vertical="top" indent="1" wrapText="false"/>
    </xf>
    <xf numFmtId="165" fontId="27" fillId="8" borderId="12" xfId="0" applyFill="true" applyFont="true" applyBorder="true" applyNumberFormat="true">
      <alignment horizontal="right" vertical="top" indent="1" wrapText="false"/>
    </xf>
    <xf numFmtId="166" fontId="28" fillId="8" borderId="12" xfId="0" applyFill="true" applyFont="true" applyBorder="true" applyNumberFormat="true">
      <alignment horizontal="right" vertical="top" indent="1" wrapText="false"/>
    </xf>
    <xf numFmtId="166" fontId="29" fillId="8" borderId="12" xfId="0" applyFill="true" applyFont="true" applyBorder="true" applyNumberFormat="true">
      <alignment horizontal="right" vertical="top" indent="1" wrapText="false"/>
    </xf>
    <xf numFmtId="166" fontId="30" fillId="8" borderId="12" xfId="0" applyFill="true" applyFont="true" applyBorder="true" applyNumberFormat="true">
      <alignment horizontal="right" vertical="top" indent="1" wrapText="false"/>
    </xf>
    <xf numFmtId="167" fontId="31" fillId="8" borderId="12" xfId="0" applyFill="true" applyFont="true" applyBorder="true" applyNumberFormat="true">
      <alignment horizontal="right" vertical="top" indent="1" wrapText="false"/>
    </xf>
    <xf numFmtId="167" fontId="32" fillId="8" borderId="12" xfId="0" applyFill="true" applyFont="true" applyBorder="true" applyNumberFormat="true">
      <alignment horizontal="right" vertical="top" indent="1" wrapText="false"/>
    </xf>
    <xf numFmtId="167" fontId="33" fillId="8" borderId="12" xfId="0" applyFill="true" applyFont="true" applyBorder="true" applyNumberFormat="true">
      <alignment horizontal="right" vertical="top" indent="1" wrapText="false"/>
    </xf>
    <xf numFmtId="167" fontId="34" fillId="8" borderId="12" xfId="0" applyFill="true" applyFont="true" applyBorder="true" applyNumberFormat="true">
      <alignment horizontal="right" vertical="top" indent="1" wrapText="false"/>
    </xf>
    <xf numFmtId="167" fontId="35" fillId="8" borderId="12" xfId="0" applyFill="true" applyFont="true" applyBorder="true" applyNumberFormat="true">
      <alignment horizontal="right" vertical="top" indent="1" wrapText="false"/>
    </xf>
    <xf numFmtId="167" fontId="36" fillId="8" borderId="12" xfId="0" applyFill="true" applyFont="true" applyBorder="true" applyNumberFormat="true">
      <alignment horizontal="right" vertical="top" indent="1" wrapText="false"/>
    </xf>
    <xf numFmtId="0" fontId="37" fillId="8" borderId="12" xfId="0" applyFill="true" applyFont="true" applyBorder="true">
      <alignment horizontal="left" vertical="top" indent="1" wrapText="false"/>
    </xf>
    <xf numFmtId="0" fontId="38" fillId="8" borderId="12" xfId="0" applyFill="true" applyFont="true" applyBorder="true">
      <alignment horizontal="left" vertical="top" indent="1" wrapText="false"/>
    </xf>
    <xf numFmtId="0" fontId="39" fillId="8" borderId="12" xfId="0" applyFill="true" applyFont="true" applyBorder="true">
      <alignment horizontal="right" vertical="top" indent="1" wrapText="false"/>
    </xf>
    <xf numFmtId="0" fontId="40" fillId="8" borderId="12" xfId="0" applyFill="true" applyFont="true" applyBorder="true">
      <alignment horizontal="left" vertical="top" indent="1" wrapText="false"/>
    </xf>
    <xf numFmtId="0" fontId="41" fillId="8" borderId="12" xfId="0" applyFill="true" applyFont="true" applyBorder="true">
      <alignment horizontal="left" vertical="top" indent="1" wrapText="false"/>
    </xf>
    <xf numFmtId="0" fontId="42" fillId="8" borderId="12" xfId="0" applyFill="true" applyFont="true" applyBorder="true">
      <alignment horizontal="left" vertical="top" indent="1" wrapText="false"/>
    </xf>
    <xf numFmtId="0" fontId="43" fillId="8" borderId="12" xfId="0" applyFill="true" applyFont="true" applyBorder="true">
      <alignment horizontal="left" vertical="top" indent="1" wrapText="false"/>
    </xf>
    <xf numFmtId="0" fontId="44" fillId="8" borderId="12" xfId="0" applyFill="true" applyFont="true" applyBorder="true">
      <alignment horizontal="left" vertical="top" indent="1" wrapText="false"/>
    </xf>
    <xf numFmtId="0" fontId="45" fillId="8" borderId="12" xfId="0" applyFill="true" applyFont="true" applyBorder="true">
      <alignment horizontal="left" vertical="top" indent="1" wrapText="false"/>
    </xf>
    <xf numFmtId="0" fontId="46" fillId="8" borderId="12" xfId="0" applyFill="true" applyFont="true" applyBorder="true">
      <alignment horizontal="left" vertical="top" indent="1" wrapText="false"/>
    </xf>
    <xf numFmtId="0" fontId="47" fillId="8" borderId="12" xfId="0" applyFill="true" applyFont="true" applyBorder="true">
      <alignment horizontal="left" vertical="top" indent="1" wrapText="false"/>
    </xf>
    <xf numFmtId="0" fontId="48" fillId="10" borderId="12" xfId="0" applyFill="true" applyFont="true" applyBorder="true">
      <alignment horizontal="left" vertical="top" indent="1" wrapText="false"/>
    </xf>
    <xf numFmtId="0" fontId="49" fillId="10" borderId="12" xfId="0" applyFill="true" applyFont="true" applyBorder="true">
      <alignment horizontal="left" vertical="top" indent="1" wrapText="false"/>
    </xf>
    <xf numFmtId="0" fontId="50" fillId="10" borderId="12" xfId="0" applyFill="true" applyFont="true" applyBorder="true">
      <alignment horizontal="left" vertical="top" indent="1" wrapText="false"/>
    </xf>
    <xf numFmtId="0" fontId="51" fillId="10" borderId="12" xfId="0" applyFill="true" applyFont="true" applyBorder="true">
      <alignment horizontal="left" vertical="top" indent="1" wrapText="false"/>
    </xf>
    <xf numFmtId="165" fontId="52" fillId="10" borderId="12" xfId="0" applyFill="true" applyFont="true" applyBorder="true" applyNumberFormat="true">
      <alignment horizontal="right" vertical="top" indent="1" wrapText="false"/>
    </xf>
    <xf numFmtId="0" fontId="53" fillId="10" borderId="12" xfId="0" applyFill="true" applyFont="true" applyBorder="true">
      <alignment horizontal="left" vertical="top" indent="1" wrapText="false"/>
    </xf>
    <xf numFmtId="0" fontId="54" fillId="10" borderId="12" xfId="0" applyFill="true" applyFont="true" applyBorder="true">
      <alignment horizontal="right" vertical="top" indent="1" wrapText="false"/>
    </xf>
    <xf numFmtId="0" fontId="55" fillId="10" borderId="12" xfId="0" applyFill="true" applyFont="true" applyBorder="true">
      <alignment horizontal="right" vertical="top" indent="1" wrapText="false"/>
    </xf>
    <xf numFmtId="166" fontId="56" fillId="10" borderId="12" xfId="0" applyFill="true" applyFont="true" applyBorder="true" applyNumberFormat="true">
      <alignment horizontal="right" vertical="top" indent="1" wrapText="false"/>
    </xf>
    <xf numFmtId="165" fontId="57" fillId="10" borderId="12" xfId="0" applyFill="true" applyFont="true" applyBorder="true" applyNumberFormat="true">
      <alignment horizontal="right" vertical="top" indent="1" wrapText="false"/>
    </xf>
    <xf numFmtId="165" fontId="58" fillId="10" borderId="12" xfId="0" applyFill="true" applyFont="true" applyBorder="true" applyNumberFormat="true">
      <alignment horizontal="right" vertical="top" indent="1" wrapText="false"/>
    </xf>
    <xf numFmtId="165" fontId="59" fillId="10" borderId="12" xfId="0" applyFill="true" applyFont="true" applyBorder="true" applyNumberFormat="true">
      <alignment horizontal="right" vertical="top" indent="1" wrapText="false"/>
    </xf>
    <xf numFmtId="165" fontId="60" fillId="10" borderId="12" xfId="0" applyFill="true" applyFont="true" applyBorder="true" applyNumberFormat="true">
      <alignment horizontal="right" vertical="top" indent="1" wrapText="false"/>
    </xf>
    <xf numFmtId="166" fontId="61" fillId="10" borderId="12" xfId="0" applyFill="true" applyFont="true" applyBorder="true" applyNumberFormat="true">
      <alignment horizontal="right" vertical="top" indent="1" wrapText="false"/>
    </xf>
    <xf numFmtId="166" fontId="62" fillId="10" borderId="12" xfId="0" applyFill="true" applyFont="true" applyBorder="true" applyNumberFormat="true">
      <alignment horizontal="right" vertical="top" indent="1" wrapText="false"/>
    </xf>
    <xf numFmtId="166" fontId="63" fillId="10" borderId="12" xfId="0" applyFill="true" applyFont="true" applyBorder="true" applyNumberFormat="true">
      <alignment horizontal="right" vertical="top" indent="1" wrapText="false"/>
    </xf>
    <xf numFmtId="167" fontId="64" fillId="10" borderId="12" xfId="0" applyFill="true" applyFont="true" applyBorder="true" applyNumberFormat="true">
      <alignment horizontal="right" vertical="top" indent="1" wrapText="false"/>
    </xf>
    <xf numFmtId="167" fontId="65" fillId="10" borderId="12" xfId="0" applyFill="true" applyFont="true" applyBorder="true" applyNumberFormat="true">
      <alignment horizontal="right" vertical="top" indent="1" wrapText="false"/>
    </xf>
    <xf numFmtId="167" fontId="66" fillId="10" borderId="12" xfId="0" applyFill="true" applyFont="true" applyBorder="true" applyNumberFormat="true">
      <alignment horizontal="right" vertical="top" indent="1" wrapText="false"/>
    </xf>
    <xf numFmtId="167" fontId="67" fillId="10" borderId="12" xfId="0" applyFill="true" applyFont="true" applyBorder="true" applyNumberFormat="true">
      <alignment horizontal="right" vertical="top" indent="1" wrapText="false"/>
    </xf>
    <xf numFmtId="167" fontId="68" fillId="10" borderId="12" xfId="0" applyFill="true" applyFont="true" applyBorder="true" applyNumberFormat="true">
      <alignment horizontal="right" vertical="top" indent="1" wrapText="false"/>
    </xf>
    <xf numFmtId="167" fontId="69" fillId="10" borderId="12" xfId="0" applyFill="true" applyFont="true" applyBorder="true" applyNumberFormat="true">
      <alignment horizontal="right" vertical="top" indent="1" wrapText="false"/>
    </xf>
    <xf numFmtId="0" fontId="70" fillId="10" borderId="12" xfId="0" applyFill="true" applyFont="true" applyBorder="true">
      <alignment horizontal="left" vertical="top" indent="1" wrapText="false"/>
    </xf>
    <xf numFmtId="0" fontId="71" fillId="10" borderId="12" xfId="0" applyFill="true" applyFont="true" applyBorder="true">
      <alignment horizontal="left" vertical="top" indent="1" wrapText="false"/>
    </xf>
    <xf numFmtId="0" fontId="72" fillId="10" borderId="12" xfId="0" applyFill="true" applyFont="true" applyBorder="true">
      <alignment horizontal="right" vertical="top" indent="1" wrapText="false"/>
    </xf>
    <xf numFmtId="0" fontId="73" fillId="10" borderId="12" xfId="0" applyFill="true" applyFont="true" applyBorder="true">
      <alignment horizontal="left" vertical="top" indent="1" wrapText="false"/>
    </xf>
    <xf numFmtId="0" fontId="74" fillId="10" borderId="12" xfId="0" applyFill="true" applyFont="true" applyBorder="true">
      <alignment horizontal="left" vertical="top" indent="1" wrapText="false"/>
    </xf>
    <xf numFmtId="0" fontId="75" fillId="10" borderId="12" xfId="0" applyFill="true" applyFont="true" applyBorder="true">
      <alignment horizontal="left" vertical="top" indent="1" wrapText="false"/>
    </xf>
    <xf numFmtId="0" fontId="76" fillId="10" borderId="12" xfId="0" applyFill="true" applyFont="true" applyBorder="true">
      <alignment horizontal="left" vertical="top" indent="1" wrapText="false"/>
    </xf>
    <xf numFmtId="0" fontId="77" fillId="10" borderId="12" xfId="0" applyFill="true" applyFont="true" applyBorder="true">
      <alignment horizontal="left" vertical="top" indent="1" wrapText="false"/>
    </xf>
    <xf numFmtId="0" fontId="78" fillId="10" borderId="12" xfId="0" applyFill="true" applyFont="true" applyBorder="true">
      <alignment horizontal="left" vertical="top" indent="1" wrapText="false"/>
    </xf>
    <xf numFmtId="0" fontId="79" fillId="10" borderId="12" xfId="0" applyFill="true" applyFont="true" applyBorder="true">
      <alignment horizontal="left" vertical="top" indent="1" wrapText="false"/>
    </xf>
    <xf numFmtId="0" fontId="80" fillId="10" borderId="12" xfId="0" applyFill="true" applyFont="true" applyBorder="true">
      <alignment horizontal="left" vertical="top" indent="1" wrapText="false"/>
    </xf>
    <xf numFmtId="0" fontId="81" fillId="8" borderId="12" xfId="0" applyFill="true" applyFont="true" applyBorder="true">
      <alignment horizontal="left" vertical="top" indent="1" wrapText="false"/>
    </xf>
    <xf numFmtId="0" fontId="82" fillId="8" borderId="12" xfId="0" applyFill="true" applyFont="true" applyBorder="true">
      <alignment horizontal="left" vertical="top" indent="1" wrapText="false"/>
    </xf>
    <xf numFmtId="0" fontId="83" fillId="8" borderId="12" xfId="0" applyFill="true" applyFont="true" applyBorder="true">
      <alignment horizontal="left" vertical="top" indent="1" wrapText="false"/>
    </xf>
    <xf numFmtId="0" fontId="84" fillId="8" borderId="12" xfId="0" applyFill="true" applyFont="true" applyBorder="true">
      <alignment horizontal="left" vertical="top" indent="1" wrapText="false"/>
    </xf>
    <xf numFmtId="165" fontId="85" fillId="8" borderId="12" xfId="0" applyFill="true" applyFont="true" applyBorder="true" applyNumberFormat="true">
      <alignment horizontal="right" vertical="top" indent="1" wrapText="false"/>
    </xf>
    <xf numFmtId="0" fontId="86" fillId="8" borderId="12" xfId="0" applyFill="true" applyFont="true" applyBorder="true">
      <alignment horizontal="left" vertical="top" indent="1" wrapText="false"/>
    </xf>
    <xf numFmtId="0" fontId="87" fillId="8" borderId="12" xfId="0" applyFill="true" applyFont="true" applyBorder="true">
      <alignment horizontal="right" vertical="top" indent="1" wrapText="false"/>
    </xf>
    <xf numFmtId="0" fontId="88" fillId="8" borderId="12" xfId="0" applyFill="true" applyFont="true" applyBorder="true">
      <alignment horizontal="right" vertical="top" indent="1" wrapText="false"/>
    </xf>
    <xf numFmtId="166" fontId="89" fillId="8" borderId="12" xfId="0" applyFill="true" applyFont="true" applyBorder="true" applyNumberFormat="true">
      <alignment horizontal="right" vertical="top" indent="1" wrapText="false"/>
    </xf>
    <xf numFmtId="165" fontId="90" fillId="8" borderId="12" xfId="0" applyFill="true" applyFont="true" applyBorder="true" applyNumberFormat="true">
      <alignment horizontal="right" vertical="top" indent="1" wrapText="false"/>
    </xf>
    <xf numFmtId="165" fontId="91" fillId="8" borderId="12" xfId="0" applyFill="true" applyFont="true" applyBorder="true" applyNumberFormat="true">
      <alignment horizontal="right" vertical="top" indent="1" wrapText="false"/>
    </xf>
    <xf numFmtId="165" fontId="92" fillId="8" borderId="12" xfId="0" applyFill="true" applyFont="true" applyBorder="true" applyNumberFormat="true">
      <alignment horizontal="right" vertical="top" indent="1" wrapText="false"/>
    </xf>
    <xf numFmtId="165" fontId="93" fillId="8" borderId="12" xfId="0" applyFill="true" applyFont="true" applyBorder="true" applyNumberFormat="true">
      <alignment horizontal="right" vertical="top" indent="1" wrapText="false"/>
    </xf>
    <xf numFmtId="166" fontId="94" fillId="8" borderId="12" xfId="0" applyFill="true" applyFont="true" applyBorder="true" applyNumberFormat="true">
      <alignment horizontal="right" vertical="top" indent="1" wrapText="false"/>
    </xf>
    <xf numFmtId="166" fontId="95" fillId="8" borderId="12" xfId="0" applyFill="true" applyFont="true" applyBorder="true" applyNumberFormat="true">
      <alignment horizontal="right" vertical="top" indent="1" wrapText="false"/>
    </xf>
    <xf numFmtId="166" fontId="96" fillId="8" borderId="12" xfId="0" applyFill="true" applyFont="true" applyBorder="true" applyNumberFormat="true">
      <alignment horizontal="right" vertical="top" indent="1" wrapText="false"/>
    </xf>
    <xf numFmtId="167" fontId="97" fillId="8" borderId="12" xfId="0" applyFill="true" applyFont="true" applyBorder="true" applyNumberFormat="true">
      <alignment horizontal="right" vertical="top" indent="1" wrapText="false"/>
    </xf>
    <xf numFmtId="167" fontId="98" fillId="8" borderId="12" xfId="0" applyFill="true" applyFont="true" applyBorder="true" applyNumberFormat="true">
      <alignment horizontal="right" vertical="top" indent="1" wrapText="false"/>
    </xf>
    <xf numFmtId="167" fontId="99" fillId="8" borderId="12" xfId="0" applyFill="true" applyFont="true" applyBorder="true" applyNumberFormat="true">
      <alignment horizontal="right" vertical="top" indent="1" wrapText="false"/>
    </xf>
    <xf numFmtId="167" fontId="100" fillId="8" borderId="12" xfId="0" applyFill="true" applyFont="true" applyBorder="true" applyNumberFormat="true">
      <alignment horizontal="right" vertical="top" indent="1" wrapText="false"/>
    </xf>
    <xf numFmtId="167" fontId="101" fillId="8" borderId="12" xfId="0" applyFill="true" applyFont="true" applyBorder="true" applyNumberFormat="true">
      <alignment horizontal="right" vertical="top" indent="1" wrapText="false"/>
    </xf>
    <xf numFmtId="167" fontId="102" fillId="8" borderId="12" xfId="0" applyFill="true" applyFont="true" applyBorder="true" applyNumberFormat="true">
      <alignment horizontal="right" vertical="top" indent="1" wrapText="false"/>
    </xf>
    <xf numFmtId="0" fontId="103" fillId="8" borderId="12" xfId="0" applyFill="true" applyFont="true" applyBorder="true">
      <alignment horizontal="left" vertical="top" indent="1" wrapText="false"/>
    </xf>
    <xf numFmtId="0" fontId="104" fillId="8" borderId="12" xfId="0" applyFill="true" applyFont="true" applyBorder="true">
      <alignment horizontal="left" vertical="top" indent="1" wrapText="false"/>
    </xf>
    <xf numFmtId="0" fontId="105" fillId="8" borderId="12" xfId="0" applyFill="true" applyFont="true" applyBorder="true">
      <alignment horizontal="right" vertical="top" indent="1" wrapText="false"/>
    </xf>
    <xf numFmtId="0" fontId="106" fillId="8" borderId="12" xfId="0" applyFill="true" applyFont="true" applyBorder="true">
      <alignment horizontal="left" vertical="top" indent="1" wrapText="false"/>
    </xf>
    <xf numFmtId="0" fontId="107" fillId="8" borderId="12" xfId="0" applyFill="true" applyFont="true" applyBorder="true">
      <alignment horizontal="left" vertical="top" indent="1" wrapText="false"/>
    </xf>
    <xf numFmtId="0" fontId="108" fillId="8" borderId="12" xfId="0" applyFill="true" applyFont="true" applyBorder="true">
      <alignment horizontal="left" vertical="top" indent="1" wrapText="false"/>
    </xf>
    <xf numFmtId="0" fontId="109" fillId="8" borderId="12" xfId="0" applyFill="true" applyFont="true" applyBorder="true">
      <alignment horizontal="left" vertical="top" indent="1" wrapText="false"/>
    </xf>
    <xf numFmtId="0" fontId="110" fillId="8" borderId="12" xfId="0" applyFill="true" applyFont="true" applyBorder="true">
      <alignment horizontal="left" vertical="top" indent="1" wrapText="false"/>
    </xf>
    <xf numFmtId="0" fontId="111" fillId="8" borderId="12" xfId="0" applyFill="true" applyFont="true" applyBorder="true">
      <alignment horizontal="left" vertical="top" indent="1" wrapText="false"/>
    </xf>
    <xf numFmtId="0" fontId="112" fillId="8" borderId="12" xfId="0" applyFill="true" applyFont="true" applyBorder="true">
      <alignment horizontal="left" vertical="top" indent="1" wrapText="false"/>
    </xf>
    <xf numFmtId="0" fontId="113" fillId="8" borderId="12" xfId="0" applyFill="true" applyFont="true" applyBorder="true">
      <alignment horizontal="left" vertical="top" indent="1" wrapText="false"/>
    </xf>
    <xf numFmtId="0" fontId="114" fillId="10" borderId="12" xfId="0" applyFill="true" applyFont="true" applyBorder="true">
      <alignment horizontal="left" vertical="top" indent="1" wrapText="false"/>
    </xf>
    <xf numFmtId="0" fontId="115" fillId="10" borderId="12" xfId="0" applyFill="true" applyFont="true" applyBorder="true">
      <alignment horizontal="left" vertical="top" indent="1" wrapText="false"/>
    </xf>
    <xf numFmtId="0" fontId="116" fillId="10" borderId="12" xfId="0" applyFill="true" applyFont="true" applyBorder="true">
      <alignment horizontal="left" vertical="top" indent="1" wrapText="false"/>
    </xf>
    <xf numFmtId="0" fontId="117" fillId="10" borderId="12" xfId="0" applyFill="true" applyFont="true" applyBorder="true">
      <alignment horizontal="left" vertical="top" indent="1" wrapText="false"/>
    </xf>
    <xf numFmtId="165" fontId="118" fillId="10" borderId="12" xfId="0" applyFill="true" applyFont="true" applyBorder="true" applyNumberFormat="true">
      <alignment horizontal="right" vertical="top" indent="1" wrapText="false"/>
    </xf>
    <xf numFmtId="0" fontId="119" fillId="10" borderId="12" xfId="0" applyFill="true" applyFont="true" applyBorder="true">
      <alignment horizontal="left" vertical="top" indent="1" wrapText="false"/>
    </xf>
    <xf numFmtId="0" fontId="120" fillId="10" borderId="12" xfId="0" applyFill="true" applyFont="true" applyBorder="true">
      <alignment horizontal="right" vertical="top" indent="1" wrapText="false"/>
    </xf>
    <xf numFmtId="0" fontId="121" fillId="10" borderId="12" xfId="0" applyFill="true" applyFont="true" applyBorder="true">
      <alignment horizontal="right" vertical="top" indent="1" wrapText="false"/>
    </xf>
    <xf numFmtId="166" fontId="122" fillId="10" borderId="12" xfId="0" applyFill="true" applyFont="true" applyBorder="true" applyNumberFormat="true">
      <alignment horizontal="right" vertical="top" indent="1" wrapText="false"/>
    </xf>
    <xf numFmtId="165" fontId="123" fillId="10" borderId="12" xfId="0" applyFill="true" applyFont="true" applyBorder="true" applyNumberFormat="true">
      <alignment horizontal="right" vertical="top" indent="1" wrapText="false"/>
    </xf>
    <xf numFmtId="165" fontId="124" fillId="10" borderId="12" xfId="0" applyFill="true" applyFont="true" applyBorder="true" applyNumberFormat="true">
      <alignment horizontal="right" vertical="top" indent="1" wrapText="false"/>
    </xf>
    <xf numFmtId="165" fontId="125" fillId="10" borderId="12" xfId="0" applyFill="true" applyFont="true" applyBorder="true" applyNumberFormat="true">
      <alignment horizontal="right" vertical="top" indent="1" wrapText="false"/>
    </xf>
    <xf numFmtId="165" fontId="126" fillId="10" borderId="12" xfId="0" applyFill="true" applyFont="true" applyBorder="true" applyNumberFormat="true">
      <alignment horizontal="right" vertical="top" indent="1" wrapText="false"/>
    </xf>
    <xf numFmtId="166" fontId="127" fillId="10" borderId="12" xfId="0" applyFill="true" applyFont="true" applyBorder="true" applyNumberFormat="true">
      <alignment horizontal="right" vertical="top" indent="1" wrapText="false"/>
    </xf>
    <xf numFmtId="166" fontId="128" fillId="10" borderId="12" xfId="0" applyFill="true" applyFont="true" applyBorder="true" applyNumberFormat="true">
      <alignment horizontal="right" vertical="top" indent="1" wrapText="false"/>
    </xf>
    <xf numFmtId="166" fontId="129" fillId="10" borderId="12" xfId="0" applyFill="true" applyFont="true" applyBorder="true" applyNumberFormat="true">
      <alignment horizontal="right" vertical="top" indent="1" wrapText="false"/>
    </xf>
    <xf numFmtId="167" fontId="130" fillId="10" borderId="12" xfId="0" applyFill="true" applyFont="true" applyBorder="true" applyNumberFormat="true">
      <alignment horizontal="right" vertical="top" indent="1" wrapText="false"/>
    </xf>
    <xf numFmtId="167" fontId="131" fillId="10" borderId="12" xfId="0" applyFill="true" applyFont="true" applyBorder="true" applyNumberFormat="true">
      <alignment horizontal="right" vertical="top" indent="1" wrapText="false"/>
    </xf>
    <xf numFmtId="167" fontId="132" fillId="10" borderId="12" xfId="0" applyFill="true" applyFont="true" applyBorder="true" applyNumberFormat="true">
      <alignment horizontal="right" vertical="top" indent="1" wrapText="false"/>
    </xf>
    <xf numFmtId="167" fontId="133" fillId="10" borderId="12" xfId="0" applyFill="true" applyFont="true" applyBorder="true" applyNumberFormat="true">
      <alignment horizontal="right" vertical="top" indent="1" wrapText="false"/>
    </xf>
    <xf numFmtId="167" fontId="134" fillId="10" borderId="12" xfId="0" applyFill="true" applyFont="true" applyBorder="true" applyNumberFormat="true">
      <alignment horizontal="right" vertical="top" indent="1" wrapText="false"/>
    </xf>
    <xf numFmtId="167" fontId="135" fillId="10" borderId="12" xfId="0" applyFill="true" applyFont="true" applyBorder="true" applyNumberFormat="true">
      <alignment horizontal="right" vertical="top" indent="1" wrapText="false"/>
    </xf>
    <xf numFmtId="0" fontId="136" fillId="10" borderId="12" xfId="0" applyFill="true" applyFont="true" applyBorder="true">
      <alignment horizontal="left" vertical="top" indent="1" wrapText="false"/>
    </xf>
    <xf numFmtId="0" fontId="137" fillId="10" borderId="12" xfId="0" applyFill="true" applyFont="true" applyBorder="true">
      <alignment horizontal="left" vertical="top" indent="1" wrapText="false"/>
    </xf>
    <xf numFmtId="0" fontId="138" fillId="10" borderId="12" xfId="0" applyFill="true" applyFont="true" applyBorder="true">
      <alignment horizontal="right" vertical="top" indent="1" wrapText="false"/>
    </xf>
    <xf numFmtId="0" fontId="139" fillId="10" borderId="12" xfId="0" applyFill="true" applyFont="true" applyBorder="true">
      <alignment horizontal="left" vertical="top" indent="1" wrapText="false"/>
    </xf>
    <xf numFmtId="0" fontId="140" fillId="10" borderId="12" xfId="0" applyFill="true" applyFont="true" applyBorder="true">
      <alignment horizontal="left" vertical="top" indent="1" wrapText="false"/>
    </xf>
    <xf numFmtId="0" fontId="141" fillId="10" borderId="12" xfId="0" applyFill="true" applyFont="true" applyBorder="true">
      <alignment horizontal="left" vertical="top" indent="1" wrapText="false"/>
    </xf>
    <xf numFmtId="0" fontId="142" fillId="10" borderId="12" xfId="0" applyFill="true" applyFont="true" applyBorder="true">
      <alignment horizontal="left" vertical="top" indent="1" wrapText="false"/>
    </xf>
    <xf numFmtId="0" fontId="143" fillId="10" borderId="12" xfId="0" applyFill="true" applyFont="true" applyBorder="true">
      <alignment horizontal="left" vertical="top" indent="1" wrapText="false"/>
    </xf>
    <xf numFmtId="0" fontId="144" fillId="10" borderId="12" xfId="0" applyFill="true" applyFont="true" applyBorder="true">
      <alignment horizontal="left" vertical="top" indent="1" wrapText="false"/>
    </xf>
    <xf numFmtId="0" fontId="145" fillId="10" borderId="12" xfId="0" applyFill="true" applyFont="true" applyBorder="true">
      <alignment horizontal="left" vertical="top" indent="1" wrapText="false"/>
    </xf>
    <xf numFmtId="0" fontId="146" fillId="10" borderId="12" xfId="0" applyFill="true" applyFont="true" applyBorder="true">
      <alignment horizontal="left" vertical="top" indent="1" wrapText="false"/>
    </xf>
    <xf numFmtId="0" fontId="147" fillId="8" borderId="12" xfId="0" applyFill="true" applyFont="true" applyBorder="true">
      <alignment horizontal="left" vertical="top" indent="1" wrapText="false"/>
    </xf>
    <xf numFmtId="0" fontId="148" fillId="10" borderId="12" xfId="0" applyFill="true" applyFont="true" applyBorder="true">
      <alignment horizontal="left" vertical="top" indent="1" wrapText="false"/>
    </xf>
    <xf numFmtId="0" fontId="149" fillId="8" borderId="12" xfId="0" applyFill="true" applyFont="true" applyBorder="true">
      <alignment horizontal="left" vertical="top" indent="1" wrapText="false"/>
    </xf>
    <xf numFmtId="0" fontId="150" fillId="10" borderId="12" xfId="0" applyFill="true" applyFont="true" applyBorder="true">
      <alignment horizontal="left" vertical="top" indent="1" wrapText="false"/>
    </xf>
    <xf numFmtId="0" fontId="151" fillId="8" borderId="12" xfId="0" applyFill="true" applyFont="true" applyBorder="true">
      <alignment horizontal="left" vertical="top" indent="1" wrapText="false"/>
    </xf>
    <xf numFmtId="0" fontId="152" fillId="10" borderId="12" xfId="0" applyFill="true" applyFont="true" applyBorder="true">
      <alignment horizontal="left" vertical="top" indent="1" wrapText="false"/>
    </xf>
    <xf numFmtId="0" fontId="153" fillId="8" borderId="12" xfId="0" applyFill="true" applyFont="true" applyBorder="true">
      <alignment horizontal="left" vertical="top" indent="1" wrapText="false"/>
    </xf>
    <xf numFmtId="0" fontId="154" fillId="10" borderId="12" xfId="0" applyFill="true" applyFont="true" applyBorder="true">
      <alignment horizontal="left" vertical="top" indent="1" wrapText="false"/>
    </xf>
    <xf numFmtId="165" fontId="155" fillId="8" borderId="12" xfId="0" applyFill="true" applyFont="true" applyBorder="true" applyNumberFormat="true">
      <alignment horizontal="left" vertical="top" indent="1" wrapText="false"/>
    </xf>
    <xf numFmtId="165" fontId="156" fillId="10" borderId="12" xfId="0" applyFill="true" applyFont="true" applyBorder="true" applyNumberFormat="true">
      <alignment horizontal="left" vertical="top" indent="1" wrapText="false"/>
    </xf>
    <xf numFmtId="0" fontId="157" fillId="8" borderId="12" xfId="0" applyFill="true" applyFont="true" applyBorder="true">
      <alignment horizontal="left" vertical="top" indent="1" wrapText="false"/>
    </xf>
    <xf numFmtId="0" fontId="158" fillId="10" borderId="12" xfId="0" applyFill="true" applyFont="true" applyBorder="true">
      <alignment horizontal="left" vertical="top" indent="1" wrapText="false"/>
    </xf>
    <xf numFmtId="0" fontId="159" fillId="8" borderId="12" xfId="0" applyFill="true" applyFont="true" applyBorder="true">
      <alignment horizontal="left" vertical="top" indent="1" wrapText="false"/>
    </xf>
    <xf numFmtId="0" fontId="160" fillId="10" borderId="12" xfId="0" applyFill="true" applyFont="true" applyBorder="true">
      <alignment horizontal="left" vertical="top" indent="1" wrapText="false"/>
    </xf>
    <xf numFmtId="0" fontId="161" fillId="8" borderId="12" xfId="0" applyFill="true" applyFont="true" applyBorder="true">
      <alignment horizontal="left" vertical="top" indent="1" wrapText="false"/>
    </xf>
    <xf numFmtId="0" fontId="162" fillId="10" borderId="12" xfId="0" applyFill="true" applyFont="true" applyBorder="true">
      <alignment horizontal="left" vertical="top" indent="1" wrapText="false"/>
    </xf>
    <xf numFmtId="166" fontId="163" fillId="8" borderId="12" xfId="0" applyFill="true" applyFont="true" applyBorder="true" applyNumberFormat="true">
      <alignment horizontal="left" vertical="top" indent="1" wrapText="false"/>
    </xf>
    <xf numFmtId="166" fontId="164" fillId="10" borderId="12" xfId="0" applyFill="true" applyFont="true" applyBorder="true" applyNumberFormat="true">
      <alignment horizontal="left" vertical="top" indent="1" wrapText="false"/>
    </xf>
    <xf numFmtId="165" fontId="165" fillId="8" borderId="12" xfId="0" applyFill="true" applyFont="true" applyBorder="true" applyNumberFormat="true">
      <alignment horizontal="left" vertical="top" indent="1" wrapText="false"/>
    </xf>
    <xf numFmtId="165" fontId="166" fillId="10" borderId="12" xfId="0" applyFill="true" applyFont="true" applyBorder="true" applyNumberFormat="true">
      <alignment horizontal="left" vertical="top" indent="1" wrapText="false"/>
    </xf>
    <xf numFmtId="165" fontId="167" fillId="8" borderId="12" xfId="0" applyFill="true" applyFont="true" applyBorder="true" applyNumberFormat="true">
      <alignment horizontal="left" vertical="top" indent="1" wrapText="false"/>
    </xf>
    <xf numFmtId="165" fontId="168" fillId="10" borderId="12" xfId="0" applyFill="true" applyFont="true" applyBorder="true" applyNumberFormat="true">
      <alignment horizontal="left" vertical="top" indent="1" wrapText="false"/>
    </xf>
    <xf numFmtId="165" fontId="169" fillId="8" borderId="12" xfId="0" applyFill="true" applyFont="true" applyBorder="true" applyNumberFormat="true">
      <alignment horizontal="left" vertical="top" indent="1" wrapText="false"/>
    </xf>
    <xf numFmtId="165" fontId="170" fillId="10" borderId="12" xfId="0" applyFill="true" applyFont="true" applyBorder="true" applyNumberFormat="true">
      <alignment horizontal="left" vertical="top" indent="1" wrapText="false"/>
    </xf>
    <xf numFmtId="165" fontId="171" fillId="8" borderId="12" xfId="0" applyFill="true" applyFont="true" applyBorder="true" applyNumberFormat="true">
      <alignment horizontal="left" vertical="top" indent="1" wrapText="false"/>
    </xf>
    <xf numFmtId="165" fontId="172" fillId="10" borderId="12" xfId="0" applyFill="true" applyFont="true" applyBorder="true" applyNumberFormat="true">
      <alignment horizontal="left" vertical="top" indent="1" wrapText="false"/>
    </xf>
    <xf numFmtId="166" fontId="173" fillId="8" borderId="12" xfId="0" applyFill="true" applyFont="true" applyBorder="true" applyNumberFormat="true">
      <alignment horizontal="left" vertical="top" indent="1" wrapText="false"/>
    </xf>
    <xf numFmtId="166" fontId="174" fillId="10" borderId="12" xfId="0" applyFill="true" applyFont="true" applyBorder="true" applyNumberFormat="true">
      <alignment horizontal="left" vertical="top" indent="1" wrapText="false"/>
    </xf>
    <xf numFmtId="166" fontId="175" fillId="8" borderId="12" xfId="0" applyFill="true" applyFont="true" applyBorder="true" applyNumberFormat="true">
      <alignment horizontal="left" vertical="top" indent="1" wrapText="false"/>
    </xf>
    <xf numFmtId="166" fontId="176" fillId="10" borderId="12" xfId="0" applyFill="true" applyFont="true" applyBorder="true" applyNumberFormat="true">
      <alignment horizontal="left" vertical="top" indent="1" wrapText="false"/>
    </xf>
    <xf numFmtId="166" fontId="177" fillId="8" borderId="12" xfId="0" applyFill="true" applyFont="true" applyBorder="true" applyNumberFormat="true">
      <alignment horizontal="left" vertical="top" indent="1" wrapText="false"/>
    </xf>
    <xf numFmtId="166" fontId="178" fillId="10" borderId="12" xfId="0" applyFill="true" applyFont="true" applyBorder="true" applyNumberFormat="true">
      <alignment horizontal="left" vertical="top" indent="1" wrapText="false"/>
    </xf>
    <xf numFmtId="167" fontId="179" fillId="8" borderId="12" xfId="0" applyFill="true" applyFont="true" applyBorder="true" applyNumberFormat="true">
      <alignment horizontal="left" vertical="top" indent="1" wrapText="false"/>
    </xf>
    <xf numFmtId="167" fontId="180" fillId="10" borderId="12" xfId="0" applyFill="true" applyFont="true" applyBorder="true" applyNumberFormat="true">
      <alignment horizontal="left" vertical="top" indent="1" wrapText="false"/>
    </xf>
    <xf numFmtId="167" fontId="181" fillId="8" borderId="12" xfId="0" applyFill="true" applyFont="true" applyBorder="true" applyNumberFormat="true">
      <alignment horizontal="left" vertical="top" indent="1" wrapText="false"/>
    </xf>
    <xf numFmtId="167" fontId="182" fillId="10" borderId="12" xfId="0" applyFill="true" applyFont="true" applyBorder="true" applyNumberFormat="true">
      <alignment horizontal="left" vertical="top" indent="1" wrapText="false"/>
    </xf>
    <xf numFmtId="167" fontId="183" fillId="8" borderId="12" xfId="0" applyFill="true" applyFont="true" applyBorder="true" applyNumberFormat="true">
      <alignment horizontal="left" vertical="top" indent="1" wrapText="false"/>
    </xf>
    <xf numFmtId="167" fontId="184" fillId="10" borderId="12" xfId="0" applyFill="true" applyFont="true" applyBorder="true" applyNumberFormat="true">
      <alignment horizontal="left" vertical="top" indent="1" wrapText="false"/>
    </xf>
    <xf numFmtId="167" fontId="185" fillId="8" borderId="12" xfId="0" applyFill="true" applyFont="true" applyBorder="true" applyNumberFormat="true">
      <alignment horizontal="left" vertical="top" indent="1" wrapText="false"/>
    </xf>
    <xf numFmtId="167" fontId="186" fillId="10" borderId="12" xfId="0" applyFill="true" applyFont="true" applyBorder="true" applyNumberFormat="true">
      <alignment horizontal="left" vertical="top" indent="1" wrapText="false"/>
    </xf>
    <xf numFmtId="167" fontId="187" fillId="8" borderId="12" xfId="0" applyFill="true" applyFont="true" applyBorder="true" applyNumberFormat="true">
      <alignment horizontal="left" vertical="top" indent="1" wrapText="false"/>
    </xf>
    <xf numFmtId="167" fontId="188" fillId="10" borderId="12" xfId="0" applyFill="true" applyFont="true" applyBorder="true" applyNumberFormat="true">
      <alignment horizontal="left" vertical="top" indent="1" wrapText="false"/>
    </xf>
    <xf numFmtId="167" fontId="189" fillId="8" borderId="12" xfId="0" applyFill="true" applyFont="true" applyBorder="true" applyNumberFormat="true">
      <alignment horizontal="left" vertical="top" indent="1" wrapText="false"/>
    </xf>
    <xf numFmtId="167" fontId="190" fillId="10" borderId="12" xfId="0" applyFill="true" applyFont="true" applyBorder="true" applyNumberFormat="true">
      <alignment horizontal="left" vertical="top" indent="1" wrapText="false"/>
    </xf>
    <xf numFmtId="0" fontId="191" fillId="8" borderId="12" xfId="0" applyFill="true" applyFont="true" applyBorder="true">
      <alignment horizontal="left" vertical="top" indent="1" wrapText="false"/>
    </xf>
    <xf numFmtId="0" fontId="192" fillId="10" borderId="12" xfId="0" applyFill="true" applyFont="true" applyBorder="true">
      <alignment horizontal="left" vertical="top" indent="1" wrapText="false"/>
    </xf>
    <xf numFmtId="0" fontId="193" fillId="8" borderId="12" xfId="0" applyFill="true" applyFont="true" applyBorder="true">
      <alignment horizontal="left" vertical="top" indent="1" wrapText="false"/>
    </xf>
    <xf numFmtId="0" fontId="194" fillId="10" borderId="12" xfId="0" applyFill="true" applyFont="true" applyBorder="true">
      <alignment horizontal="left" vertical="top" indent="1" wrapText="false"/>
    </xf>
    <xf numFmtId="0" fontId="195" fillId="8" borderId="12" xfId="0" applyFill="true" applyFont="true" applyBorder="true">
      <alignment horizontal="left" vertical="top" indent="1" wrapText="false"/>
    </xf>
    <xf numFmtId="0" fontId="196" fillId="10" borderId="12" xfId="0" applyFill="true" applyFont="true" applyBorder="true">
      <alignment horizontal="left" vertical="top" indent="1" wrapText="false"/>
    </xf>
    <xf numFmtId="0" fontId="197" fillId="8" borderId="12" xfId="0" applyFill="true" applyFont="true" applyBorder="true">
      <alignment horizontal="left" vertical="top" indent="1" wrapText="false"/>
    </xf>
    <xf numFmtId="0" fontId="198" fillId="10" borderId="12" xfId="0" applyFill="true" applyFont="true" applyBorder="true">
      <alignment horizontal="left" vertical="top" indent="1" wrapText="false"/>
    </xf>
    <xf numFmtId="0" fontId="199" fillId="8" borderId="12" xfId="0" applyFill="true" applyFont="true" applyBorder="true">
      <alignment horizontal="left" vertical="top" indent="1" wrapText="false"/>
    </xf>
    <xf numFmtId="0" fontId="200" fillId="10" borderId="12" xfId="0" applyFill="true" applyFont="true" applyBorder="true">
      <alignment horizontal="left" vertical="top" indent="1" wrapText="false"/>
    </xf>
    <xf numFmtId="0" fontId="201" fillId="8" borderId="12" xfId="0" applyFill="true" applyFont="true" applyBorder="true">
      <alignment horizontal="left" vertical="top" indent="1" wrapText="false"/>
    </xf>
    <xf numFmtId="0" fontId="202" fillId="10" borderId="12" xfId="0" applyFill="true" applyFont="true" applyBorder="true">
      <alignment horizontal="left" vertical="top" indent="1" wrapText="false"/>
    </xf>
    <xf numFmtId="0" fontId="203" fillId="8" borderId="12" xfId="0" applyFill="true" applyFont="true" applyBorder="true">
      <alignment horizontal="left" vertical="top" indent="1" wrapText="false"/>
    </xf>
    <xf numFmtId="0" fontId="204" fillId="10" borderId="12" xfId="0" applyFill="true" applyFont="true" applyBorder="true">
      <alignment horizontal="left" vertical="top" indent="1" wrapText="false"/>
    </xf>
    <xf numFmtId="0" fontId="205" fillId="8" borderId="12" xfId="0" applyFill="true" applyFont="true" applyBorder="true">
      <alignment horizontal="left" vertical="top" indent="1" wrapText="false"/>
    </xf>
    <xf numFmtId="0" fontId="206" fillId="10" borderId="12" xfId="0" applyFill="true" applyFont="true" applyBorder="true">
      <alignment horizontal="left" vertical="top" indent="1" wrapText="false"/>
    </xf>
    <xf numFmtId="0" fontId="207" fillId="8" borderId="12" xfId="0" applyFill="true" applyFont="true" applyBorder="true">
      <alignment horizontal="left" vertical="top" indent="1" wrapText="false"/>
    </xf>
    <xf numFmtId="0" fontId="208" fillId="10" borderId="12" xfId="0" applyFill="true" applyFont="true" applyBorder="true">
      <alignment horizontal="left" vertical="top" indent="1" wrapText="false"/>
    </xf>
    <xf numFmtId="0" fontId="209" fillId="8" borderId="12" xfId="0" applyFill="true" applyFont="true" applyBorder="true">
      <alignment horizontal="left" vertical="top" indent="1" wrapText="false"/>
    </xf>
    <xf numFmtId="0" fontId="210" fillId="10" borderId="12" xfId="0" applyFill="true" applyFont="true" applyBorder="true">
      <alignment horizontal="left" vertical="top" indent="1" wrapText="false"/>
    </xf>
    <xf numFmtId="0" fontId="211" fillId="8" borderId="12" xfId="0" applyFill="true" applyFont="true" applyBorder="true">
      <alignment horizontal="left" vertical="top" indent="1" wrapText="false"/>
    </xf>
    <xf numFmtId="0" fontId="212" fillId="10" borderId="12" xfId="0" applyFill="true" applyFont="true" applyBorder="true">
      <alignment horizontal="left" vertical="top" indent="1" wrapText="false"/>
    </xf>
    <xf numFmtId="0" fontId="213" fillId="0" borderId="0" xfId="0" applyFont="true">
      <alignment horizontal="general" vertical="bottom" wrapText="true"/>
    </xf>
    <xf numFmtId="0" fontId="214" fillId="2" borderId="0" xfId="0" applyFont="true" applyFill="true" applyBorder="true" applyNumberFormat="true"/>
    <xf numFmtId="0" fontId="215" fillId="2" borderId="0" xfId="0" applyFont="true" applyFill="true" applyBorder="true" applyNumberFormat="true"/>
    <xf numFmtId="0" fontId="216" fillId="2" borderId="0" xfId="1" applyFont="true" applyFill="true" applyAlignment="1" applyProtection="1" applyBorder="true" applyNumberFormat="true"/>
    <xf numFmtId="0" fontId="217" fillId="2" borderId="0" xfId="0" applyFont="true" applyFill="true" applyBorder="true" applyNumberFormat="true"/>
    <xf numFmtId="0" fontId="218" fillId="2" borderId="0" xfId="2" applyFont="true" applyFill="true" applyAlignment="1" applyProtection="1" applyBorder="true" applyNumberFormat="true"/>
    <xf numFmtId="0" fontId="219" fillId="2" borderId="0" xfId="0" applyFont="true" applyFill="true" applyBorder="true" applyNumberFormat="true"/>
    <xf numFmtId="0" fontId="220" fillId="2" borderId="0" xfId="0" applyFont="true" applyFill="true" applyBorder="true" applyNumberFormat="true"/>
    <xf numFmtId="0" fontId="221" fillId="2" borderId="0" xfId="2" applyFont="true" applyFill="true" applyAlignment="1" applyProtection="1" applyBorder="true" applyNumberFormat="true"/>
    <xf numFmtId="0" fontId="222" fillId="2" borderId="0" xfId="2" applyFont="true" applyFill="true" applyAlignment="1" applyProtection="1" applyBorder="true" applyNumberFormat="true"/>
    <xf numFmtId="0" fontId="223" fillId="2" borderId="0" xfId="1" applyFont="true" applyFill="true" applyAlignment="1" applyProtection="1" applyBorder="true" applyNumberFormat="true"/>
    <xf numFmtId="0" fontId="224" fillId="2" borderId="0" xfId="2" applyFont="true" applyFill="true" applyAlignment="1" applyProtection="1" applyBorder="true" applyNumberFormat="true"/>
    <xf numFmtId="0" fontId="225" fillId="0" borderId="0" xfId="0" applyFont="true">
      <alignment horizontal="general" vertical="bottom" wrapText="true"/>
    </xf>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FF0000"/>
      <rgbColor rgb="0000FF00"/>
      <rgbColor rgb="000000FF"/>
      <rgbColor rgb="00EEF3F8"/>
      <rgbColor rgb="00FF00FF"/>
      <rgbColor rgb="0000FFFF"/>
      <rgbColor rgb="00800000"/>
      <rgbColor rgb="00008000"/>
      <rgbColor rgb="00000080"/>
      <rgbColor rgb="00808000"/>
      <rgbColor rgb="00808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4F81BD"/>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worksheets/sheet2.xml" Type="http://schemas.openxmlformats.org/officeDocument/2006/relationships/worksheet"/></Relationships>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1</xdr:col>
      <xdr:colOff>1009488</xdr:colOff>
      <xdr:row>1</xdr:row>
      <xdr:rowOff>9525</xdr:rowOff>
    </xdr:to>
    <xdr:pic>
      <xdr:nvPicPr>
        <xdr:cNvPr id="1" name="Picture 1" descr="Picture"/>
        <xdr:cNvPicPr>
          <a:picLocks noChangeAspect="true"/>
        </xdr:cNvPicPr>
      </xdr:nvPicPr>
      <xdr:blipFill>
        <a:blip r:embed="rId1"/>
        <a:stretch>
          <a:fillRect/>
        </a:stretch>
      </xdr:blipFill>
      <xdr:spPr>
        <a:xfrm>
          <a:off x="0" y="0"/>
          <a:ext cx="1828800" cy="314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comments1.xml" Type="http://schemas.openxmlformats.org/officeDocument/2006/relationships/comments"/><Relationship Id="rId4" Target="../drawings/vmlDrawing1.vml" Type="http://schemas.openxmlformats.org/officeDocument/2006/relationships/vmlDrawing"/><Relationship Id="rId5" Target="https://my.pitchbook.com/?pcc=361644-13" TargetMode="External" Type="http://schemas.openxmlformats.org/officeDocument/2006/relationships/hyperlink"/></Relationships>
</file>

<file path=xl/worksheets/_rels/sheet2.xml.rels><?xml version="1.0" encoding="UTF-8" standalone="yes"?><Relationships xmlns="http://schemas.openxmlformats.org/package/2006/relationships"><Relationship Id="rId1" Target="https://pitchbook.com/subscription-agreement" TargetMode="External" Type="http://schemas.openxmlformats.org/officeDocument/2006/relationships/hyperlink"/><Relationship Id="rId2" Target="mailto:clientservices@pitchbook.com" TargetMode="External" Type="http://schemas.openxmlformats.org/officeDocument/2006/relationships/hyperlink"/><Relationship Id="rId3" Target="mailto:clientservices@pitchbook.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98"/>
  <sheetViews>
    <sheetView showGridLines="0" tabSelected="false" workbookViewId="0">
      <selection activeCell="A1" sqref="A1"/>
    </sheetView>
  </sheetViews>
  <sheetFormatPr defaultColWidth="0" defaultRowHeight="11.25" customHeight="1" x14ac:dyDescent="0.2"/>
  <cols>
    <col min="32" max="32" customWidth="true" style="10" width="108.3984375" collapsed="true"/>
    <col min="31" max="31" customWidth="true" style="10" width="26.015625" collapsed="true"/>
    <col min="30" max="30" customWidth="true" style="10" width="26.015625" collapsed="true"/>
    <col min="29" max="29" customWidth="true" style="10" width="26.015625" collapsed="true"/>
    <col min="28" max="28" customWidth="true" style="10" width="28.90625" collapsed="true"/>
    <col min="27" max="27" customWidth="true" style="10" width="28.90625" collapsed="true"/>
    <col min="26" max="26" customWidth="true" style="10" width="14.453125" collapsed="true"/>
    <col min="25" max="25" customWidth="true" style="10" width="14.453125" collapsed="true"/>
    <col min="24" max="24" customWidth="true" style="10" width="20.234375" collapsed="true"/>
    <col min="23" max="23" customWidth="true" style="10" width="20.234375" collapsed="true"/>
    <col min="22" max="22" customWidth="true" style="10" width="14.453125" collapsed="true"/>
    <col min="21" max="21" customWidth="true" style="10" width="12.28515625" collapsed="true"/>
    <col min="20" max="20" customWidth="true" style="10" width="14.453125" collapsed="true"/>
    <col min="19" max="19" customWidth="true" style="10" width="12.28515625" collapsed="true"/>
    <col min="18" max="18" customWidth="true" style="10" width="14.453125" collapsed="true"/>
    <col min="15" max="15" customWidth="true" style="11" width="12.28515625" collapsed="true"/>
    <col min="13" max="13" bestFit="true" customWidth="true" style="10" width="12.28515625" collapsed="true"/>
    <col min="12" max="12" bestFit="true" customWidth="true" style="10" width="12.28515625" collapsed="true"/>
    <col min="1" max="1" customWidth="true" style="10" width="12.28515625" collapsed="false"/>
    <col min="2" max="2" bestFit="true" customWidth="true" style="10" width="26.015625" collapsed="false"/>
    <col min="3" max="3" customWidth="true" style="10" width="33.2421875" collapsed="false"/>
    <col min="4" max="4" customWidth="true" style="10" width="18.7890625" collapsed="false"/>
    <col min="5" max="5" bestFit="true" customWidth="true" style="10" width="14.453125" collapsed="false"/>
    <col min="6" max="6" bestFit="true" customWidth="true" style="10" width="17.34375" collapsed="false"/>
    <col min="7" max="7" bestFit="true" customWidth="true" style="10" width="10.1171875" collapsed="false"/>
    <col min="8" max="8" bestFit="true" customWidth="true" style="10" width="10.1171875" collapsed="false"/>
    <col min="9" max="9" bestFit="true" customWidth="true" style="10" width="10.1171875" collapsed="false"/>
    <col min="10" max="10" customWidth="true" style="10" width="11.5625" collapsed="false"/>
    <col min="11" max="11" bestFit="true" customWidth="true" style="10" width="12.28515625" collapsed="false"/>
    <col min="14" max="14" customWidth="true" style="11" width="12.28515625" collapsed="false"/>
    <col min="16" max="16" bestFit="true" customWidth="true" style="11" width="14.453125" collapsed="false"/>
    <col min="17" max="17" customWidth="true" style="10" width="12.28515625" collapsed="false"/>
    <col min="33" max="33" customWidth="true" style="24" width="17.34375" collapsed="false"/>
    <col min="34" max="16384" hidden="true" style="24" width="0.0" collapsed="false"/>
  </cols>
  <sheetData>
    <row r="1" spans="1:33" ht="24" customHeight="1" x14ac:dyDescent="0.3">
      <c r="A1" s="1"/>
      <c r="B1" s="1"/>
      <c r="C1" s="1"/>
      <c r="D1" s="1"/>
      <c r="E1" s="28" t="s">
        <v>3</v>
      </c>
      <c r="F1" s="28"/>
      <c r="G1" s="28"/>
      <c r="H1" s="28"/>
      <c r="I1" s="1"/>
      <c r="J1" s="1"/>
      <c r="K1" s="1"/>
      <c r="L1" s="1"/>
      <c r="M1" s="1"/>
      <c r="N1" s="2"/>
      <c r="O1" s="2"/>
      <c r="P1" s="2"/>
      <c r="Q1" s="1"/>
      <c r="R1" s="1"/>
      <c r="S1" s="1"/>
      <c r="T1" s="1"/>
      <c r="U1" s="1"/>
      <c r="V1" s="1"/>
      <c r="W1" s="1"/>
      <c r="X1" s="1"/>
      <c r="Y1" s="1"/>
      <c r="Z1" s="1"/>
      <c r="AA1" s="1"/>
      <c r="AB1" s="1"/>
      <c r="AC1" s="1"/>
      <c r="AD1" s="1"/>
      <c r="AE1" s="1"/>
      <c r="AF1" s="1"/>
    </row>
    <row r="2" spans="1:33" ht="18" customHeight="1" x14ac:dyDescent="0.25">
      <c r="A2" s="3"/>
      <c r="B2" s="4"/>
      <c r="C2" s="1"/>
      <c r="D2" s="1"/>
      <c r="E2" s="1"/>
      <c r="F2" s="1"/>
      <c r="G2" s="1"/>
      <c r="H2" s="12"/>
      <c r="I2" s="20"/>
      <c r="J2" s="20"/>
      <c r="K2" s="1"/>
      <c r="L2" s="1"/>
      <c r="M2" s="1"/>
      <c r="N2" s="2"/>
      <c r="O2" s="2"/>
      <c r="P2" s="2"/>
      <c r="Q2" s="1"/>
      <c r="R2" s="1"/>
      <c r="S2" s="1"/>
      <c r="T2" s="1"/>
      <c r="U2" s="1"/>
      <c r="V2" s="1"/>
      <c r="W2" s="1"/>
      <c r="X2" s="1"/>
      <c r="Y2" s="1"/>
      <c r="Z2" s="1"/>
      <c r="AA2" s="1"/>
      <c r="AB2" s="1"/>
      <c r="AC2" s="1"/>
      <c r="AD2" s="1"/>
      <c r="AE2" s="1"/>
      <c r="AF2" s="1"/>
    </row>
    <row r="3" spans="1:33" x14ac:dyDescent="0.2">
      <c r="A3" s="5" t="s">
        <v>4</v>
      </c>
      <c r="B3" s="33" t="s">
        <v>10</v>
      </c>
      <c r="C3" s="29"/>
      <c r="D3" s="1"/>
      <c r="E3" s="1"/>
      <c r="F3" s="1"/>
      <c r="G3" s="1"/>
      <c r="H3" s="1"/>
      <c r="I3" s="1"/>
      <c r="J3" s="1"/>
      <c r="K3" s="1"/>
      <c r="L3" s="1"/>
      <c r="M3" s="1"/>
      <c r="N3" s="2"/>
      <c r="O3" s="2"/>
      <c r="P3" s="2"/>
      <c r="Q3" s="1"/>
      <c r="R3" s="1"/>
      <c r="S3" s="1"/>
      <c r="T3" s="1"/>
      <c r="U3" s="1"/>
      <c r="V3" s="1"/>
      <c r="W3" s="1"/>
      <c r="X3" s="1"/>
      <c r="Y3" s="1"/>
      <c r="Z3" s="1"/>
      <c r="AA3" s="1"/>
      <c r="AB3" s="1"/>
      <c r="AC3" s="1"/>
      <c r="AD3" s="1"/>
      <c r="AE3" s="1"/>
      <c r="AF3" s="1"/>
    </row>
    <row r="4" spans="1:33" ht="11.25" customHeight="1" x14ac:dyDescent="0.2">
      <c r="A4" s="26" t="s">
        <v>0</v>
      </c>
      <c r="B4" s="27" t="s">
        <v>7</v>
      </c>
      <c r="C4" s="27"/>
      <c r="D4" s="27"/>
      <c r="E4" s="27"/>
      <c r="F4" s="5" t="s">
        <v>1</v>
      </c>
      <c r="G4" s="13" t="n">
        <v>44066.678506805554</v>
      </c>
      <c r="J4" s="13"/>
      <c r="K4" s="1"/>
      <c r="L4" s="1"/>
      <c r="M4" s="1"/>
      <c r="N4" s="2"/>
      <c r="O4" s="2"/>
      <c r="P4" s="2"/>
      <c r="Q4" s="1"/>
      <c r="R4" s="1"/>
      <c r="S4" s="1"/>
      <c r="T4" s="1"/>
      <c r="U4" s="1"/>
      <c r="V4" s="1"/>
      <c r="W4" s="1"/>
      <c r="X4" s="1"/>
      <c r="Y4" s="1"/>
      <c r="Z4" s="1"/>
      <c r="AA4" s="1"/>
      <c r="AB4" s="1"/>
      <c r="AC4" s="1"/>
      <c r="AD4" s="1"/>
      <c r="AE4" s="1"/>
      <c r="AF4" s="1"/>
    </row>
    <row r="5" spans="1:33" x14ac:dyDescent="0.2">
      <c r="A5" s="1"/>
      <c r="B5" s="27"/>
      <c r="C5" s="27"/>
      <c r="D5" s="27"/>
      <c r="E5" s="27"/>
      <c r="F5" s="5" t="s">
        <v>8</v>
      </c>
      <c r="G5" s="1" t="s">
        <v>9</v>
      </c>
      <c r="J5" s="1"/>
      <c r="K5" s="1"/>
      <c r="L5" s="1"/>
      <c r="M5" s="1"/>
      <c r="N5" s="2"/>
      <c r="O5" s="2"/>
      <c r="P5" s="2"/>
      <c r="Q5" s="1"/>
      <c r="R5" s="1"/>
      <c r="S5" s="1"/>
      <c r="T5" s="1"/>
      <c r="U5" s="1"/>
      <c r="V5" s="1"/>
      <c r="W5" s="1"/>
      <c r="X5" s="1"/>
      <c r="Y5" s="1"/>
      <c r="Z5" s="1"/>
      <c r="AA5" s="1"/>
      <c r="AB5" s="1"/>
      <c r="AC5" s="1"/>
      <c r="AD5" s="1"/>
      <c r="AE5" s="1"/>
      <c r="AF5" s="1"/>
    </row>
    <row r="6" spans="1:33" x14ac:dyDescent="0.2">
      <c r="A6" s="1"/>
      <c r="B6" s="27"/>
      <c r="C6" s="27"/>
      <c r="D6" s="27"/>
      <c r="E6" s="27"/>
      <c r="F6" s="25"/>
      <c r="G6" s="1"/>
      <c r="H6" s="1"/>
      <c r="I6" s="1"/>
      <c r="J6" s="1"/>
      <c r="K6" s="1"/>
      <c r="L6" s="1"/>
      <c r="M6" s="1"/>
      <c r="N6" s="2"/>
      <c r="O6" s="2"/>
      <c r="P6" s="2"/>
      <c r="Q6" s="1"/>
      <c r="R6" s="1"/>
      <c r="S6" s="1"/>
      <c r="T6" s="1"/>
      <c r="U6" s="1"/>
      <c r="V6" s="1"/>
      <c r="W6" s="1"/>
      <c r="X6" s="1"/>
      <c r="Y6" s="1"/>
      <c r="Z6" s="1"/>
      <c r="AA6" s="1"/>
      <c r="AB6" s="1"/>
      <c r="AC6" s="1"/>
      <c r="AD6" s="1"/>
      <c r="AE6" s="1"/>
      <c r="AF6" s="1"/>
    </row>
    <row r="7" spans="1:33" x14ac:dyDescent="0.2">
      <c r="A7" s="1"/>
      <c r="B7" s="1"/>
      <c r="C7" s="1"/>
      <c r="D7" s="1"/>
      <c r="E7" s="1"/>
      <c r="F7" s="1"/>
      <c r="G7" s="6"/>
      <c r="H7" s="1"/>
      <c r="I7" s="1"/>
      <c r="J7" s="1"/>
      <c r="K7" s="1"/>
      <c r="L7" s="1"/>
      <c r="M7" s="1"/>
      <c r="N7" s="2"/>
      <c r="O7" s="2"/>
      <c r="P7" s="2"/>
      <c r="Q7" s="1"/>
      <c r="R7" s="1"/>
      <c r="S7" s="1"/>
      <c r="T7" s="1"/>
      <c r="U7" s="1"/>
      <c r="V7" s="1"/>
      <c r="W7" s="1"/>
      <c r="X7" s="1"/>
      <c r="Y7" s="1"/>
      <c r="Z7" s="1"/>
      <c r="AA7" s="1"/>
      <c r="AB7" s="1"/>
      <c r="AC7" s="1"/>
      <c r="AD7" s="1"/>
      <c r="AE7" s="1"/>
      <c r="AF7" s="1"/>
    </row>
    <row r="8" spans="1:33" s="23" customFormat="1" ht="35.0" customHeight="true" x14ac:dyDescent="0.2">
      <c r="A8" t="s" s="34">
        <v>11</v>
      </c>
      <c r="B8" t="s" s="34">
        <v>12</v>
      </c>
      <c r="C8" t="s" s="34">
        <v>13</v>
      </c>
      <c r="D8" t="s" s="34">
        <v>14</v>
      </c>
      <c r="E8" t="s" s="34">
        <v>15</v>
      </c>
      <c r="F8" t="s" s="34">
        <v>16</v>
      </c>
      <c r="G8" t="s" s="34">
        <v>17</v>
      </c>
      <c r="H8" t="s" s="34">
        <v>18</v>
      </c>
      <c r="I8" t="s" s="34">
        <v>19</v>
      </c>
      <c r="J8" t="s" s="34">
        <v>20</v>
      </c>
      <c r="K8" t="s" s="34">
        <v>21</v>
      </c>
      <c r="L8" t="s" s="34">
        <v>22</v>
      </c>
      <c r="M8" t="s" s="34">
        <v>23</v>
      </c>
      <c r="N8" t="s" s="34">
        <v>24</v>
      </c>
      <c r="O8" t="s" s="34">
        <v>25</v>
      </c>
      <c r="P8" t="s" s="34">
        <v>26</v>
      </c>
      <c r="Q8" t="s" s="34">
        <v>27</v>
      </c>
      <c r="R8" t="s" s="34">
        <v>28</v>
      </c>
      <c r="S8" t="s" s="34">
        <v>29</v>
      </c>
      <c r="T8" t="s" s="34">
        <v>30</v>
      </c>
      <c r="U8" t="s" s="34">
        <v>31</v>
      </c>
      <c r="V8" t="s" s="34">
        <v>32</v>
      </c>
      <c r="W8" t="s" s="34">
        <v>33</v>
      </c>
      <c r="X8" t="s" s="34">
        <v>34</v>
      </c>
      <c r="Y8" t="s" s="34">
        <v>35</v>
      </c>
      <c r="Z8" t="s" s="34">
        <v>36</v>
      </c>
      <c r="AA8" t="s" s="34">
        <v>37</v>
      </c>
      <c r="AB8" t="s" s="34">
        <v>38</v>
      </c>
      <c r="AC8" t="s" s="34">
        <v>39</v>
      </c>
      <c r="AD8" t="s" s="34">
        <v>40</v>
      </c>
      <c r="AE8" t="s" s="34">
        <v>41</v>
      </c>
      <c r="AF8" t="s" s="34">
        <v>42</v>
      </c>
      <c r="AG8" t="s" s="35">
        <v>5</v>
      </c>
    </row>
    <row r="9">
      <c r="A9" s="36" t="inlineStr">
        <is>
          <t>13839-31F</t>
        </is>
      </c>
      <c r="B9" s="37" t="inlineStr">
        <is>
          <t>PTV Special Opportunities I</t>
        </is>
      </c>
      <c r="C9" s="38" t="inlineStr">
        <is>
          <t/>
        </is>
      </c>
      <c r="D9" s="39" t="inlineStr">
        <is>
          <t>Venture Capital</t>
        </is>
      </c>
      <c r="E9" s="40" t="n">
        <v>12.05</v>
      </c>
      <c r="F9" s="41" t="inlineStr">
        <is>
          <t>Austin, TX</t>
        </is>
      </c>
      <c r="G9" s="42" t="n">
        <v>4.0</v>
      </c>
      <c r="H9" s="43" t="n">
        <v>2013.0</v>
      </c>
      <c r="I9" s="44" t="n">
        <v>94.808184289497</v>
      </c>
      <c r="J9" s="45" t="n">
        <v>11.42438620688439</v>
      </c>
      <c r="K9" s="46" t="n">
        <v>0.6256137931156093</v>
      </c>
      <c r="L9" s="47" t="n">
        <v>0.0</v>
      </c>
      <c r="M9" s="48" t="n">
        <v>2.006312909792925</v>
      </c>
      <c r="N9" s="49" t="n">
        <v>-27.07</v>
      </c>
      <c r="O9" s="50" t="inlineStr">
        <is>
          <t/>
        </is>
      </c>
      <c r="P9" s="51" t="n">
        <v>-35.230000000000004</v>
      </c>
      <c r="Q9" s="52" t="n">
        <v>0.0</v>
      </c>
      <c r="R9" s="53" t="n">
        <v>-0.08464</v>
      </c>
      <c r="S9" s="54" t="n">
        <v>0.18</v>
      </c>
      <c r="T9" s="55" t="n">
        <v>-0.88226</v>
      </c>
      <c r="U9" s="56" t="n">
        <v>0.18</v>
      </c>
      <c r="V9" s="57" t="n">
        <v>-1.0650000000000002</v>
      </c>
      <c r="W9" s="58" t="inlineStr">
        <is>
          <t/>
        </is>
      </c>
      <c r="X9" s="59" t="inlineStr">
        <is>
          <t>LP Original Commitments</t>
        </is>
      </c>
      <c r="Y9" s="60" t="inlineStr">
        <is>
          <t>2019 Y</t>
        </is>
      </c>
      <c r="Z9" s="61" t="inlineStr">
        <is>
          <t>0 - 99M</t>
        </is>
      </c>
      <c r="AA9" s="62" t="inlineStr">
        <is>
          <t>PTV Healthcare Capital</t>
        </is>
      </c>
      <c r="AB9" s="63" t="inlineStr">
        <is>
          <t>Austin, TX</t>
        </is>
      </c>
      <c r="AC9" s="64" t="inlineStr">
        <is>
          <t>Healthcare Devices and Supplies</t>
        </is>
      </c>
      <c r="AD9" s="65" t="inlineStr">
        <is>
          <t>Seed Round, Early Stage VC, Later Stage VC</t>
        </is>
      </c>
      <c r="AE9" s="66" t="inlineStr">
        <is>
          <t/>
        </is>
      </c>
      <c r="AF9" s="67" t="inlineStr">
        <is>
          <t>PUF, UTIMCO</t>
        </is>
      </c>
      <c r="AG9" s="232">
        <f>HYPERLINK("https://my.pitchbook.com?i=11278-18", "View Investor Online")</f>
      </c>
    </row>
    <row r="10">
      <c r="A10" s="69" t="inlineStr">
        <is>
          <t>13690-81F</t>
        </is>
      </c>
      <c r="B10" s="70" t="inlineStr">
        <is>
          <t>Inveready First Capital</t>
        </is>
      </c>
      <c r="C10" s="71" t="inlineStr">
        <is>
          <t/>
        </is>
      </c>
      <c r="D10" s="72" t="inlineStr">
        <is>
          <t>Venture Capital</t>
        </is>
      </c>
      <c r="E10" s="73" t="n">
        <v>6.28283</v>
      </c>
      <c r="F10" s="74" t="inlineStr">
        <is>
          <t>Barcelona, Spain</t>
        </is>
      </c>
      <c r="G10" s="75" t="inlineStr">
        <is>
          <t/>
        </is>
      </c>
      <c r="H10" s="76" t="n">
        <v>2010.0</v>
      </c>
      <c r="I10" s="77" t="n">
        <v>70.73684210526316</v>
      </c>
      <c r="J10" s="78" t="n">
        <v>4.444277882001777</v>
      </c>
      <c r="K10" s="79" t="n">
        <v>0.0</v>
      </c>
      <c r="L10" s="80" t="n">
        <v>1.481425960667259</v>
      </c>
      <c r="M10" s="81" t="n">
        <v>1.2565666630659786</v>
      </c>
      <c r="N10" s="82" t="n">
        <v>-7.16</v>
      </c>
      <c r="O10" s="83" t="inlineStr">
        <is>
          <t/>
        </is>
      </c>
      <c r="P10" s="84" t="inlineStr">
        <is>
          <t/>
        </is>
      </c>
      <c r="Q10" s="85" t="n">
        <v>0.333333333</v>
      </c>
      <c r="R10" s="86" t="inlineStr">
        <is>
          <t/>
        </is>
      </c>
      <c r="S10" s="87" t="n">
        <v>0.282738095</v>
      </c>
      <c r="T10" s="88" t="inlineStr">
        <is>
          <t/>
        </is>
      </c>
      <c r="U10" s="89" t="n">
        <v>0.6100000000000001</v>
      </c>
      <c r="V10" s="90" t="inlineStr">
        <is>
          <t/>
        </is>
      </c>
      <c r="W10" s="91" t="inlineStr">
        <is>
          <t/>
        </is>
      </c>
      <c r="X10" s="92" t="inlineStr">
        <is>
          <t>GP Self Reporting</t>
        </is>
      </c>
      <c r="Y10" s="93" t="inlineStr">
        <is>
          <t>2020 Y</t>
        </is>
      </c>
      <c r="Z10" s="94" t="inlineStr">
        <is>
          <t>0 - 99M</t>
        </is>
      </c>
      <c r="AA10" s="95" t="inlineStr">
        <is>
          <t>Inveready Technology Investment Group</t>
        </is>
      </c>
      <c r="AB10" s="96" t="inlineStr">
        <is>
          <t>Barcelona, Spain</t>
        </is>
      </c>
      <c r="AC10" s="97" t="inlineStr">
        <is>
          <t>Software</t>
        </is>
      </c>
      <c r="AD10" s="98" t="inlineStr">
        <is>
          <t>Early Stage VC</t>
        </is>
      </c>
      <c r="AE10" s="99" t="inlineStr">
        <is>
          <t>Spain</t>
        </is>
      </c>
      <c r="AF10" s="100" t="inlineStr">
        <is>
          <t>Inveready</t>
        </is>
      </c>
      <c r="AG10" s="233">
        <f>HYPERLINK("https://my.pitchbook.com?i=54589-15", "View Investor Online")</f>
      </c>
    </row>
    <row r="11">
      <c r="A11" s="36" t="inlineStr">
        <is>
          <t>14496-76F</t>
        </is>
      </c>
      <c r="B11" s="37" t="inlineStr">
        <is>
          <t>Shoreline Venture Partners III</t>
        </is>
      </c>
      <c r="C11" s="38" t="inlineStr">
        <is>
          <t/>
        </is>
      </c>
      <c r="D11" s="39" t="inlineStr">
        <is>
          <t>Venture Capital</t>
        </is>
      </c>
      <c r="E11" s="40" t="n">
        <v>9.0</v>
      </c>
      <c r="F11" s="41" t="inlineStr">
        <is>
          <t>San Mateo, CA</t>
        </is>
      </c>
      <c r="G11" s="42" t="inlineStr">
        <is>
          <t/>
        </is>
      </c>
      <c r="H11" s="43" t="n">
        <v>2014.0</v>
      </c>
      <c r="I11" s="44" t="n">
        <v>79.46680338374776</v>
      </c>
      <c r="J11" s="45" t="n">
        <v>7.152012304537299</v>
      </c>
      <c r="K11" s="46" t="n">
        <v>0.18079372856442924</v>
      </c>
      <c r="L11" s="47" t="n">
        <v>0.0</v>
      </c>
      <c r="M11" s="48" t="n">
        <v>5.075621635478083</v>
      </c>
      <c r="N11" s="49" t="inlineStr">
        <is>
          <t/>
        </is>
      </c>
      <c r="O11" s="50" t="inlineStr">
        <is>
          <t/>
        </is>
      </c>
      <c r="P11" s="51" t="inlineStr">
        <is>
          <t/>
        </is>
      </c>
      <c r="Q11" s="52" t="n">
        <v>0.0</v>
      </c>
      <c r="R11" s="53" t="n">
        <v>-0.02</v>
      </c>
      <c r="S11" s="54" t="n">
        <v>0.709677419</v>
      </c>
      <c r="T11" s="55" t="n">
        <v>-0.4703225809999999</v>
      </c>
      <c r="U11" s="56" t="n">
        <v>0.71</v>
      </c>
      <c r="V11" s="57" t="n">
        <v>-0.79</v>
      </c>
      <c r="W11" s="58" t="inlineStr">
        <is>
          <t/>
        </is>
      </c>
      <c r="X11" s="59" t="inlineStr">
        <is>
          <t>GP Self Reporting</t>
        </is>
      </c>
      <c r="Y11" s="60" t="inlineStr">
        <is>
          <t>2017 Y</t>
        </is>
      </c>
      <c r="Z11" s="61" t="inlineStr">
        <is>
          <t>0 - 99M</t>
        </is>
      </c>
      <c r="AA11" s="62" t="inlineStr">
        <is>
          <t>Shoreline Venture Management</t>
        </is>
      </c>
      <c r="AB11" s="63" t="inlineStr">
        <is>
          <t>San Mateo, CA</t>
        </is>
      </c>
      <c r="AC11" s="64" t="inlineStr">
        <is>
          <t>Software, Pharmaceuticals and Biotechnology</t>
        </is>
      </c>
      <c r="AD11" s="65" t="inlineStr">
        <is>
          <t>Early Stage VC, Later Stage VC, Secondary Transaction - Private</t>
        </is>
      </c>
      <c r="AE11" s="66" t="inlineStr">
        <is>
          <t>Bay Area, Southern California, Mountain, Northwest, Southwest, West Coast</t>
        </is>
      </c>
      <c r="AF11" s="67" t="inlineStr">
        <is>
          <t>Shoreline</t>
        </is>
      </c>
      <c r="AG11" s="232">
        <f>HYPERLINK("https://my.pitchbook.com?i=11297-44", "View Investor Online")</f>
      </c>
    </row>
    <row r="12">
      <c r="A12" s="69" t="inlineStr">
        <is>
          <t>15861-43F</t>
        </is>
      </c>
      <c r="B12" s="70" t="inlineStr">
        <is>
          <t>Portland Seed Fund III</t>
        </is>
      </c>
      <c r="C12" s="71" t="inlineStr">
        <is>
          <t/>
        </is>
      </c>
      <c r="D12" s="72" t="inlineStr">
        <is>
          <t>Venture Capital - Early Stage</t>
        </is>
      </c>
      <c r="E12" s="73" t="n">
        <v>13.974</v>
      </c>
      <c r="F12" s="74" t="inlineStr">
        <is>
          <t>Portland, OR</t>
        </is>
      </c>
      <c r="G12" s="75" t="n">
        <v>4.0</v>
      </c>
      <c r="H12" s="76" t="n">
        <v>2018.0</v>
      </c>
      <c r="I12" s="77" t="n">
        <v>50.059031057678546</v>
      </c>
      <c r="J12" s="78" t="n">
        <v>6.995249</v>
      </c>
      <c r="K12" s="79" t="n">
        <v>5.280497695852534</v>
      </c>
      <c r="L12" s="80" t="n">
        <v>0.0</v>
      </c>
      <c r="M12" s="81" t="n">
        <v>5.188765</v>
      </c>
      <c r="N12" s="82" t="n">
        <v>-12.35</v>
      </c>
      <c r="O12" s="83" t="inlineStr">
        <is>
          <t/>
        </is>
      </c>
      <c r="P12" s="84" t="n">
        <v>-18.52</v>
      </c>
      <c r="Q12" s="85" t="n">
        <v>0.0</v>
      </c>
      <c r="R12" s="86" t="n">
        <v>0.0</v>
      </c>
      <c r="S12" s="87" t="n">
        <v>0.741755583</v>
      </c>
      <c r="T12" s="88" t="n">
        <v>-0.2632444169999999</v>
      </c>
      <c r="U12" s="89" t="n">
        <v>0.74</v>
      </c>
      <c r="V12" s="90" t="n">
        <v>-0.24</v>
      </c>
      <c r="W12" s="91" t="inlineStr">
        <is>
          <t/>
        </is>
      </c>
      <c r="X12" s="92" t="inlineStr">
        <is>
          <t>GP Self Reporting</t>
        </is>
      </c>
      <c r="Y12" s="93" t="inlineStr">
        <is>
          <t>2019 Y</t>
        </is>
      </c>
      <c r="Z12" s="94" t="inlineStr">
        <is>
          <t>0 - 99M</t>
        </is>
      </c>
      <c r="AA12" s="95" t="inlineStr">
        <is>
          <t>Portland Seed Fund</t>
        </is>
      </c>
      <c r="AB12" s="96" t="inlineStr">
        <is>
          <t>Portland, OR</t>
        </is>
      </c>
      <c r="AC12" s="97" t="inlineStr">
        <is>
          <t/>
        </is>
      </c>
      <c r="AD12" s="98" t="inlineStr">
        <is>
          <t>Seed Round, Early Stage VC</t>
        </is>
      </c>
      <c r="AE12" s="99" t="inlineStr">
        <is>
          <t>North America</t>
        </is>
      </c>
      <c r="AF12" s="100" t="inlineStr">
        <is>
          <t>PSF</t>
        </is>
      </c>
      <c r="AG12" s="233">
        <f>HYPERLINK("https://my.pitchbook.com?i=53325-55", "View Investor Online")</f>
      </c>
    </row>
    <row r="13">
      <c r="A13" s="36" t="inlineStr">
        <is>
          <t>13950-91F</t>
        </is>
      </c>
      <c r="B13" s="37" t="inlineStr">
        <is>
          <t>Wisconsin Super Angel Fund</t>
        </is>
      </c>
      <c r="C13" s="38" t="inlineStr">
        <is>
          <t/>
        </is>
      </c>
      <c r="D13" s="39" t="inlineStr">
        <is>
          <t>Venture Capital</t>
        </is>
      </c>
      <c r="E13" s="40" t="n">
        <v>5.0</v>
      </c>
      <c r="F13" s="41" t="inlineStr">
        <is>
          <t>Milwaukee, WI</t>
        </is>
      </c>
      <c r="G13" s="42" t="inlineStr">
        <is>
          <t/>
        </is>
      </c>
      <c r="H13" s="43" t="n">
        <v>2013.0</v>
      </c>
      <c r="I13" s="44" t="n">
        <v>26.458249999999996</v>
      </c>
      <c r="J13" s="45" t="n">
        <v>1.3229125</v>
      </c>
      <c r="K13" s="46" t="n">
        <v>0.13770491803278692</v>
      </c>
      <c r="L13" s="47" t="n">
        <v>0.0</v>
      </c>
      <c r="M13" s="48" t="n">
        <v>1.0587499999999999</v>
      </c>
      <c r="N13" s="49" t="inlineStr">
        <is>
          <t/>
        </is>
      </c>
      <c r="O13" s="50" t="inlineStr">
        <is>
          <t/>
        </is>
      </c>
      <c r="P13" s="51" t="inlineStr">
        <is>
          <t/>
        </is>
      </c>
      <c r="Q13" s="52" t="n">
        <v>0.0</v>
      </c>
      <c r="R13" s="53" t="n">
        <v>-0.08464</v>
      </c>
      <c r="S13" s="54" t="n">
        <v>0.8</v>
      </c>
      <c r="T13" s="55" t="n">
        <v>-0.26225999999999994</v>
      </c>
      <c r="U13" s="56" t="n">
        <v>0.8</v>
      </c>
      <c r="V13" s="57" t="n">
        <v>-0.44500000000000006</v>
      </c>
      <c r="W13" s="58" t="inlineStr">
        <is>
          <t/>
        </is>
      </c>
      <c r="X13" s="59" t="inlineStr">
        <is>
          <t>LP Original Commitments</t>
        </is>
      </c>
      <c r="Y13" s="60" t="inlineStr">
        <is>
          <t>2013 Y</t>
        </is>
      </c>
      <c r="Z13" s="61" t="inlineStr">
        <is>
          <t>0 - 99M</t>
        </is>
      </c>
      <c r="AA13" s="62" t="inlineStr">
        <is>
          <t>Wisconsin Super Angel Fund</t>
        </is>
      </c>
      <c r="AB13" s="63" t="inlineStr">
        <is>
          <t>Milwaukee, WI</t>
        </is>
      </c>
      <c r="AC13" s="64" t="inlineStr">
        <is>
          <t>Software</t>
        </is>
      </c>
      <c r="AD13" s="65" t="inlineStr">
        <is>
          <t>Early Stage VC</t>
        </is>
      </c>
      <c r="AE13" s="66" t="inlineStr">
        <is>
          <t>Wisconsin</t>
        </is>
      </c>
      <c r="AF13" s="67" t="inlineStr">
        <is>
          <t>WestBend</t>
        </is>
      </c>
      <c r="AG13" s="232">
        <f>HYPERLINK("https://my.pitchbook.com?i=58661-20", "View Investor Online")</f>
      </c>
    </row>
    <row r="14">
      <c r="A14" s="69" t="inlineStr">
        <is>
          <t>12967-39F</t>
        </is>
      </c>
      <c r="B14" s="70" t="inlineStr">
        <is>
          <t>PLSG Accelerator Fund I</t>
        </is>
      </c>
      <c r="C14" s="71" t="inlineStr">
        <is>
          <t/>
        </is>
      </c>
      <c r="D14" s="72" t="inlineStr">
        <is>
          <t>Venture Capital</t>
        </is>
      </c>
      <c r="E14" s="73" t="n">
        <v>8.1</v>
      </c>
      <c r="F14" s="74" t="inlineStr">
        <is>
          <t>Pittsburgh, PA</t>
        </is>
      </c>
      <c r="G14" s="75" t="inlineStr">
        <is>
          <t/>
        </is>
      </c>
      <c r="H14" s="76" t="n">
        <v>2011.0</v>
      </c>
      <c r="I14" s="77" t="n">
        <v>66.0</v>
      </c>
      <c r="J14" s="78" t="n">
        <v>5.346</v>
      </c>
      <c r="K14" s="79" t="n">
        <v>0.0</v>
      </c>
      <c r="L14" s="80" t="n">
        <v>0.0</v>
      </c>
      <c r="M14" s="81" t="n">
        <v>4.4064000000000005</v>
      </c>
      <c r="N14" s="82" t="inlineStr">
        <is>
          <t/>
        </is>
      </c>
      <c r="O14" s="83" t="inlineStr">
        <is>
          <t/>
        </is>
      </c>
      <c r="P14" s="84" t="inlineStr">
        <is>
          <t/>
        </is>
      </c>
      <c r="Q14" s="85" t="n">
        <v>0.0</v>
      </c>
      <c r="R14" s="86" t="n">
        <v>-0.19</v>
      </c>
      <c r="S14" s="87" t="n">
        <v>0.824242424</v>
      </c>
      <c r="T14" s="88" t="n">
        <v>-0.334857576</v>
      </c>
      <c r="U14" s="89" t="n">
        <v>0.82</v>
      </c>
      <c r="V14" s="90" t="n">
        <v>-0.7100000000000001</v>
      </c>
      <c r="W14" s="91" t="inlineStr">
        <is>
          <t/>
        </is>
      </c>
      <c r="X14" s="92" t="inlineStr">
        <is>
          <t>LP Original Commitments</t>
        </is>
      </c>
      <c r="Y14" s="93" t="inlineStr">
        <is>
          <t>2012 Y</t>
        </is>
      </c>
      <c r="Z14" s="94" t="inlineStr">
        <is>
          <t>0 - 99M</t>
        </is>
      </c>
      <c r="AA14" s="95" t="inlineStr">
        <is>
          <t>Pittsburgh Life Sciences Greenhouse</t>
        </is>
      </c>
      <c r="AB14" s="96" t="inlineStr">
        <is>
          <t>Pittsburgh, PA</t>
        </is>
      </c>
      <c r="AC14" s="97" t="inlineStr">
        <is>
          <t>Healthcare Devices and Supplies</t>
        </is>
      </c>
      <c r="AD14" s="98" t="inlineStr">
        <is>
          <t>Later Stage VC, Early Stage VC, Seed Round</t>
        </is>
      </c>
      <c r="AE14" s="99" t="inlineStr">
        <is>
          <t>United States</t>
        </is>
      </c>
      <c r="AF14" s="100" t="inlineStr">
        <is>
          <t>Allegheny County Retirement System</t>
        </is>
      </c>
      <c r="AG14" s="233">
        <f>HYPERLINK("https://my.pitchbook.com?i=42202-81", "View Investor Online")</f>
      </c>
    </row>
    <row r="15">
      <c r="A15" s="36" t="inlineStr">
        <is>
          <t>16027-21F</t>
        </is>
      </c>
      <c r="B15" s="37" t="inlineStr">
        <is>
          <t>Moment Ventures II</t>
        </is>
      </c>
      <c r="C15" s="38" t="inlineStr">
        <is>
          <t/>
        </is>
      </c>
      <c r="D15" s="39" t="inlineStr">
        <is>
          <t>Venture Capital</t>
        </is>
      </c>
      <c r="E15" s="40" t="n">
        <v>12.5</v>
      </c>
      <c r="F15" s="41" t="inlineStr">
        <is>
          <t>Palo Alto, CA</t>
        </is>
      </c>
      <c r="G15" s="42" t="inlineStr">
        <is>
          <t/>
        </is>
      </c>
      <c r="H15" s="43" t="n">
        <v>2017.0</v>
      </c>
      <c r="I15" s="44" t="n">
        <v>20.0</v>
      </c>
      <c r="J15" s="45" t="n">
        <v>2.5</v>
      </c>
      <c r="K15" s="46" t="n">
        <v>6.156250099058805</v>
      </c>
      <c r="L15" s="47" t="n">
        <v>0.0</v>
      </c>
      <c r="M15" s="48" t="n">
        <v>2.269075</v>
      </c>
      <c r="N15" s="49" t="inlineStr">
        <is>
          <t/>
        </is>
      </c>
      <c r="O15" s="50" t="inlineStr">
        <is>
          <t/>
        </is>
      </c>
      <c r="P15" s="51" t="inlineStr">
        <is>
          <t/>
        </is>
      </c>
      <c r="Q15" s="52" t="n">
        <v>0.0</v>
      </c>
      <c r="R15" s="53" t="n">
        <v>0.0</v>
      </c>
      <c r="S15" s="54" t="n">
        <v>0.91</v>
      </c>
      <c r="T15" s="55" t="n">
        <v>-0.23061999999999994</v>
      </c>
      <c r="U15" s="56" t="n">
        <v>0.91</v>
      </c>
      <c r="V15" s="57" t="n">
        <v>-0.3649999999999999</v>
      </c>
      <c r="W15" s="58" t="inlineStr">
        <is>
          <t/>
        </is>
      </c>
      <c r="X15" s="59" t="inlineStr">
        <is>
          <t>LP Original Commitments</t>
        </is>
      </c>
      <c r="Y15" s="60" t="inlineStr">
        <is>
          <t>2019 Y</t>
        </is>
      </c>
      <c r="Z15" s="61" t="inlineStr">
        <is>
          <t>0 - 99M</t>
        </is>
      </c>
      <c r="AA15" s="62" t="inlineStr">
        <is>
          <t>Moment Ventures</t>
        </is>
      </c>
      <c r="AB15" s="63" t="inlineStr">
        <is>
          <t>Palo Alto, CA</t>
        </is>
      </c>
      <c r="AC15" s="64" t="inlineStr">
        <is>
          <t>Software, Commercial Services</t>
        </is>
      </c>
      <c r="AD15" s="65" t="inlineStr">
        <is>
          <t>Seed Round, Early Stage VC, Later Stage VC</t>
        </is>
      </c>
      <c r="AE15" s="66" t="inlineStr">
        <is>
          <t/>
        </is>
      </c>
      <c r="AF15" s="67" t="inlineStr">
        <is>
          <t>HIERS</t>
        </is>
      </c>
      <c r="AG15" s="232">
        <f>HYPERLINK("https://my.pitchbook.com?i=61154-29", "View Investor Online")</f>
      </c>
    </row>
    <row r="16">
      <c r="A16" s="69" t="inlineStr">
        <is>
          <t>15245-29F</t>
        </is>
      </c>
      <c r="B16" s="70" t="inlineStr">
        <is>
          <t>OpenView Affiliates Fund IV</t>
        </is>
      </c>
      <c r="C16" s="71" t="inlineStr">
        <is>
          <t/>
        </is>
      </c>
      <c r="D16" s="72" t="inlineStr">
        <is>
          <t>Venture Capital</t>
        </is>
      </c>
      <c r="E16" s="73" t="n">
        <v>8.5</v>
      </c>
      <c r="F16" s="74" t="inlineStr">
        <is>
          <t>Boston, MA</t>
        </is>
      </c>
      <c r="G16" s="75" t="n">
        <v>4.0</v>
      </c>
      <c r="H16" s="76" t="n">
        <v>2014.0</v>
      </c>
      <c r="I16" s="77" t="n">
        <v>26.2</v>
      </c>
      <c r="J16" s="78" t="n">
        <v>2.227</v>
      </c>
      <c r="K16" s="79" t="n">
        <v>0.17074963253307204</v>
      </c>
      <c r="L16" s="80" t="n">
        <v>0.0</v>
      </c>
      <c r="M16" s="81" t="n">
        <v>2.069</v>
      </c>
      <c r="N16" s="82" t="n">
        <v>-10.33</v>
      </c>
      <c r="O16" s="83" t="inlineStr">
        <is>
          <t/>
        </is>
      </c>
      <c r="P16" s="84" t="n">
        <v>-24.29</v>
      </c>
      <c r="Q16" s="85" t="n">
        <v>0.0</v>
      </c>
      <c r="R16" s="86" t="n">
        <v>-0.02</v>
      </c>
      <c r="S16" s="87" t="n">
        <v>0.929052537</v>
      </c>
      <c r="T16" s="88" t="n">
        <v>-0.2509474629999999</v>
      </c>
      <c r="U16" s="89" t="n">
        <v>0.93</v>
      </c>
      <c r="V16" s="90" t="n">
        <v>-0.57</v>
      </c>
      <c r="W16" s="91" t="inlineStr">
        <is>
          <t/>
        </is>
      </c>
      <c r="X16" s="92" t="inlineStr">
        <is>
          <t>GP Self Reporting</t>
        </is>
      </c>
      <c r="Y16" s="93" t="inlineStr">
        <is>
          <t>2016 Y</t>
        </is>
      </c>
      <c r="Z16" s="94" t="inlineStr">
        <is>
          <t>0 - 99M</t>
        </is>
      </c>
      <c r="AA16" s="95" t="inlineStr">
        <is>
          <t>OpenView Venture Partners</t>
        </is>
      </c>
      <c r="AB16" s="96" t="inlineStr">
        <is>
          <t>Boston, MA</t>
        </is>
      </c>
      <c r="AC16" s="97" t="inlineStr">
        <is>
          <t>Software</t>
        </is>
      </c>
      <c r="AD16" s="98" t="inlineStr">
        <is>
          <t>Seed Round, Early Stage VC, Later Stage VC</t>
        </is>
      </c>
      <c r="AE16" s="99" t="inlineStr">
        <is>
          <t>North America</t>
        </is>
      </c>
      <c r="AF16" s="100" t="inlineStr">
        <is>
          <t>OpenView</t>
        </is>
      </c>
      <c r="AG16" s="233">
        <f>HYPERLINK("https://my.pitchbook.com?i=11263-15", "View Investor Online")</f>
      </c>
    </row>
    <row r="17">
      <c r="A17" s="36" t="inlineStr">
        <is>
          <t>15808-42F</t>
        </is>
      </c>
      <c r="B17" s="37" t="inlineStr">
        <is>
          <t>Archer Seed Fund</t>
        </is>
      </c>
      <c r="C17" s="38" t="inlineStr">
        <is>
          <t/>
        </is>
      </c>
      <c r="D17" s="39" t="inlineStr">
        <is>
          <t>Venture Capital - Early Stage</t>
        </is>
      </c>
      <c r="E17" s="40" t="n">
        <v>15.0</v>
      </c>
      <c r="F17" s="41" t="inlineStr">
        <is>
          <t>Saint Louis, MO</t>
        </is>
      </c>
      <c r="G17" s="42" t="inlineStr">
        <is>
          <t/>
        </is>
      </c>
      <c r="H17" s="43" t="n">
        <v>2016.0</v>
      </c>
      <c r="I17" s="44" t="n">
        <v>52.8</v>
      </c>
      <c r="J17" s="45" t="n">
        <v>7.92</v>
      </c>
      <c r="K17" s="46" t="n">
        <v>2.8877737226277373</v>
      </c>
      <c r="L17" s="47" t="n">
        <v>0.0</v>
      </c>
      <c r="M17" s="48" t="n">
        <v>7.42</v>
      </c>
      <c r="N17" s="49" t="inlineStr">
        <is>
          <t/>
        </is>
      </c>
      <c r="O17" s="50" t="inlineStr">
        <is>
          <t/>
        </is>
      </c>
      <c r="P17" s="51" t="inlineStr">
        <is>
          <t/>
        </is>
      </c>
      <c r="Q17" s="52" t="n">
        <v>0.0</v>
      </c>
      <c r="R17" s="53" t="n">
        <v>0.0</v>
      </c>
      <c r="S17" s="54" t="n">
        <v>0.936868687</v>
      </c>
      <c r="T17" s="55" t="n">
        <v>-0.238131313</v>
      </c>
      <c r="U17" s="56" t="n">
        <v>0.94</v>
      </c>
      <c r="V17" s="57" t="n">
        <v>-0.2350000000000001</v>
      </c>
      <c r="W17" s="58" t="inlineStr">
        <is>
          <t/>
        </is>
      </c>
      <c r="X17" s="59" t="inlineStr">
        <is>
          <t>GP Self Reporting</t>
        </is>
      </c>
      <c r="Y17" s="60" t="inlineStr">
        <is>
          <t>2018 Y</t>
        </is>
      </c>
      <c r="Z17" s="61" t="inlineStr">
        <is>
          <t>0 - 99M</t>
        </is>
      </c>
      <c r="AA17" s="62" t="inlineStr">
        <is>
          <t>RiverVest Venture Partners</t>
        </is>
      </c>
      <c r="AB17" s="63" t="inlineStr">
        <is>
          <t>Saint Louis, MO</t>
        </is>
      </c>
      <c r="AC17" s="64" t="inlineStr">
        <is>
          <t>Healthcare Services, Pharmaceuticals and Biotechnology</t>
        </is>
      </c>
      <c r="AD17" s="65" t="inlineStr">
        <is>
          <t>Seed Round</t>
        </is>
      </c>
      <c r="AE17" s="66" t="inlineStr">
        <is>
          <t/>
        </is>
      </c>
      <c r="AF17" s="67" t="inlineStr">
        <is>
          <t>RiverVest, RiverVest Venture Partners Limited Liability Company, RiverVest Venture Management Limited Liability Company</t>
        </is>
      </c>
      <c r="AG17" s="232">
        <f>HYPERLINK("https://my.pitchbook.com?i=11286-73", "View Investor Online")</f>
      </c>
    </row>
    <row r="18">
      <c r="A18" s="69" t="inlineStr">
        <is>
          <t>16629-04F</t>
        </is>
      </c>
      <c r="B18" s="70" t="inlineStr">
        <is>
          <t>Maveron VII Entrepreneurs Fund</t>
        </is>
      </c>
      <c r="C18" s="71" t="inlineStr">
        <is>
          <t/>
        </is>
      </c>
      <c r="D18" s="72" t="inlineStr">
        <is>
          <t>Venture Capital</t>
        </is>
      </c>
      <c r="E18" s="73" t="n">
        <v>12.75</v>
      </c>
      <c r="F18" s="74" t="inlineStr">
        <is>
          <t>Seattle, WA</t>
        </is>
      </c>
      <c r="G18" s="75" t="inlineStr">
        <is>
          <t/>
        </is>
      </c>
      <c r="H18" s="76" t="n">
        <v>2019.0</v>
      </c>
      <c r="I18" s="77" t="n">
        <v>20.000003105882325</v>
      </c>
      <c r="J18" s="78" t="n">
        <v>2.550000395999996</v>
      </c>
      <c r="K18" s="79" t="n">
        <v>10.199999604000004</v>
      </c>
      <c r="L18" s="80" t="inlineStr">
        <is>
          <t/>
        </is>
      </c>
      <c r="M18" s="81" t="inlineStr">
        <is>
          <t/>
        </is>
      </c>
      <c r="N18" s="82" t="n">
        <v>-32.25</v>
      </c>
      <c r="O18" s="83" t="inlineStr">
        <is>
          <t/>
        </is>
      </c>
      <c r="P18" s="84" t="inlineStr">
        <is>
          <t/>
        </is>
      </c>
      <c r="Q18" s="85" t="n">
        <v>0.0</v>
      </c>
      <c r="R18" s="86" t="n">
        <v>0.0</v>
      </c>
      <c r="S18" s="87" t="inlineStr">
        <is>
          <t/>
        </is>
      </c>
      <c r="T18" s="88" t="inlineStr">
        <is>
          <t/>
        </is>
      </c>
      <c r="U18" s="89" t="n">
        <v>0.95</v>
      </c>
      <c r="V18" s="90" t="n">
        <v>0.04999999999999993</v>
      </c>
      <c r="W18" s="91" t="inlineStr">
        <is>
          <t/>
        </is>
      </c>
      <c r="X18" s="92" t="inlineStr">
        <is>
          <t>GP Self Reporting</t>
        </is>
      </c>
      <c r="Y18" s="93" t="inlineStr">
        <is>
          <t>2020 Y</t>
        </is>
      </c>
      <c r="Z18" s="94" t="inlineStr">
        <is>
          <t>0 - 99M</t>
        </is>
      </c>
      <c r="AA18" s="95" t="inlineStr">
        <is>
          <t>Maveron</t>
        </is>
      </c>
      <c r="AB18" s="96" t="inlineStr">
        <is>
          <t>Seattle, WA</t>
        </is>
      </c>
      <c r="AC18" s="97" t="inlineStr">
        <is>
          <t>Healthcare Services, Software</t>
        </is>
      </c>
      <c r="AD18" s="98" t="inlineStr">
        <is>
          <t>Seed Round, Early Stage VC, Later Stage VC</t>
        </is>
      </c>
      <c r="AE18" s="99" t="inlineStr">
        <is>
          <t/>
        </is>
      </c>
      <c r="AF18" s="100" t="inlineStr">
        <is>
          <t>Maveron</t>
        </is>
      </c>
      <c r="AG18" s="233">
        <f>HYPERLINK("https://my.pitchbook.com?i=11237-68", "View Investor Online")</f>
      </c>
    </row>
    <row r="19">
      <c r="A19" s="36" t="inlineStr">
        <is>
          <t>15362-65F</t>
        </is>
      </c>
      <c r="B19" s="37" t="inlineStr">
        <is>
          <t>Maveron 15-1</t>
        </is>
      </c>
      <c r="C19" s="38" t="inlineStr">
        <is>
          <t/>
        </is>
      </c>
      <c r="D19" s="39" t="inlineStr">
        <is>
          <t>Venture Capital</t>
        </is>
      </c>
      <c r="E19" s="40" t="n">
        <v>7.295</v>
      </c>
      <c r="F19" s="41" t="inlineStr">
        <is>
          <t>Seattle, WA</t>
        </is>
      </c>
      <c r="G19" s="42" t="n">
        <v>4.0</v>
      </c>
      <c r="H19" s="43" t="n">
        <v>2015.0</v>
      </c>
      <c r="I19" s="44" t="n">
        <v>100.0</v>
      </c>
      <c r="J19" s="45" t="n">
        <v>7.295</v>
      </c>
      <c r="K19" s="46" t="n">
        <v>0.0</v>
      </c>
      <c r="L19" s="47" t="inlineStr">
        <is>
          <t/>
        </is>
      </c>
      <c r="M19" s="48" t="inlineStr">
        <is>
          <t/>
        </is>
      </c>
      <c r="N19" s="49" t="n">
        <v>-1.87</v>
      </c>
      <c r="O19" s="50" t="inlineStr">
        <is>
          <t/>
        </is>
      </c>
      <c r="P19" s="51" t="n">
        <v>-16.87</v>
      </c>
      <c r="Q19" s="52" t="n">
        <v>0.85</v>
      </c>
      <c r="R19" s="53" t="n">
        <v>0.73</v>
      </c>
      <c r="S19" s="54" t="inlineStr">
        <is>
          <t/>
        </is>
      </c>
      <c r="T19" s="55" t="inlineStr">
        <is>
          <t/>
        </is>
      </c>
      <c r="U19" s="56" t="n">
        <v>0.96</v>
      </c>
      <c r="V19" s="57" t="n">
        <v>-0.25</v>
      </c>
      <c r="W19" s="58" t="inlineStr">
        <is>
          <t/>
        </is>
      </c>
      <c r="X19" s="59" t="inlineStr">
        <is>
          <t>GP Self Reporting</t>
        </is>
      </c>
      <c r="Y19" s="60" t="inlineStr">
        <is>
          <t>2020 Y</t>
        </is>
      </c>
      <c r="Z19" s="61" t="inlineStr">
        <is>
          <t>0 - 99M</t>
        </is>
      </c>
      <c r="AA19" s="62" t="inlineStr">
        <is>
          <t>Maveron</t>
        </is>
      </c>
      <c r="AB19" s="63" t="inlineStr">
        <is>
          <t>Seattle, WA</t>
        </is>
      </c>
      <c r="AC19" s="64" t="inlineStr">
        <is>
          <t>Consumer Products and Services (B2C)</t>
        </is>
      </c>
      <c r="AD19" s="65" t="inlineStr">
        <is>
          <t>Seed Round, Early Stage VC, Later Stage VC</t>
        </is>
      </c>
      <c r="AE19" s="66" t="inlineStr">
        <is>
          <t/>
        </is>
      </c>
      <c r="AF19" s="67" t="inlineStr">
        <is>
          <t>Maveron</t>
        </is>
      </c>
      <c r="AG19" s="232">
        <f>HYPERLINK("https://my.pitchbook.com?i=11237-68", "View Investor Online")</f>
      </c>
    </row>
    <row r="20">
      <c r="A20" s="69" t="inlineStr">
        <is>
          <t>16211-53F</t>
        </is>
      </c>
      <c r="B20" s="70" t="inlineStr">
        <is>
          <t>Connetic Fund</t>
        </is>
      </c>
      <c r="C20" s="71" t="inlineStr">
        <is>
          <t/>
        </is>
      </c>
      <c r="D20" s="72" t="inlineStr">
        <is>
          <t>Venture Capital</t>
        </is>
      </c>
      <c r="E20" s="73" t="n">
        <v>5.55</v>
      </c>
      <c r="F20" s="74" t="inlineStr">
        <is>
          <t>Covington, KY</t>
        </is>
      </c>
      <c r="G20" s="75" t="n">
        <v>4.0</v>
      </c>
      <c r="H20" s="76" t="n">
        <v>2015.0</v>
      </c>
      <c r="I20" s="77" t="inlineStr">
        <is>
          <t/>
        </is>
      </c>
      <c r="J20" s="78" t="inlineStr">
        <is>
          <t/>
        </is>
      </c>
      <c r="K20" s="79" t="n">
        <v>0.24303639483460107</v>
      </c>
      <c r="L20" s="80" t="inlineStr">
        <is>
          <t/>
        </is>
      </c>
      <c r="M20" s="81" t="inlineStr">
        <is>
          <t/>
        </is>
      </c>
      <c r="N20" s="82" t="n">
        <v>-0.7622</v>
      </c>
      <c r="O20" s="83" t="inlineStr">
        <is>
          <t/>
        </is>
      </c>
      <c r="P20" s="84" t="n">
        <v>-15.7622</v>
      </c>
      <c r="Q20" s="85" t="n">
        <v>0.0</v>
      </c>
      <c r="R20" s="86" t="n">
        <v>-0.12</v>
      </c>
      <c r="S20" s="87" t="n">
        <v>0.97</v>
      </c>
      <c r="T20" s="88" t="n">
        <v>-0.14569999999999994</v>
      </c>
      <c r="U20" s="89" t="n">
        <v>0.97</v>
      </c>
      <c r="V20" s="90" t="n">
        <v>-0.24</v>
      </c>
      <c r="W20" s="91" t="inlineStr">
        <is>
          <t/>
        </is>
      </c>
      <c r="X20" s="92" t="inlineStr">
        <is>
          <t>GP Self Reporting</t>
        </is>
      </c>
      <c r="Y20" s="93" t="inlineStr">
        <is>
          <t>2019 Y</t>
        </is>
      </c>
      <c r="Z20" s="94" t="inlineStr">
        <is>
          <t>0 - 99M</t>
        </is>
      </c>
      <c r="AA20" s="95" t="inlineStr">
        <is>
          <t>Connetic Ventures</t>
        </is>
      </c>
      <c r="AB20" s="96" t="inlineStr">
        <is>
          <t>Covington, KY</t>
        </is>
      </c>
      <c r="AC20" s="97" t="inlineStr">
        <is>
          <t>Software</t>
        </is>
      </c>
      <c r="AD20" s="98" t="inlineStr">
        <is>
          <t>Seed Round, Early Stage VC, Later Stage VC</t>
        </is>
      </c>
      <c r="AE20" s="99" t="inlineStr">
        <is>
          <t/>
        </is>
      </c>
      <c r="AF20" s="100" t="inlineStr">
        <is>
          <t>Connetic</t>
        </is>
      </c>
      <c r="AG20" s="233">
        <f>HYPERLINK("https://my.pitchbook.com?i=110765-62", "View Investor Online")</f>
      </c>
    </row>
    <row r="21">
      <c r="A21" s="36" t="inlineStr">
        <is>
          <t>16210-90F</t>
        </is>
      </c>
      <c r="B21" s="37" t="inlineStr">
        <is>
          <t>NSV 2018 New Horizons Fund</t>
        </is>
      </c>
      <c r="C21" s="38" t="inlineStr">
        <is>
          <t/>
        </is>
      </c>
      <c r="D21" s="39" t="inlineStr">
        <is>
          <t>Venture Capital</t>
        </is>
      </c>
      <c r="E21" s="40" t="n">
        <v>8.0</v>
      </c>
      <c r="F21" s="41" t="inlineStr">
        <is>
          <t>New York, NY</t>
        </is>
      </c>
      <c r="G21" s="42" t="inlineStr">
        <is>
          <t/>
        </is>
      </c>
      <c r="H21" s="43" t="n">
        <v>2018.0</v>
      </c>
      <c r="I21" s="44" t="n">
        <v>88.67717777777779</v>
      </c>
      <c r="J21" s="45" t="n">
        <v>7.094174222222223</v>
      </c>
      <c r="K21" s="46" t="n">
        <v>4.512168865663729</v>
      </c>
      <c r="L21" s="47" t="n">
        <v>0.0</v>
      </c>
      <c r="M21" s="48" t="n">
        <v>6.9244940195555555</v>
      </c>
      <c r="N21" s="49" t="inlineStr">
        <is>
          <t/>
        </is>
      </c>
      <c r="O21" s="50" t="inlineStr">
        <is>
          <t/>
        </is>
      </c>
      <c r="P21" s="51" t="inlineStr">
        <is>
          <t/>
        </is>
      </c>
      <c r="Q21" s="52" t="n">
        <v>0.0</v>
      </c>
      <c r="R21" s="53" t="n">
        <v>0.0</v>
      </c>
      <c r="S21" s="54" t="n">
        <v>0.976081754</v>
      </c>
      <c r="T21" s="55" t="n">
        <v>-0.03540824600000003</v>
      </c>
      <c r="U21" s="56" t="n">
        <v>0.98</v>
      </c>
      <c r="V21" s="57" t="n">
        <v>-0.1200000000000001</v>
      </c>
      <c r="W21" s="58" t="inlineStr">
        <is>
          <t/>
        </is>
      </c>
      <c r="X21" s="59" t="inlineStr">
        <is>
          <t>GP Self Reporting</t>
        </is>
      </c>
      <c r="Y21" s="60" t="inlineStr">
        <is>
          <t>2018 Y</t>
        </is>
      </c>
      <c r="Z21" s="61" t="inlineStr">
        <is>
          <t>0 - 99M</t>
        </is>
      </c>
      <c r="AA21" s="62" t="inlineStr">
        <is>
          <t>New Science Ventures</t>
        </is>
      </c>
      <c r="AB21" s="63" t="inlineStr">
        <is>
          <t>New York, NY</t>
        </is>
      </c>
      <c r="AC21" s="64" t="inlineStr">
        <is>
          <t>Healthcare Devices and Supplies, Healthcare Technology Systems, Consumer Durables</t>
        </is>
      </c>
      <c r="AD21" s="65" t="inlineStr">
        <is>
          <t>Seed Round, Early Stage VC, Later Stage VC</t>
        </is>
      </c>
      <c r="AE21" s="66" t="inlineStr">
        <is>
          <t/>
        </is>
      </c>
      <c r="AF21" s="67" t="inlineStr">
        <is>
          <t>NSV</t>
        </is>
      </c>
      <c r="AG21" s="232">
        <f>HYPERLINK("https://my.pitchbook.com?i=11252-98", "View Investor Online")</f>
      </c>
    </row>
    <row r="22">
      <c r="A22" s="69" t="inlineStr">
        <is>
          <t>16254-19F</t>
        </is>
      </c>
      <c r="B22" s="70" t="inlineStr">
        <is>
          <t>NCT Ventures Opportunity Fund</t>
        </is>
      </c>
      <c r="C22" s="71" t="inlineStr">
        <is>
          <t/>
        </is>
      </c>
      <c r="D22" s="72" t="inlineStr">
        <is>
          <t>Venture Capital</t>
        </is>
      </c>
      <c r="E22" s="73" t="n">
        <v>12.475</v>
      </c>
      <c r="F22" s="74" t="inlineStr">
        <is>
          <t>Columbus, OH</t>
        </is>
      </c>
      <c r="G22" s="75" t="inlineStr">
        <is>
          <t/>
        </is>
      </c>
      <c r="H22" s="76" t="n">
        <v>2018.0</v>
      </c>
      <c r="I22" s="77" t="n">
        <v>26.79905410821643</v>
      </c>
      <c r="J22" s="78" t="n">
        <v>3.343182</v>
      </c>
      <c r="K22" s="79" t="n">
        <v>7.036163324894378</v>
      </c>
      <c r="L22" s="80" t="n">
        <v>0.0</v>
      </c>
      <c r="M22" s="81" t="n">
        <v>3.312728</v>
      </c>
      <c r="N22" s="82" t="inlineStr">
        <is>
          <t/>
        </is>
      </c>
      <c r="O22" s="83" t="inlineStr">
        <is>
          <t/>
        </is>
      </c>
      <c r="P22" s="84" t="inlineStr">
        <is>
          <t/>
        </is>
      </c>
      <c r="Q22" s="85" t="n">
        <v>0.0</v>
      </c>
      <c r="R22" s="86" t="n">
        <v>0.0</v>
      </c>
      <c r="S22" s="87" t="n">
        <v>0.990890714</v>
      </c>
      <c r="T22" s="88" t="n">
        <v>-0.02059928600000005</v>
      </c>
      <c r="U22" s="89" t="n">
        <v>0.99</v>
      </c>
      <c r="V22" s="90" t="n">
        <v>-0.1100000000000001</v>
      </c>
      <c r="W22" s="91" t="inlineStr">
        <is>
          <t/>
        </is>
      </c>
      <c r="X22" s="92" t="inlineStr">
        <is>
          <t>GP Self Reporting</t>
        </is>
      </c>
      <c r="Y22" s="93" t="inlineStr">
        <is>
          <t>2018 Y</t>
        </is>
      </c>
      <c r="Z22" s="94" t="inlineStr">
        <is>
          <t>0 - 99M</t>
        </is>
      </c>
      <c r="AA22" s="95" t="inlineStr">
        <is>
          <t>NCT Ventures</t>
        </is>
      </c>
      <c r="AB22" s="96" t="inlineStr">
        <is>
          <t>Columbus, OH</t>
        </is>
      </c>
      <c r="AC22" s="97" t="inlineStr">
        <is>
          <t/>
        </is>
      </c>
      <c r="AD22" s="98" t="inlineStr">
        <is>
          <t>Seed Round, Early Stage VC, Later Stage VC</t>
        </is>
      </c>
      <c r="AE22" s="99" t="inlineStr">
        <is>
          <t/>
        </is>
      </c>
      <c r="AF22" s="100" t="inlineStr">
        <is>
          <t>NCT</t>
        </is>
      </c>
      <c r="AG22" s="233">
        <f>HYPERLINK("https://my.pitchbook.com?i=51485-32", "View Investor Online")</f>
      </c>
    </row>
    <row r="23">
      <c r="A23" s="36" t="inlineStr">
        <is>
          <t>17043-67F</t>
        </is>
      </c>
      <c r="B23" s="37" t="inlineStr">
        <is>
          <t>Activate Ventures II Annex Fund</t>
        </is>
      </c>
      <c r="C23" s="38" t="inlineStr">
        <is>
          <t/>
        </is>
      </c>
      <c r="D23" s="39" t="inlineStr">
        <is>
          <t>Venture Capital</t>
        </is>
      </c>
      <c r="E23" s="40" t="n">
        <v>11.4</v>
      </c>
      <c r="F23" s="41" t="inlineStr">
        <is>
          <t>New York, NY</t>
        </is>
      </c>
      <c r="G23" s="42" t="inlineStr">
        <is>
          <t/>
        </is>
      </c>
      <c r="H23" s="43" t="n">
        <v>2020.0</v>
      </c>
      <c r="I23" s="44" t="n">
        <v>13.333375</v>
      </c>
      <c r="J23" s="45" t="n">
        <v>1.5200047499999998</v>
      </c>
      <c r="K23" s="46" t="n">
        <v>9.879995249999999</v>
      </c>
      <c r="L23" s="47" t="n">
        <v>0.0</v>
      </c>
      <c r="M23" s="48" t="n">
        <v>1.5200047499999998</v>
      </c>
      <c r="N23" s="49" t="inlineStr">
        <is>
          <t/>
        </is>
      </c>
      <c r="O23" s="50" t="inlineStr">
        <is>
          <t/>
        </is>
      </c>
      <c r="P23" s="51" t="inlineStr">
        <is>
          <t/>
        </is>
      </c>
      <c r="Q23" s="52" t="n">
        <v>0.0</v>
      </c>
      <c r="R23" s="53" t="inlineStr">
        <is>
          <t/>
        </is>
      </c>
      <c r="S23" s="54" t="n">
        <v>1.0</v>
      </c>
      <c r="T23" s="55" t="inlineStr">
        <is>
          <t/>
        </is>
      </c>
      <c r="U23" s="56" t="n">
        <v>1.0</v>
      </c>
      <c r="V23" s="57" t="inlineStr">
        <is>
          <t/>
        </is>
      </c>
      <c r="W23" s="58" t="inlineStr">
        <is>
          <t/>
        </is>
      </c>
      <c r="X23" s="59" t="inlineStr">
        <is>
          <t>LP Original Commitments</t>
        </is>
      </c>
      <c r="Y23" s="60" t="inlineStr">
        <is>
          <t>2020 Y</t>
        </is>
      </c>
      <c r="Z23" s="61" t="inlineStr">
        <is>
          <t>0 - 99M</t>
        </is>
      </c>
      <c r="AA23" s="62" t="inlineStr">
        <is>
          <t>Activate Venture Partners</t>
        </is>
      </c>
      <c r="AB23" s="63" t="inlineStr">
        <is>
          <t>New York, NY</t>
        </is>
      </c>
      <c r="AC23" s="64" t="inlineStr">
        <is>
          <t/>
        </is>
      </c>
      <c r="AD23" s="65" t="inlineStr">
        <is>
          <t>Seed Round, Early Stage VC, Later Stage VC</t>
        </is>
      </c>
      <c r="AE23" s="66" t="inlineStr">
        <is>
          <t/>
        </is>
      </c>
      <c r="AF23" s="67" t="inlineStr">
        <is>
          <t>NJEDA</t>
        </is>
      </c>
      <c r="AG23" s="232">
        <f>HYPERLINK("https://my.pitchbook.com?i=11852-02", "View Investor Online")</f>
      </c>
    </row>
    <row r="24">
      <c r="A24" s="69" t="inlineStr">
        <is>
          <t>15927-76F</t>
        </is>
      </c>
      <c r="B24" s="70" t="inlineStr">
        <is>
          <t>Castor Ventures Fund 1</t>
        </is>
      </c>
      <c r="C24" s="71" t="inlineStr">
        <is>
          <t/>
        </is>
      </c>
      <c r="D24" s="72" t="inlineStr">
        <is>
          <t>Venture Capital</t>
        </is>
      </c>
      <c r="E24" s="73" t="n">
        <v>7.0</v>
      </c>
      <c r="F24" s="74" t="inlineStr">
        <is>
          <t>Manchester, NH</t>
        </is>
      </c>
      <c r="G24" s="75" t="inlineStr">
        <is>
          <t/>
        </is>
      </c>
      <c r="H24" s="76" t="n">
        <v>2016.0</v>
      </c>
      <c r="I24" s="77" t="n">
        <v>45.99999999999999</v>
      </c>
      <c r="J24" s="78" t="n">
        <v>3.2199999999999998</v>
      </c>
      <c r="K24" s="79" t="n">
        <v>0.0</v>
      </c>
      <c r="L24" s="80" t="n">
        <v>0.0</v>
      </c>
      <c r="M24" s="81" t="n">
        <v>3.2199999999999998</v>
      </c>
      <c r="N24" s="82" t="inlineStr">
        <is>
          <t/>
        </is>
      </c>
      <c r="O24" s="83" t="inlineStr">
        <is>
          <t/>
        </is>
      </c>
      <c r="P24" s="84" t="inlineStr">
        <is>
          <t/>
        </is>
      </c>
      <c r="Q24" s="85" t="n">
        <v>0.0</v>
      </c>
      <c r="R24" s="86" t="n">
        <v>-0.0602</v>
      </c>
      <c r="S24" s="87" t="n">
        <v>1.0</v>
      </c>
      <c r="T24" s="88" t="n">
        <v>-0.16999999999999993</v>
      </c>
      <c r="U24" s="89" t="n">
        <v>1.0</v>
      </c>
      <c r="V24" s="90" t="n">
        <v>-0.26</v>
      </c>
      <c r="W24" s="91" t="inlineStr">
        <is>
          <t/>
        </is>
      </c>
      <c r="X24" s="92" t="inlineStr">
        <is>
          <t>GP Self Reporting</t>
        </is>
      </c>
      <c r="Y24" s="93" t="inlineStr">
        <is>
          <t>2017 Y</t>
        </is>
      </c>
      <c r="Z24" s="94" t="inlineStr">
        <is>
          <t>0 - 99M</t>
        </is>
      </c>
      <c r="AA24" s="95" t="inlineStr">
        <is>
          <t>Alumni Ventures Group, Castor Ventures</t>
        </is>
      </c>
      <c r="AB24" s="96" t="inlineStr">
        <is>
          <t>Manchester, NH</t>
        </is>
      </c>
      <c r="AC24" s="97" t="inlineStr">
        <is>
          <t>Software</t>
        </is>
      </c>
      <c r="AD24" s="98" t="inlineStr">
        <is>
          <t>Seed Round, Early Stage VC, Later Stage VC</t>
        </is>
      </c>
      <c r="AE24" s="99" t="inlineStr">
        <is>
          <t/>
        </is>
      </c>
      <c r="AF24" s="100" t="inlineStr">
        <is>
          <t>Castor</t>
        </is>
      </c>
      <c r="AG24" s="233">
        <f>HYPERLINK("https://my.pitchbook.com?i=60082-66", "View Investor Online")</f>
      </c>
    </row>
    <row r="25">
      <c r="A25" s="36" t="inlineStr">
        <is>
          <t>16154-02F</t>
        </is>
      </c>
      <c r="B25" s="37" t="inlineStr">
        <is>
          <t>Castor Ventures Fund 2</t>
        </is>
      </c>
      <c r="C25" s="38" t="inlineStr">
        <is>
          <t/>
        </is>
      </c>
      <c r="D25" s="39" t="inlineStr">
        <is>
          <t>Venture Capital</t>
        </is>
      </c>
      <c r="E25" s="40" t="n">
        <v>10.0</v>
      </c>
      <c r="F25" s="41" t="inlineStr">
        <is>
          <t>Manchester, NH</t>
        </is>
      </c>
      <c r="G25" s="42" t="inlineStr">
        <is>
          <t/>
        </is>
      </c>
      <c r="H25" s="43" t="n">
        <v>2017.0</v>
      </c>
      <c r="I25" s="44" t="n">
        <v>95.0</v>
      </c>
      <c r="J25" s="45" t="n">
        <v>9.5</v>
      </c>
      <c r="K25" s="46" t="n">
        <v>0.0</v>
      </c>
      <c r="L25" s="47" t="n">
        <v>0.0</v>
      </c>
      <c r="M25" s="48" t="n">
        <v>9.5</v>
      </c>
      <c r="N25" s="49" t="inlineStr">
        <is>
          <t/>
        </is>
      </c>
      <c r="O25" s="50" t="inlineStr">
        <is>
          <t/>
        </is>
      </c>
      <c r="P25" s="51" t="inlineStr">
        <is>
          <t/>
        </is>
      </c>
      <c r="Q25" s="52" t="n">
        <v>0.0</v>
      </c>
      <c r="R25" s="53" t="n">
        <v>0.0</v>
      </c>
      <c r="S25" s="54" t="n">
        <v>1.0</v>
      </c>
      <c r="T25" s="55" t="n">
        <v>-0.14061999999999997</v>
      </c>
      <c r="U25" s="56" t="n">
        <v>1.0</v>
      </c>
      <c r="V25" s="57" t="n">
        <v>-0.2749999999999999</v>
      </c>
      <c r="W25" s="58" t="inlineStr">
        <is>
          <t/>
        </is>
      </c>
      <c r="X25" s="59" t="inlineStr">
        <is>
          <t>GP Self Reporting</t>
        </is>
      </c>
      <c r="Y25" s="60" t="inlineStr">
        <is>
          <t>2017 Y</t>
        </is>
      </c>
      <c r="Z25" s="61" t="inlineStr">
        <is>
          <t>0 - 99M</t>
        </is>
      </c>
      <c r="AA25" s="62" t="inlineStr">
        <is>
          <t>Alumni Ventures Group, Castor Ventures</t>
        </is>
      </c>
      <c r="AB25" s="63" t="inlineStr">
        <is>
          <t>Manchester, NH</t>
        </is>
      </c>
      <c r="AC25" s="64" t="inlineStr">
        <is>
          <t>Software</t>
        </is>
      </c>
      <c r="AD25" s="65" t="inlineStr">
        <is>
          <t>Seed Round, Early Stage VC, Later Stage VC</t>
        </is>
      </c>
      <c r="AE25" s="66" t="inlineStr">
        <is>
          <t/>
        </is>
      </c>
      <c r="AF25" s="67" t="inlineStr">
        <is>
          <t>Castor</t>
        </is>
      </c>
      <c r="AG25" s="232">
        <f>HYPERLINK("https://my.pitchbook.com?i=60082-66", "View Investor Online")</f>
      </c>
    </row>
    <row r="26">
      <c r="A26" s="69" t="inlineStr">
        <is>
          <t>13674-61F</t>
        </is>
      </c>
      <c r="B26" s="70" t="inlineStr">
        <is>
          <t>Long River Ventures III</t>
        </is>
      </c>
      <c r="C26" s="71" t="inlineStr">
        <is>
          <t/>
        </is>
      </c>
      <c r="D26" s="72" t="inlineStr">
        <is>
          <t>Venture Capital</t>
        </is>
      </c>
      <c r="E26" s="73" t="n">
        <v>10.0</v>
      </c>
      <c r="F26" s="74" t="inlineStr">
        <is>
          <t>Boston, MA</t>
        </is>
      </c>
      <c r="G26" s="75" t="inlineStr">
        <is>
          <t/>
        </is>
      </c>
      <c r="H26" s="76" t="n">
        <v>2013.0</v>
      </c>
      <c r="I26" s="77" t="n">
        <v>5.0</v>
      </c>
      <c r="J26" s="78" t="n">
        <v>0.5</v>
      </c>
      <c r="K26" s="79" t="n">
        <v>0.27540983606557384</v>
      </c>
      <c r="L26" s="80" t="n">
        <v>0.0</v>
      </c>
      <c r="M26" s="81" t="n">
        <v>0.5</v>
      </c>
      <c r="N26" s="82" t="inlineStr">
        <is>
          <t/>
        </is>
      </c>
      <c r="O26" s="83" t="inlineStr">
        <is>
          <t/>
        </is>
      </c>
      <c r="P26" s="84" t="inlineStr">
        <is>
          <t/>
        </is>
      </c>
      <c r="Q26" s="85" t="n">
        <v>0.0</v>
      </c>
      <c r="R26" s="86" t="n">
        <v>-0.08464</v>
      </c>
      <c r="S26" s="87" t="n">
        <v>1.0</v>
      </c>
      <c r="T26" s="88" t="n">
        <v>-0.06225999999999998</v>
      </c>
      <c r="U26" s="89" t="n">
        <v>1.0</v>
      </c>
      <c r="V26" s="90" t="n">
        <v>-0.2450000000000001</v>
      </c>
      <c r="W26" s="91" t="inlineStr">
        <is>
          <t/>
        </is>
      </c>
      <c r="X26" s="92" t="inlineStr">
        <is>
          <t>LP Original Commitments</t>
        </is>
      </c>
      <c r="Y26" s="93" t="inlineStr">
        <is>
          <t>2013 Y</t>
        </is>
      </c>
      <c r="Z26" s="94" t="inlineStr">
        <is>
          <t>0 - 99M</t>
        </is>
      </c>
      <c r="AA26" s="95" t="inlineStr">
        <is>
          <t>LRVHealth</t>
        </is>
      </c>
      <c r="AB26" s="96" t="inlineStr">
        <is>
          <t>Boston, MA</t>
        </is>
      </c>
      <c r="AC26" s="97" t="inlineStr">
        <is>
          <t>Software</t>
        </is>
      </c>
      <c r="AD26" s="98" t="inlineStr">
        <is>
          <t>Early Stage VC</t>
        </is>
      </c>
      <c r="AE26" s="99" t="inlineStr">
        <is>
          <t>Northeast, New York Metro</t>
        </is>
      </c>
      <c r="AF26" s="100" t="inlineStr">
        <is>
          <t>MassMutual</t>
        </is>
      </c>
      <c r="AG26" s="233">
        <f>HYPERLINK("https://my.pitchbook.com?i=14783-59", "View Investor Online")</f>
      </c>
    </row>
    <row r="27">
      <c r="A27" s="36" t="inlineStr">
        <is>
          <t>16425-37F</t>
        </is>
      </c>
      <c r="B27" s="37" t="inlineStr">
        <is>
          <t>Stout Street Capital Fund I</t>
        </is>
      </c>
      <c r="C27" s="38" t="inlineStr">
        <is>
          <t/>
        </is>
      </c>
      <c r="D27" s="39" t="inlineStr">
        <is>
          <t>Venture Capital - Early Stage</t>
        </is>
      </c>
      <c r="E27" s="40" t="n">
        <v>10.0</v>
      </c>
      <c r="F27" s="41" t="inlineStr">
        <is>
          <t>Denver, CO</t>
        </is>
      </c>
      <c r="G27" s="42" t="inlineStr">
        <is>
          <t/>
        </is>
      </c>
      <c r="H27" s="43" t="n">
        <v>2017.0</v>
      </c>
      <c r="I27" s="44" t="n">
        <v>40.66</v>
      </c>
      <c r="J27" s="45" t="n">
        <v>4.066</v>
      </c>
      <c r="K27" s="46" t="n">
        <v>1.1192312704944094</v>
      </c>
      <c r="L27" s="47" t="n">
        <v>0.188</v>
      </c>
      <c r="M27" s="48" t="n">
        <v>3.9</v>
      </c>
      <c r="N27" s="49" t="inlineStr">
        <is>
          <t/>
        </is>
      </c>
      <c r="O27" s="50" t="inlineStr">
        <is>
          <t/>
        </is>
      </c>
      <c r="P27" s="51" t="inlineStr">
        <is>
          <t/>
        </is>
      </c>
      <c r="Q27" s="52" t="n">
        <v>0.046237088</v>
      </c>
      <c r="R27" s="53" t="n">
        <v>0.046237088</v>
      </c>
      <c r="S27" s="54" t="n">
        <v>0.959173635</v>
      </c>
      <c r="T27" s="55" t="n">
        <v>3.635000000001831E-6</v>
      </c>
      <c r="U27" s="56" t="n">
        <v>1.01</v>
      </c>
      <c r="V27" s="57" t="n">
        <v>0.0</v>
      </c>
      <c r="W27" s="58" t="inlineStr">
        <is>
          <t/>
        </is>
      </c>
      <c r="X27" s="59" t="inlineStr">
        <is>
          <t>GP Self Reporting</t>
        </is>
      </c>
      <c r="Y27" s="60" t="inlineStr">
        <is>
          <t>2018 Y</t>
        </is>
      </c>
      <c r="Z27" s="61" t="inlineStr">
        <is>
          <t>0 - 99M</t>
        </is>
      </c>
      <c r="AA27" s="62" t="inlineStr">
        <is>
          <t>Stout Street Capital</t>
        </is>
      </c>
      <c r="AB27" s="63" t="inlineStr">
        <is>
          <t>Denver, CO</t>
        </is>
      </c>
      <c r="AC27" s="64" t="inlineStr">
        <is>
          <t>Software</t>
        </is>
      </c>
      <c r="AD27" s="65" t="inlineStr">
        <is>
          <t>Seed Round, Early Stage VC</t>
        </is>
      </c>
      <c r="AE27" s="66" t="inlineStr">
        <is>
          <t>Canada, United States</t>
        </is>
      </c>
      <c r="AF27" s="67" t="inlineStr">
        <is>
          <t>Stout Street</t>
        </is>
      </c>
      <c r="AG27" s="232">
        <f>HYPERLINK("https://my.pitchbook.com?i=223563-97", "View Investor Online")</f>
      </c>
    </row>
    <row r="28">
      <c r="A28" s="69" t="inlineStr">
        <is>
          <t>12885-58F</t>
        </is>
      </c>
      <c r="B28" s="70" t="inlineStr">
        <is>
          <t>EDF Ventures III Healthcare Opportunity Fund</t>
        </is>
      </c>
      <c r="C28" s="71" t="inlineStr">
        <is>
          <t/>
        </is>
      </c>
      <c r="D28" s="72" t="inlineStr">
        <is>
          <t>Venture Capital</t>
        </is>
      </c>
      <c r="E28" s="73" t="n">
        <v>15.0</v>
      </c>
      <c r="F28" s="74" t="inlineStr">
        <is>
          <t>Ann Arbor, MI</t>
        </is>
      </c>
      <c r="G28" s="75" t="n">
        <v>3.0</v>
      </c>
      <c r="H28" s="76" t="n">
        <v>2009.0</v>
      </c>
      <c r="I28" s="77" t="n">
        <v>52.56347190668673</v>
      </c>
      <c r="J28" s="78" t="n">
        <v>7.8845207860030095</v>
      </c>
      <c r="K28" s="79" t="n">
        <v>0.030821917808219176</v>
      </c>
      <c r="L28" s="80" t="n">
        <v>0.0</v>
      </c>
      <c r="M28" s="81" t="n">
        <v>7.632880500000001</v>
      </c>
      <c r="N28" s="82" t="n">
        <v>1.31</v>
      </c>
      <c r="O28" s="83" t="inlineStr">
        <is>
          <t/>
        </is>
      </c>
      <c r="P28" s="84" t="n">
        <v>-7.74452</v>
      </c>
      <c r="Q28" s="85" t="n">
        <v>0.0</v>
      </c>
      <c r="R28" s="86" t="n">
        <v>-0.86</v>
      </c>
      <c r="S28" s="87" t="n">
        <v>1.02</v>
      </c>
      <c r="T28" s="88" t="n">
        <v>0.5418700000000001</v>
      </c>
      <c r="U28" s="89" t="n">
        <v>1.02</v>
      </c>
      <c r="V28" s="90" t="n">
        <v>-0.48</v>
      </c>
      <c r="W28" s="91" t="inlineStr">
        <is>
          <t/>
        </is>
      </c>
      <c r="X28" s="92" t="inlineStr">
        <is>
          <t>LP Original Commitments</t>
        </is>
      </c>
      <c r="Y28" s="93" t="inlineStr">
        <is>
          <t>2007 Y</t>
        </is>
      </c>
      <c r="Z28" s="94" t="inlineStr">
        <is>
          <t>0 - 99M</t>
        </is>
      </c>
      <c r="AA28" s="95" t="inlineStr">
        <is>
          <t>EDF Ventures</t>
        </is>
      </c>
      <c r="AB28" s="96" t="inlineStr">
        <is>
          <t>Ann Arbor, MI</t>
        </is>
      </c>
      <c r="AC28" s="97" t="inlineStr">
        <is>
          <t>Healthcare Devices and Supplies, Pharmaceuticals and Biotechnology</t>
        </is>
      </c>
      <c r="AD28" s="98" t="inlineStr">
        <is>
          <t>Later Stage VC, Early Stage VC</t>
        </is>
      </c>
      <c r="AE28" s="99" t="inlineStr">
        <is>
          <t>France, United States</t>
        </is>
      </c>
      <c r="AF28" s="100" t="inlineStr">
        <is>
          <t>Michigan Department of Treasury, Ohio BWC</t>
        </is>
      </c>
      <c r="AG28" s="233">
        <f>HYPERLINK("https://my.pitchbook.com?i=11177-11", "View Investor Online")</f>
      </c>
    </row>
    <row r="29">
      <c r="A29" s="36" t="inlineStr">
        <is>
          <t>16107-94F</t>
        </is>
      </c>
      <c r="B29" s="37" t="inlineStr">
        <is>
          <t>Draper Frontier OppTech Fund II</t>
        </is>
      </c>
      <c r="C29" s="38" t="inlineStr">
        <is>
          <t/>
        </is>
      </c>
      <c r="D29" s="39" t="inlineStr">
        <is>
          <t>Venture Capital - Early Stage</t>
        </is>
      </c>
      <c r="E29" s="40" t="n">
        <v>9.1</v>
      </c>
      <c r="F29" s="41" t="inlineStr">
        <is>
          <t>Santa Monica, CA</t>
        </is>
      </c>
      <c r="G29" s="42" t="inlineStr">
        <is>
          <t/>
        </is>
      </c>
      <c r="H29" s="43" t="n">
        <v>2017.0</v>
      </c>
      <c r="I29" s="44" t="n">
        <v>84.61538461538461</v>
      </c>
      <c r="J29" s="45" t="n">
        <v>7.699999999999999</v>
      </c>
      <c r="K29" s="46" t="n">
        <v>1.4</v>
      </c>
      <c r="L29" s="47" t="n">
        <v>0.0</v>
      </c>
      <c r="M29" s="48" t="n">
        <v>8.1</v>
      </c>
      <c r="N29" s="49" t="n">
        <v>7.3</v>
      </c>
      <c r="O29" s="50" t="inlineStr">
        <is>
          <t/>
        </is>
      </c>
      <c r="P29" s="51" t="inlineStr">
        <is>
          <t/>
        </is>
      </c>
      <c r="Q29" s="52" t="n">
        <v>0.0</v>
      </c>
      <c r="R29" s="53" t="n">
        <v>0.0</v>
      </c>
      <c r="S29" s="54" t="n">
        <v>1.05</v>
      </c>
      <c r="T29" s="55" t="n">
        <v>0.09083000000000008</v>
      </c>
      <c r="U29" s="56" t="n">
        <v>1.05</v>
      </c>
      <c r="V29" s="57" t="n">
        <v>0.040000000000000036</v>
      </c>
      <c r="W29" s="58" t="inlineStr">
        <is>
          <t/>
        </is>
      </c>
      <c r="X29" s="59" t="inlineStr">
        <is>
          <t>GP Self Reporting</t>
        </is>
      </c>
      <c r="Y29" s="60" t="inlineStr">
        <is>
          <t>2020 Y</t>
        </is>
      </c>
      <c r="Z29" s="61" t="inlineStr">
        <is>
          <t>0 - 99M</t>
        </is>
      </c>
      <c r="AA29" s="62" t="inlineStr">
        <is>
          <t>Frontier Venture Capital</t>
        </is>
      </c>
      <c r="AB29" s="63" t="inlineStr">
        <is>
          <t>Santa Monica, CA</t>
        </is>
      </c>
      <c r="AC29" s="64" t="inlineStr">
        <is>
          <t>Information Technology</t>
        </is>
      </c>
      <c r="AD29" s="65" t="inlineStr">
        <is>
          <t>Seed Round, Early Stage VC</t>
        </is>
      </c>
      <c r="AE29" s="66" t="inlineStr">
        <is>
          <t>United States, United States</t>
        </is>
      </c>
      <c r="AF29" s="67" t="inlineStr">
        <is>
          <t>Frontier</t>
        </is>
      </c>
      <c r="AG29" s="232">
        <f>HYPERLINK("https://my.pitchbook.com?i=11163-88", "View Investor Online")</f>
      </c>
    </row>
    <row r="30">
      <c r="A30" s="69" t="inlineStr">
        <is>
          <t>16194-07F</t>
        </is>
      </c>
      <c r="B30" s="70" t="inlineStr">
        <is>
          <t>MK Venture Best Selection</t>
        </is>
      </c>
      <c r="C30" s="71" t="inlineStr">
        <is>
          <t/>
        </is>
      </c>
      <c r="D30" s="72" t="inlineStr">
        <is>
          <t>Venture Capital</t>
        </is>
      </c>
      <c r="E30" s="73" t="n">
        <v>5.75752</v>
      </c>
      <c r="F30" s="74" t="inlineStr">
        <is>
          <t>Munich, Germany</t>
        </is>
      </c>
      <c r="G30" s="75" t="inlineStr">
        <is>
          <t/>
        </is>
      </c>
      <c r="H30" s="76" t="n">
        <v>2018.0</v>
      </c>
      <c r="I30" s="77" t="inlineStr">
        <is>
          <t/>
        </is>
      </c>
      <c r="J30" s="78" t="inlineStr">
        <is>
          <t/>
        </is>
      </c>
      <c r="K30" s="79" t="n">
        <v>4.3757152</v>
      </c>
      <c r="L30" s="80" t="n">
        <v>0.0</v>
      </c>
      <c r="M30" s="81" t="inlineStr">
        <is>
          <t/>
        </is>
      </c>
      <c r="N30" s="82" t="n">
        <v>16.0</v>
      </c>
      <c r="O30" s="83" t="inlineStr">
        <is>
          <t/>
        </is>
      </c>
      <c r="P30" s="84" t="inlineStr">
        <is>
          <t/>
        </is>
      </c>
      <c r="Q30" s="85" t="n">
        <v>0.0</v>
      </c>
      <c r="R30" s="86" t="inlineStr">
        <is>
          <t/>
        </is>
      </c>
      <c r="S30" s="87" t="inlineStr">
        <is>
          <t/>
        </is>
      </c>
      <c r="T30" s="88" t="inlineStr">
        <is>
          <t/>
        </is>
      </c>
      <c r="U30" s="89" t="n">
        <v>1.05</v>
      </c>
      <c r="V30" s="90" t="inlineStr">
        <is>
          <t/>
        </is>
      </c>
      <c r="W30" s="91" t="inlineStr">
        <is>
          <t/>
        </is>
      </c>
      <c r="X30" s="92" t="inlineStr">
        <is>
          <t>GP Self Reporting</t>
        </is>
      </c>
      <c r="Y30" s="93" t="inlineStr">
        <is>
          <t>2019 Y</t>
        </is>
      </c>
      <c r="Z30" s="94" t="inlineStr">
        <is>
          <t>0 - 99M</t>
        </is>
      </c>
      <c r="AA30" s="95" t="inlineStr">
        <is>
          <t>MK Venture Capital</t>
        </is>
      </c>
      <c r="AB30" s="96" t="inlineStr">
        <is>
          <t>Munich, Germany</t>
        </is>
      </c>
      <c r="AC30" s="97" t="inlineStr">
        <is>
          <t>Software</t>
        </is>
      </c>
      <c r="AD30" s="98" t="inlineStr">
        <is>
          <t>Seed Round, Early Stage VC, Later Stage VC</t>
        </is>
      </c>
      <c r="AE30" s="99" t="inlineStr">
        <is>
          <t>Switzerland, Germany, United States, Austria, Asia</t>
        </is>
      </c>
      <c r="AF30" s="100" t="inlineStr">
        <is>
          <t>MKVC</t>
        </is>
      </c>
      <c r="AG30" s="233">
        <f>HYPERLINK("https://my.pitchbook.com?i=188066-53", "View Investor Online")</f>
      </c>
    </row>
    <row r="31">
      <c r="A31" s="36" t="inlineStr">
        <is>
          <t>13533-49F</t>
        </is>
      </c>
      <c r="B31" s="37" t="inlineStr">
        <is>
          <t>OpenView Affiliates Fund III</t>
        </is>
      </c>
      <c r="C31" s="38" t="inlineStr">
        <is>
          <t/>
        </is>
      </c>
      <c r="D31" s="39" t="inlineStr">
        <is>
          <t>Venture Capital</t>
        </is>
      </c>
      <c r="E31" s="40" t="n">
        <v>7.81</v>
      </c>
      <c r="F31" s="41" t="inlineStr">
        <is>
          <t>Boston, MA</t>
        </is>
      </c>
      <c r="G31" s="42" t="n">
        <v>3.0</v>
      </c>
      <c r="H31" s="43" t="n">
        <v>2012.0</v>
      </c>
      <c r="I31" s="44" t="n">
        <v>88.97567221510883</v>
      </c>
      <c r="J31" s="45" t="n">
        <v>6.949000000000001</v>
      </c>
      <c r="K31" s="46" t="n">
        <v>0.0</v>
      </c>
      <c r="L31" s="47" t="n">
        <v>0.0</v>
      </c>
      <c r="M31" s="48" t="n">
        <v>7.2978</v>
      </c>
      <c r="N31" s="49" t="n">
        <v>0.85</v>
      </c>
      <c r="O31" s="50" t="inlineStr">
        <is>
          <t/>
        </is>
      </c>
      <c r="P31" s="51" t="n">
        <v>-6.13217</v>
      </c>
      <c r="Q31" s="52" t="n">
        <v>0.0</v>
      </c>
      <c r="R31" s="53" t="n">
        <v>-0.48192</v>
      </c>
      <c r="S31" s="54" t="n">
        <v>1.050194273</v>
      </c>
      <c r="T31" s="55" t="n">
        <v>-0.07990572700000009</v>
      </c>
      <c r="U31" s="56" t="n">
        <v>1.05</v>
      </c>
      <c r="V31" s="57" t="n">
        <v>-0.24</v>
      </c>
      <c r="W31" s="58" t="inlineStr">
        <is>
          <t/>
        </is>
      </c>
      <c r="X31" s="59" t="inlineStr">
        <is>
          <t>GP Self Reporting</t>
        </is>
      </c>
      <c r="Y31" s="60" t="inlineStr">
        <is>
          <t>2016 Y</t>
        </is>
      </c>
      <c r="Z31" s="61" t="inlineStr">
        <is>
          <t>0 - 99M</t>
        </is>
      </c>
      <c r="AA31" s="62" t="inlineStr">
        <is>
          <t>OpenView Venture Partners</t>
        </is>
      </c>
      <c r="AB31" s="63" t="inlineStr">
        <is>
          <t>Boston, MA</t>
        </is>
      </c>
      <c r="AC31" s="64" t="inlineStr">
        <is>
          <t>Software</t>
        </is>
      </c>
      <c r="AD31" s="65" t="inlineStr">
        <is>
          <t>Seed Round, Early Stage VC, Later Stage VC</t>
        </is>
      </c>
      <c r="AE31" s="66" t="inlineStr">
        <is>
          <t>North America</t>
        </is>
      </c>
      <c r="AF31" s="67" t="inlineStr">
        <is>
          <t>OpenView</t>
        </is>
      </c>
      <c r="AG31" s="232">
        <f>HYPERLINK("https://my.pitchbook.com?i=11263-15", "View Investor Online")</f>
      </c>
    </row>
    <row r="32">
      <c r="A32" s="69" t="inlineStr">
        <is>
          <t>15445-90F</t>
        </is>
      </c>
      <c r="B32" s="70" t="inlineStr">
        <is>
          <t>HBM Genomics</t>
        </is>
      </c>
      <c r="C32" s="71" t="inlineStr">
        <is>
          <t/>
        </is>
      </c>
      <c r="D32" s="72" t="inlineStr">
        <is>
          <t>Venture Capital - Early Stage</t>
        </is>
      </c>
      <c r="E32" s="73" t="n">
        <v>15.0</v>
      </c>
      <c r="F32" s="74" t="inlineStr">
        <is>
          <t>Zug, Switzerland</t>
        </is>
      </c>
      <c r="G32" s="75" t="inlineStr">
        <is>
          <t/>
        </is>
      </c>
      <c r="H32" s="76" t="n">
        <v>2014.0</v>
      </c>
      <c r="I32" s="77" t="n">
        <v>100.0</v>
      </c>
      <c r="J32" s="78" t="n">
        <v>15.0</v>
      </c>
      <c r="K32" s="79" t="n">
        <v>0.0</v>
      </c>
      <c r="L32" s="80" t="n">
        <v>0.0</v>
      </c>
      <c r="M32" s="81" t="n">
        <v>16.10091743119266</v>
      </c>
      <c r="N32" s="82" t="inlineStr">
        <is>
          <t/>
        </is>
      </c>
      <c r="O32" s="83" t="inlineStr">
        <is>
          <t/>
        </is>
      </c>
      <c r="P32" s="84" t="inlineStr">
        <is>
          <t/>
        </is>
      </c>
      <c r="Q32" s="85" t="n">
        <v>0.0</v>
      </c>
      <c r="R32" s="86" t="inlineStr">
        <is>
          <t/>
        </is>
      </c>
      <c r="S32" s="87" t="n">
        <v>1.07</v>
      </c>
      <c r="T32" s="88" t="inlineStr">
        <is>
          <t/>
        </is>
      </c>
      <c r="U32" s="89" t="n">
        <v>1.07</v>
      </c>
      <c r="V32" s="90" t="inlineStr">
        <is>
          <t/>
        </is>
      </c>
      <c r="W32" s="91" t="inlineStr">
        <is>
          <t/>
        </is>
      </c>
      <c r="X32" s="92" t="inlineStr">
        <is>
          <t>GP Self Reporting</t>
        </is>
      </c>
      <c r="Y32" s="93" t="inlineStr">
        <is>
          <t>2020 Y</t>
        </is>
      </c>
      <c r="Z32" s="94" t="inlineStr">
        <is>
          <t>0 - 99M</t>
        </is>
      </c>
      <c r="AA32" s="95" t="inlineStr">
        <is>
          <t>HBM Healthcare Investments</t>
        </is>
      </c>
      <c r="AB32" s="96" t="inlineStr">
        <is>
          <t>Zug, Switzerland</t>
        </is>
      </c>
      <c r="AC32" s="97" t="inlineStr">
        <is>
          <t>Pharmaceuticals and Biotechnology</t>
        </is>
      </c>
      <c r="AD32" s="98" t="inlineStr">
        <is>
          <t>Seed Round, Early Stage VC</t>
        </is>
      </c>
      <c r="AE32" s="99" t="inlineStr">
        <is>
          <t/>
        </is>
      </c>
      <c r="AF32" s="100" t="inlineStr">
        <is>
          <t>HBM</t>
        </is>
      </c>
      <c r="AG32" s="233">
        <f>HYPERLINK("https://my.pitchbook.com?i=10367-47", "View Investor Online")</f>
      </c>
    </row>
    <row r="33">
      <c r="A33" s="36" t="inlineStr">
        <is>
          <t>15556-87F</t>
        </is>
      </c>
      <c r="B33" s="37" t="inlineStr">
        <is>
          <t>The House Fund</t>
        </is>
      </c>
      <c r="C33" s="38" t="inlineStr">
        <is>
          <t/>
        </is>
      </c>
      <c r="D33" s="39" t="inlineStr">
        <is>
          <t>Venture Capital</t>
        </is>
      </c>
      <c r="E33" s="40" t="n">
        <v>6.0</v>
      </c>
      <c r="F33" s="41" t="inlineStr">
        <is>
          <t>Berkeley, CA</t>
        </is>
      </c>
      <c r="G33" s="42" t="n">
        <v>4.0</v>
      </c>
      <c r="H33" s="43" t="n">
        <v>2015.0</v>
      </c>
      <c r="I33" s="44" t="n">
        <v>100.0</v>
      </c>
      <c r="J33" s="45" t="n">
        <v>6.0</v>
      </c>
      <c r="K33" s="46" t="n">
        <v>0.262742048469839</v>
      </c>
      <c r="L33" s="47" t="n">
        <v>0.0</v>
      </c>
      <c r="M33" s="48" t="n">
        <v>6.421206</v>
      </c>
      <c r="N33" s="49" t="n">
        <v>3.2</v>
      </c>
      <c r="O33" s="50" t="inlineStr">
        <is>
          <t/>
        </is>
      </c>
      <c r="P33" s="51" t="n">
        <v>-11.8</v>
      </c>
      <c r="Q33" s="52" t="n">
        <v>0.0</v>
      </c>
      <c r="R33" s="53" t="n">
        <v>-0.12</v>
      </c>
      <c r="S33" s="54" t="n">
        <v>1.07</v>
      </c>
      <c r="T33" s="55" t="n">
        <v>-0.04569999999999985</v>
      </c>
      <c r="U33" s="56" t="n">
        <v>1.07</v>
      </c>
      <c r="V33" s="57" t="n">
        <v>-0.1399999999999999</v>
      </c>
      <c r="W33" s="58" t="inlineStr">
        <is>
          <t/>
        </is>
      </c>
      <c r="X33" s="59" t="inlineStr">
        <is>
          <t>LP Original Commitments</t>
        </is>
      </c>
      <c r="Y33" s="60" t="inlineStr">
        <is>
          <t>2019 Y</t>
        </is>
      </c>
      <c r="Z33" s="61" t="inlineStr">
        <is>
          <t>0 - 99M</t>
        </is>
      </c>
      <c r="AA33" s="62" t="inlineStr">
        <is>
          <t>The House Fund</t>
        </is>
      </c>
      <c r="AB33" s="63" t="inlineStr">
        <is>
          <t>Berkeley, CA</t>
        </is>
      </c>
      <c r="AC33" s="64" t="inlineStr">
        <is>
          <t>Software</t>
        </is>
      </c>
      <c r="AD33" s="65" t="inlineStr">
        <is>
          <t>Seed Round</t>
        </is>
      </c>
      <c r="AE33" s="66" t="inlineStr">
        <is>
          <t>510</t>
        </is>
      </c>
      <c r="AF33" s="67" t="inlineStr">
        <is>
          <t>UC Regents</t>
        </is>
      </c>
      <c r="AG33" s="232">
        <f>HYPERLINK("https://my.pitchbook.com?i=157412-62", "View Investor Online")</f>
      </c>
    </row>
    <row r="34">
      <c r="A34" s="69" t="inlineStr">
        <is>
          <t>13190-32F</t>
        </is>
      </c>
      <c r="B34" s="70" t="inlineStr">
        <is>
          <t>Bangladesh Ventures</t>
        </is>
      </c>
      <c r="C34" s="71" t="inlineStr">
        <is>
          <t/>
        </is>
      </c>
      <c r="D34" s="72" t="inlineStr">
        <is>
          <t>Venture Capital</t>
        </is>
      </c>
      <c r="E34" s="73" t="n">
        <v>12.0</v>
      </c>
      <c r="F34" s="74" t="inlineStr">
        <is>
          <t>Dhaka, Bangladesh</t>
        </is>
      </c>
      <c r="G34" s="75" t="inlineStr">
        <is>
          <t/>
        </is>
      </c>
      <c r="H34" s="76" t="n">
        <v>2010.0</v>
      </c>
      <c r="I34" s="77" t="n">
        <v>84.16666666666667</v>
      </c>
      <c r="J34" s="78" t="n">
        <v>10.1</v>
      </c>
      <c r="K34" s="79" t="n">
        <v>1.9</v>
      </c>
      <c r="L34" s="80" t="n">
        <v>0.25</v>
      </c>
      <c r="M34" s="81" t="n">
        <v>11.04</v>
      </c>
      <c r="N34" s="82" t="inlineStr">
        <is>
          <t/>
        </is>
      </c>
      <c r="O34" s="83" t="inlineStr">
        <is>
          <t/>
        </is>
      </c>
      <c r="P34" s="84" t="inlineStr">
        <is>
          <t/>
        </is>
      </c>
      <c r="Q34" s="85" t="n">
        <v>0.024752475</v>
      </c>
      <c r="R34" s="86" t="inlineStr">
        <is>
          <t/>
        </is>
      </c>
      <c r="S34" s="87" t="n">
        <v>1.093069307</v>
      </c>
      <c r="T34" s="88" t="inlineStr">
        <is>
          <t/>
        </is>
      </c>
      <c r="U34" s="89" t="n">
        <v>1.11</v>
      </c>
      <c r="V34" s="90" t="inlineStr">
        <is>
          <t/>
        </is>
      </c>
      <c r="W34" s="91" t="inlineStr">
        <is>
          <t/>
        </is>
      </c>
      <c r="X34" s="92" t="inlineStr">
        <is>
          <t>GP Self Reporting</t>
        </is>
      </c>
      <c r="Y34" s="93" t="inlineStr">
        <is>
          <t>2016 Y</t>
        </is>
      </c>
      <c r="Z34" s="94" t="inlineStr">
        <is>
          <t>0 - 99M</t>
        </is>
      </c>
      <c r="AA34" s="95" t="inlineStr">
        <is>
          <t>Small Enterprise Assistance Funds</t>
        </is>
      </c>
      <c r="AB34" s="96" t="inlineStr">
        <is>
          <t>Washington, DC</t>
        </is>
      </c>
      <c r="AC34" s="97" t="inlineStr">
        <is>
          <t>Energy Equipment</t>
        </is>
      </c>
      <c r="AD34" s="98" t="inlineStr">
        <is>
          <t>Seed Round, Early Stage VC, Later Stage VC</t>
        </is>
      </c>
      <c r="AE34" s="99" t="inlineStr">
        <is>
          <t>Bangladesh</t>
        </is>
      </c>
      <c r="AF34" s="100" t="inlineStr">
        <is>
          <t>SEAF</t>
        </is>
      </c>
      <c r="AG34" s="233">
        <f>HYPERLINK("https://my.pitchbook.com?i=11298-79", "View Investor Online")</f>
      </c>
    </row>
    <row r="35">
      <c r="A35" s="36" t="inlineStr">
        <is>
          <t>13581-91F</t>
        </is>
      </c>
      <c r="B35" s="37" t="inlineStr">
        <is>
          <t>Inter-Atlantic Fund III</t>
        </is>
      </c>
      <c r="C35" s="38" t="inlineStr">
        <is>
          <t/>
        </is>
      </c>
      <c r="D35" s="39" t="inlineStr">
        <is>
          <t>Venture Capital</t>
        </is>
      </c>
      <c r="E35" s="40" t="n">
        <v>10.0</v>
      </c>
      <c r="F35" s="41" t="inlineStr">
        <is>
          <t>New York, NY</t>
        </is>
      </c>
      <c r="G35" s="42" t="inlineStr">
        <is>
          <t/>
        </is>
      </c>
      <c r="H35" s="43" t="n">
        <v>2011.0</v>
      </c>
      <c r="I35" s="44" t="n">
        <v>100.0</v>
      </c>
      <c r="J35" s="45" t="n">
        <v>11.331453</v>
      </c>
      <c r="K35" s="46" t="n">
        <v>0.0</v>
      </c>
      <c r="L35" s="47" t="n">
        <v>0.0</v>
      </c>
      <c r="M35" s="48" t="n">
        <v>12.8323</v>
      </c>
      <c r="N35" s="49" t="inlineStr">
        <is>
          <t/>
        </is>
      </c>
      <c r="O35" s="50" t="inlineStr">
        <is>
          <t/>
        </is>
      </c>
      <c r="P35" s="51" t="inlineStr">
        <is>
          <t/>
        </is>
      </c>
      <c r="Q35" s="52" t="n">
        <v>0.0</v>
      </c>
      <c r="R35" s="53" t="n">
        <v>-0.19</v>
      </c>
      <c r="S35" s="54" t="n">
        <v>1.13</v>
      </c>
      <c r="T35" s="55" t="n">
        <v>-0.029100000000000126</v>
      </c>
      <c r="U35" s="56" t="n">
        <v>1.13</v>
      </c>
      <c r="V35" s="57" t="n">
        <v>-0.40000000000000013</v>
      </c>
      <c r="W35" s="58" t="inlineStr">
        <is>
          <t/>
        </is>
      </c>
      <c r="X35" s="59" t="inlineStr">
        <is>
          <t>LP Original Commitments</t>
        </is>
      </c>
      <c r="Y35" s="60" t="inlineStr">
        <is>
          <t>2013 Y</t>
        </is>
      </c>
      <c r="Z35" s="61" t="inlineStr">
        <is>
          <t>0 - 99M</t>
        </is>
      </c>
      <c r="AA35" s="62" t="inlineStr">
        <is>
          <t>IA Capital Group</t>
        </is>
      </c>
      <c r="AB35" s="63" t="inlineStr">
        <is>
          <t>New York, NY</t>
        </is>
      </c>
      <c r="AC35" s="64" t="inlineStr">
        <is>
          <t>Insurance</t>
        </is>
      </c>
      <c r="AD35" s="65" t="inlineStr">
        <is>
          <t>Seed Round, Early Stage VC, Later Stage VC</t>
        </is>
      </c>
      <c r="AE35" s="66" t="inlineStr">
        <is>
          <t>United States, Canada</t>
        </is>
      </c>
      <c r="AF35" s="67" t="inlineStr">
        <is>
          <t>PICA</t>
        </is>
      </c>
      <c r="AG35" s="232">
        <f>HYPERLINK("https://my.pitchbook.com?i=11219-50", "View Investor Online")</f>
      </c>
    </row>
    <row r="36">
      <c r="A36" s="69" t="inlineStr">
        <is>
          <t>16085-71F</t>
        </is>
      </c>
      <c r="B36" s="70" t="inlineStr">
        <is>
          <t>SVG Thrive Fund</t>
        </is>
      </c>
      <c r="C36" s="71" t="inlineStr">
        <is>
          <t/>
        </is>
      </c>
      <c r="D36" s="72" t="inlineStr">
        <is>
          <t>Venture Capital</t>
        </is>
      </c>
      <c r="E36" s="73" t="n">
        <v>6.0</v>
      </c>
      <c r="F36" s="74" t="inlineStr">
        <is>
          <t>Los Gatos, CA</t>
        </is>
      </c>
      <c r="G36" s="75" t="n">
        <v>4.0</v>
      </c>
      <c r="H36" s="76" t="n">
        <v>2017.0</v>
      </c>
      <c r="I36" s="77" t="n">
        <v>40.177083333333336</v>
      </c>
      <c r="J36" s="78" t="n">
        <v>2.410625</v>
      </c>
      <c r="K36" s="79" t="n">
        <v>2.9550000475482263</v>
      </c>
      <c r="L36" s="80" t="n">
        <v>0.0</v>
      </c>
      <c r="M36" s="81" t="n">
        <v>2.735819</v>
      </c>
      <c r="N36" s="82" t="n">
        <v>5.7</v>
      </c>
      <c r="O36" s="83" t="inlineStr">
        <is>
          <t/>
        </is>
      </c>
      <c r="P36" s="84" t="n">
        <v>-24.75</v>
      </c>
      <c r="Q36" s="85" t="n">
        <v>0.0</v>
      </c>
      <c r="R36" s="86" t="n">
        <v>0.0</v>
      </c>
      <c r="S36" s="87" t="n">
        <v>1.134900285</v>
      </c>
      <c r="T36" s="88" t="n">
        <v>-0.005719714999999903</v>
      </c>
      <c r="U36" s="89" t="n">
        <v>1.13</v>
      </c>
      <c r="V36" s="90" t="n">
        <v>-0.14500000000000002</v>
      </c>
      <c r="W36" s="91" t="inlineStr">
        <is>
          <t/>
        </is>
      </c>
      <c r="X36" s="92" t="inlineStr">
        <is>
          <t>GP Self Reporting</t>
        </is>
      </c>
      <c r="Y36" s="93" t="inlineStr">
        <is>
          <t>2018 Y</t>
        </is>
      </c>
      <c r="Z36" s="94" t="inlineStr">
        <is>
          <t>0 - 99M</t>
        </is>
      </c>
      <c r="AA36" s="95" t="inlineStr">
        <is>
          <t>SVG Ventures</t>
        </is>
      </c>
      <c r="AB36" s="96" t="inlineStr">
        <is>
          <t>Los Gatos, CA</t>
        </is>
      </c>
      <c r="AC36" s="97" t="inlineStr">
        <is>
          <t>Agriculture, Software</t>
        </is>
      </c>
      <c r="AD36" s="98" t="inlineStr">
        <is>
          <t>Seed Round, Early Stage VC, Later Stage VC</t>
        </is>
      </c>
      <c r="AE36" s="99" t="inlineStr">
        <is>
          <t/>
        </is>
      </c>
      <c r="AF36" s="100" t="inlineStr">
        <is>
          <t>SVG, SVG Ventures-THRIVE, Thrive, Thrive Accelerator</t>
        </is>
      </c>
      <c r="AG36" s="233">
        <f>HYPERLINK("https://my.pitchbook.com?i=63176-32", "View Investor Online")</f>
      </c>
    </row>
    <row r="37">
      <c r="A37" s="36" t="inlineStr">
        <is>
          <t>16003-90F</t>
        </is>
      </c>
      <c r="B37" s="37" t="inlineStr">
        <is>
          <t>Camden Partners Nexus Fund</t>
        </is>
      </c>
      <c r="C37" s="38" t="inlineStr">
        <is>
          <t>Camden Partners Exelixis Fund</t>
        </is>
      </c>
      <c r="D37" s="39" t="inlineStr">
        <is>
          <t>Venture Capital</t>
        </is>
      </c>
      <c r="E37" s="40" t="n">
        <v>14.889</v>
      </c>
      <c r="F37" s="41" t="inlineStr">
        <is>
          <t>Baltimore, MD</t>
        </is>
      </c>
      <c r="G37" s="42" t="n">
        <v>4.0</v>
      </c>
      <c r="H37" s="43" t="n">
        <v>2016.0</v>
      </c>
      <c r="I37" s="44" t="n">
        <v>94.00228356504803</v>
      </c>
      <c r="J37" s="45" t="n">
        <v>13.996000000000002</v>
      </c>
      <c r="K37" s="46" t="n">
        <v>1.19095</v>
      </c>
      <c r="L37" s="47" t="n">
        <v>3.3300000000000003E-7</v>
      </c>
      <c r="M37" s="48" t="n">
        <v>16.19</v>
      </c>
      <c r="N37" s="49" t="n">
        <v>7.9</v>
      </c>
      <c r="O37" s="50" t="inlineStr">
        <is>
          <t/>
        </is>
      </c>
      <c r="P37" s="51" t="n">
        <v>-12.62</v>
      </c>
      <c r="Q37" s="52" t="n">
        <v>2.37925E-8</v>
      </c>
      <c r="R37" s="53" t="n">
        <v>-0.0601999762075</v>
      </c>
      <c r="S37" s="54" t="n">
        <v>1.156759074</v>
      </c>
      <c r="T37" s="55" t="n">
        <v>-0.01324092599999993</v>
      </c>
      <c r="U37" s="56" t="n">
        <v>1.16</v>
      </c>
      <c r="V37" s="57" t="n">
        <v>-0.10000000000000009</v>
      </c>
      <c r="W37" s="58" t="inlineStr">
        <is>
          <t/>
        </is>
      </c>
      <c r="X37" s="59" t="inlineStr">
        <is>
          <t>GP Self Reporting</t>
        </is>
      </c>
      <c r="Y37" s="60" t="inlineStr">
        <is>
          <t>2019 Y</t>
        </is>
      </c>
      <c r="Z37" s="61" t="inlineStr">
        <is>
          <t>0 - 99M</t>
        </is>
      </c>
      <c r="AA37" s="62" t="inlineStr">
        <is>
          <t>Camden Partners</t>
        </is>
      </c>
      <c r="AB37" s="63" t="inlineStr">
        <is>
          <t>Baltimore, MD</t>
        </is>
      </c>
      <c r="AC37" s="64" t="inlineStr">
        <is>
          <t>Pharmaceuticals and Biotechnology, Healthcare Devices and Supplies</t>
        </is>
      </c>
      <c r="AD37" s="65" t="inlineStr">
        <is>
          <t>Early Stage VC, Seed Round, Later Stage VC</t>
        </is>
      </c>
      <c r="AE37" s="66" t="inlineStr">
        <is>
          <t/>
        </is>
      </c>
      <c r="AF37" s="67" t="inlineStr">
        <is>
          <t>Camden, Camden Partners Holdings, Limited Liability Company</t>
        </is>
      </c>
      <c r="AG37" s="232">
        <f>HYPERLINK("https://my.pitchbook.com?i=10065-16", "View Investor Online")</f>
      </c>
    </row>
    <row r="38">
      <c r="A38" s="69" t="inlineStr">
        <is>
          <t>14917-87F</t>
        </is>
      </c>
      <c r="B38" s="70" t="inlineStr">
        <is>
          <t>ACE Angel Partners</t>
        </is>
      </c>
      <c r="C38" s="71" t="inlineStr">
        <is>
          <t/>
        </is>
      </c>
      <c r="D38" s="72" t="inlineStr">
        <is>
          <t>Venture Capital</t>
        </is>
      </c>
      <c r="E38" s="73" t="n">
        <v>14.5</v>
      </c>
      <c r="F38" s="74" t="inlineStr">
        <is>
          <t>Geneva, Switzerland</t>
        </is>
      </c>
      <c r="G38" s="75" t="inlineStr">
        <is>
          <t/>
        </is>
      </c>
      <c r="H38" s="76" t="n">
        <v>2013.0</v>
      </c>
      <c r="I38" s="77" t="n">
        <v>100.0</v>
      </c>
      <c r="J38" s="78" t="n">
        <v>14.5</v>
      </c>
      <c r="K38" s="79" t="n">
        <v>0.27453333333333335</v>
      </c>
      <c r="L38" s="80" t="n">
        <v>0.0</v>
      </c>
      <c r="M38" s="81" t="n">
        <v>17.09</v>
      </c>
      <c r="N38" s="82" t="n">
        <v>3.38</v>
      </c>
      <c r="O38" s="83" t="inlineStr">
        <is>
          <t/>
        </is>
      </c>
      <c r="P38" s="84" t="inlineStr">
        <is>
          <t/>
        </is>
      </c>
      <c r="Q38" s="85" t="n">
        <v>0.0</v>
      </c>
      <c r="R38" s="86" t="n">
        <v>-0.07872</v>
      </c>
      <c r="S38" s="87" t="n">
        <v>1.17862069</v>
      </c>
      <c r="T38" s="88" t="n">
        <v>-0.03645930999999991</v>
      </c>
      <c r="U38" s="89" t="n">
        <v>1.18</v>
      </c>
      <c r="V38" s="90" t="n">
        <v>-0.14500000000000002</v>
      </c>
      <c r="W38" s="91" t="inlineStr">
        <is>
          <t/>
        </is>
      </c>
      <c r="X38" s="92" t="inlineStr">
        <is>
          <t>GP Self Reporting</t>
        </is>
      </c>
      <c r="Y38" s="93" t="inlineStr">
        <is>
          <t>2019 Y</t>
        </is>
      </c>
      <c r="Z38" s="94" t="inlineStr">
        <is>
          <t>0 - 99M</t>
        </is>
      </c>
      <c r="AA38" s="95" t="inlineStr">
        <is>
          <t>ACE &amp; Company</t>
        </is>
      </c>
      <c r="AB38" s="96" t="inlineStr">
        <is>
          <t>Geneva, Switzerland</t>
        </is>
      </c>
      <c r="AC38" s="97" t="inlineStr">
        <is>
          <t>Software</t>
        </is>
      </c>
      <c r="AD38" s="98" t="inlineStr">
        <is>
          <t>Seed Round, Early Stage VC, Later Stage VC</t>
        </is>
      </c>
      <c r="AE38" s="99" t="inlineStr">
        <is>
          <t/>
        </is>
      </c>
      <c r="AF38" s="100" t="inlineStr">
        <is>
          <t>ACE</t>
        </is>
      </c>
      <c r="AG38" s="233">
        <f>HYPERLINK("https://my.pitchbook.com?i=56092-96", "View Investor Online")</f>
      </c>
    </row>
    <row r="39">
      <c r="A39" s="36" t="inlineStr">
        <is>
          <t>14448-43F</t>
        </is>
      </c>
      <c r="B39" s="37" t="inlineStr">
        <is>
          <t>Aristos Ventures I</t>
        </is>
      </c>
      <c r="C39" s="38" t="inlineStr">
        <is>
          <t/>
        </is>
      </c>
      <c r="D39" s="39" t="inlineStr">
        <is>
          <t>Venture Capital</t>
        </is>
      </c>
      <c r="E39" s="40" t="n">
        <v>10.0</v>
      </c>
      <c r="F39" s="41" t="inlineStr">
        <is>
          <t>Dallas, TX</t>
        </is>
      </c>
      <c r="G39" s="42" t="n">
        <v>3.0</v>
      </c>
      <c r="H39" s="43" t="n">
        <v>2014.0</v>
      </c>
      <c r="I39" s="44" t="n">
        <v>40.0</v>
      </c>
      <c r="J39" s="45" t="n">
        <v>4.0</v>
      </c>
      <c r="K39" s="46" t="n">
        <v>0.2008819206271436</v>
      </c>
      <c r="L39" s="47" t="inlineStr">
        <is>
          <t/>
        </is>
      </c>
      <c r="M39" s="48" t="inlineStr">
        <is>
          <t/>
        </is>
      </c>
      <c r="N39" s="49" t="n">
        <v>11.1</v>
      </c>
      <c r="O39" s="50" t="inlineStr">
        <is>
          <t/>
        </is>
      </c>
      <c r="P39" s="51" t="n">
        <v>-2.860000000000001</v>
      </c>
      <c r="Q39" s="52" t="n">
        <v>0.02</v>
      </c>
      <c r="R39" s="53" t="n">
        <v>0.0</v>
      </c>
      <c r="S39" s="54" t="n">
        <v>1.18</v>
      </c>
      <c r="T39" s="55" t="n">
        <v>0.0</v>
      </c>
      <c r="U39" s="56" t="n">
        <v>1.2</v>
      </c>
      <c r="V39" s="57" t="n">
        <v>-0.30000000000000004</v>
      </c>
      <c r="W39" s="58" t="inlineStr">
        <is>
          <t/>
        </is>
      </c>
      <c r="X39" s="59" t="inlineStr">
        <is>
          <t>GP Self Reporting</t>
        </is>
      </c>
      <c r="Y39" s="60" t="inlineStr">
        <is>
          <t>2017 Y</t>
        </is>
      </c>
      <c r="Z39" s="61" t="inlineStr">
        <is>
          <t>0 - 99M</t>
        </is>
      </c>
      <c r="AA39" s="62" t="inlineStr">
        <is>
          <t>Aristos Ventures</t>
        </is>
      </c>
      <c r="AB39" s="63" t="inlineStr">
        <is>
          <t>Dallas, TX</t>
        </is>
      </c>
      <c r="AC39" s="64" t="inlineStr">
        <is>
          <t>Software</t>
        </is>
      </c>
      <c r="AD39" s="65" t="inlineStr">
        <is>
          <t>Seed Round, Early Stage VC, Later Stage VC</t>
        </is>
      </c>
      <c r="AE39" s="66" t="inlineStr">
        <is>
          <t>North America</t>
        </is>
      </c>
      <c r="AF39" s="67" t="inlineStr">
        <is>
          <t>Aristos</t>
        </is>
      </c>
      <c r="AG39" s="232">
        <f>HYPERLINK("https://my.pitchbook.com?i=57935-35", "View Investor Online")</f>
      </c>
    </row>
    <row r="40">
      <c r="A40" s="69" t="inlineStr">
        <is>
          <t>14831-47F</t>
        </is>
      </c>
      <c r="B40" s="70" t="inlineStr">
        <is>
          <t>Oregon Angel Fund 2015</t>
        </is>
      </c>
      <c r="C40" s="71" t="inlineStr">
        <is>
          <t/>
        </is>
      </c>
      <c r="D40" s="72" t="inlineStr">
        <is>
          <t>Venture Capital</t>
        </is>
      </c>
      <c r="E40" s="73" t="n">
        <v>8.425</v>
      </c>
      <c r="F40" s="74" t="inlineStr">
        <is>
          <t>Portland, OR</t>
        </is>
      </c>
      <c r="G40" s="75" t="n">
        <v>2.0</v>
      </c>
      <c r="H40" s="76" t="n">
        <v>2015.0</v>
      </c>
      <c r="I40" s="77" t="n">
        <v>84.62908011869436</v>
      </c>
      <c r="J40" s="78" t="n">
        <v>7.13</v>
      </c>
      <c r="K40" s="79" t="n">
        <v>0.0</v>
      </c>
      <c r="L40" s="80" t="n">
        <v>0.9899999999999999</v>
      </c>
      <c r="M40" s="81" t="n">
        <v>7.8020000000000005</v>
      </c>
      <c r="N40" s="82" t="n">
        <v>15.0</v>
      </c>
      <c r="O40" s="83" t="inlineStr">
        <is>
          <t/>
        </is>
      </c>
      <c r="P40" s="84" t="n">
        <v>0.0</v>
      </c>
      <c r="Q40" s="85" t="n">
        <v>0.13884993</v>
      </c>
      <c r="R40" s="86" t="n">
        <v>0.018849930000000015</v>
      </c>
      <c r="S40" s="87" t="n">
        <v>1.094249649</v>
      </c>
      <c r="T40" s="88" t="n">
        <v>-0.021450350999999923</v>
      </c>
      <c r="U40" s="89" t="n">
        <v>1.23</v>
      </c>
      <c r="V40" s="90" t="n">
        <v>0.020000000000000018</v>
      </c>
      <c r="W40" s="91" t="inlineStr">
        <is>
          <t/>
        </is>
      </c>
      <c r="X40" s="92" t="inlineStr">
        <is>
          <t>GP Self Reporting</t>
        </is>
      </c>
      <c r="Y40" s="93" t="inlineStr">
        <is>
          <t>2019 Y</t>
        </is>
      </c>
      <c r="Z40" s="94" t="inlineStr">
        <is>
          <t>0 - 99M</t>
        </is>
      </c>
      <c r="AA40" s="95" t="inlineStr">
        <is>
          <t>Oregon Venture Fund</t>
        </is>
      </c>
      <c r="AB40" s="96" t="inlineStr">
        <is>
          <t>Portland, OR</t>
        </is>
      </c>
      <c r="AC40" s="97" t="inlineStr">
        <is>
          <t>Business Products and Services (B2B), Consumer Products and Services (B2C), Energy, Financial Services, Healthcare, Information Technology, Materials and Resources</t>
        </is>
      </c>
      <c r="AD40" s="98" t="inlineStr">
        <is>
          <t>Seed Round, Early Stage VC, Later Stage VC</t>
        </is>
      </c>
      <c r="AE40" s="99" t="inlineStr">
        <is>
          <t>Oregon</t>
        </is>
      </c>
      <c r="AF40" s="100" t="inlineStr">
        <is>
          <t>OVF</t>
        </is>
      </c>
      <c r="AG40" s="233">
        <f>HYPERLINK("https://my.pitchbook.com?i=51143-68", "View Investor Online")</f>
      </c>
    </row>
    <row r="41">
      <c r="A41" s="36" t="inlineStr">
        <is>
          <t>16418-80F</t>
        </is>
      </c>
      <c r="B41" s="37" t="inlineStr">
        <is>
          <t>Peregrine Select Fund I</t>
        </is>
      </c>
      <c r="C41" s="38" t="inlineStr">
        <is>
          <t/>
        </is>
      </c>
      <c r="D41" s="39" t="inlineStr">
        <is>
          <t>Venture Capital</t>
        </is>
      </c>
      <c r="E41" s="40" t="n">
        <v>10.6</v>
      </c>
      <c r="F41" s="41" t="inlineStr">
        <is>
          <t>San Francisco, CA</t>
        </is>
      </c>
      <c r="G41" s="42" t="n">
        <v>2.0</v>
      </c>
      <c r="H41" s="43" t="n">
        <v>2018.0</v>
      </c>
      <c r="I41" s="44" t="n">
        <v>80.0</v>
      </c>
      <c r="J41" s="45" t="n">
        <v>8.479999999999999</v>
      </c>
      <c r="K41" s="46" t="n">
        <v>2.115002357378595</v>
      </c>
      <c r="L41" s="47" t="n">
        <v>0.0</v>
      </c>
      <c r="M41" s="48" t="n">
        <v>10.889212578972183</v>
      </c>
      <c r="N41" s="49" t="n">
        <v>25.3</v>
      </c>
      <c r="O41" s="50" t="inlineStr">
        <is>
          <t/>
        </is>
      </c>
      <c r="P41" s="51" t="n">
        <v>12.110000000000001</v>
      </c>
      <c r="Q41" s="52" t="n">
        <v>0.0</v>
      </c>
      <c r="R41" s="53" t="n">
        <v>0.0</v>
      </c>
      <c r="S41" s="54" t="n">
        <v>1.28</v>
      </c>
      <c r="T41" s="55" t="n">
        <v>0.26851</v>
      </c>
      <c r="U41" s="56" t="n">
        <v>1.28</v>
      </c>
      <c r="V41" s="57" t="n">
        <v>0.17999999999999994</v>
      </c>
      <c r="W41" s="58" t="inlineStr">
        <is>
          <t/>
        </is>
      </c>
      <c r="X41" s="59" t="inlineStr">
        <is>
          <t>GP Self Reporting</t>
        </is>
      </c>
      <c r="Y41" s="60" t="inlineStr">
        <is>
          <t>2020 Y</t>
        </is>
      </c>
      <c r="Z41" s="61" t="inlineStr">
        <is>
          <t>0 - 99M</t>
        </is>
      </c>
      <c r="AA41" s="62" t="inlineStr">
        <is>
          <t>Right Side Capital Management</t>
        </is>
      </c>
      <c r="AB41" s="63" t="inlineStr">
        <is>
          <t>San Francisco, CA</t>
        </is>
      </c>
      <c r="AC41" s="64" t="inlineStr">
        <is>
          <t/>
        </is>
      </c>
      <c r="AD41" s="65" t="inlineStr">
        <is>
          <t>Seed Round, Early Stage VC, Later Stage VC</t>
        </is>
      </c>
      <c r="AE41" s="66" t="inlineStr">
        <is>
          <t/>
        </is>
      </c>
      <c r="AF41" s="67" t="inlineStr">
        <is>
          <t>RSCM</t>
        </is>
      </c>
      <c r="AG41" s="232">
        <f>HYPERLINK("https://my.pitchbook.com?i=55261-00", "View Investor Online")</f>
      </c>
    </row>
    <row r="42">
      <c r="A42" s="69" t="inlineStr">
        <is>
          <t>16685-20F</t>
        </is>
      </c>
      <c r="B42" s="70" t="inlineStr">
        <is>
          <t>Clear Current Capital Fund I</t>
        </is>
      </c>
      <c r="C42" s="71" t="inlineStr">
        <is>
          <t/>
        </is>
      </c>
      <c r="D42" s="72" t="inlineStr">
        <is>
          <t>Venture Capital - Early Stage</t>
        </is>
      </c>
      <c r="E42" s="73" t="n">
        <v>13.25</v>
      </c>
      <c r="F42" s="74" t="inlineStr">
        <is>
          <t>Vero Beach, FL</t>
        </is>
      </c>
      <c r="G42" s="75" t="n">
        <v>1.0</v>
      </c>
      <c r="H42" s="76" t="n">
        <v>2018.0</v>
      </c>
      <c r="I42" s="77" t="inlineStr">
        <is>
          <t/>
        </is>
      </c>
      <c r="J42" s="78" t="inlineStr">
        <is>
          <t/>
        </is>
      </c>
      <c r="K42" s="79" t="n">
        <v>5.006912442396313</v>
      </c>
      <c r="L42" s="80" t="inlineStr">
        <is>
          <t/>
        </is>
      </c>
      <c r="M42" s="81" t="inlineStr">
        <is>
          <t/>
        </is>
      </c>
      <c r="N42" s="82" t="n">
        <v>30.11</v>
      </c>
      <c r="O42" s="83" t="inlineStr">
        <is>
          <t/>
        </is>
      </c>
      <c r="P42" s="84" t="n">
        <v>23.939999999999998</v>
      </c>
      <c r="Q42" s="85" t="n">
        <v>0.0</v>
      </c>
      <c r="R42" s="86" t="n">
        <v>0.0</v>
      </c>
      <c r="S42" s="87" t="n">
        <v>1.29</v>
      </c>
      <c r="T42" s="88" t="n">
        <v>0.28500000000000014</v>
      </c>
      <c r="U42" s="89" t="n">
        <v>1.29</v>
      </c>
      <c r="V42" s="90" t="n">
        <v>0.31000000000000005</v>
      </c>
      <c r="W42" s="91" t="inlineStr">
        <is>
          <t/>
        </is>
      </c>
      <c r="X42" s="92" t="inlineStr">
        <is>
          <t>GP Self Reporting</t>
        </is>
      </c>
      <c r="Y42" s="93" t="inlineStr">
        <is>
          <t>2019 Y</t>
        </is>
      </c>
      <c r="Z42" s="94" t="inlineStr">
        <is>
          <t>0 - 99M</t>
        </is>
      </c>
      <c r="AA42" s="95" t="inlineStr">
        <is>
          <t>Clear Current Capital</t>
        </is>
      </c>
      <c r="AB42" s="96" t="inlineStr">
        <is>
          <t>Vero Beach, FL</t>
        </is>
      </c>
      <c r="AC42" s="97" t="inlineStr">
        <is>
          <t/>
        </is>
      </c>
      <c r="AD42" s="98" t="inlineStr">
        <is>
          <t>Early Stage VC, Seed Round</t>
        </is>
      </c>
      <c r="AE42" s="99" t="inlineStr">
        <is>
          <t>United States</t>
        </is>
      </c>
      <c r="AF42" s="100" t="inlineStr">
        <is>
          <t>Clear Current Capital</t>
        </is>
      </c>
      <c r="AG42" s="233">
        <f>HYPERLINK("https://my.pitchbook.com?i=231722-83", "View Investor Online")</f>
      </c>
    </row>
    <row r="43">
      <c r="A43" s="36" t="inlineStr">
        <is>
          <t>14573-53F</t>
        </is>
      </c>
      <c r="B43" s="37" t="inlineStr">
        <is>
          <t>Cottonwood Euro Technology Fund</t>
        </is>
      </c>
      <c r="C43" s="38" t="inlineStr">
        <is>
          <t/>
        </is>
      </c>
      <c r="D43" s="39" t="inlineStr">
        <is>
          <t>Venture Capital - Early Stage</t>
        </is>
      </c>
      <c r="E43" s="40" t="n">
        <v>10.52662</v>
      </c>
      <c r="F43" s="41" t="inlineStr">
        <is>
          <t>Enschede, Netherlands</t>
        </is>
      </c>
      <c r="G43" s="42" t="inlineStr">
        <is>
          <t/>
        </is>
      </c>
      <c r="H43" s="43" t="n">
        <v>2015.0</v>
      </c>
      <c r="I43" s="44" t="n">
        <v>100.0</v>
      </c>
      <c r="J43" s="45" t="n">
        <v>10.526618660607078</v>
      </c>
      <c r="K43" s="46" t="n">
        <v>0.0</v>
      </c>
      <c r="L43" s="47" t="n">
        <v>0.0</v>
      </c>
      <c r="M43" s="48" t="n">
        <v>13.684604258789202</v>
      </c>
      <c r="N43" s="49" t="inlineStr">
        <is>
          <t/>
        </is>
      </c>
      <c r="O43" s="50" t="inlineStr">
        <is>
          <t/>
        </is>
      </c>
      <c r="P43" s="51" t="inlineStr">
        <is>
          <t/>
        </is>
      </c>
      <c r="Q43" s="52" t="n">
        <v>0.0</v>
      </c>
      <c r="R43" s="53" t="inlineStr">
        <is>
          <t/>
        </is>
      </c>
      <c r="S43" s="54" t="n">
        <v>1.3</v>
      </c>
      <c r="T43" s="55" t="n">
        <v>0.20500000000000007</v>
      </c>
      <c r="U43" s="56" t="n">
        <v>1.3</v>
      </c>
      <c r="V43" s="57" t="inlineStr">
        <is>
          <t/>
        </is>
      </c>
      <c r="W43" s="58" t="inlineStr">
        <is>
          <t/>
        </is>
      </c>
      <c r="X43" s="59" t="inlineStr">
        <is>
          <t>GP Self Reporting</t>
        </is>
      </c>
      <c r="Y43" s="60" t="inlineStr">
        <is>
          <t>2019 Y</t>
        </is>
      </c>
      <c r="Z43" s="61" t="inlineStr">
        <is>
          <t>0 - 99M</t>
        </is>
      </c>
      <c r="AA43" s="62" t="inlineStr">
        <is>
          <t>Cottonwood Technology Fund</t>
        </is>
      </c>
      <c r="AB43" s="63" t="inlineStr">
        <is>
          <t>Santa Fe, NM</t>
        </is>
      </c>
      <c r="AC43" s="64" t="inlineStr">
        <is>
          <t>Commercial Products, Materials and Resources, Telecommunications Service Providers</t>
        </is>
      </c>
      <c r="AD43" s="65" t="inlineStr">
        <is>
          <t>Seed Round, Early Stage VC</t>
        </is>
      </c>
      <c r="AE43" s="66" t="inlineStr">
        <is>
          <t>Northern Europe, Netherlands</t>
        </is>
      </c>
      <c r="AF43" s="67" t="inlineStr">
        <is>
          <t>CTF, Cottonwood</t>
        </is>
      </c>
      <c r="AG43" s="232">
        <f>HYPERLINK("https://my.pitchbook.com?i=42330-16", "View Investor Online")</f>
      </c>
    </row>
    <row r="44">
      <c r="A44" s="69" t="inlineStr">
        <is>
          <t>13846-06F</t>
        </is>
      </c>
      <c r="B44" s="70" t="inlineStr">
        <is>
          <t>PTV Sciences III</t>
        </is>
      </c>
      <c r="C44" s="71" t="inlineStr">
        <is>
          <t/>
        </is>
      </c>
      <c r="D44" s="72" t="inlineStr">
        <is>
          <t>Venture Capital</t>
        </is>
      </c>
      <c r="E44" s="73" t="n">
        <v>8.6</v>
      </c>
      <c r="F44" s="74" t="inlineStr">
        <is>
          <t>Austin, TX</t>
        </is>
      </c>
      <c r="G44" s="75" t="n">
        <v>3.0</v>
      </c>
      <c r="H44" s="76" t="n">
        <v>2010.0</v>
      </c>
      <c r="I44" s="77" t="n">
        <v>98.6046511627907</v>
      </c>
      <c r="J44" s="78" t="n">
        <v>8.48</v>
      </c>
      <c r="K44" s="79" t="n">
        <v>0.0</v>
      </c>
      <c r="L44" s="80" t="n">
        <v>11.11</v>
      </c>
      <c r="M44" s="81" t="n">
        <v>0.0</v>
      </c>
      <c r="N44" s="82" t="n">
        <v>6.7</v>
      </c>
      <c r="O44" s="83" t="inlineStr">
        <is>
          <t/>
        </is>
      </c>
      <c r="P44" s="84" t="n">
        <v>-14.8</v>
      </c>
      <c r="Q44" s="85" t="n">
        <v>1.31</v>
      </c>
      <c r="R44" s="86" t="n">
        <v>0.4900000000000001</v>
      </c>
      <c r="S44" s="87" t="n">
        <v>0.0</v>
      </c>
      <c r="T44" s="88" t="n">
        <v>-0.67363</v>
      </c>
      <c r="U44" s="89" t="n">
        <v>1.31</v>
      </c>
      <c r="V44" s="90" t="n">
        <v>0.010000000000000009</v>
      </c>
      <c r="W44" s="91" t="inlineStr">
        <is>
          <t/>
        </is>
      </c>
      <c r="X44" s="92" t="inlineStr">
        <is>
          <t>GP Self Reporting</t>
        </is>
      </c>
      <c r="Y44" s="93" t="inlineStr">
        <is>
          <t>2016 Y</t>
        </is>
      </c>
      <c r="Z44" s="94" t="inlineStr">
        <is>
          <t>0 - 99M</t>
        </is>
      </c>
      <c r="AA44" s="95" t="inlineStr">
        <is>
          <t>PTV Healthcare Capital</t>
        </is>
      </c>
      <c r="AB44" s="96" t="inlineStr">
        <is>
          <t>Austin, TX</t>
        </is>
      </c>
      <c r="AC44" s="97" t="inlineStr">
        <is>
          <t>Pharmaceuticals and Biotechnology</t>
        </is>
      </c>
      <c r="AD44" s="98" t="inlineStr">
        <is>
          <t>Seed Round, Early Stage VC, Later Stage VC</t>
        </is>
      </c>
      <c r="AE44" s="99" t="inlineStr">
        <is>
          <t/>
        </is>
      </c>
      <c r="AF44" s="100" t="inlineStr">
        <is>
          <t>PTV</t>
        </is>
      </c>
      <c r="AG44" s="233">
        <f>HYPERLINK("https://my.pitchbook.com?i=11278-18", "View Investor Online")</f>
      </c>
    </row>
    <row r="45">
      <c r="A45" s="36" t="inlineStr">
        <is>
          <t>16161-67F</t>
        </is>
      </c>
      <c r="B45" s="37" t="inlineStr">
        <is>
          <t>New Science Ventures 2009</t>
        </is>
      </c>
      <c r="C45" s="38" t="inlineStr">
        <is>
          <t/>
        </is>
      </c>
      <c r="D45" s="39" t="inlineStr">
        <is>
          <t>Venture Capital</t>
        </is>
      </c>
      <c r="E45" s="40" t="n">
        <v>10.0</v>
      </c>
      <c r="F45" s="41" t="inlineStr">
        <is>
          <t>New York, NY</t>
        </is>
      </c>
      <c r="G45" s="42" t="n">
        <v>2.0</v>
      </c>
      <c r="H45" s="43" t="n">
        <v>2009.0</v>
      </c>
      <c r="I45" s="44" t="n">
        <v>100.0</v>
      </c>
      <c r="J45" s="45" t="n">
        <v>10.0</v>
      </c>
      <c r="K45" s="46" t="n">
        <v>0.02054794520547945</v>
      </c>
      <c r="L45" s="47" t="n">
        <v>10.247586409781299</v>
      </c>
      <c r="M45" s="48" t="n">
        <v>4.781332237168313</v>
      </c>
      <c r="N45" s="49" t="n">
        <v>9.054519832</v>
      </c>
      <c r="O45" s="50" t="inlineStr">
        <is>
          <t/>
        </is>
      </c>
      <c r="P45" s="51" t="n">
        <v>-1.679999996895276E-7</v>
      </c>
      <c r="Q45" s="52" t="n">
        <v>1.024758641</v>
      </c>
      <c r="R45" s="53" t="n">
        <v>0.16475864100000004</v>
      </c>
      <c r="S45" s="54" t="n">
        <v>0.478133224</v>
      </c>
      <c r="T45" s="55" t="n">
        <v>3.2240000000238744E-6</v>
      </c>
      <c r="U45" s="56" t="n">
        <v>1.5</v>
      </c>
      <c r="V45" s="57" t="n">
        <v>0.0</v>
      </c>
      <c r="W45" s="58" t="inlineStr">
        <is>
          <t/>
        </is>
      </c>
      <c r="X45" s="59" t="inlineStr">
        <is>
          <t>GP Self Reporting</t>
        </is>
      </c>
      <c r="Y45" s="60" t="inlineStr">
        <is>
          <t>2018 Y</t>
        </is>
      </c>
      <c r="Z45" s="61" t="inlineStr">
        <is>
          <t>0 - 99M</t>
        </is>
      </c>
      <c r="AA45" s="62" t="inlineStr">
        <is>
          <t>New Science Ventures</t>
        </is>
      </c>
      <c r="AB45" s="63" t="inlineStr">
        <is>
          <t>New York, NY</t>
        </is>
      </c>
      <c r="AC45" s="64" t="inlineStr">
        <is>
          <t/>
        </is>
      </c>
      <c r="AD45" s="65" t="inlineStr">
        <is>
          <t>Seed Round, Early Stage VC, Later Stage VC</t>
        </is>
      </c>
      <c r="AE45" s="66" t="inlineStr">
        <is>
          <t/>
        </is>
      </c>
      <c r="AF45" s="67" t="inlineStr">
        <is>
          <t>NSV</t>
        </is>
      </c>
      <c r="AG45" s="232">
        <f>HYPERLINK("https://my.pitchbook.com?i=11252-98", "View Investor Online")</f>
      </c>
    </row>
    <row r="46">
      <c r="A46" s="69" t="inlineStr">
        <is>
          <t>15426-73F</t>
        </is>
      </c>
      <c r="B46" s="70" t="inlineStr">
        <is>
          <t>Psilos Group Partners III</t>
        </is>
      </c>
      <c r="C46" s="71" t="inlineStr">
        <is>
          <t/>
        </is>
      </c>
      <c r="D46" s="72" t="inlineStr">
        <is>
          <t>Venture Capital</t>
        </is>
      </c>
      <c r="E46" s="73" t="n">
        <v>9.84364</v>
      </c>
      <c r="F46" s="74" t="inlineStr">
        <is>
          <t>New York, NY</t>
        </is>
      </c>
      <c r="G46" s="75" t="n">
        <v>3.0</v>
      </c>
      <c r="H46" s="76" t="n">
        <v>2016.0</v>
      </c>
      <c r="I46" s="77" t="inlineStr">
        <is>
          <t/>
        </is>
      </c>
      <c r="J46" s="78" t="inlineStr">
        <is>
          <t/>
        </is>
      </c>
      <c r="K46" s="79" t="n">
        <v>0.7873788070387535</v>
      </c>
      <c r="L46" s="80" t="inlineStr">
        <is>
          <t/>
        </is>
      </c>
      <c r="M46" s="81" t="inlineStr">
        <is>
          <t/>
        </is>
      </c>
      <c r="N46" s="82" t="n">
        <v>15.3</v>
      </c>
      <c r="O46" s="83" t="inlineStr">
        <is>
          <t/>
        </is>
      </c>
      <c r="P46" s="84" t="n">
        <v>-5.219999999999999</v>
      </c>
      <c r="Q46" s="85" t="inlineStr">
        <is>
          <t/>
        </is>
      </c>
      <c r="R46" s="86" t="inlineStr">
        <is>
          <t/>
        </is>
      </c>
      <c r="S46" s="87" t="inlineStr">
        <is>
          <t/>
        </is>
      </c>
      <c r="T46" s="88" t="inlineStr">
        <is>
          <t/>
        </is>
      </c>
      <c r="U46" s="89" t="n">
        <v>1.5</v>
      </c>
      <c r="V46" s="90" t="n">
        <v>0.24</v>
      </c>
      <c r="W46" s="91" t="inlineStr">
        <is>
          <t/>
        </is>
      </c>
      <c r="X46" s="92" t="inlineStr">
        <is>
          <t>LP Original Commitments</t>
        </is>
      </c>
      <c r="Y46" s="93" t="inlineStr">
        <is>
          <t>2019 Y</t>
        </is>
      </c>
      <c r="Z46" s="94" t="inlineStr">
        <is>
          <t>0 - 99M</t>
        </is>
      </c>
      <c r="AA46" s="95" t="inlineStr">
        <is>
          <t>Psilos Group Managers</t>
        </is>
      </c>
      <c r="AB46" s="96" t="inlineStr">
        <is>
          <t>New York, NY</t>
        </is>
      </c>
      <c r="AC46" s="97" t="inlineStr">
        <is>
          <t/>
        </is>
      </c>
      <c r="AD46" s="98" t="inlineStr">
        <is>
          <t>Seed Round, Early Stage VC, Later Stage VC</t>
        </is>
      </c>
      <c r="AE46" s="99" t="inlineStr">
        <is>
          <t/>
        </is>
      </c>
      <c r="AF46" s="100" t="inlineStr">
        <is>
          <t>New Mexico SIC</t>
        </is>
      </c>
      <c r="AG46" s="233">
        <f>HYPERLINK("https://my.pitchbook.com?i=11278-00", "View Investor Online")</f>
      </c>
    </row>
    <row r="47">
      <c r="A47" s="36" t="inlineStr">
        <is>
          <t>14832-28F</t>
        </is>
      </c>
      <c r="B47" s="37" t="inlineStr">
        <is>
          <t>Louisiana Fund II</t>
        </is>
      </c>
      <c r="C47" s="38" t="inlineStr">
        <is>
          <t/>
        </is>
      </c>
      <c r="D47" s="39" t="inlineStr">
        <is>
          <t>Venture Capital - Early Stage</t>
        </is>
      </c>
      <c r="E47" s="40" t="n">
        <v>9.25</v>
      </c>
      <c r="F47" s="41" t="inlineStr">
        <is>
          <t>Baton Rouge, LA</t>
        </is>
      </c>
      <c r="G47" s="42" t="n">
        <v>4.0</v>
      </c>
      <c r="H47" s="43" t="n">
        <v>2013.0</v>
      </c>
      <c r="I47" s="44" t="n">
        <v>100.0</v>
      </c>
      <c r="J47" s="45" t="n">
        <v>9.288655251019994</v>
      </c>
      <c r="K47" s="46" t="n">
        <v>0.36100699409760234</v>
      </c>
      <c r="L47" s="47" t="n">
        <v>12.802678473957792</v>
      </c>
      <c r="M47" s="48" t="n">
        <v>1.389371361235566</v>
      </c>
      <c r="N47" s="49" t="n">
        <v>7.24</v>
      </c>
      <c r="O47" s="50" t="inlineStr">
        <is>
          <t/>
        </is>
      </c>
      <c r="P47" s="51" t="n">
        <v>-3.1500000000000004</v>
      </c>
      <c r="Q47" s="52" t="n">
        <v>1.38</v>
      </c>
      <c r="R47" s="53" t="n">
        <v>1.16908</v>
      </c>
      <c r="S47" s="54" t="n">
        <v>0.15</v>
      </c>
      <c r="T47" s="55" t="n">
        <v>-0.86</v>
      </c>
      <c r="U47" s="56" t="n">
        <v>1.5299999999999998</v>
      </c>
      <c r="V47" s="57" t="n">
        <v>-0.03500000000000014</v>
      </c>
      <c r="W47" s="58" t="inlineStr">
        <is>
          <t/>
        </is>
      </c>
      <c r="X47" s="59" t="inlineStr">
        <is>
          <t>LP Original Commitments</t>
        </is>
      </c>
      <c r="Y47" s="60" t="inlineStr">
        <is>
          <t>2019 Y</t>
        </is>
      </c>
      <c r="Z47" s="61" t="inlineStr">
        <is>
          <t>0 - 99M</t>
        </is>
      </c>
      <c r="AA47" s="62" t="inlineStr">
        <is>
          <t>Louisiana Funds</t>
        </is>
      </c>
      <c r="AB47" s="63" t="inlineStr">
        <is>
          <t>Baton Rouge, LA</t>
        </is>
      </c>
      <c r="AC47" s="64" t="inlineStr">
        <is>
          <t>Healthcare Devices and Supplies, Healthcare Technology Systems</t>
        </is>
      </c>
      <c r="AD47" s="65" t="inlineStr">
        <is>
          <t>Early Stage VC</t>
        </is>
      </c>
      <c r="AE47" s="66" t="inlineStr">
        <is>
          <t>North America</t>
        </is>
      </c>
      <c r="AF47" s="67" t="inlineStr">
        <is>
          <t>LASERS, MERSLA</t>
        </is>
      </c>
      <c r="AG47" s="232">
        <f>HYPERLINK("https://my.pitchbook.com?i=40117-96", "View Investor Online")</f>
      </c>
    </row>
    <row r="48">
      <c r="A48" s="69" t="inlineStr">
        <is>
          <t>14845-69F</t>
        </is>
      </c>
      <c r="B48" s="70" t="inlineStr">
        <is>
          <t>Draper Frontier Opportunity &amp; Technology Fund</t>
        </is>
      </c>
      <c r="C48" s="71" t="inlineStr">
        <is>
          <t>Frontier Venture Fund III, L.P.</t>
        </is>
      </c>
      <c r="D48" s="72" t="inlineStr">
        <is>
          <t>Venture Capital - Early Stage</t>
        </is>
      </c>
      <c r="E48" s="73" t="n">
        <v>11.17</v>
      </c>
      <c r="F48" s="74" t="inlineStr">
        <is>
          <t>New York, NY</t>
        </is>
      </c>
      <c r="G48" s="75" t="n">
        <v>2.0</v>
      </c>
      <c r="H48" s="76" t="n">
        <v>2015.0</v>
      </c>
      <c r="I48" s="77" t="n">
        <v>90.42076991942703</v>
      </c>
      <c r="J48" s="78" t="n">
        <v>10.1</v>
      </c>
      <c r="K48" s="79" t="n">
        <v>1.07</v>
      </c>
      <c r="L48" s="80" t="n">
        <v>0.0</v>
      </c>
      <c r="M48" s="81" t="n">
        <v>15.599999999999998</v>
      </c>
      <c r="N48" s="82" t="n">
        <v>17.4</v>
      </c>
      <c r="O48" s="83" t="inlineStr">
        <is>
          <t/>
        </is>
      </c>
      <c r="P48" s="84" t="n">
        <v>0.0</v>
      </c>
      <c r="Q48" s="85" t="n">
        <v>0.0</v>
      </c>
      <c r="R48" s="86" t="n">
        <v>-0.01</v>
      </c>
      <c r="S48" s="87" t="n">
        <v>1.54</v>
      </c>
      <c r="T48" s="88" t="n">
        <v>0.24</v>
      </c>
      <c r="U48" s="89" t="n">
        <v>1.54</v>
      </c>
      <c r="V48" s="90" t="n">
        <v>0.015000000000000124</v>
      </c>
      <c r="W48" s="91" t="inlineStr">
        <is>
          <t/>
        </is>
      </c>
      <c r="X48" s="92" t="inlineStr">
        <is>
          <t>GP Self Reporting</t>
        </is>
      </c>
      <c r="Y48" s="93" t="inlineStr">
        <is>
          <t>2020 Y</t>
        </is>
      </c>
      <c r="Z48" s="94" t="inlineStr">
        <is>
          <t>0 - 99M</t>
        </is>
      </c>
      <c r="AA48" s="95" t="inlineStr">
        <is>
          <t>Frontier Venture Capital</t>
        </is>
      </c>
      <c r="AB48" s="96" t="inlineStr">
        <is>
          <t>Santa Monica, CA</t>
        </is>
      </c>
      <c r="AC48" s="97" t="inlineStr">
        <is>
          <t>Software</t>
        </is>
      </c>
      <c r="AD48" s="98" t="inlineStr">
        <is>
          <t>Seed Round, Early Stage VC</t>
        </is>
      </c>
      <c r="AE48" s="99" t="inlineStr">
        <is>
          <t>United States, United States</t>
        </is>
      </c>
      <c r="AF48" s="100" t="inlineStr">
        <is>
          <t>Frontier</t>
        </is>
      </c>
      <c r="AG48" s="233">
        <f>HYPERLINK("https://my.pitchbook.com?i=11163-88", "View Investor Online")</f>
      </c>
    </row>
    <row r="49">
      <c r="A49" s="36" t="inlineStr">
        <is>
          <t>14393-62F</t>
        </is>
      </c>
      <c r="B49" s="37" t="inlineStr">
        <is>
          <t>Mercury Fund III Affiliates</t>
        </is>
      </c>
      <c r="C49" s="38" t="inlineStr">
        <is>
          <t/>
        </is>
      </c>
      <c r="D49" s="39" t="inlineStr">
        <is>
          <t>Venture Capital - Early Stage</t>
        </is>
      </c>
      <c r="E49" s="40" t="n">
        <v>5.0</v>
      </c>
      <c r="F49" s="41" t="inlineStr">
        <is>
          <t>Houston, TX</t>
        </is>
      </c>
      <c r="G49" s="42" t="n">
        <v>2.0</v>
      </c>
      <c r="H49" s="43" t="n">
        <v>2013.0</v>
      </c>
      <c r="I49" s="44" t="n">
        <v>82.40334</v>
      </c>
      <c r="J49" s="45" t="n">
        <v>4.120167</v>
      </c>
      <c r="K49" s="46" t="n">
        <v>0.1951389157284337</v>
      </c>
      <c r="L49" s="47" t="n">
        <v>0.8316230000000001</v>
      </c>
      <c r="M49" s="48" t="n">
        <v>5.760455</v>
      </c>
      <c r="N49" s="49" t="n">
        <v>12.88</v>
      </c>
      <c r="O49" s="50" t="inlineStr">
        <is>
          <t/>
        </is>
      </c>
      <c r="P49" s="51" t="n">
        <v>2.49</v>
      </c>
      <c r="Q49" s="52" t="n">
        <v>0.201842061</v>
      </c>
      <c r="R49" s="53" t="n">
        <v>-0.009077939000000007</v>
      </c>
      <c r="S49" s="54" t="n">
        <v>1.398112018</v>
      </c>
      <c r="T49" s="55" t="n">
        <v>0.38811201799999995</v>
      </c>
      <c r="U49" s="56" t="n">
        <v>1.5999999999999999</v>
      </c>
      <c r="V49" s="57" t="n">
        <v>0.03499999999999992</v>
      </c>
      <c r="W49" s="58" t="inlineStr">
        <is>
          <t/>
        </is>
      </c>
      <c r="X49" s="59" t="inlineStr">
        <is>
          <t>GP Self Reporting</t>
        </is>
      </c>
      <c r="Y49" s="60" t="inlineStr">
        <is>
          <t>2019 Y</t>
        </is>
      </c>
      <c r="Z49" s="61" t="inlineStr">
        <is>
          <t>0 - 99M</t>
        </is>
      </c>
      <c r="AA49" s="62" t="inlineStr">
        <is>
          <t>Mercury Fund</t>
        </is>
      </c>
      <c r="AB49" s="63" t="inlineStr">
        <is>
          <t>Houston, TX</t>
        </is>
      </c>
      <c r="AC49" s="64" t="inlineStr">
        <is>
          <t>Software</t>
        </is>
      </c>
      <c r="AD49" s="65" t="inlineStr">
        <is>
          <t>Seed Round, Early Stage VC</t>
        </is>
      </c>
      <c r="AE49" s="66" t="inlineStr">
        <is>
          <t/>
        </is>
      </c>
      <c r="AF49" s="67" t="inlineStr">
        <is>
          <t>Mercury</t>
        </is>
      </c>
      <c r="AG49" s="232">
        <f>HYPERLINK("https://my.pitchbook.com?i=11170-09", "View Investor Online")</f>
      </c>
    </row>
    <row r="50">
      <c r="A50" s="69" t="inlineStr">
        <is>
          <t>13202-65F</t>
        </is>
      </c>
      <c r="B50" s="70" t="inlineStr">
        <is>
          <t>ff Blue (I) Private Equity Fund</t>
        </is>
      </c>
      <c r="C50" s="71" t="inlineStr">
        <is>
          <t/>
        </is>
      </c>
      <c r="D50" s="72" t="inlineStr">
        <is>
          <t>Venture Capital - Early Stage</t>
        </is>
      </c>
      <c r="E50" s="73" t="n">
        <v>7.6</v>
      </c>
      <c r="F50" s="74" t="inlineStr">
        <is>
          <t>New York, NY</t>
        </is>
      </c>
      <c r="G50" s="75" t="inlineStr">
        <is>
          <t/>
        </is>
      </c>
      <c r="H50" s="76" t="n">
        <v>2009.0</v>
      </c>
      <c r="I50" s="77" t="inlineStr">
        <is>
          <t/>
        </is>
      </c>
      <c r="J50" s="78" t="inlineStr">
        <is>
          <t/>
        </is>
      </c>
      <c r="K50" s="79" t="n">
        <v>0.0</v>
      </c>
      <c r="L50" s="80" t="inlineStr">
        <is>
          <t/>
        </is>
      </c>
      <c r="M50" s="81" t="inlineStr">
        <is>
          <t/>
        </is>
      </c>
      <c r="N50" s="82" t="inlineStr">
        <is>
          <t/>
        </is>
      </c>
      <c r="O50" s="83" t="inlineStr">
        <is>
          <t/>
        </is>
      </c>
      <c r="P50" s="84" t="inlineStr">
        <is>
          <t/>
        </is>
      </c>
      <c r="Q50" s="85" t="n">
        <v>0.82</v>
      </c>
      <c r="R50" s="86" t="inlineStr">
        <is>
          <t/>
        </is>
      </c>
      <c r="S50" s="87" t="n">
        <v>0.82</v>
      </c>
      <c r="T50" s="88" t="inlineStr">
        <is>
          <t/>
        </is>
      </c>
      <c r="U50" s="89" t="n">
        <v>1.64</v>
      </c>
      <c r="V50" s="90" t="n">
        <v>-0.2300000000000002</v>
      </c>
      <c r="W50" s="91" t="inlineStr">
        <is>
          <t/>
        </is>
      </c>
      <c r="X50" s="92" t="inlineStr">
        <is>
          <t>GP Self Reporting</t>
        </is>
      </c>
      <c r="Y50" s="93" t="inlineStr">
        <is>
          <t>2019 Y</t>
        </is>
      </c>
      <c r="Z50" s="94" t="inlineStr">
        <is>
          <t>0 - 99M</t>
        </is>
      </c>
      <c r="AA50" s="95" t="inlineStr">
        <is>
          <t>ff Venture Capital</t>
        </is>
      </c>
      <c r="AB50" s="96" t="inlineStr">
        <is>
          <t>New York, NY</t>
        </is>
      </c>
      <c r="AC50" s="97" t="inlineStr">
        <is>
          <t/>
        </is>
      </c>
      <c r="AD50" s="98" t="inlineStr">
        <is>
          <t>Later Stage VC, Early Stage VC, Angel (individual)</t>
        </is>
      </c>
      <c r="AE50" s="99" t="inlineStr">
        <is>
          <t>Israel, Canada, United States</t>
        </is>
      </c>
      <c r="AF50" s="100" t="inlineStr">
        <is>
          <t>ff</t>
        </is>
      </c>
      <c r="AG50" s="233">
        <f>HYPERLINK("https://my.pitchbook.com?i=51089-77", "View Investor Online")</f>
      </c>
    </row>
    <row r="51">
      <c r="A51" s="36" t="inlineStr">
        <is>
          <t>15418-72F</t>
        </is>
      </c>
      <c r="B51" s="37" t="inlineStr">
        <is>
          <t>Elevate Capital Fund</t>
        </is>
      </c>
      <c r="C51" s="38" t="inlineStr">
        <is>
          <t/>
        </is>
      </c>
      <c r="D51" s="39" t="inlineStr">
        <is>
          <t>Venture Capital - Early Stage</t>
        </is>
      </c>
      <c r="E51" s="40" t="n">
        <v>10.0</v>
      </c>
      <c r="F51" s="41" t="inlineStr">
        <is>
          <t>Hillsboro, OR</t>
        </is>
      </c>
      <c r="G51" s="42" t="n">
        <v>2.0</v>
      </c>
      <c r="H51" s="43" t="n">
        <v>2016.0</v>
      </c>
      <c r="I51" s="44" t="n">
        <v>100.0</v>
      </c>
      <c r="J51" s="45" t="n">
        <v>10.0</v>
      </c>
      <c r="K51" s="46" t="n">
        <v>0.0</v>
      </c>
      <c r="L51" s="47" t="n">
        <v>4.0</v>
      </c>
      <c r="M51" s="48" t="n">
        <v>12.6</v>
      </c>
      <c r="N51" s="49" t="n">
        <v>15.4</v>
      </c>
      <c r="O51" s="50" t="inlineStr">
        <is>
          <t/>
        </is>
      </c>
      <c r="P51" s="51" t="n">
        <v>0.0</v>
      </c>
      <c r="Q51" s="52" t="n">
        <v>0.4</v>
      </c>
      <c r="R51" s="53" t="n">
        <v>0.4</v>
      </c>
      <c r="S51" s="54" t="n">
        <v>1.26</v>
      </c>
      <c r="T51" s="55" t="n">
        <v>0.08499999999999996</v>
      </c>
      <c r="U51" s="56" t="n">
        <v>1.6600000000000001</v>
      </c>
      <c r="V51" s="57" t="n">
        <v>0.4850000000000001</v>
      </c>
      <c r="W51" s="58" t="inlineStr">
        <is>
          <t/>
        </is>
      </c>
      <c r="X51" s="59" t="inlineStr">
        <is>
          <t>GP Self Reporting</t>
        </is>
      </c>
      <c r="Y51" s="60" t="inlineStr">
        <is>
          <t>2020 Y</t>
        </is>
      </c>
      <c r="Z51" s="61" t="inlineStr">
        <is>
          <t>0 - 99M</t>
        </is>
      </c>
      <c r="AA51" s="62" t="inlineStr">
        <is>
          <t>Elevate Capital</t>
        </is>
      </c>
      <c r="AB51" s="63" t="inlineStr">
        <is>
          <t>Hillsboro, OR</t>
        </is>
      </c>
      <c r="AC51" s="64" t="inlineStr">
        <is>
          <t/>
        </is>
      </c>
      <c r="AD51" s="65" t="inlineStr">
        <is>
          <t>Seed Round, Early Stage VC</t>
        </is>
      </c>
      <c r="AE51" s="66" t="inlineStr">
        <is>
          <t>United States</t>
        </is>
      </c>
      <c r="AF51" s="67" t="inlineStr">
        <is>
          <t>Elevate</t>
        </is>
      </c>
      <c r="AG51" s="232">
        <f>HYPERLINK("https://my.pitchbook.com?i=151431-04", "View Investor Online")</f>
      </c>
    </row>
    <row r="52">
      <c r="A52" s="69" t="inlineStr">
        <is>
          <t>14777-92F</t>
        </is>
      </c>
      <c r="B52" s="70" t="inlineStr">
        <is>
          <t>Oregon Angel Fund 2014</t>
        </is>
      </c>
      <c r="C52" s="71" t="inlineStr">
        <is>
          <t/>
        </is>
      </c>
      <c r="D52" s="72" t="inlineStr">
        <is>
          <t>Venture Capital</t>
        </is>
      </c>
      <c r="E52" s="73" t="n">
        <v>7.675</v>
      </c>
      <c r="F52" s="74" t="inlineStr">
        <is>
          <t>Portland, OR</t>
        </is>
      </c>
      <c r="G52" s="75" t="n">
        <v>3.0</v>
      </c>
      <c r="H52" s="76" t="n">
        <v>2014.0</v>
      </c>
      <c r="I52" s="77" t="n">
        <v>85.06840390879479</v>
      </c>
      <c r="J52" s="78" t="n">
        <v>6.529</v>
      </c>
      <c r="K52" s="79" t="n">
        <v>0.0</v>
      </c>
      <c r="L52" s="80" t="n">
        <v>0.78</v>
      </c>
      <c r="M52" s="81" t="n">
        <v>10.553</v>
      </c>
      <c r="N52" s="82" t="n">
        <v>8.0</v>
      </c>
      <c r="O52" s="83" t="inlineStr">
        <is>
          <t/>
        </is>
      </c>
      <c r="P52" s="84" t="n">
        <v>-5.960000000000001</v>
      </c>
      <c r="Q52" s="85" t="n">
        <v>0.119466993</v>
      </c>
      <c r="R52" s="86" t="n">
        <v>0.09946699299999999</v>
      </c>
      <c r="S52" s="87" t="n">
        <v>1.616327156</v>
      </c>
      <c r="T52" s="88" t="n">
        <v>0.43632715600000016</v>
      </c>
      <c r="U52" s="89" t="n">
        <v>1.7400000000000002</v>
      </c>
      <c r="V52" s="90" t="n">
        <v>0.2400000000000002</v>
      </c>
      <c r="W52" s="91" t="inlineStr">
        <is>
          <t/>
        </is>
      </c>
      <c r="X52" s="92" t="inlineStr">
        <is>
          <t>GP Self Reporting</t>
        </is>
      </c>
      <c r="Y52" s="93" t="inlineStr">
        <is>
          <t>2019 Y</t>
        </is>
      </c>
      <c r="Z52" s="94" t="inlineStr">
        <is>
          <t>0 - 99M</t>
        </is>
      </c>
      <c r="AA52" s="95" t="inlineStr">
        <is>
          <t>Oregon Venture Fund</t>
        </is>
      </c>
      <c r="AB52" s="96" t="inlineStr">
        <is>
          <t>Portland, OR</t>
        </is>
      </c>
      <c r="AC52" s="97" t="inlineStr">
        <is>
          <t>Business Products and Services (B2B), Consumer Products and Services (B2C), Energy, Financial Services, Healthcare, Information Technology, Materials and Resources</t>
        </is>
      </c>
      <c r="AD52" s="98" t="inlineStr">
        <is>
          <t>Seed Round, Early Stage VC, Later Stage VC</t>
        </is>
      </c>
      <c r="AE52" s="99" t="inlineStr">
        <is>
          <t>Oregon</t>
        </is>
      </c>
      <c r="AF52" s="100" t="inlineStr">
        <is>
          <t>OVF</t>
        </is>
      </c>
      <c r="AG52" s="233">
        <f>HYPERLINK("https://my.pitchbook.com?i=51143-68", "View Investor Online")</f>
      </c>
    </row>
    <row r="53">
      <c r="A53" s="36" t="inlineStr">
        <is>
          <t>15488-92F</t>
        </is>
      </c>
      <c r="B53" s="37" t="inlineStr">
        <is>
          <t>Oregon Angel Fund 2016</t>
        </is>
      </c>
      <c r="C53" s="38" t="inlineStr">
        <is>
          <t/>
        </is>
      </c>
      <c r="D53" s="39" t="inlineStr">
        <is>
          <t>Venture Capital</t>
        </is>
      </c>
      <c r="E53" s="40" t="n">
        <v>8.3</v>
      </c>
      <c r="F53" s="41" t="inlineStr">
        <is>
          <t>Portland, OR</t>
        </is>
      </c>
      <c r="G53" s="42" t="n">
        <v>2.0</v>
      </c>
      <c r="H53" s="43" t="n">
        <v>2016.0</v>
      </c>
      <c r="I53" s="44" t="n">
        <v>83.2</v>
      </c>
      <c r="J53" s="45" t="n">
        <v>6.905600000000001</v>
      </c>
      <c r="K53" s="46" t="n">
        <v>0.6639052320505071</v>
      </c>
      <c r="L53" s="47" t="n">
        <v>0.5487764705882354</v>
      </c>
      <c r="M53" s="48" t="n">
        <v>11.541882352941178</v>
      </c>
      <c r="N53" s="49" t="n">
        <v>29.0</v>
      </c>
      <c r="O53" s="50" t="inlineStr">
        <is>
          <t/>
        </is>
      </c>
      <c r="P53" s="51" t="n">
        <v>8.48</v>
      </c>
      <c r="Q53" s="52" t="n">
        <v>0.079468326</v>
      </c>
      <c r="R53" s="53" t="n">
        <v>0.01926832600000001</v>
      </c>
      <c r="S53" s="54" t="n">
        <v>1.67138009</v>
      </c>
      <c r="T53" s="55" t="n">
        <v>0.5013800900000001</v>
      </c>
      <c r="U53" s="56" t="n">
        <v>1.75</v>
      </c>
      <c r="V53" s="57" t="n">
        <v>0.49</v>
      </c>
      <c r="W53" s="58" t="inlineStr">
        <is>
          <t/>
        </is>
      </c>
      <c r="X53" s="59" t="inlineStr">
        <is>
          <t>GP Self Reporting</t>
        </is>
      </c>
      <c r="Y53" s="60" t="inlineStr">
        <is>
          <t>2019 Y</t>
        </is>
      </c>
      <c r="Z53" s="61" t="inlineStr">
        <is>
          <t>0 - 99M</t>
        </is>
      </c>
      <c r="AA53" s="62" t="inlineStr">
        <is>
          <t>Oregon Venture Fund</t>
        </is>
      </c>
      <c r="AB53" s="63" t="inlineStr">
        <is>
          <t>Portland, OR</t>
        </is>
      </c>
      <c r="AC53" s="64" t="inlineStr">
        <is>
          <t>Business Products and Services (B2B), Consumer Products and Services (B2C), Energy, Financial Services, Healthcare, Information Technology, Materials and Resources</t>
        </is>
      </c>
      <c r="AD53" s="65" t="inlineStr">
        <is>
          <t>Seed Round, Early Stage VC, Later Stage VC</t>
        </is>
      </c>
      <c r="AE53" s="66" t="inlineStr">
        <is>
          <t>Washington, Oregon</t>
        </is>
      </c>
      <c r="AF53" s="67" t="inlineStr">
        <is>
          <t>OVF</t>
        </is>
      </c>
      <c r="AG53" s="232">
        <f>HYPERLINK("https://my.pitchbook.com?i=51143-68", "View Investor Online")</f>
      </c>
    </row>
    <row r="54">
      <c r="A54" s="69" t="inlineStr">
        <is>
          <t>15860-17F</t>
        </is>
      </c>
      <c r="B54" s="70" t="inlineStr">
        <is>
          <t>Oregon Angel Fund 2017</t>
        </is>
      </c>
      <c r="C54" s="71" t="inlineStr">
        <is>
          <t/>
        </is>
      </c>
      <c r="D54" s="72" t="inlineStr">
        <is>
          <t>Venture Capital</t>
        </is>
      </c>
      <c r="E54" s="73" t="n">
        <v>8.3</v>
      </c>
      <c r="F54" s="74" t="inlineStr">
        <is>
          <t>Portland, OR</t>
        </is>
      </c>
      <c r="G54" s="75" t="n">
        <v>2.0</v>
      </c>
      <c r="H54" s="76" t="n">
        <v>2017.0</v>
      </c>
      <c r="I54" s="77" t="n">
        <v>80.0</v>
      </c>
      <c r="J54" s="78" t="n">
        <v>6.640000000000001</v>
      </c>
      <c r="K54" s="79" t="n">
        <v>1.66</v>
      </c>
      <c r="L54" s="80" t="n">
        <v>0.5330971428571429</v>
      </c>
      <c r="M54" s="81" t="n">
        <v>11.212114285714287</v>
      </c>
      <c r="N54" s="82" t="n">
        <v>33.0</v>
      </c>
      <c r="O54" s="83" t="inlineStr">
        <is>
          <t/>
        </is>
      </c>
      <c r="P54" s="84" t="n">
        <v>2.5500000000000007</v>
      </c>
      <c r="Q54" s="85" t="n">
        <v>0.080285714</v>
      </c>
      <c r="R54" s="86" t="n">
        <v>0.080285714</v>
      </c>
      <c r="S54" s="87" t="n">
        <v>1.688571429</v>
      </c>
      <c r="T54" s="88" t="n">
        <v>0.547951429</v>
      </c>
      <c r="U54" s="89" t="n">
        <v>1.77</v>
      </c>
      <c r="V54" s="90" t="n">
        <v>0.4950000000000001</v>
      </c>
      <c r="W54" s="91" t="inlineStr">
        <is>
          <t/>
        </is>
      </c>
      <c r="X54" s="92" t="inlineStr">
        <is>
          <t>GP Self Reporting</t>
        </is>
      </c>
      <c r="Y54" s="93" t="inlineStr">
        <is>
          <t>2019 Y</t>
        </is>
      </c>
      <c r="Z54" s="94" t="inlineStr">
        <is>
          <t>0 - 99M</t>
        </is>
      </c>
      <c r="AA54" s="95" t="inlineStr">
        <is>
          <t>Oregon Venture Fund</t>
        </is>
      </c>
      <c r="AB54" s="96" t="inlineStr">
        <is>
          <t>Portland, OR</t>
        </is>
      </c>
      <c r="AC54" s="97" t="inlineStr">
        <is>
          <t>Software</t>
        </is>
      </c>
      <c r="AD54" s="98" t="inlineStr">
        <is>
          <t>Seed Round, Early Stage VC, Later Stage VC</t>
        </is>
      </c>
      <c r="AE54" s="99" t="inlineStr">
        <is>
          <t>Oregon</t>
        </is>
      </c>
      <c r="AF54" s="100" t="inlineStr">
        <is>
          <t>OVF</t>
        </is>
      </c>
      <c r="AG54" s="233">
        <f>HYPERLINK("https://my.pitchbook.com?i=51143-68", "View Investor Online")</f>
      </c>
    </row>
    <row r="55">
      <c r="A55" s="36" t="inlineStr">
        <is>
          <t>14777-83F</t>
        </is>
      </c>
      <c r="B55" s="37" t="inlineStr">
        <is>
          <t>Oregon Angel Fund 2013</t>
        </is>
      </c>
      <c r="C55" s="38" t="inlineStr">
        <is>
          <t/>
        </is>
      </c>
      <c r="D55" s="39" t="inlineStr">
        <is>
          <t>Venture Capital</t>
        </is>
      </c>
      <c r="E55" s="40" t="n">
        <v>5.8</v>
      </c>
      <c r="F55" s="41" t="inlineStr">
        <is>
          <t>Portland, OR</t>
        </is>
      </c>
      <c r="G55" s="42" t="n">
        <v>3.0</v>
      </c>
      <c r="H55" s="43" t="n">
        <v>2013.0</v>
      </c>
      <c r="I55" s="44" t="n">
        <v>84.74137931034483</v>
      </c>
      <c r="J55" s="45" t="n">
        <v>4.915</v>
      </c>
      <c r="K55" s="46" t="n">
        <v>0.0</v>
      </c>
      <c r="L55" s="47" t="n">
        <v>0.416</v>
      </c>
      <c r="M55" s="48" t="n">
        <v>8.365</v>
      </c>
      <c r="N55" s="49" t="n">
        <v>7.0</v>
      </c>
      <c r="O55" s="50" t="inlineStr">
        <is>
          <t/>
        </is>
      </c>
      <c r="P55" s="51" t="n">
        <v>-1.1600000000000001</v>
      </c>
      <c r="Q55" s="52" t="n">
        <v>0.084638861</v>
      </c>
      <c r="R55" s="53" t="n">
        <v>-1.1390000000111034E-6</v>
      </c>
      <c r="S55" s="54" t="n">
        <v>1.701932859</v>
      </c>
      <c r="T55" s="55" t="n">
        <v>0.639672859</v>
      </c>
      <c r="U55" s="56" t="n">
        <v>1.78</v>
      </c>
      <c r="V55" s="57" t="n">
        <v>0.5349999999999999</v>
      </c>
      <c r="W55" s="58" t="inlineStr">
        <is>
          <t/>
        </is>
      </c>
      <c r="X55" s="59" t="inlineStr">
        <is>
          <t>GP Self Reporting</t>
        </is>
      </c>
      <c r="Y55" s="60" t="inlineStr">
        <is>
          <t>2019 Y</t>
        </is>
      </c>
      <c r="Z55" s="61" t="inlineStr">
        <is>
          <t>0 - 99M</t>
        </is>
      </c>
      <c r="AA55" s="62" t="inlineStr">
        <is>
          <t>Oregon Venture Fund</t>
        </is>
      </c>
      <c r="AB55" s="63" t="inlineStr">
        <is>
          <t>Portland, OR</t>
        </is>
      </c>
      <c r="AC55" s="64" t="inlineStr">
        <is>
          <t>Business Products and Services (B2B), Consumer Products and Services (B2C), Energy, Financial Services, Healthcare, Information Technology, Materials and Resources</t>
        </is>
      </c>
      <c r="AD55" s="65" t="inlineStr">
        <is>
          <t>Seed Round, Early Stage VC, Later Stage VC</t>
        </is>
      </c>
      <c r="AE55" s="66" t="inlineStr">
        <is>
          <t>Oregon</t>
        </is>
      </c>
      <c r="AF55" s="67" t="inlineStr">
        <is>
          <t>OVF</t>
        </is>
      </c>
      <c r="AG55" s="232">
        <f>HYPERLINK("https://my.pitchbook.com?i=51143-68", "View Investor Online")</f>
      </c>
    </row>
    <row r="56">
      <c r="A56" s="69" t="inlineStr">
        <is>
          <t>16338-34F</t>
        </is>
      </c>
      <c r="B56" s="70" t="inlineStr">
        <is>
          <t>3one4 Capital Fund I</t>
        </is>
      </c>
      <c r="C56" s="71" t="inlineStr">
        <is>
          <t/>
        </is>
      </c>
      <c r="D56" s="72" t="inlineStr">
        <is>
          <t>Venture Capital</t>
        </is>
      </c>
      <c r="E56" s="73" t="n">
        <v>14.74918</v>
      </c>
      <c r="F56" s="74" t="inlineStr">
        <is>
          <t>Bangalore, India</t>
        </is>
      </c>
      <c r="G56" s="75" t="inlineStr">
        <is>
          <t/>
        </is>
      </c>
      <c r="H56" s="76" t="n">
        <v>2016.0</v>
      </c>
      <c r="I56" s="77" t="inlineStr">
        <is>
          <t/>
        </is>
      </c>
      <c r="J56" s="78" t="inlineStr">
        <is>
          <t/>
        </is>
      </c>
      <c r="K56" s="79" t="inlineStr">
        <is>
          <t/>
        </is>
      </c>
      <c r="L56" s="80" t="inlineStr">
        <is>
          <t/>
        </is>
      </c>
      <c r="M56" s="81" t="inlineStr">
        <is>
          <t/>
        </is>
      </c>
      <c r="N56" s="82" t="n">
        <v>24.28</v>
      </c>
      <c r="O56" s="83" t="inlineStr">
        <is>
          <t/>
        </is>
      </c>
      <c r="P56" s="84" t="inlineStr">
        <is>
          <t/>
        </is>
      </c>
      <c r="Q56" s="85" t="n">
        <v>0.03</v>
      </c>
      <c r="R56" s="86" t="inlineStr">
        <is>
          <t/>
        </is>
      </c>
      <c r="S56" s="87" t="n">
        <v>1.78</v>
      </c>
      <c r="T56" s="88" t="inlineStr">
        <is>
          <t/>
        </is>
      </c>
      <c r="U56" s="89" t="n">
        <v>1.81</v>
      </c>
      <c r="V56" s="90" t="inlineStr">
        <is>
          <t/>
        </is>
      </c>
      <c r="W56" s="91" t="inlineStr">
        <is>
          <t/>
        </is>
      </c>
      <c r="X56" s="92" t="inlineStr">
        <is>
          <t>GP Self Reporting</t>
        </is>
      </c>
      <c r="Y56" s="93" t="inlineStr">
        <is>
          <t>2019 Y</t>
        </is>
      </c>
      <c r="Z56" s="94" t="inlineStr">
        <is>
          <t>0 - 99M</t>
        </is>
      </c>
      <c r="AA56" s="95" t="inlineStr">
        <is>
          <t>3one4 Capital</t>
        </is>
      </c>
      <c r="AB56" s="96" t="inlineStr">
        <is>
          <t>Bangalore, India</t>
        </is>
      </c>
      <c r="AC56" s="97" t="inlineStr">
        <is>
          <t>Software</t>
        </is>
      </c>
      <c r="AD56" s="98" t="inlineStr">
        <is>
          <t>Seed Round, Early Stage VC, Later Stage VC</t>
        </is>
      </c>
      <c r="AE56" s="99" t="inlineStr">
        <is>
          <t>United States, India</t>
        </is>
      </c>
      <c r="AF56" s="100" t="inlineStr">
        <is>
          <t>3one4</t>
        </is>
      </c>
      <c r="AG56" s="233">
        <f>HYPERLINK("https://my.pitchbook.com?i=154351-72", "View Investor Online")</f>
      </c>
    </row>
    <row r="57">
      <c r="A57" s="36" t="inlineStr">
        <is>
          <t>14897-53F</t>
        </is>
      </c>
      <c r="B57" s="37" t="inlineStr">
        <is>
          <t>Signal Peak Silverstone</t>
        </is>
      </c>
      <c r="C57" s="38" t="inlineStr">
        <is>
          <t/>
        </is>
      </c>
      <c r="D57" s="39" t="inlineStr">
        <is>
          <t>Venture Capital</t>
        </is>
      </c>
      <c r="E57" s="40" t="n">
        <v>7.36</v>
      </c>
      <c r="F57" s="41" t="inlineStr">
        <is>
          <t>Salt Lake City, UT</t>
        </is>
      </c>
      <c r="G57" s="42" t="n">
        <v>1.0</v>
      </c>
      <c r="H57" s="43" t="n">
        <v>2014.0</v>
      </c>
      <c r="I57" s="44" t="n">
        <v>95.1086956521739</v>
      </c>
      <c r="J57" s="45" t="n">
        <v>7.0</v>
      </c>
      <c r="K57" s="46" t="n">
        <v>0.0</v>
      </c>
      <c r="L57" s="47" t="n">
        <v>6.7</v>
      </c>
      <c r="M57" s="48" t="n">
        <v>6.1</v>
      </c>
      <c r="N57" s="49" t="n">
        <v>26.1</v>
      </c>
      <c r="O57" s="50" t="inlineStr">
        <is>
          <t/>
        </is>
      </c>
      <c r="P57" s="51" t="n">
        <v>12.14</v>
      </c>
      <c r="Q57" s="52" t="n">
        <v>0.957142857</v>
      </c>
      <c r="R57" s="53" t="n">
        <v>0.937142857</v>
      </c>
      <c r="S57" s="54" t="n">
        <v>0.871428571</v>
      </c>
      <c r="T57" s="55" t="n">
        <v>-0.3085714289999999</v>
      </c>
      <c r="U57" s="56" t="n">
        <v>1.83</v>
      </c>
      <c r="V57" s="57" t="n">
        <v>0.33000000000000007</v>
      </c>
      <c r="W57" s="58" t="inlineStr">
        <is>
          <t/>
        </is>
      </c>
      <c r="X57" s="59" t="inlineStr">
        <is>
          <t>GP Self Reporting</t>
        </is>
      </c>
      <c r="Y57" s="60" t="inlineStr">
        <is>
          <t>2017 Y</t>
        </is>
      </c>
      <c r="Z57" s="61" t="inlineStr">
        <is>
          <t>0 - 99M</t>
        </is>
      </c>
      <c r="AA57" s="62" t="inlineStr">
        <is>
          <t>Signal Peak Ventures</t>
        </is>
      </c>
      <c r="AB57" s="63" t="inlineStr">
        <is>
          <t>Salt Lake City, UT</t>
        </is>
      </c>
      <c r="AC57" s="64" t="inlineStr">
        <is>
          <t>Software</t>
        </is>
      </c>
      <c r="AD57" s="65" t="inlineStr">
        <is>
          <t>Seed Round, Early Stage VC, Later Stage VC</t>
        </is>
      </c>
      <c r="AE57" s="66" t="inlineStr">
        <is>
          <t/>
        </is>
      </c>
      <c r="AF57" s="67" t="inlineStr">
        <is>
          <t>Signal Peak, SPV</t>
        </is>
      </c>
      <c r="AG57" s="232">
        <f>HYPERLINK("https://my.pitchbook.com?i=11331-01", "View Investor Online")</f>
      </c>
    </row>
    <row r="58">
      <c r="A58" s="69" t="inlineStr">
        <is>
          <t>13959-55F</t>
        </is>
      </c>
      <c r="B58" s="70" t="inlineStr">
        <is>
          <t>ff Rose Innovate NY Fund</t>
        </is>
      </c>
      <c r="C58" s="71" t="inlineStr">
        <is>
          <t/>
        </is>
      </c>
      <c r="D58" s="72" t="inlineStr">
        <is>
          <t>Venture Capital - Early Stage</t>
        </is>
      </c>
      <c r="E58" s="73" t="n">
        <v>6.2</v>
      </c>
      <c r="F58" s="74" t="inlineStr">
        <is>
          <t>New York, NY</t>
        </is>
      </c>
      <c r="G58" s="75" t="inlineStr">
        <is>
          <t/>
        </is>
      </c>
      <c r="H58" s="76" t="n">
        <v>2014.0</v>
      </c>
      <c r="I58" s="77" t="inlineStr">
        <is>
          <t/>
        </is>
      </c>
      <c r="J58" s="78" t="inlineStr">
        <is>
          <t/>
        </is>
      </c>
      <c r="K58" s="79" t="n">
        <v>0.0</v>
      </c>
      <c r="L58" s="80" t="inlineStr">
        <is>
          <t/>
        </is>
      </c>
      <c r="M58" s="81" t="inlineStr">
        <is>
          <t/>
        </is>
      </c>
      <c r="N58" s="82" t="inlineStr">
        <is>
          <t/>
        </is>
      </c>
      <c r="O58" s="83" t="inlineStr">
        <is>
          <t/>
        </is>
      </c>
      <c r="P58" s="84" t="inlineStr">
        <is>
          <t/>
        </is>
      </c>
      <c r="Q58" s="85" t="n">
        <v>0.66</v>
      </c>
      <c r="R58" s="86" t="n">
        <v>0.54</v>
      </c>
      <c r="S58" s="87" t="n">
        <v>1.25</v>
      </c>
      <c r="T58" s="88" t="n">
        <v>0.04499999999999993</v>
      </c>
      <c r="U58" s="89" t="n">
        <v>1.9100000000000001</v>
      </c>
      <c r="V58" s="90" t="n">
        <v>0.27000000000000024</v>
      </c>
      <c r="W58" s="91" t="inlineStr">
        <is>
          <t/>
        </is>
      </c>
      <c r="X58" s="92" t="inlineStr">
        <is>
          <t>GP Self Reporting</t>
        </is>
      </c>
      <c r="Y58" s="93" t="inlineStr">
        <is>
          <t>2019 Y</t>
        </is>
      </c>
      <c r="Z58" s="94" t="inlineStr">
        <is>
          <t>0 - 99M</t>
        </is>
      </c>
      <c r="AA58" s="95" t="inlineStr">
        <is>
          <t>ff Venture Capital</t>
        </is>
      </c>
      <c r="AB58" s="96" t="inlineStr">
        <is>
          <t>New York, NY</t>
        </is>
      </c>
      <c r="AC58" s="97" t="inlineStr">
        <is>
          <t>Software</t>
        </is>
      </c>
      <c r="AD58" s="98" t="inlineStr">
        <is>
          <t>Seed Round, Early Stage VC</t>
        </is>
      </c>
      <c r="AE58" s="99" t="inlineStr">
        <is>
          <t/>
        </is>
      </c>
      <c r="AF58" s="100" t="inlineStr">
        <is>
          <t>ff</t>
        </is>
      </c>
      <c r="AG58" s="233">
        <f>HYPERLINK("https://my.pitchbook.com?i=51089-77", "View Investor Online")</f>
      </c>
    </row>
    <row r="59">
      <c r="A59" s="36" t="inlineStr">
        <is>
          <t>14853-88F</t>
        </is>
      </c>
      <c r="B59" s="37" t="inlineStr">
        <is>
          <t>Bioeconomy Fund 1</t>
        </is>
      </c>
      <c r="C59" s="38" t="inlineStr">
        <is>
          <t/>
        </is>
      </c>
      <c r="D59" s="39" t="inlineStr">
        <is>
          <t>Venture Capital - Early Stage</t>
        </is>
      </c>
      <c r="E59" s="40" t="n">
        <v>8.3</v>
      </c>
      <c r="F59" s="41" t="inlineStr">
        <is>
          <t>Seattle, WA</t>
        </is>
      </c>
      <c r="G59" s="42" t="n">
        <v>1.0</v>
      </c>
      <c r="H59" s="43" t="n">
        <v>2015.0</v>
      </c>
      <c r="I59" s="44" t="inlineStr">
        <is>
          <t/>
        </is>
      </c>
      <c r="J59" s="45" t="inlineStr">
        <is>
          <t/>
        </is>
      </c>
      <c r="K59" s="46" t="n">
        <v>0.0</v>
      </c>
      <c r="L59" s="47" t="inlineStr">
        <is>
          <t/>
        </is>
      </c>
      <c r="M59" s="48" t="inlineStr">
        <is>
          <t/>
        </is>
      </c>
      <c r="N59" s="49" t="n">
        <v>25.53</v>
      </c>
      <c r="O59" s="50" t="inlineStr">
        <is>
          <t/>
        </is>
      </c>
      <c r="P59" s="51" t="n">
        <v>8.130000000000003</v>
      </c>
      <c r="Q59" s="52" t="n">
        <v>0.0</v>
      </c>
      <c r="R59" s="53" t="n">
        <v>-0.01</v>
      </c>
      <c r="S59" s="54" t="n">
        <v>1.97</v>
      </c>
      <c r="T59" s="55" t="n">
        <v>0.6699999999999999</v>
      </c>
      <c r="U59" s="56" t="n">
        <v>1.97</v>
      </c>
      <c r="V59" s="57" t="n">
        <v>0.44500000000000006</v>
      </c>
      <c r="W59" s="58" t="inlineStr">
        <is>
          <t/>
        </is>
      </c>
      <c r="X59" s="59" t="inlineStr">
        <is>
          <t>GP Self Reporting</t>
        </is>
      </c>
      <c r="Y59" s="60" t="inlineStr">
        <is>
          <t>2019 Y</t>
        </is>
      </c>
      <c r="Z59" s="61" t="inlineStr">
        <is>
          <t>0 - 99M</t>
        </is>
      </c>
      <c r="AA59" s="62" t="inlineStr">
        <is>
          <t>Bioeconomy Capital</t>
        </is>
      </c>
      <c r="AB59" s="63" t="inlineStr">
        <is>
          <t>Seattle, WA</t>
        </is>
      </c>
      <c r="AC59" s="64" t="inlineStr">
        <is>
          <t>Software, Pharmaceuticals and Biotechnology, Chemicals and Gases, Business Products and Services (B2B)</t>
        </is>
      </c>
      <c r="AD59" s="65" t="inlineStr">
        <is>
          <t>Seed Round, Early Stage VC</t>
        </is>
      </c>
      <c r="AE59" s="66" t="inlineStr">
        <is>
          <t/>
        </is>
      </c>
      <c r="AF59" s="67" t="inlineStr">
        <is>
          <t>Bioeconomy Capital</t>
        </is>
      </c>
      <c r="AG59" s="232">
        <f>HYPERLINK("https://my.pitchbook.com?i=100016-92", "View Investor Online")</f>
      </c>
    </row>
    <row r="60">
      <c r="A60" s="69" t="inlineStr">
        <is>
          <t>14059-00F</t>
        </is>
      </c>
      <c r="B60" s="70" t="inlineStr">
        <is>
          <t>Portland Seed Fund II</t>
        </is>
      </c>
      <c r="C60" s="71" t="inlineStr">
        <is>
          <t/>
        </is>
      </c>
      <c r="D60" s="72" t="inlineStr">
        <is>
          <t>Venture Capital - Early Stage</t>
        </is>
      </c>
      <c r="E60" s="73" t="n">
        <v>7.729</v>
      </c>
      <c r="F60" s="74" t="inlineStr">
        <is>
          <t>Portland, OR</t>
        </is>
      </c>
      <c r="G60" s="75" t="n">
        <v>4.0</v>
      </c>
      <c r="H60" s="76" t="n">
        <v>2014.0</v>
      </c>
      <c r="I60" s="77" t="n">
        <v>100.0</v>
      </c>
      <c r="J60" s="78" t="n">
        <v>7.729225</v>
      </c>
      <c r="K60" s="79" t="n">
        <v>0.0</v>
      </c>
      <c r="L60" s="80" t="n">
        <v>3.172904</v>
      </c>
      <c r="M60" s="81" t="n">
        <v>12.4</v>
      </c>
      <c r="N60" s="82" t="n">
        <v>10.05</v>
      </c>
      <c r="O60" s="83" t="inlineStr">
        <is>
          <t/>
        </is>
      </c>
      <c r="P60" s="84" t="n">
        <v>-4.699999999999999</v>
      </c>
      <c r="Q60" s="85" t="n">
        <v>0.410507392</v>
      </c>
      <c r="R60" s="86" t="n">
        <v>0.29050739200000003</v>
      </c>
      <c r="S60" s="87" t="n">
        <v>1.604300561</v>
      </c>
      <c r="T60" s="88" t="n">
        <v>0.399300561</v>
      </c>
      <c r="U60" s="89" t="n">
        <v>2.0100000000000002</v>
      </c>
      <c r="V60" s="90" t="n">
        <v>0.37000000000000033</v>
      </c>
      <c r="W60" s="91" t="inlineStr">
        <is>
          <t/>
        </is>
      </c>
      <c r="X60" s="92" t="inlineStr">
        <is>
          <t>GP Self Reporting</t>
        </is>
      </c>
      <c r="Y60" s="93" t="inlineStr">
        <is>
          <t>2019 Y</t>
        </is>
      </c>
      <c r="Z60" s="94" t="inlineStr">
        <is>
          <t>0 - 99M</t>
        </is>
      </c>
      <c r="AA60" s="95" t="inlineStr">
        <is>
          <t>Portland Seed Fund</t>
        </is>
      </c>
      <c r="AB60" s="96" t="inlineStr">
        <is>
          <t>Portland, OR</t>
        </is>
      </c>
      <c r="AC60" s="97" t="inlineStr">
        <is>
          <t>Software</t>
        </is>
      </c>
      <c r="AD60" s="98" t="inlineStr">
        <is>
          <t>Seed Round, Early Stage VC</t>
        </is>
      </c>
      <c r="AE60" s="99" t="inlineStr">
        <is>
          <t/>
        </is>
      </c>
      <c r="AF60" s="100" t="inlineStr">
        <is>
          <t>PSF</t>
        </is>
      </c>
      <c r="AG60" s="233">
        <f>HYPERLINK("https://my.pitchbook.com?i=53325-55", "View Investor Online")</f>
      </c>
    </row>
    <row r="61">
      <c r="A61" s="36" t="inlineStr">
        <is>
          <t>12573-10F</t>
        </is>
      </c>
      <c r="B61" s="37" t="inlineStr">
        <is>
          <t>Divergent Venture Partners II</t>
        </is>
      </c>
      <c r="C61" s="38" t="inlineStr">
        <is>
          <t/>
        </is>
      </c>
      <c r="D61" s="39" t="inlineStr">
        <is>
          <t>Venture Capital - Early Stage</t>
        </is>
      </c>
      <c r="E61" s="40" t="n">
        <v>5.9</v>
      </c>
      <c r="F61" s="41" t="inlineStr">
        <is>
          <t>Seattle, WA</t>
        </is>
      </c>
      <c r="G61" s="42" t="inlineStr">
        <is>
          <t/>
        </is>
      </c>
      <c r="H61" s="43" t="n">
        <v>2009.0</v>
      </c>
      <c r="I61" s="44" t="inlineStr">
        <is>
          <t/>
        </is>
      </c>
      <c r="J61" s="45" t="inlineStr">
        <is>
          <t/>
        </is>
      </c>
      <c r="K61" s="46" t="n">
        <v>0.0</v>
      </c>
      <c r="L61" s="47" t="inlineStr">
        <is>
          <t/>
        </is>
      </c>
      <c r="M61" s="48" t="inlineStr">
        <is>
          <t/>
        </is>
      </c>
      <c r="N61" s="49" t="inlineStr">
        <is>
          <t/>
        </is>
      </c>
      <c r="O61" s="50" t="inlineStr">
        <is>
          <t/>
        </is>
      </c>
      <c r="P61" s="51" t="inlineStr">
        <is>
          <t/>
        </is>
      </c>
      <c r="Q61" s="52" t="inlineStr">
        <is>
          <t/>
        </is>
      </c>
      <c r="R61" s="53" t="inlineStr">
        <is>
          <t/>
        </is>
      </c>
      <c r="S61" s="54" t="inlineStr">
        <is>
          <t/>
        </is>
      </c>
      <c r="T61" s="55" t="inlineStr">
        <is>
          <t/>
        </is>
      </c>
      <c r="U61" s="56" t="n">
        <v>2.1</v>
      </c>
      <c r="V61" s="57" t="n">
        <v>0.22999999999999998</v>
      </c>
      <c r="W61" s="58" t="inlineStr">
        <is>
          <t/>
        </is>
      </c>
      <c r="X61" s="59" t="inlineStr">
        <is>
          <t>GP Self Reporting</t>
        </is>
      </c>
      <c r="Y61" s="60" t="inlineStr">
        <is>
          <t>2018 Y</t>
        </is>
      </c>
      <c r="Z61" s="61" t="inlineStr">
        <is>
          <t>0 - 99M</t>
        </is>
      </c>
      <c r="AA61" s="62" t="inlineStr">
        <is>
          <t>Divergent Ventures</t>
        </is>
      </c>
      <c r="AB61" s="63" t="inlineStr">
        <is>
          <t>Seattle, WA</t>
        </is>
      </c>
      <c r="AC61" s="64" t="inlineStr">
        <is>
          <t>Software</t>
        </is>
      </c>
      <c r="AD61" s="65" t="inlineStr">
        <is>
          <t>Early Stage VC</t>
        </is>
      </c>
      <c r="AE61" s="66" t="inlineStr">
        <is>
          <t>West Coast</t>
        </is>
      </c>
      <c r="AF61" s="67" t="inlineStr">
        <is>
          <t>Divergent</t>
        </is>
      </c>
      <c r="AG61" s="232">
        <f>HYPERLINK("https://my.pitchbook.com?i=11165-05", "View Investor Online")</f>
      </c>
    </row>
    <row r="62">
      <c r="A62" s="69" t="inlineStr">
        <is>
          <t>17762-86F</t>
        </is>
      </c>
      <c r="B62" s="70" t="inlineStr">
        <is>
          <t>Camber Creek Fund I</t>
        </is>
      </c>
      <c r="C62" s="71" t="inlineStr">
        <is>
          <t/>
        </is>
      </c>
      <c r="D62" s="72" t="inlineStr">
        <is>
          <t>Venture Capital</t>
        </is>
      </c>
      <c r="E62" s="73" t="n">
        <v>6.0</v>
      </c>
      <c r="F62" s="74" t="inlineStr">
        <is>
          <t>Rockville, MD</t>
        </is>
      </c>
      <c r="G62" s="75" t="n">
        <v>1.0</v>
      </c>
      <c r="H62" s="76" t="n">
        <v>2011.0</v>
      </c>
      <c r="I62" s="77" t="n">
        <v>100.0</v>
      </c>
      <c r="J62" s="78" t="n">
        <v>6.0</v>
      </c>
      <c r="K62" s="79" t="n">
        <v>0.0</v>
      </c>
      <c r="L62" s="80" t="n">
        <v>6.0</v>
      </c>
      <c r="M62" s="81" t="n">
        <v>7.0</v>
      </c>
      <c r="N62" s="82" t="n">
        <v>22.0</v>
      </c>
      <c r="O62" s="83" t="inlineStr">
        <is>
          <t/>
        </is>
      </c>
      <c r="P62" s="84" t="n">
        <v>10.9</v>
      </c>
      <c r="Q62" s="85" t="n">
        <v>1.0</v>
      </c>
      <c r="R62" s="86" t="n">
        <v>0.81</v>
      </c>
      <c r="S62" s="87" t="n">
        <v>1.167</v>
      </c>
      <c r="T62" s="88" t="n">
        <v>0.007900000000000018</v>
      </c>
      <c r="U62" s="89" t="n">
        <v>2.17</v>
      </c>
      <c r="V62" s="90" t="n">
        <v>0.6399999999999999</v>
      </c>
      <c r="W62" s="91" t="inlineStr">
        <is>
          <t/>
        </is>
      </c>
      <c r="X62" s="92" t="inlineStr">
        <is>
          <t>GP Self Reporting</t>
        </is>
      </c>
      <c r="Y62" s="93" t="inlineStr">
        <is>
          <t>2020 Y</t>
        </is>
      </c>
      <c r="Z62" s="94" t="inlineStr">
        <is>
          <t>0 - 99M</t>
        </is>
      </c>
      <c r="AA62" s="95" t="inlineStr">
        <is>
          <t>Camber Creek</t>
        </is>
      </c>
      <c r="AB62" s="96" t="inlineStr">
        <is>
          <t>Rockville, MD</t>
        </is>
      </c>
      <c r="AC62" s="97" t="inlineStr">
        <is>
          <t/>
        </is>
      </c>
      <c r="AD62" s="98" t="inlineStr">
        <is>
          <t>Early Stage VC, Seed Round, Later Stage VC</t>
        </is>
      </c>
      <c r="AE62" s="99" t="inlineStr">
        <is>
          <t/>
        </is>
      </c>
      <c r="AF62" s="100" t="inlineStr">
        <is>
          <t>Camber Creek</t>
        </is>
      </c>
      <c r="AG62" s="233">
        <f>HYPERLINK("https://my.pitchbook.com?i=56289-61", "View Investor Online")</f>
      </c>
    </row>
    <row r="63">
      <c r="A63" s="36" t="inlineStr">
        <is>
          <t>14055-67F</t>
        </is>
      </c>
      <c r="B63" s="37" t="inlineStr">
        <is>
          <t>Maveron V Entrepreneurs' Fund</t>
        </is>
      </c>
      <c r="C63" s="38" t="inlineStr">
        <is>
          <t/>
        </is>
      </c>
      <c r="D63" s="39" t="inlineStr">
        <is>
          <t>Venture Capital</t>
        </is>
      </c>
      <c r="E63" s="40" t="n">
        <v>12.47475</v>
      </c>
      <c r="F63" s="41" t="inlineStr">
        <is>
          <t>Seattle, WA</t>
        </is>
      </c>
      <c r="G63" s="42" t="n">
        <v>2.0</v>
      </c>
      <c r="H63" s="43" t="n">
        <v>2014.0</v>
      </c>
      <c r="I63" s="44" t="n">
        <v>100.0</v>
      </c>
      <c r="J63" s="45" t="n">
        <v>12.474747</v>
      </c>
      <c r="K63" s="46" t="n">
        <v>0.0</v>
      </c>
      <c r="L63" s="47" t="inlineStr">
        <is>
          <t/>
        </is>
      </c>
      <c r="M63" s="48" t="inlineStr">
        <is>
          <t/>
        </is>
      </c>
      <c r="N63" s="49" t="n">
        <v>22.51</v>
      </c>
      <c r="O63" s="50" t="inlineStr">
        <is>
          <t/>
        </is>
      </c>
      <c r="P63" s="51" t="n">
        <v>8.55</v>
      </c>
      <c r="Q63" s="52" t="n">
        <v>0.27</v>
      </c>
      <c r="R63" s="53" t="n">
        <v>0.25</v>
      </c>
      <c r="S63" s="54" t="inlineStr">
        <is>
          <t/>
        </is>
      </c>
      <c r="T63" s="55" t="inlineStr">
        <is>
          <t/>
        </is>
      </c>
      <c r="U63" s="56" t="n">
        <v>2.25</v>
      </c>
      <c r="V63" s="57" t="n">
        <v>0.75</v>
      </c>
      <c r="W63" s="58" t="inlineStr">
        <is>
          <t/>
        </is>
      </c>
      <c r="X63" s="59" t="inlineStr">
        <is>
          <t>GP Self Reporting</t>
        </is>
      </c>
      <c r="Y63" s="60" t="inlineStr">
        <is>
          <t>2020 Y</t>
        </is>
      </c>
      <c r="Z63" s="61" t="inlineStr">
        <is>
          <t>0 - 99M</t>
        </is>
      </c>
      <c r="AA63" s="62" t="inlineStr">
        <is>
          <t>Maveron</t>
        </is>
      </c>
      <c r="AB63" s="63" t="inlineStr">
        <is>
          <t>Seattle, WA</t>
        </is>
      </c>
      <c r="AC63" s="64" t="inlineStr">
        <is>
          <t>Software</t>
        </is>
      </c>
      <c r="AD63" s="65" t="inlineStr">
        <is>
          <t>Seed Round, Early Stage VC, Later Stage VC</t>
        </is>
      </c>
      <c r="AE63" s="66" t="inlineStr">
        <is>
          <t/>
        </is>
      </c>
      <c r="AF63" s="67" t="inlineStr">
        <is>
          <t>Maveron</t>
        </is>
      </c>
      <c r="AG63" s="232">
        <f>HYPERLINK("https://my.pitchbook.com?i=11237-68", "View Investor Online")</f>
      </c>
    </row>
    <row r="64">
      <c r="A64" s="69" t="inlineStr">
        <is>
          <t>14941-54F</t>
        </is>
      </c>
      <c r="B64" s="70" t="inlineStr">
        <is>
          <t>RSCM Angel Fund I</t>
        </is>
      </c>
      <c r="C64" s="71" t="inlineStr">
        <is>
          <t/>
        </is>
      </c>
      <c r="D64" s="72" t="inlineStr">
        <is>
          <t>Venture Capital - Early Stage</t>
        </is>
      </c>
      <c r="E64" s="73" t="n">
        <v>6.5</v>
      </c>
      <c r="F64" s="74" t="inlineStr">
        <is>
          <t>San Francisco, CA</t>
        </is>
      </c>
      <c r="G64" s="75" t="inlineStr">
        <is>
          <t/>
        </is>
      </c>
      <c r="H64" s="76" t="n">
        <v>2012.0</v>
      </c>
      <c r="I64" s="77" t="n">
        <v>92.64230769230768</v>
      </c>
      <c r="J64" s="78" t="n">
        <v>6.021749999999999</v>
      </c>
      <c r="K64" s="79" t="n">
        <v>0.0</v>
      </c>
      <c r="L64" s="80" t="n">
        <v>1.554</v>
      </c>
      <c r="M64" s="81" t="n">
        <v>15.251825999999998</v>
      </c>
      <c r="N64" s="82" t="n">
        <v>15.8</v>
      </c>
      <c r="O64" s="83" t="inlineStr">
        <is>
          <t/>
        </is>
      </c>
      <c r="P64" s="84" t="inlineStr">
        <is>
          <t/>
        </is>
      </c>
      <c r="Q64" s="85" t="n">
        <v>0.26</v>
      </c>
      <c r="R64" s="86" t="inlineStr">
        <is>
          <t/>
        </is>
      </c>
      <c r="S64" s="87" t="n">
        <v>2.53</v>
      </c>
      <c r="T64" s="88" t="inlineStr">
        <is>
          <t/>
        </is>
      </c>
      <c r="U64" s="89" t="n">
        <v>2.79</v>
      </c>
      <c r="V64" s="90" t="inlineStr">
        <is>
          <t/>
        </is>
      </c>
      <c r="W64" s="91" t="inlineStr">
        <is>
          <t/>
        </is>
      </c>
      <c r="X64" s="92" t="inlineStr">
        <is>
          <t>GP Self Reporting</t>
        </is>
      </c>
      <c r="Y64" s="93" t="inlineStr">
        <is>
          <t>2020 Y</t>
        </is>
      </c>
      <c r="Z64" s="94" t="inlineStr">
        <is>
          <t>0 - 99M</t>
        </is>
      </c>
      <c r="AA64" s="95" t="inlineStr">
        <is>
          <t>Right Side Capital Management</t>
        </is>
      </c>
      <c r="AB64" s="96" t="inlineStr">
        <is>
          <t>San Francisco, CA</t>
        </is>
      </c>
      <c r="AC64" s="97" t="inlineStr">
        <is>
          <t>Information Technology</t>
        </is>
      </c>
      <c r="AD64" s="98" t="inlineStr">
        <is>
          <t>Seed Round</t>
        </is>
      </c>
      <c r="AE64" s="99" t="inlineStr">
        <is>
          <t>United States</t>
        </is>
      </c>
      <c r="AF64" s="100" t="inlineStr">
        <is>
          <t>RSCM</t>
        </is>
      </c>
      <c r="AG64" s="233">
        <f>HYPERLINK("https://my.pitchbook.com?i=55261-00", "View Investor Online")</f>
      </c>
    </row>
    <row r="65">
      <c r="A65" s="36" t="inlineStr">
        <is>
          <t>13691-89F</t>
        </is>
      </c>
      <c r="B65" s="37" t="inlineStr">
        <is>
          <t>Maven Ventures Growth Labs Fund I</t>
        </is>
      </c>
      <c r="C65" s="38" t="inlineStr">
        <is>
          <t/>
        </is>
      </c>
      <c r="D65" s="39" t="inlineStr">
        <is>
          <t>Venture Capital</t>
        </is>
      </c>
      <c r="E65" s="40" t="n">
        <v>7.5</v>
      </c>
      <c r="F65" s="41" t="inlineStr">
        <is>
          <t>Palo Alto, CA</t>
        </is>
      </c>
      <c r="G65" s="42" t="n">
        <v>1.0</v>
      </c>
      <c r="H65" s="43" t="n">
        <v>2013.0</v>
      </c>
      <c r="I65" s="44" t="n">
        <v>99.62962666666667</v>
      </c>
      <c r="J65" s="45" t="n">
        <v>7.472222</v>
      </c>
      <c r="K65" s="46" t="n">
        <v>0.0</v>
      </c>
      <c r="L65" s="47" t="n">
        <v>12.374079</v>
      </c>
      <c r="M65" s="48" t="n">
        <v>12.297461</v>
      </c>
      <c r="N65" s="49" t="n">
        <v>53.97</v>
      </c>
      <c r="O65" s="50" t="inlineStr">
        <is>
          <t/>
        </is>
      </c>
      <c r="P65" s="51" t="n">
        <v>45.81</v>
      </c>
      <c r="Q65" s="52" t="n">
        <v>1.656010622</v>
      </c>
      <c r="R65" s="53" t="n">
        <v>1.5713706219999999</v>
      </c>
      <c r="S65" s="54" t="n">
        <v>1.645756911</v>
      </c>
      <c r="T65" s="55" t="n">
        <v>0.5834969110000001</v>
      </c>
      <c r="U65" s="56" t="n">
        <v>3.3099999999999996</v>
      </c>
      <c r="V65" s="57" t="n">
        <v>2.0649999999999995</v>
      </c>
      <c r="W65" s="58" t="inlineStr">
        <is>
          <t/>
        </is>
      </c>
      <c r="X65" s="59" t="inlineStr">
        <is>
          <t>GP Self Reporting</t>
        </is>
      </c>
      <c r="Y65" s="60" t="inlineStr">
        <is>
          <t>2018 Y</t>
        </is>
      </c>
      <c r="Z65" s="61" t="inlineStr">
        <is>
          <t>0 - 99M</t>
        </is>
      </c>
      <c r="AA65" s="62" t="inlineStr">
        <is>
          <t>Maven Ventures</t>
        </is>
      </c>
      <c r="AB65" s="63" t="inlineStr">
        <is>
          <t>Palo Alto, CA</t>
        </is>
      </c>
      <c r="AC65" s="64" t="inlineStr">
        <is>
          <t>Software</t>
        </is>
      </c>
      <c r="AD65" s="65" t="inlineStr">
        <is>
          <t>Early Stage VC</t>
        </is>
      </c>
      <c r="AE65" s="66" t="inlineStr">
        <is>
          <t/>
        </is>
      </c>
      <c r="AF65" s="67" t="inlineStr">
        <is>
          <t>Maven, Maven Ventures Growth Labs</t>
        </is>
      </c>
      <c r="AG65" s="232">
        <f>HYPERLINK("https://my.pitchbook.com?i=56192-41", "View Investor Online")</f>
      </c>
    </row>
    <row r="66">
      <c r="A66" s="69" t="inlineStr">
        <is>
          <t>13693-60F</t>
        </is>
      </c>
      <c r="B66" s="70" t="inlineStr">
        <is>
          <t>Seven Peaks Ventures Fund I</t>
        </is>
      </c>
      <c r="C66" s="71" t="inlineStr">
        <is>
          <t/>
        </is>
      </c>
      <c r="D66" s="72" t="inlineStr">
        <is>
          <t>Venture Capital - Early Stage</t>
        </is>
      </c>
      <c r="E66" s="73" t="n">
        <v>7.4</v>
      </c>
      <c r="F66" s="74" t="inlineStr">
        <is>
          <t>Bend, OR</t>
        </is>
      </c>
      <c r="G66" s="75" t="n">
        <v>1.0</v>
      </c>
      <c r="H66" s="76" t="n">
        <v>2013.0</v>
      </c>
      <c r="I66" s="77" t="n">
        <v>95.0</v>
      </c>
      <c r="J66" s="78" t="n">
        <v>7.03</v>
      </c>
      <c r="K66" s="79" t="n">
        <v>0.37</v>
      </c>
      <c r="L66" s="80" t="n">
        <v>1.414</v>
      </c>
      <c r="M66" s="81" t="n">
        <v>24.033</v>
      </c>
      <c r="N66" s="82" t="n">
        <v>29.5</v>
      </c>
      <c r="O66" s="83" t="inlineStr">
        <is>
          <t/>
        </is>
      </c>
      <c r="P66" s="84" t="n">
        <v>19.11</v>
      </c>
      <c r="Q66" s="85" t="n">
        <v>0.201</v>
      </c>
      <c r="R66" s="86" t="n">
        <v>-0.009919999999999984</v>
      </c>
      <c r="S66" s="87" t="n">
        <v>3.419</v>
      </c>
      <c r="T66" s="88" t="n">
        <v>2.409</v>
      </c>
      <c r="U66" s="89" t="n">
        <v>3.62</v>
      </c>
      <c r="V66" s="90" t="n">
        <v>2.055</v>
      </c>
      <c r="W66" s="91" t="inlineStr">
        <is>
          <t/>
        </is>
      </c>
      <c r="X66" s="92" t="inlineStr">
        <is>
          <t>GP Self Reporting</t>
        </is>
      </c>
      <c r="Y66" s="93" t="inlineStr">
        <is>
          <t>2020 Y</t>
        </is>
      </c>
      <c r="Z66" s="94" t="inlineStr">
        <is>
          <t>0 - 99M</t>
        </is>
      </c>
      <c r="AA66" s="95" t="inlineStr">
        <is>
          <t>Seven Peaks Ventures</t>
        </is>
      </c>
      <c r="AB66" s="96" t="inlineStr">
        <is>
          <t>Bend, OR</t>
        </is>
      </c>
      <c r="AC66" s="97" t="inlineStr">
        <is>
          <t>Software</t>
        </is>
      </c>
      <c r="AD66" s="98" t="inlineStr">
        <is>
          <t>Seed Round, Early Stage VC</t>
        </is>
      </c>
      <c r="AE66" s="99" t="inlineStr">
        <is>
          <t>Northwest, West Coast</t>
        </is>
      </c>
      <c r="AF66" s="100" t="inlineStr">
        <is>
          <t>SPV</t>
        </is>
      </c>
      <c r="AG66" s="233">
        <f>HYPERLINK("https://my.pitchbook.com?i=57775-51", "View Investor Online")</f>
      </c>
    </row>
    <row r="67">
      <c r="A67" s="36" t="inlineStr">
        <is>
          <t>13593-61F</t>
        </is>
      </c>
      <c r="B67" s="37" t="inlineStr">
        <is>
          <t>Social Leverage Capital Fund I</t>
        </is>
      </c>
      <c r="C67" s="38" t="inlineStr">
        <is>
          <t/>
        </is>
      </c>
      <c r="D67" s="39" t="inlineStr">
        <is>
          <t>Venture Capital</t>
        </is>
      </c>
      <c r="E67" s="40" t="n">
        <v>6.1</v>
      </c>
      <c r="F67" s="41" t="inlineStr">
        <is>
          <t>Phoenix, AZ</t>
        </is>
      </c>
      <c r="G67" s="42" t="n">
        <v>1.0</v>
      </c>
      <c r="H67" s="43" t="n">
        <v>2013.0</v>
      </c>
      <c r="I67" s="44" t="n">
        <v>97.24590163934428</v>
      </c>
      <c r="J67" s="45" t="n">
        <v>5.932</v>
      </c>
      <c r="K67" s="46" t="n">
        <v>0.168</v>
      </c>
      <c r="L67" s="47" t="n">
        <v>9.2</v>
      </c>
      <c r="M67" s="48" t="n">
        <v>15.700000000000001</v>
      </c>
      <c r="N67" s="49" t="n">
        <v>30.37</v>
      </c>
      <c r="O67" s="50" t="inlineStr">
        <is>
          <t/>
        </is>
      </c>
      <c r="P67" s="51" t="n">
        <v>22.21</v>
      </c>
      <c r="Q67" s="52" t="n">
        <v>1.550910317</v>
      </c>
      <c r="R67" s="53" t="n">
        <v>1.466270317</v>
      </c>
      <c r="S67" s="54" t="n">
        <v>2.646662171</v>
      </c>
      <c r="T67" s="55" t="n">
        <v>1.584402171</v>
      </c>
      <c r="U67" s="56" t="n">
        <v>4.2</v>
      </c>
      <c r="V67" s="57" t="n">
        <v>2.955</v>
      </c>
      <c r="W67" s="58" t="inlineStr">
        <is>
          <t/>
        </is>
      </c>
      <c r="X67" s="59" t="inlineStr">
        <is>
          <t>GP Self Reporting</t>
        </is>
      </c>
      <c r="Y67" s="60" t="inlineStr">
        <is>
          <t>2020 Y</t>
        </is>
      </c>
      <c r="Z67" s="61" t="inlineStr">
        <is>
          <t>0 - 99M</t>
        </is>
      </c>
      <c r="AA67" s="62" t="inlineStr">
        <is>
          <t>Social Leverage</t>
        </is>
      </c>
      <c r="AB67" s="63" t="inlineStr">
        <is>
          <t>Phoenix, AZ</t>
        </is>
      </c>
      <c r="AC67" s="64" t="inlineStr">
        <is>
          <t>Software</t>
        </is>
      </c>
      <c r="AD67" s="65" t="inlineStr">
        <is>
          <t>Seed Round, Early Stage VC, Later Stage VC</t>
        </is>
      </c>
      <c r="AE67" s="66" t="inlineStr">
        <is>
          <t>North America</t>
        </is>
      </c>
      <c r="AF67" s="67" t="inlineStr">
        <is>
          <t>SLC, SL</t>
        </is>
      </c>
      <c r="AG67" s="232">
        <f>HYPERLINK("https://my.pitchbook.com?i=51468-94", "View Investor Online")</f>
      </c>
    </row>
    <row r="68">
      <c r="A68" s="69" t="inlineStr">
        <is>
          <t>15724-09F</t>
        </is>
      </c>
      <c r="B68" s="70" t="inlineStr">
        <is>
          <t>Revel Venture Fund I</t>
        </is>
      </c>
      <c r="C68" s="71" t="inlineStr">
        <is>
          <t/>
        </is>
      </c>
      <c r="D68" s="72" t="inlineStr">
        <is>
          <t>Venture Capital</t>
        </is>
      </c>
      <c r="E68" s="73" t="n">
        <v>10.0</v>
      </c>
      <c r="F68" s="74" t="inlineStr">
        <is>
          <t>New York, NY</t>
        </is>
      </c>
      <c r="G68" s="75" t="n">
        <v>4.0</v>
      </c>
      <c r="H68" s="76" t="n">
        <v>2011.0</v>
      </c>
      <c r="I68" s="77" t="n">
        <v>100.0</v>
      </c>
      <c r="J68" s="78" t="n">
        <v>10.0</v>
      </c>
      <c r="K68" s="79" t="n">
        <v>0.0</v>
      </c>
      <c r="L68" s="80" t="n">
        <v>55.0</v>
      </c>
      <c r="M68" s="81" t="n">
        <v>7.8</v>
      </c>
      <c r="N68" s="82" t="n">
        <v>0.63</v>
      </c>
      <c r="O68" s="83" t="inlineStr">
        <is>
          <t/>
        </is>
      </c>
      <c r="P68" s="84" t="n">
        <v>-10.469999999999999</v>
      </c>
      <c r="Q68" s="85" t="n">
        <v>5.5</v>
      </c>
      <c r="R68" s="86" t="n">
        <v>5.31</v>
      </c>
      <c r="S68" s="87" t="n">
        <v>0.78</v>
      </c>
      <c r="T68" s="88" t="n">
        <v>-0.3791</v>
      </c>
      <c r="U68" s="89" t="n">
        <v>6.28</v>
      </c>
      <c r="V68" s="90" t="n">
        <v>4.75</v>
      </c>
      <c r="W68" s="91" t="inlineStr">
        <is>
          <t/>
        </is>
      </c>
      <c r="X68" s="92" t="inlineStr">
        <is>
          <t>GP Self Reporting</t>
        </is>
      </c>
      <c r="Y68" s="93" t="inlineStr">
        <is>
          <t>2019 Y</t>
        </is>
      </c>
      <c r="Z68" s="94" t="inlineStr">
        <is>
          <t>0 - 99M</t>
        </is>
      </c>
      <c r="AA68" s="95" t="inlineStr">
        <is>
          <t>Revel Partners</t>
        </is>
      </c>
      <c r="AB68" s="96" t="inlineStr">
        <is>
          <t>New York, NY</t>
        </is>
      </c>
      <c r="AC68" s="97" t="inlineStr">
        <is>
          <t>Software, Commercial Services</t>
        </is>
      </c>
      <c r="AD68" s="98" t="inlineStr">
        <is>
          <t>Seed Round, Early Stage VC, Later Stage VC</t>
        </is>
      </c>
      <c r="AE68" s="99" t="inlineStr">
        <is>
          <t/>
        </is>
      </c>
      <c r="AF68" s="100" t="inlineStr">
        <is>
          <t>Revel</t>
        </is>
      </c>
      <c r="AG68" s="233">
        <f>HYPERLINK("https://my.pitchbook.com?i=53503-93", "View Investor Online")</f>
      </c>
    </row>
    <row r="69">
      <c r="A69" s="36" t="inlineStr">
        <is>
          <t>13887-19F</t>
        </is>
      </c>
      <c r="B69" s="37" t="inlineStr">
        <is>
          <t>Business Partners International Southern African SME Fund</t>
        </is>
      </c>
      <c r="C69" s="38" t="inlineStr">
        <is>
          <t/>
        </is>
      </c>
      <c r="D69" s="39" t="inlineStr">
        <is>
          <t>Venture Capital</t>
        </is>
      </c>
      <c r="E69" s="40" t="n">
        <v>7.0</v>
      </c>
      <c r="F69" s="41" t="inlineStr">
        <is>
          <t>Johannesburg, South Africa</t>
        </is>
      </c>
      <c r="G69" s="42" t="inlineStr">
        <is>
          <t/>
        </is>
      </c>
      <c r="H69" s="43" t="n">
        <v>2014.0</v>
      </c>
      <c r="I69" s="44" t="inlineStr">
        <is>
          <t/>
        </is>
      </c>
      <c r="J69" s="45" t="inlineStr">
        <is>
          <t/>
        </is>
      </c>
      <c r="K69" s="46" t="n">
        <v>7.0</v>
      </c>
      <c r="L69" s="47" t="inlineStr">
        <is>
          <t/>
        </is>
      </c>
      <c r="M69" s="48" t="inlineStr">
        <is>
          <t/>
        </is>
      </c>
      <c r="N69" s="49" t="inlineStr">
        <is>
          <t/>
        </is>
      </c>
      <c r="O69" s="50" t="inlineStr">
        <is>
          <t/>
        </is>
      </c>
      <c r="P69" s="51" t="inlineStr">
        <is>
          <t/>
        </is>
      </c>
      <c r="Q69" s="52" t="n">
        <v>0.0</v>
      </c>
      <c r="R69" s="53" t="inlineStr">
        <is>
          <t/>
        </is>
      </c>
      <c r="S69" s="54" t="inlineStr">
        <is>
          <t/>
        </is>
      </c>
      <c r="T69" s="55" t="inlineStr">
        <is>
          <t/>
        </is>
      </c>
      <c r="U69" s="56" t="inlineStr">
        <is>
          <t/>
        </is>
      </c>
      <c r="V69" s="57" t="inlineStr">
        <is>
          <t/>
        </is>
      </c>
      <c r="W69" s="58" t="inlineStr">
        <is>
          <t/>
        </is>
      </c>
      <c r="X69" s="59" t="inlineStr">
        <is>
          <t>LP Original Commitments</t>
        </is>
      </c>
      <c r="Y69" s="60" t="inlineStr">
        <is>
          <t>2018 Y</t>
        </is>
      </c>
      <c r="Z69" s="61" t="inlineStr">
        <is>
          <t>0 - 99M</t>
        </is>
      </c>
      <c r="AA69" s="62" t="inlineStr">
        <is>
          <t>Business Partners</t>
        </is>
      </c>
      <c r="AB69" s="63" t="inlineStr">
        <is>
          <t>Johannesburg, South Africa</t>
        </is>
      </c>
      <c r="AC69" s="64" t="inlineStr">
        <is>
          <t>Media, Software, Insurance</t>
        </is>
      </c>
      <c r="AD69" s="65" t="inlineStr">
        <is>
          <t>Seed Round, Early Stage VC, Later Stage VC</t>
        </is>
      </c>
      <c r="AE69" s="66" t="inlineStr">
        <is>
          <t>South Africa</t>
        </is>
      </c>
      <c r="AF69" s="67" t="inlineStr">
        <is>
          <t>AfDB</t>
        </is>
      </c>
      <c r="AG69" s="232">
        <f>HYPERLINK("https://my.pitchbook.com?i=60264-10", "View Investor Online")</f>
      </c>
    </row>
    <row r="70">
      <c r="A70" s="69" t="inlineStr">
        <is>
          <t>15474-61F</t>
        </is>
      </c>
      <c r="B70" s="70" t="inlineStr">
        <is>
          <t>Cervin Ventures II Opportunities Fund</t>
        </is>
      </c>
      <c r="C70" s="71" t="inlineStr">
        <is>
          <t/>
        </is>
      </c>
      <c r="D70" s="72" t="inlineStr">
        <is>
          <t>Venture Capital</t>
        </is>
      </c>
      <c r="E70" s="73" t="n">
        <v>13.79167</v>
      </c>
      <c r="F70" s="74" t="inlineStr">
        <is>
          <t>Palo Alto, CA</t>
        </is>
      </c>
      <c r="G70" s="75" t="inlineStr">
        <is>
          <t/>
        </is>
      </c>
      <c r="H70" s="76" t="n">
        <v>2016.0</v>
      </c>
      <c r="I70" s="77" t="n">
        <v>94.0574111931075</v>
      </c>
      <c r="J70" s="78" t="n">
        <v>12.972084</v>
      </c>
      <c r="K70" s="79" t="n">
        <v>0.8195822377035523</v>
      </c>
      <c r="L70" s="80" t="n">
        <v>0.0</v>
      </c>
      <c r="M70" s="81" t="inlineStr">
        <is>
          <t/>
        </is>
      </c>
      <c r="N70" s="82" t="inlineStr">
        <is>
          <t/>
        </is>
      </c>
      <c r="O70" s="83" t="inlineStr">
        <is>
          <t/>
        </is>
      </c>
      <c r="P70" s="84" t="inlineStr">
        <is>
          <t/>
        </is>
      </c>
      <c r="Q70" s="85" t="n">
        <v>0.0</v>
      </c>
      <c r="R70" s="86" t="n">
        <v>-0.0602</v>
      </c>
      <c r="S70" s="87" t="inlineStr">
        <is>
          <t/>
        </is>
      </c>
      <c r="T70" s="88" t="inlineStr">
        <is>
          <t/>
        </is>
      </c>
      <c r="U70" s="89" t="inlineStr">
        <is>
          <t/>
        </is>
      </c>
      <c r="V70" s="90" t="inlineStr">
        <is>
          <t/>
        </is>
      </c>
      <c r="W70" s="91" t="inlineStr">
        <is>
          <t/>
        </is>
      </c>
      <c r="X70" s="92" t="inlineStr">
        <is>
          <t>GP Self Reporting</t>
        </is>
      </c>
      <c r="Y70" s="93" t="inlineStr">
        <is>
          <t>2020 Y</t>
        </is>
      </c>
      <c r="Z70" s="94" t="inlineStr">
        <is>
          <t>0 - 99M</t>
        </is>
      </c>
      <c r="AA70" s="95" t="inlineStr">
        <is>
          <t>Cervin Ventures</t>
        </is>
      </c>
      <c r="AB70" s="96" t="inlineStr">
        <is>
          <t>Palo Alto, CA</t>
        </is>
      </c>
      <c r="AC70" s="97" t="inlineStr">
        <is>
          <t>Software</t>
        </is>
      </c>
      <c r="AD70" s="98" t="inlineStr">
        <is>
          <t>Seed Round, Early Stage VC, Later Stage VC</t>
        </is>
      </c>
      <c r="AE70" s="99" t="inlineStr">
        <is>
          <t/>
        </is>
      </c>
      <c r="AF70" s="100" t="inlineStr">
        <is>
          <t>Cervin</t>
        </is>
      </c>
      <c r="AG70" s="233">
        <f>HYPERLINK("https://my.pitchbook.com?i=51552-19", "View Investor Online")</f>
      </c>
    </row>
    <row r="71">
      <c r="A71" s="36" t="inlineStr">
        <is>
          <t>13908-43F</t>
        </is>
      </c>
      <c r="B71" s="37" t="inlineStr">
        <is>
          <t>DMP Fund I</t>
        </is>
      </c>
      <c r="C71" s="38" t="inlineStr">
        <is>
          <t/>
        </is>
      </c>
      <c r="D71" s="39" t="inlineStr">
        <is>
          <t>Venture Capital</t>
        </is>
      </c>
      <c r="E71" s="40" t="n">
        <v>10.0</v>
      </c>
      <c r="F71" s="41" t="inlineStr">
        <is>
          <t>Singapore, Singapore</t>
        </is>
      </c>
      <c r="G71" s="42" t="inlineStr">
        <is>
          <t/>
        </is>
      </c>
      <c r="H71" s="43" t="n">
        <v>2011.0</v>
      </c>
      <c r="I71" s="44" t="inlineStr">
        <is>
          <t/>
        </is>
      </c>
      <c r="J71" s="45" t="inlineStr">
        <is>
          <t/>
        </is>
      </c>
      <c r="K71" s="46" t="n">
        <v>0.0</v>
      </c>
      <c r="L71" s="47" t="inlineStr">
        <is>
          <t/>
        </is>
      </c>
      <c r="M71" s="48" t="inlineStr">
        <is>
          <t/>
        </is>
      </c>
      <c r="N71" s="49" t="n">
        <v>13.3</v>
      </c>
      <c r="O71" s="50" t="inlineStr">
        <is>
          <t/>
        </is>
      </c>
      <c r="P71" s="51" t="inlineStr">
        <is>
          <t/>
        </is>
      </c>
      <c r="Q71" s="52" t="inlineStr">
        <is>
          <t/>
        </is>
      </c>
      <c r="R71" s="53" t="inlineStr">
        <is>
          <t/>
        </is>
      </c>
      <c r="S71" s="54" t="inlineStr">
        <is>
          <t/>
        </is>
      </c>
      <c r="T71" s="55" t="inlineStr">
        <is>
          <t/>
        </is>
      </c>
      <c r="U71" s="56" t="inlineStr">
        <is>
          <t/>
        </is>
      </c>
      <c r="V71" s="57" t="inlineStr">
        <is>
          <t/>
        </is>
      </c>
      <c r="W71" s="58" t="inlineStr">
        <is>
          <t/>
        </is>
      </c>
      <c r="X71" s="59" t="inlineStr">
        <is>
          <t>GP Self Reporting</t>
        </is>
      </c>
      <c r="Y71" s="60" t="inlineStr">
        <is>
          <t>2018 Y</t>
        </is>
      </c>
      <c r="Z71" s="61" t="inlineStr">
        <is>
          <t>0 - 99M</t>
        </is>
      </c>
      <c r="AA71" s="62" t="inlineStr">
        <is>
          <t>Cento Ventures</t>
        </is>
      </c>
      <c r="AB71" s="63" t="inlineStr">
        <is>
          <t>Singapore, Singapore</t>
        </is>
      </c>
      <c r="AC71" s="64" t="inlineStr">
        <is>
          <t>Software</t>
        </is>
      </c>
      <c r="AD71" s="65" t="inlineStr">
        <is>
          <t>Seed Round, Early Stage VC, Later Stage VC</t>
        </is>
      </c>
      <c r="AE71" s="66" t="inlineStr">
        <is>
          <t>Southeast Asia</t>
        </is>
      </c>
      <c r="AF71" s="67" t="inlineStr">
        <is>
          <t>DMP</t>
        </is>
      </c>
      <c r="AG71" s="232">
        <f>HYPERLINK("https://my.pitchbook.com?i=56857-15", "View Investor Online")</f>
      </c>
    </row>
    <row r="72">
      <c r="A72" s="69" t="inlineStr">
        <is>
          <t>13453-03F</t>
        </is>
      </c>
      <c r="B72" s="70" t="inlineStr">
        <is>
          <t>Greycroft Partners Annex Fund</t>
        </is>
      </c>
      <c r="C72" s="71" t="inlineStr">
        <is>
          <t/>
        </is>
      </c>
      <c r="D72" s="72" t="inlineStr">
        <is>
          <t>Venture Capital - Early Stage</t>
        </is>
      </c>
      <c r="E72" s="73" t="n">
        <v>12.65</v>
      </c>
      <c r="F72" s="74" t="inlineStr">
        <is>
          <t>New York, NY</t>
        </is>
      </c>
      <c r="G72" s="75" t="inlineStr">
        <is>
          <t/>
        </is>
      </c>
      <c r="H72" s="76" t="n">
        <v>2012.0</v>
      </c>
      <c r="I72" s="77" t="n">
        <v>100.0</v>
      </c>
      <c r="J72" s="78" t="n">
        <v>12.65</v>
      </c>
      <c r="K72" s="79" t="n">
        <v>0.0</v>
      </c>
      <c r="L72" s="80" t="inlineStr">
        <is>
          <t/>
        </is>
      </c>
      <c r="M72" s="81" t="n">
        <v>9.6</v>
      </c>
      <c r="N72" s="82" t="inlineStr">
        <is>
          <t/>
        </is>
      </c>
      <c r="O72" s="83" t="inlineStr">
        <is>
          <t/>
        </is>
      </c>
      <c r="P72" s="84" t="inlineStr">
        <is>
          <t/>
        </is>
      </c>
      <c r="Q72" s="85" t="inlineStr">
        <is>
          <t/>
        </is>
      </c>
      <c r="R72" s="86" t="inlineStr">
        <is>
          <t/>
        </is>
      </c>
      <c r="S72" s="87" t="n">
        <v>0.758893281</v>
      </c>
      <c r="T72" s="88" t="inlineStr">
        <is>
          <t/>
        </is>
      </c>
      <c r="U72" s="89" t="inlineStr">
        <is>
          <t/>
        </is>
      </c>
      <c r="V72" s="90" t="inlineStr">
        <is>
          <t/>
        </is>
      </c>
      <c r="W72" s="91" t="inlineStr">
        <is>
          <t/>
        </is>
      </c>
      <c r="X72" s="92" t="inlineStr">
        <is>
          <t>GP Self Reporting</t>
        </is>
      </c>
      <c r="Y72" s="93" t="inlineStr">
        <is>
          <t>2017 Y</t>
        </is>
      </c>
      <c r="Z72" s="94" t="inlineStr">
        <is>
          <t>0 - 99M</t>
        </is>
      </c>
      <c r="AA72" s="95" t="inlineStr">
        <is>
          <t>Greycroft</t>
        </is>
      </c>
      <c r="AB72" s="96" t="inlineStr">
        <is>
          <t>New York, NY</t>
        </is>
      </c>
      <c r="AC72" s="97" t="inlineStr">
        <is>
          <t>Software</t>
        </is>
      </c>
      <c r="AD72" s="98" t="inlineStr">
        <is>
          <t>Seed Round, Early Stage VC</t>
        </is>
      </c>
      <c r="AE72" s="99" t="inlineStr">
        <is>
          <t/>
        </is>
      </c>
      <c r="AF72" s="100" t="inlineStr">
        <is>
          <t>Greycroft</t>
        </is>
      </c>
      <c r="AG72" s="233">
        <f>HYPERLINK("https://my.pitchbook.com?i=11191-87", "View Investor Online")</f>
      </c>
    </row>
    <row r="73">
      <c r="A73" s="36" t="inlineStr">
        <is>
          <t>14256-46F</t>
        </is>
      </c>
      <c r="B73" s="37" t="inlineStr">
        <is>
          <t>Gründerfonds Münsterland</t>
        </is>
      </c>
      <c r="C73" s="38" t="inlineStr">
        <is>
          <t/>
        </is>
      </c>
      <c r="D73" s="39" t="inlineStr">
        <is>
          <t>Venture Capital - Early Stage</t>
        </is>
      </c>
      <c r="E73" s="40" t="n">
        <v>11.77325</v>
      </c>
      <c r="F73" s="41" t="inlineStr">
        <is>
          <t>Münster, Germany</t>
        </is>
      </c>
      <c r="G73" s="42" t="inlineStr">
        <is>
          <t/>
        </is>
      </c>
      <c r="H73" s="43" t="n">
        <v>2009.0</v>
      </c>
      <c r="I73" s="44" t="n">
        <v>94.70365699873896</v>
      </c>
      <c r="J73" s="45" t="n">
        <v>11.149700942553057</v>
      </c>
      <c r="K73" s="46" t="n">
        <v>0.0</v>
      </c>
      <c r="L73" s="47" t="n">
        <v>0.0</v>
      </c>
      <c r="M73" s="48" t="inlineStr">
        <is>
          <t/>
        </is>
      </c>
      <c r="N73" s="49" t="inlineStr">
        <is>
          <t/>
        </is>
      </c>
      <c r="O73" s="50" t="inlineStr">
        <is>
          <t/>
        </is>
      </c>
      <c r="P73" s="51" t="inlineStr">
        <is>
          <t/>
        </is>
      </c>
      <c r="Q73" s="52" t="n">
        <v>0.0</v>
      </c>
      <c r="R73" s="53" t="inlineStr">
        <is>
          <t/>
        </is>
      </c>
      <c r="S73" s="54" t="inlineStr">
        <is>
          <t/>
        </is>
      </c>
      <c r="T73" s="55" t="inlineStr">
        <is>
          <t/>
        </is>
      </c>
      <c r="U73" s="56" t="inlineStr">
        <is>
          <t/>
        </is>
      </c>
      <c r="V73" s="57" t="inlineStr">
        <is>
          <t/>
        </is>
      </c>
      <c r="W73" s="58" t="inlineStr">
        <is>
          <t/>
        </is>
      </c>
      <c r="X73" s="59" t="inlineStr">
        <is>
          <t>GP Self Reporting</t>
        </is>
      </c>
      <c r="Y73" s="60" t="inlineStr">
        <is>
          <t>2018 Y</t>
        </is>
      </c>
      <c r="Z73" s="61" t="inlineStr">
        <is>
          <t>0 - 99M</t>
        </is>
      </c>
      <c r="AA73" s="62" t="inlineStr">
        <is>
          <t>eCAPITAL entrepreneurial Partners, Gründerfonds Münsterland</t>
        </is>
      </c>
      <c r="AB73" s="63" t="inlineStr">
        <is>
          <t>Münster, Germany</t>
        </is>
      </c>
      <c r="AC73" s="64" t="inlineStr">
        <is>
          <t>Energy Equipment</t>
        </is>
      </c>
      <c r="AD73" s="65" t="inlineStr">
        <is>
          <t>Seed Round, Early Stage VC</t>
        </is>
      </c>
      <c r="AE73" s="66" t="inlineStr">
        <is>
          <t/>
        </is>
      </c>
      <c r="AF73" s="67" t="inlineStr">
        <is>
          <t>eCAPITAL</t>
        </is>
      </c>
      <c r="AG73" s="232">
        <f>HYPERLINK("https://my.pitchbook.com?i=11169-28", "View Investor Online")</f>
      </c>
    </row>
    <row r="74">
      <c r="A74" s="69" t="inlineStr">
        <is>
          <t>14256-82F</t>
        </is>
      </c>
      <c r="B74" s="70" t="inlineStr">
        <is>
          <t>henQ II</t>
        </is>
      </c>
      <c r="C74" s="71" t="inlineStr">
        <is>
          <t>henQ Innovatiefonds 2</t>
        </is>
      </c>
      <c r="D74" s="72" t="inlineStr">
        <is>
          <t>Venture Capital - Early Stage</t>
        </is>
      </c>
      <c r="E74" s="73" t="n">
        <v>13.13061</v>
      </c>
      <c r="F74" s="74" t="inlineStr">
        <is>
          <t>Amsterdam, Netherlands</t>
        </is>
      </c>
      <c r="G74" s="75" t="inlineStr">
        <is>
          <t/>
        </is>
      </c>
      <c r="H74" s="76" t="n">
        <v>2009.0</v>
      </c>
      <c r="I74" s="77" t="inlineStr">
        <is>
          <t/>
        </is>
      </c>
      <c r="J74" s="78" t="inlineStr">
        <is>
          <t/>
        </is>
      </c>
      <c r="K74" s="79" t="inlineStr">
        <is>
          <t/>
        </is>
      </c>
      <c r="L74" s="80" t="inlineStr">
        <is>
          <t/>
        </is>
      </c>
      <c r="M74" s="81" t="inlineStr">
        <is>
          <t/>
        </is>
      </c>
      <c r="N74" s="82" t="n">
        <v>30.3</v>
      </c>
      <c r="O74" s="83" t="inlineStr">
        <is>
          <t/>
        </is>
      </c>
      <c r="P74" s="84" t="inlineStr">
        <is>
          <t/>
        </is>
      </c>
      <c r="Q74" s="85" t="inlineStr">
        <is>
          <t/>
        </is>
      </c>
      <c r="R74" s="86" t="inlineStr">
        <is>
          <t/>
        </is>
      </c>
      <c r="S74" s="87" t="inlineStr">
        <is>
          <t/>
        </is>
      </c>
      <c r="T74" s="88" t="inlineStr">
        <is>
          <t/>
        </is>
      </c>
      <c r="U74" s="89" t="inlineStr">
        <is>
          <t/>
        </is>
      </c>
      <c r="V74" s="90" t="inlineStr">
        <is>
          <t/>
        </is>
      </c>
      <c r="W74" s="91" t="inlineStr">
        <is>
          <t/>
        </is>
      </c>
      <c r="X74" s="92" t="inlineStr">
        <is>
          <t>GP Self Reporting</t>
        </is>
      </c>
      <c r="Y74" s="93" t="inlineStr">
        <is>
          <t>2018 Y</t>
        </is>
      </c>
      <c r="Z74" s="94" t="inlineStr">
        <is>
          <t>0 - 99M</t>
        </is>
      </c>
      <c r="AA74" s="95" t="inlineStr">
        <is>
          <t>HenQ</t>
        </is>
      </c>
      <c r="AB74" s="96" t="inlineStr">
        <is>
          <t>Amsterdam, Netherlands</t>
        </is>
      </c>
      <c r="AC74" s="97" t="inlineStr">
        <is>
          <t>Software</t>
        </is>
      </c>
      <c r="AD74" s="98" t="inlineStr">
        <is>
          <t>Seed Round, Early Stage VC</t>
        </is>
      </c>
      <c r="AE74" s="99" t="inlineStr">
        <is>
          <t/>
        </is>
      </c>
      <c r="AF74" s="100" t="inlineStr">
        <is>
          <t>HenQ</t>
        </is>
      </c>
      <c r="AG74" s="233">
        <f>HYPERLINK("https://my.pitchbook.com?i=53315-65", "View Investor Online")</f>
      </c>
    </row>
    <row r="75">
      <c r="A75" s="36" t="inlineStr">
        <is>
          <t>14652-82F</t>
        </is>
      </c>
      <c r="B75" s="37" t="inlineStr">
        <is>
          <t>Inspiration Ventures 2</t>
        </is>
      </c>
      <c r="C75" s="38" t="inlineStr">
        <is>
          <t/>
        </is>
      </c>
      <c r="D75" s="39" t="inlineStr">
        <is>
          <t>Venture Capital</t>
        </is>
      </c>
      <c r="E75" s="40" t="n">
        <v>15.0</v>
      </c>
      <c r="F75" s="41" t="inlineStr">
        <is>
          <t>Burlingame, CA</t>
        </is>
      </c>
      <c r="G75" s="42" t="n">
        <v>1.0</v>
      </c>
      <c r="H75" s="43" t="n">
        <v>2014.0</v>
      </c>
      <c r="I75" s="44" t="inlineStr">
        <is>
          <t/>
        </is>
      </c>
      <c r="J75" s="45" t="inlineStr">
        <is>
          <t/>
        </is>
      </c>
      <c r="K75" s="46" t="n">
        <v>0.0</v>
      </c>
      <c r="L75" s="47" t="inlineStr">
        <is>
          <t/>
        </is>
      </c>
      <c r="M75" s="48" t="inlineStr">
        <is>
          <t/>
        </is>
      </c>
      <c r="N75" s="49" t="n">
        <v>32.9</v>
      </c>
      <c r="O75" s="50" t="inlineStr">
        <is>
          <t/>
        </is>
      </c>
      <c r="P75" s="51" t="n">
        <v>18.939999999999998</v>
      </c>
      <c r="Q75" s="52" t="inlineStr">
        <is>
          <t/>
        </is>
      </c>
      <c r="R75" s="53" t="inlineStr">
        <is>
          <t/>
        </is>
      </c>
      <c r="S75" s="54" t="inlineStr">
        <is>
          <t/>
        </is>
      </c>
      <c r="T75" s="55" t="inlineStr">
        <is>
          <t/>
        </is>
      </c>
      <c r="U75" s="56" t="inlineStr">
        <is>
          <t/>
        </is>
      </c>
      <c r="V75" s="57" t="inlineStr">
        <is>
          <t/>
        </is>
      </c>
      <c r="W75" s="58" t="inlineStr">
        <is>
          <t/>
        </is>
      </c>
      <c r="X75" s="59" t="inlineStr">
        <is>
          <t>GP Self Reporting</t>
        </is>
      </c>
      <c r="Y75" s="60" t="inlineStr">
        <is>
          <t>2019 Y</t>
        </is>
      </c>
      <c r="Z75" s="61" t="inlineStr">
        <is>
          <t>0 - 99M</t>
        </is>
      </c>
      <c r="AA75" s="62" t="inlineStr">
        <is>
          <t>Inspiration Ventures</t>
        </is>
      </c>
      <c r="AB75" s="63" t="inlineStr">
        <is>
          <t>Burlingame, CA</t>
        </is>
      </c>
      <c r="AC75" s="64" t="inlineStr">
        <is>
          <t>Software</t>
        </is>
      </c>
      <c r="AD75" s="65" t="inlineStr">
        <is>
          <t>Seed Round, Early Stage VC, Later Stage VC</t>
        </is>
      </c>
      <c r="AE75" s="66" t="inlineStr">
        <is>
          <t/>
        </is>
      </c>
      <c r="AF75" s="67" t="inlineStr">
        <is>
          <t>Inspiration</t>
        </is>
      </c>
      <c r="AG75" s="232">
        <f>HYPERLINK("https://my.pitchbook.com?i=53324-02", "View Investor Online")</f>
      </c>
    </row>
    <row r="76">
      <c r="A76" s="69" t="inlineStr">
        <is>
          <t>16372-90F</t>
        </is>
      </c>
      <c r="B76" s="70" t="inlineStr">
        <is>
          <t>JumpFund II</t>
        </is>
      </c>
      <c r="C76" s="71" t="inlineStr">
        <is>
          <t/>
        </is>
      </c>
      <c r="D76" s="72" t="inlineStr">
        <is>
          <t>Venture Capital</t>
        </is>
      </c>
      <c r="E76" s="73" t="n">
        <v>5.0</v>
      </c>
      <c r="F76" s="74" t="inlineStr">
        <is>
          <t>Chattanooga, TN</t>
        </is>
      </c>
      <c r="G76" s="75" t="inlineStr">
        <is>
          <t/>
        </is>
      </c>
      <c r="H76" s="76" t="n">
        <v>2017.0</v>
      </c>
      <c r="I76" s="77" t="n">
        <v>44.99572690152882</v>
      </c>
      <c r="J76" s="78" t="n">
        <v>2.249786345076441</v>
      </c>
      <c r="K76" s="79" t="n">
        <v>2.462500039623522</v>
      </c>
      <c r="L76" s="80" t="n">
        <v>0.0</v>
      </c>
      <c r="M76" s="81" t="inlineStr">
        <is>
          <t/>
        </is>
      </c>
      <c r="N76" s="82" t="inlineStr">
        <is>
          <t/>
        </is>
      </c>
      <c r="O76" s="83" t="inlineStr">
        <is>
          <t/>
        </is>
      </c>
      <c r="P76" s="84" t="inlineStr">
        <is>
          <t/>
        </is>
      </c>
      <c r="Q76" s="85" t="n">
        <v>0.0</v>
      </c>
      <c r="R76" s="86" t="n">
        <v>0.0</v>
      </c>
      <c r="S76" s="87" t="inlineStr">
        <is>
          <t/>
        </is>
      </c>
      <c r="T76" s="88" t="inlineStr">
        <is>
          <t/>
        </is>
      </c>
      <c r="U76" s="89" t="inlineStr">
        <is>
          <t/>
        </is>
      </c>
      <c r="V76" s="90" t="inlineStr">
        <is>
          <t/>
        </is>
      </c>
      <c r="W76" s="91" t="inlineStr">
        <is>
          <t/>
        </is>
      </c>
      <c r="X76" s="92" t="inlineStr">
        <is>
          <t>GP Self Reporting</t>
        </is>
      </c>
      <c r="Y76" s="93" t="inlineStr">
        <is>
          <t>2018 Y</t>
        </is>
      </c>
      <c r="Z76" s="94" t="inlineStr">
        <is>
          <t>0 - 99M</t>
        </is>
      </c>
      <c r="AA76" s="95" t="inlineStr">
        <is>
          <t>The JumpFund</t>
        </is>
      </c>
      <c r="AB76" s="96" t="inlineStr">
        <is>
          <t>Chattanooga, TN</t>
        </is>
      </c>
      <c r="AC76" s="97" t="inlineStr">
        <is>
          <t>Business Products and Services (B2B), Consumer Products and Services (B2C), Utilities, Healthcare</t>
        </is>
      </c>
      <c r="AD76" s="98" t="inlineStr">
        <is>
          <t>Seed Round, Early Stage VC, Later Stage VC</t>
        </is>
      </c>
      <c r="AE76" s="99" t="inlineStr">
        <is>
          <t>Southeast</t>
        </is>
      </c>
      <c r="AF76" s="100" t="inlineStr">
        <is>
          <t>The JumpFund</t>
        </is>
      </c>
      <c r="AG76" s="233">
        <f>HYPERLINK("https://my.pitchbook.com?i=103211-47", "View Investor Online")</f>
      </c>
    </row>
    <row r="77">
      <c r="A77" s="36" t="inlineStr">
        <is>
          <t>16317-55F</t>
        </is>
      </c>
      <c r="B77" s="37" t="inlineStr">
        <is>
          <t>M3 Ventures I</t>
        </is>
      </c>
      <c r="C77" s="38" t="inlineStr">
        <is>
          <t/>
        </is>
      </c>
      <c r="D77" s="39" t="inlineStr">
        <is>
          <t>Venture Capital - Early Stage</t>
        </is>
      </c>
      <c r="E77" s="40" t="n">
        <v>8.45394</v>
      </c>
      <c r="F77" s="41" t="inlineStr">
        <is>
          <t>New York, NY</t>
        </is>
      </c>
      <c r="G77" s="42" t="n">
        <v>3.0</v>
      </c>
      <c r="H77" s="43" t="n">
        <v>2015.0</v>
      </c>
      <c r="I77" s="44" t="inlineStr">
        <is>
          <t/>
        </is>
      </c>
      <c r="J77" s="45" t="inlineStr">
        <is>
          <t/>
        </is>
      </c>
      <c r="K77" s="46" t="n">
        <v>0.0</v>
      </c>
      <c r="L77" s="47" t="inlineStr">
        <is>
          <t/>
        </is>
      </c>
      <c r="M77" s="48" t="inlineStr">
        <is>
          <t/>
        </is>
      </c>
      <c r="N77" s="49" t="n">
        <v>15.55</v>
      </c>
      <c r="O77" s="50" t="inlineStr">
        <is>
          <t/>
        </is>
      </c>
      <c r="P77" s="51" t="n">
        <v>-1.8499999999999979</v>
      </c>
      <c r="Q77" s="52" t="inlineStr">
        <is>
          <t/>
        </is>
      </c>
      <c r="R77" s="53" t="inlineStr">
        <is>
          <t/>
        </is>
      </c>
      <c r="S77" s="54" t="inlineStr">
        <is>
          <t/>
        </is>
      </c>
      <c r="T77" s="55" t="inlineStr">
        <is>
          <t/>
        </is>
      </c>
      <c r="U77" s="56" t="inlineStr">
        <is>
          <t/>
        </is>
      </c>
      <c r="V77" s="57" t="inlineStr">
        <is>
          <t/>
        </is>
      </c>
      <c r="W77" s="58" t="inlineStr">
        <is>
          <t/>
        </is>
      </c>
      <c r="X77" s="59" t="inlineStr">
        <is>
          <t>GP Self Reporting</t>
        </is>
      </c>
      <c r="Y77" s="60" t="inlineStr">
        <is>
          <t>2020 Y</t>
        </is>
      </c>
      <c r="Z77" s="61" t="inlineStr">
        <is>
          <t>0 - 99M</t>
        </is>
      </c>
      <c r="AA77" s="62" t="inlineStr">
        <is>
          <t>M3 Ventures</t>
        </is>
      </c>
      <c r="AB77" s="63" t="inlineStr">
        <is>
          <t>New York, NY</t>
        </is>
      </c>
      <c r="AC77" s="64" t="inlineStr">
        <is>
          <t>Retail, Apparel and Accessories</t>
        </is>
      </c>
      <c r="AD77" s="65" t="inlineStr">
        <is>
          <t>Seed Round, Early Stage VC</t>
        </is>
      </c>
      <c r="AE77" s="66" t="inlineStr">
        <is>
          <t>United States</t>
        </is>
      </c>
      <c r="AF77" s="67" t="inlineStr">
        <is>
          <t>M3V</t>
        </is>
      </c>
      <c r="AG77" s="232">
        <f>HYPERLINK("https://my.pitchbook.com?i=124419-43", "View Investor Online")</f>
      </c>
    </row>
    <row r="78">
      <c r="A78" s="69" t="inlineStr">
        <is>
          <t>15408-73F</t>
        </is>
      </c>
      <c r="B78" s="70" t="inlineStr">
        <is>
          <t>Mercia Growth Fund 4</t>
        </is>
      </c>
      <c r="C78" s="71" t="inlineStr">
        <is>
          <t/>
        </is>
      </c>
      <c r="D78" s="72" t="inlineStr">
        <is>
          <t>Venture Capital</t>
        </is>
      </c>
      <c r="E78" s="73" t="n">
        <v>6.20893</v>
      </c>
      <c r="F78" s="74" t="inlineStr">
        <is>
          <t>Henley-in-Arden, United Kingdom</t>
        </is>
      </c>
      <c r="G78" s="75" t="inlineStr">
        <is>
          <t/>
        </is>
      </c>
      <c r="H78" s="76" t="n">
        <v>2015.0</v>
      </c>
      <c r="I78" s="77" t="n">
        <v>91.8885294849465</v>
      </c>
      <c r="J78" s="78" t="n">
        <v>5.705295898819701</v>
      </c>
      <c r="K78" s="79" t="n">
        <v>0.0</v>
      </c>
      <c r="L78" s="80" t="inlineStr">
        <is>
          <t/>
        </is>
      </c>
      <c r="M78" s="81" t="n">
        <v>5.277360084042267</v>
      </c>
      <c r="N78" s="82" t="inlineStr">
        <is>
          <t/>
        </is>
      </c>
      <c r="O78" s="83" t="inlineStr">
        <is>
          <t/>
        </is>
      </c>
      <c r="P78" s="84" t="inlineStr">
        <is>
          <t/>
        </is>
      </c>
      <c r="Q78" s="85" t="inlineStr">
        <is>
          <t/>
        </is>
      </c>
      <c r="R78" s="86" t="inlineStr">
        <is>
          <t/>
        </is>
      </c>
      <c r="S78" s="87" t="n">
        <v>0.92499323</v>
      </c>
      <c r="T78" s="88" t="n">
        <v>0.004983230000000005</v>
      </c>
      <c r="U78" s="89" t="inlineStr">
        <is>
          <t/>
        </is>
      </c>
      <c r="V78" s="90" t="inlineStr">
        <is>
          <t/>
        </is>
      </c>
      <c r="W78" s="91" t="inlineStr">
        <is>
          <t/>
        </is>
      </c>
      <c r="X78" s="92" t="inlineStr">
        <is>
          <t>GP Self Reporting</t>
        </is>
      </c>
      <c r="Y78" s="93" t="inlineStr">
        <is>
          <t>2017 Y</t>
        </is>
      </c>
      <c r="Z78" s="94" t="inlineStr">
        <is>
          <t>0 - 99M</t>
        </is>
      </c>
      <c r="AA78" s="95" t="inlineStr">
        <is>
          <t>Mercia Asset Management</t>
        </is>
      </c>
      <c r="AB78" s="96" t="inlineStr">
        <is>
          <t>Henley-in-Arden, United Kingdom</t>
        </is>
      </c>
      <c r="AC78" s="97" t="inlineStr">
        <is>
          <t>Commercial Services, Software</t>
        </is>
      </c>
      <c r="AD78" s="98" t="inlineStr">
        <is>
          <t>Seed Round, Early Stage VC, Later Stage VC</t>
        </is>
      </c>
      <c r="AE78" s="99" t="inlineStr">
        <is>
          <t/>
        </is>
      </c>
      <c r="AF78" s="100" t="inlineStr">
        <is>
          <t>Mercia</t>
        </is>
      </c>
      <c r="AG78" s="233">
        <f>HYPERLINK("https://my.pitchbook.com?i=53327-17", "View Investor Online")</f>
      </c>
    </row>
    <row r="79">
      <c r="A79" s="36" t="inlineStr">
        <is>
          <t>15648-22F</t>
        </is>
      </c>
      <c r="B79" s="37" t="inlineStr">
        <is>
          <t>Mercia Growth Fund 5</t>
        </is>
      </c>
      <c r="C79" s="38" t="inlineStr">
        <is>
          <t/>
        </is>
      </c>
      <c r="D79" s="39" t="inlineStr">
        <is>
          <t>Venture Capital</t>
        </is>
      </c>
      <c r="E79" s="40" t="n">
        <v>7.70112</v>
      </c>
      <c r="F79" s="41" t="inlineStr">
        <is>
          <t>Henley-in-Arden, United Kingdom</t>
        </is>
      </c>
      <c r="G79" s="42" t="inlineStr">
        <is>
          <t/>
        </is>
      </c>
      <c r="H79" s="43" t="n">
        <v>2016.0</v>
      </c>
      <c r="I79" s="44" t="n">
        <v>93.8721804511278</v>
      </c>
      <c r="J79" s="45" t="n">
        <v>7.229212154842756</v>
      </c>
      <c r="K79" s="46" t="n">
        <v>0.0</v>
      </c>
      <c r="L79" s="47" t="inlineStr">
        <is>
          <t/>
        </is>
      </c>
      <c r="M79" s="48" t="n">
        <v>6.836918103188292</v>
      </c>
      <c r="N79" s="49" t="inlineStr">
        <is>
          <t/>
        </is>
      </c>
      <c r="O79" s="50" t="inlineStr">
        <is>
          <t/>
        </is>
      </c>
      <c r="P79" s="51" t="inlineStr">
        <is>
          <t/>
        </is>
      </c>
      <c r="Q79" s="52" t="inlineStr">
        <is>
          <t/>
        </is>
      </c>
      <c r="R79" s="53" t="inlineStr">
        <is>
          <t/>
        </is>
      </c>
      <c r="S79" s="54" t="n">
        <v>0.945734882</v>
      </c>
      <c r="T79" s="55" t="n">
        <v>4.882000000039355E-6</v>
      </c>
      <c r="U79" s="56" t="inlineStr">
        <is>
          <t/>
        </is>
      </c>
      <c r="V79" s="57" t="inlineStr">
        <is>
          <t/>
        </is>
      </c>
      <c r="W79" s="58" t="inlineStr">
        <is>
          <t/>
        </is>
      </c>
      <c r="X79" s="59" t="inlineStr">
        <is>
          <t>GP Self Reporting</t>
        </is>
      </c>
      <c r="Y79" s="60" t="inlineStr">
        <is>
          <t>2017 Y</t>
        </is>
      </c>
      <c r="Z79" s="61" t="inlineStr">
        <is>
          <t>0 - 99M</t>
        </is>
      </c>
      <c r="AA79" s="62" t="inlineStr">
        <is>
          <t>Mercia Asset Management</t>
        </is>
      </c>
      <c r="AB79" s="63" t="inlineStr">
        <is>
          <t>Henley-in-Arden, United Kingdom</t>
        </is>
      </c>
      <c r="AC79" s="64" t="inlineStr">
        <is>
          <t>Commercial Services, Software, Business Products and Services (B2B), Information Technology, Healthcare</t>
        </is>
      </c>
      <c r="AD79" s="65" t="inlineStr">
        <is>
          <t>Later Stage VC, Early Stage VC, Seed Round</t>
        </is>
      </c>
      <c r="AE79" s="66" t="inlineStr">
        <is>
          <t/>
        </is>
      </c>
      <c r="AF79" s="67" t="inlineStr">
        <is>
          <t>Mercia</t>
        </is>
      </c>
      <c r="AG79" s="232">
        <f>HYPERLINK("https://my.pitchbook.com?i=53327-17", "View Investor Online")</f>
      </c>
    </row>
    <row r="80">
      <c r="A80" s="69" t="inlineStr">
        <is>
          <t>16232-23F</t>
        </is>
      </c>
      <c r="B80" s="70" t="inlineStr">
        <is>
          <t>Mercia Growth Fund 7</t>
        </is>
      </c>
      <c r="C80" s="71" t="inlineStr">
        <is>
          <t/>
        </is>
      </c>
      <c r="D80" s="72" t="inlineStr">
        <is>
          <t>Venture Capital</t>
        </is>
      </c>
      <c r="E80" s="73" t="n">
        <v>7.66235</v>
      </c>
      <c r="F80" s="74" t="inlineStr">
        <is>
          <t>Henley-in-Arden, United Kingdom</t>
        </is>
      </c>
      <c r="G80" s="75" t="inlineStr">
        <is>
          <t/>
        </is>
      </c>
      <c r="H80" s="76" t="n">
        <v>2017.0</v>
      </c>
      <c r="I80" s="77" t="n">
        <v>64.38655462184875</v>
      </c>
      <c r="J80" s="78" t="n">
        <v>4.933524269694176</v>
      </c>
      <c r="K80" s="79" t="n">
        <v>5.054377947645312</v>
      </c>
      <c r="L80" s="80" t="inlineStr">
        <is>
          <t/>
        </is>
      </c>
      <c r="M80" s="81" t="n">
        <v>4.967006814985758</v>
      </c>
      <c r="N80" s="82" t="inlineStr">
        <is>
          <t/>
        </is>
      </c>
      <c r="O80" s="83" t="inlineStr">
        <is>
          <t/>
        </is>
      </c>
      <c r="P80" s="84" t="inlineStr">
        <is>
          <t/>
        </is>
      </c>
      <c r="Q80" s="85" t="inlineStr">
        <is>
          <t/>
        </is>
      </c>
      <c r="R80" s="86" t="inlineStr">
        <is>
          <t/>
        </is>
      </c>
      <c r="S80" s="87" t="n">
        <v>1.00678674</v>
      </c>
      <c r="T80" s="88" t="inlineStr">
        <is>
          <t/>
        </is>
      </c>
      <c r="U80" s="89" t="inlineStr">
        <is>
          <t/>
        </is>
      </c>
      <c r="V80" s="90" t="inlineStr">
        <is>
          <t/>
        </is>
      </c>
      <c r="W80" s="91" t="inlineStr">
        <is>
          <t/>
        </is>
      </c>
      <c r="X80" s="92" t="inlineStr">
        <is>
          <t>GP Self Reporting</t>
        </is>
      </c>
      <c r="Y80" s="93" t="inlineStr">
        <is>
          <t>2017 Y</t>
        </is>
      </c>
      <c r="Z80" s="94" t="inlineStr">
        <is>
          <t>0 - 99M</t>
        </is>
      </c>
      <c r="AA80" s="95" t="inlineStr">
        <is>
          <t>Mercia Asset Management</t>
        </is>
      </c>
      <c r="AB80" s="96" t="inlineStr">
        <is>
          <t>Henley-in-Arden, United Kingdom</t>
        </is>
      </c>
      <c r="AC80" s="97" t="inlineStr">
        <is>
          <t>Software</t>
        </is>
      </c>
      <c r="AD80" s="98" t="inlineStr">
        <is>
          <t>Seed Round, Early Stage VC, Later Stage VC</t>
        </is>
      </c>
      <c r="AE80" s="99" t="inlineStr">
        <is>
          <t/>
        </is>
      </c>
      <c r="AF80" s="100" t="inlineStr">
        <is>
          <t>Mercia</t>
        </is>
      </c>
      <c r="AG80" s="233">
        <f>HYPERLINK("https://my.pitchbook.com?i=53327-17", "View Investor Online")</f>
      </c>
    </row>
    <row r="81">
      <c r="A81" s="36" t="inlineStr">
        <is>
          <t>14182-12F</t>
        </is>
      </c>
      <c r="B81" s="37" t="inlineStr">
        <is>
          <t>NAV Opportunity Fund II</t>
        </is>
      </c>
      <c r="C81" s="38" t="inlineStr">
        <is>
          <t/>
        </is>
      </c>
      <c r="D81" s="39" t="inlineStr">
        <is>
          <t>Venture Capital</t>
        </is>
      </c>
      <c r="E81" s="40" t="n">
        <v>8.1</v>
      </c>
      <c r="F81" s="41" t="inlineStr">
        <is>
          <t>Reston, VA</t>
        </is>
      </c>
      <c r="G81" s="42" t="n">
        <v>4.0</v>
      </c>
      <c r="H81" s="43" t="n">
        <v>2014.0</v>
      </c>
      <c r="I81" s="44" t="inlineStr">
        <is>
          <t/>
        </is>
      </c>
      <c r="J81" s="45" t="inlineStr">
        <is>
          <t/>
        </is>
      </c>
      <c r="K81" s="46" t="n">
        <v>0.1627143557079863</v>
      </c>
      <c r="L81" s="47" t="inlineStr">
        <is>
          <t/>
        </is>
      </c>
      <c r="M81" s="48" t="inlineStr">
        <is>
          <t/>
        </is>
      </c>
      <c r="N81" s="49" t="n">
        <v>-5.0</v>
      </c>
      <c r="O81" s="50" t="inlineStr">
        <is>
          <t/>
        </is>
      </c>
      <c r="P81" s="51" t="n">
        <v>-18.96</v>
      </c>
      <c r="Q81" s="52" t="inlineStr">
        <is>
          <t/>
        </is>
      </c>
      <c r="R81" s="53" t="inlineStr">
        <is>
          <t/>
        </is>
      </c>
      <c r="S81" s="54" t="inlineStr">
        <is>
          <t/>
        </is>
      </c>
      <c r="T81" s="55" t="inlineStr">
        <is>
          <t/>
        </is>
      </c>
      <c r="U81" s="56" t="inlineStr">
        <is>
          <t/>
        </is>
      </c>
      <c r="V81" s="57" t="inlineStr">
        <is>
          <t/>
        </is>
      </c>
      <c r="W81" s="58" t="inlineStr">
        <is>
          <t/>
        </is>
      </c>
      <c r="X81" s="59" t="inlineStr">
        <is>
          <t>GP Self Reporting</t>
        </is>
      </c>
      <c r="Y81" s="60" t="inlineStr">
        <is>
          <t>2015 Y</t>
        </is>
      </c>
      <c r="Z81" s="61" t="inlineStr">
        <is>
          <t>0 - 99M</t>
        </is>
      </c>
      <c r="AA81" s="62" t="inlineStr">
        <is>
          <t>NAV.VC</t>
        </is>
      </c>
      <c r="AB81" s="63" t="inlineStr">
        <is>
          <t>Reston, VA</t>
        </is>
      </c>
      <c r="AC81" s="64" t="inlineStr">
        <is>
          <t>Software</t>
        </is>
      </c>
      <c r="AD81" s="65" t="inlineStr">
        <is>
          <t>Seed Round, Early Stage VC, Later Stage VC</t>
        </is>
      </c>
      <c r="AE81" s="66" t="inlineStr">
        <is>
          <t/>
        </is>
      </c>
      <c r="AF81" s="67" t="inlineStr">
        <is>
          <t>NAV</t>
        </is>
      </c>
      <c r="AG81" s="232">
        <f>HYPERLINK("https://my.pitchbook.com?i=11166-76", "View Investor Online")</f>
      </c>
    </row>
    <row r="82">
      <c r="A82" s="69" t="inlineStr">
        <is>
          <t>15198-94F</t>
        </is>
      </c>
      <c r="B82" s="70" t="inlineStr">
        <is>
          <t>OCA II Opportunity Fund</t>
        </is>
      </c>
      <c r="C82" s="71" t="inlineStr">
        <is>
          <t/>
        </is>
      </c>
      <c r="D82" s="72" t="inlineStr">
        <is>
          <t>Venture Capital</t>
        </is>
      </c>
      <c r="E82" s="73" t="n">
        <v>13.6</v>
      </c>
      <c r="F82" s="74" t="inlineStr">
        <is>
          <t>Chicago, IL</t>
        </is>
      </c>
      <c r="G82" s="75" t="inlineStr">
        <is>
          <t/>
        </is>
      </c>
      <c r="H82" s="76" t="n">
        <v>2015.0</v>
      </c>
      <c r="I82" s="77" t="n">
        <v>60.29411764705882</v>
      </c>
      <c r="J82" s="78" t="n">
        <v>8.2</v>
      </c>
      <c r="K82" s="79" t="n">
        <v>0.5955486431983017</v>
      </c>
      <c r="L82" s="80" t="inlineStr">
        <is>
          <t/>
        </is>
      </c>
      <c r="M82" s="81" t="n">
        <v>8.6</v>
      </c>
      <c r="N82" s="82" t="inlineStr">
        <is>
          <t/>
        </is>
      </c>
      <c r="O82" s="83" t="inlineStr">
        <is>
          <t/>
        </is>
      </c>
      <c r="P82" s="84" t="inlineStr">
        <is>
          <t/>
        </is>
      </c>
      <c r="Q82" s="85" t="inlineStr">
        <is>
          <t/>
        </is>
      </c>
      <c r="R82" s="86" t="inlineStr">
        <is>
          <t/>
        </is>
      </c>
      <c r="S82" s="87" t="n">
        <v>1.048780488</v>
      </c>
      <c r="T82" s="88" t="n">
        <v>-0.0669195119999999</v>
      </c>
      <c r="U82" s="89" t="inlineStr">
        <is>
          <t/>
        </is>
      </c>
      <c r="V82" s="90" t="inlineStr">
        <is>
          <t/>
        </is>
      </c>
      <c r="W82" s="91" t="inlineStr">
        <is>
          <t/>
        </is>
      </c>
      <c r="X82" s="92" t="inlineStr">
        <is>
          <t>GP Self Reporting</t>
        </is>
      </c>
      <c r="Y82" s="93" t="inlineStr">
        <is>
          <t>2018 Y</t>
        </is>
      </c>
      <c r="Z82" s="94" t="inlineStr">
        <is>
          <t>0 - 99M</t>
        </is>
      </c>
      <c r="AA82" s="95" t="inlineStr">
        <is>
          <t>OCA Ventures</t>
        </is>
      </c>
      <c r="AB82" s="96" t="inlineStr">
        <is>
          <t>Chicago, IL</t>
        </is>
      </c>
      <c r="AC82" s="97" t="inlineStr">
        <is>
          <t>Software</t>
        </is>
      </c>
      <c r="AD82" s="98" t="inlineStr">
        <is>
          <t>Seed Round, Early Stage VC, Later Stage VC</t>
        </is>
      </c>
      <c r="AE82" s="99" t="inlineStr">
        <is>
          <t>United States</t>
        </is>
      </c>
      <c r="AF82" s="100" t="inlineStr">
        <is>
          <t>OCA</t>
        </is>
      </c>
      <c r="AG82" s="233">
        <f>HYPERLINK("https://my.pitchbook.com?i=11260-45", "View Investor Online")</f>
      </c>
    </row>
    <row r="83">
      <c r="A83" s="36" t="inlineStr">
        <is>
          <t>13679-92F</t>
        </is>
      </c>
      <c r="B83" s="37" t="inlineStr">
        <is>
          <t>Pre-Exit Acceleration Fund</t>
        </is>
      </c>
      <c r="C83" s="38" t="inlineStr">
        <is>
          <t/>
        </is>
      </c>
      <c r="D83" s="39" t="inlineStr">
        <is>
          <t>Venture Capital</t>
        </is>
      </c>
      <c r="E83" s="40" t="n">
        <v>10.0</v>
      </c>
      <c r="F83" s="41" t="inlineStr">
        <is>
          <t>Newport Beach, CA</t>
        </is>
      </c>
      <c r="G83" s="42" t="n">
        <v>4.0</v>
      </c>
      <c r="H83" s="43" t="n">
        <v>2013.0</v>
      </c>
      <c r="I83" s="44" t="inlineStr">
        <is>
          <t/>
        </is>
      </c>
      <c r="J83" s="45" t="inlineStr">
        <is>
          <t/>
        </is>
      </c>
      <c r="K83" s="46" t="n">
        <v>0.0</v>
      </c>
      <c r="L83" s="47" t="inlineStr">
        <is>
          <t/>
        </is>
      </c>
      <c r="M83" s="48" t="inlineStr">
        <is>
          <t/>
        </is>
      </c>
      <c r="N83" s="49" t="n">
        <v>-89.4</v>
      </c>
      <c r="O83" s="50" t="inlineStr">
        <is>
          <t/>
        </is>
      </c>
      <c r="P83" s="51" t="n">
        <v>-97.56</v>
      </c>
      <c r="Q83" s="52" t="n">
        <v>0.0</v>
      </c>
      <c r="R83" s="53" t="n">
        <v>-0.08464</v>
      </c>
      <c r="S83" s="54" t="inlineStr">
        <is>
          <t/>
        </is>
      </c>
      <c r="T83" s="55" t="inlineStr">
        <is>
          <t/>
        </is>
      </c>
      <c r="U83" s="56" t="inlineStr">
        <is>
          <t/>
        </is>
      </c>
      <c r="V83" s="57" t="inlineStr">
        <is>
          <t/>
        </is>
      </c>
      <c r="W83" s="58" t="inlineStr">
        <is>
          <t/>
        </is>
      </c>
      <c r="X83" s="59" t="inlineStr">
        <is>
          <t>LP Original Commitments</t>
        </is>
      </c>
      <c r="Y83" s="60" t="inlineStr">
        <is>
          <t>2019 Y</t>
        </is>
      </c>
      <c r="Z83" s="61" t="inlineStr">
        <is>
          <t>0 - 99M</t>
        </is>
      </c>
      <c r="AA83" s="62" t="inlineStr">
        <is>
          <t>SAIL Capital Partners</t>
        </is>
      </c>
      <c r="AB83" s="63" t="inlineStr">
        <is>
          <t>Newport Beach, CA</t>
        </is>
      </c>
      <c r="AC83" s="64" t="inlineStr">
        <is>
          <t>Business Products and Services (B2B), Energy</t>
        </is>
      </c>
      <c r="AD83" s="65" t="inlineStr">
        <is>
          <t>Seed Round, Early Stage VC, Later Stage VC</t>
        </is>
      </c>
      <c r="AE83" s="66" t="inlineStr">
        <is>
          <t/>
        </is>
      </c>
      <c r="AF83" s="67" t="inlineStr">
        <is>
          <t>APRS</t>
        </is>
      </c>
      <c r="AG83" s="232">
        <f>HYPERLINK("https://my.pitchbook.com?i=39895-30", "View Investor Online")</f>
      </c>
    </row>
    <row r="84">
      <c r="A84" s="69" t="inlineStr">
        <is>
          <t>15870-43F</t>
        </is>
      </c>
      <c r="B84" s="70" t="inlineStr">
        <is>
          <t>Quake Seed Capital Fund</t>
        </is>
      </c>
      <c r="C84" s="71" t="inlineStr">
        <is>
          <t/>
        </is>
      </c>
      <c r="D84" s="72" t="inlineStr">
        <is>
          <t>Venture Capital</t>
        </is>
      </c>
      <c r="E84" s="73" t="n">
        <v>5.0</v>
      </c>
      <c r="F84" s="74" t="inlineStr">
        <is>
          <t>New York, NY</t>
        </is>
      </c>
      <c r="G84" s="75" t="n">
        <v>1.0</v>
      </c>
      <c r="H84" s="76" t="n">
        <v>2017.0</v>
      </c>
      <c r="I84" s="77" t="inlineStr">
        <is>
          <t/>
        </is>
      </c>
      <c r="J84" s="78" t="inlineStr">
        <is>
          <t/>
        </is>
      </c>
      <c r="K84" s="79" t="n">
        <v>2.462500039623522</v>
      </c>
      <c r="L84" s="80" t="inlineStr">
        <is>
          <t/>
        </is>
      </c>
      <c r="M84" s="81" t="inlineStr">
        <is>
          <t/>
        </is>
      </c>
      <c r="N84" s="82" t="n">
        <v>43.0</v>
      </c>
      <c r="O84" s="83" t="inlineStr">
        <is>
          <t/>
        </is>
      </c>
      <c r="P84" s="84" t="n">
        <v>12.55</v>
      </c>
      <c r="Q84" s="85" t="inlineStr">
        <is>
          <t/>
        </is>
      </c>
      <c r="R84" s="86" t="inlineStr">
        <is>
          <t/>
        </is>
      </c>
      <c r="S84" s="87" t="inlineStr">
        <is>
          <t/>
        </is>
      </c>
      <c r="T84" s="88" t="inlineStr">
        <is>
          <t/>
        </is>
      </c>
      <c r="U84" s="89" t="inlineStr">
        <is>
          <t/>
        </is>
      </c>
      <c r="V84" s="90" t="inlineStr">
        <is>
          <t/>
        </is>
      </c>
      <c r="W84" s="91" t="inlineStr">
        <is>
          <t/>
        </is>
      </c>
      <c r="X84" s="92" t="inlineStr">
        <is>
          <t>GP Self Reporting</t>
        </is>
      </c>
      <c r="Y84" s="93" t="inlineStr">
        <is>
          <t>2019 Y</t>
        </is>
      </c>
      <c r="Z84" s="94" t="inlineStr">
        <is>
          <t>0 - 99M</t>
        </is>
      </c>
      <c r="AA84" s="95" t="inlineStr">
        <is>
          <t>Quake Capital</t>
        </is>
      </c>
      <c r="AB84" s="96" t="inlineStr">
        <is>
          <t>Austin, TX</t>
        </is>
      </c>
      <c r="AC84" s="97" t="inlineStr">
        <is>
          <t>Software, Transportation, Healthcare, Movies, Music and Entertainment, Security Services (B2B)</t>
        </is>
      </c>
      <c r="AD84" s="98" t="inlineStr">
        <is>
          <t>Seed Round</t>
        </is>
      </c>
      <c r="AE84" s="99" t="inlineStr">
        <is>
          <t/>
        </is>
      </c>
      <c r="AF84" s="100" t="inlineStr">
        <is>
          <t>Quake</t>
        </is>
      </c>
      <c r="AG84" s="233">
        <f>HYPERLINK("https://my.pitchbook.com?i=56267-29", "View Investor Online")</f>
      </c>
    </row>
    <row r="85">
      <c r="A85" s="36" t="inlineStr">
        <is>
          <t>16230-97F</t>
        </is>
      </c>
      <c r="B85" s="37" t="inlineStr">
        <is>
          <t>Quake Seed Capital Fund II</t>
        </is>
      </c>
      <c r="C85" s="38" t="inlineStr">
        <is>
          <t/>
        </is>
      </c>
      <c r="D85" s="39" t="inlineStr">
        <is>
          <t>Venture Capital</t>
        </is>
      </c>
      <c r="E85" s="40" t="n">
        <v>14.0</v>
      </c>
      <c r="F85" s="41" t="inlineStr">
        <is>
          <t>New York, NY</t>
        </is>
      </c>
      <c r="G85" s="42" t="n">
        <v>1.0</v>
      </c>
      <c r="H85" s="43" t="n">
        <v>2018.0</v>
      </c>
      <c r="I85" s="44" t="inlineStr">
        <is>
          <t/>
        </is>
      </c>
      <c r="J85" s="45" t="inlineStr">
        <is>
          <t/>
        </is>
      </c>
      <c r="K85" s="46" t="n">
        <v>7.896295514911526</v>
      </c>
      <c r="L85" s="47" t="inlineStr">
        <is>
          <t/>
        </is>
      </c>
      <c r="M85" s="48" t="inlineStr">
        <is>
          <t/>
        </is>
      </c>
      <c r="N85" s="49" t="n">
        <v>35.0</v>
      </c>
      <c r="O85" s="50" t="inlineStr">
        <is>
          <t/>
        </is>
      </c>
      <c r="P85" s="51" t="n">
        <v>21.810000000000002</v>
      </c>
      <c r="Q85" s="52" t="inlineStr">
        <is>
          <t/>
        </is>
      </c>
      <c r="R85" s="53" t="inlineStr">
        <is>
          <t/>
        </is>
      </c>
      <c r="S85" s="54" t="inlineStr">
        <is>
          <t/>
        </is>
      </c>
      <c r="T85" s="55" t="inlineStr">
        <is>
          <t/>
        </is>
      </c>
      <c r="U85" s="56" t="inlineStr">
        <is>
          <t/>
        </is>
      </c>
      <c r="V85" s="57" t="inlineStr">
        <is>
          <t/>
        </is>
      </c>
      <c r="W85" s="58" t="inlineStr">
        <is>
          <t/>
        </is>
      </c>
      <c r="X85" s="59" t="inlineStr">
        <is>
          <t>GP Self Reporting</t>
        </is>
      </c>
      <c r="Y85" s="60" t="inlineStr">
        <is>
          <t>2019 Y</t>
        </is>
      </c>
      <c r="Z85" s="61" t="inlineStr">
        <is>
          <t>0 - 99M</t>
        </is>
      </c>
      <c r="AA85" s="62" t="inlineStr">
        <is>
          <t>Quake Capital</t>
        </is>
      </c>
      <c r="AB85" s="63" t="inlineStr">
        <is>
          <t>Austin, TX</t>
        </is>
      </c>
      <c r="AC85" s="64" t="inlineStr">
        <is>
          <t>Transportation, Software, Healthcare, Security Services (B2B)</t>
        </is>
      </c>
      <c r="AD85" s="65" t="inlineStr">
        <is>
          <t>Seed Round</t>
        </is>
      </c>
      <c r="AE85" s="66" t="inlineStr">
        <is>
          <t/>
        </is>
      </c>
      <c r="AF85" s="67" t="inlineStr">
        <is>
          <t>Quake</t>
        </is>
      </c>
      <c r="AG85" s="232">
        <f>HYPERLINK("https://my.pitchbook.com?i=56267-29", "View Investor Online")</f>
      </c>
    </row>
    <row r="86">
      <c r="A86" s="69" t="inlineStr">
        <is>
          <t>16616-80F</t>
        </is>
      </c>
      <c r="B86" s="70" t="inlineStr">
        <is>
          <t>Rogue Venture Partners Fund</t>
        </is>
      </c>
      <c r="C86" s="71" t="inlineStr">
        <is>
          <t/>
        </is>
      </c>
      <c r="D86" s="72" t="inlineStr">
        <is>
          <t>Venture Capital - Early Stage</t>
        </is>
      </c>
      <c r="E86" s="73" t="n">
        <v>10.0</v>
      </c>
      <c r="F86" s="74" t="inlineStr">
        <is>
          <t>Portland, OR</t>
        </is>
      </c>
      <c r="G86" s="75" t="n">
        <v>4.0</v>
      </c>
      <c r="H86" s="76" t="n">
        <v>2013.0</v>
      </c>
      <c r="I86" s="77" t="inlineStr">
        <is>
          <t/>
        </is>
      </c>
      <c r="J86" s="78" t="inlineStr">
        <is>
          <t/>
        </is>
      </c>
      <c r="K86" s="79" t="n">
        <v>0.3902778314568674</v>
      </c>
      <c r="L86" s="80" t="n">
        <v>2.8</v>
      </c>
      <c r="M86" s="81" t="inlineStr">
        <is>
          <t/>
        </is>
      </c>
      <c r="N86" s="82" t="n">
        <v>0.37</v>
      </c>
      <c r="O86" s="83" t="inlineStr">
        <is>
          <t/>
        </is>
      </c>
      <c r="P86" s="84" t="n">
        <v>-10.020000000000001</v>
      </c>
      <c r="Q86" s="85" t="inlineStr">
        <is>
          <t/>
        </is>
      </c>
      <c r="R86" s="86" t="inlineStr">
        <is>
          <t/>
        </is>
      </c>
      <c r="S86" s="87" t="inlineStr">
        <is>
          <t/>
        </is>
      </c>
      <c r="T86" s="88" t="inlineStr">
        <is>
          <t/>
        </is>
      </c>
      <c r="U86" s="89" t="inlineStr">
        <is>
          <t/>
        </is>
      </c>
      <c r="V86" s="90" t="inlineStr">
        <is>
          <t/>
        </is>
      </c>
      <c r="W86" s="91" t="inlineStr">
        <is>
          <t/>
        </is>
      </c>
      <c r="X86" s="92" t="inlineStr">
        <is>
          <t>GP Self Reporting</t>
        </is>
      </c>
      <c r="Y86" s="93" t="inlineStr">
        <is>
          <t>2019 Y</t>
        </is>
      </c>
      <c r="Z86" s="94" t="inlineStr">
        <is>
          <t>0 - 99M</t>
        </is>
      </c>
      <c r="AA86" s="95" t="inlineStr">
        <is>
          <t>Rogue Venture Partners</t>
        </is>
      </c>
      <c r="AB86" s="96" t="inlineStr">
        <is>
          <t>Portland, OR</t>
        </is>
      </c>
      <c r="AC86" s="97" t="inlineStr">
        <is>
          <t>Healthcare Services, Services (Non-Financial), Consumer Durables</t>
        </is>
      </c>
      <c r="AD86" s="98" t="inlineStr">
        <is>
          <t>Seed Round, Early Stage VC</t>
        </is>
      </c>
      <c r="AE86" s="99" t="inlineStr">
        <is>
          <t/>
        </is>
      </c>
      <c r="AF86" s="100" t="inlineStr">
        <is>
          <t>Rogue</t>
        </is>
      </c>
      <c r="AG86" s="233">
        <f>HYPERLINK("https://my.pitchbook.com?i=56093-95", "View Investor Online")</f>
      </c>
    </row>
    <row r="87">
      <c r="A87" s="36" t="inlineStr">
        <is>
          <t>16972-57F</t>
        </is>
      </c>
      <c r="B87" s="37" t="inlineStr">
        <is>
          <t>Sarsia Seed Fund II</t>
        </is>
      </c>
      <c r="C87" s="38" t="inlineStr">
        <is>
          <t/>
        </is>
      </c>
      <c r="D87" s="39" t="inlineStr">
        <is>
          <t>Venture Capital - Early Stage</t>
        </is>
      </c>
      <c r="E87" s="40" t="n">
        <v>14.39949</v>
      </c>
      <c r="F87" s="41" t="inlineStr">
        <is>
          <t>Bergen, Norway</t>
        </is>
      </c>
      <c r="G87" s="42" t="inlineStr">
        <is>
          <t/>
        </is>
      </c>
      <c r="H87" s="43" t="n">
        <v>2019.0</v>
      </c>
      <c r="I87" s="44" t="n">
        <v>25.0</v>
      </c>
      <c r="J87" s="45" t="n">
        <v>3.599873505983267</v>
      </c>
      <c r="K87" s="46" t="n">
        <v>10.7996175</v>
      </c>
      <c r="L87" s="47" t="inlineStr">
        <is>
          <t/>
        </is>
      </c>
      <c r="M87" s="48" t="n">
        <v>2.96449583217722</v>
      </c>
      <c r="N87" s="49" t="inlineStr">
        <is>
          <t/>
        </is>
      </c>
      <c r="O87" s="50" t="inlineStr">
        <is>
          <t/>
        </is>
      </c>
      <c r="P87" s="51" t="inlineStr">
        <is>
          <t/>
        </is>
      </c>
      <c r="Q87" s="52" t="inlineStr">
        <is>
          <t/>
        </is>
      </c>
      <c r="R87" s="53" t="inlineStr">
        <is>
          <t/>
        </is>
      </c>
      <c r="S87" s="54" t="n">
        <v>0.82</v>
      </c>
      <c r="T87" s="55" t="inlineStr">
        <is>
          <t/>
        </is>
      </c>
      <c r="U87" s="56" t="inlineStr">
        <is>
          <t/>
        </is>
      </c>
      <c r="V87" s="57" t="inlineStr">
        <is>
          <t/>
        </is>
      </c>
      <c r="W87" s="58" t="inlineStr">
        <is>
          <t/>
        </is>
      </c>
      <c r="X87" s="59" t="inlineStr">
        <is>
          <t>LP Original Commitments</t>
        </is>
      </c>
      <c r="Y87" s="60" t="inlineStr">
        <is>
          <t>2019 Y</t>
        </is>
      </c>
      <c r="Z87" s="61" t="inlineStr">
        <is>
          <t>0 - 99M</t>
        </is>
      </c>
      <c r="AA87" s="62" t="inlineStr">
        <is>
          <t>Sarsia Seed</t>
        </is>
      </c>
      <c r="AB87" s="63" t="inlineStr">
        <is>
          <t>Bergen, Norway</t>
        </is>
      </c>
      <c r="AC87" s="64" t="inlineStr">
        <is>
          <t/>
        </is>
      </c>
      <c r="AD87" s="65" t="inlineStr">
        <is>
          <t>Seed Round, Early Stage VC</t>
        </is>
      </c>
      <c r="AE87" s="66" t="inlineStr">
        <is>
          <t/>
        </is>
      </c>
      <c r="AF87" s="67" t="inlineStr">
        <is>
          <t>BKP, KLP, Sparebanken</t>
        </is>
      </c>
      <c r="AG87" s="232">
        <f>HYPERLINK("https://my.pitchbook.com?i=57296-08", "View Investor Online")</f>
      </c>
    </row>
    <row r="88">
      <c r="A88" s="69" t="inlineStr">
        <is>
          <t>13548-52F</t>
        </is>
      </c>
      <c r="B88" s="70" t="inlineStr">
        <is>
          <t>Serra Capital I</t>
        </is>
      </c>
      <c r="C88" s="71" t="inlineStr">
        <is>
          <t/>
        </is>
      </c>
      <c r="D88" s="72" t="inlineStr">
        <is>
          <t>Venture Capital</t>
        </is>
      </c>
      <c r="E88" s="73" t="n">
        <v>5.025</v>
      </c>
      <c r="F88" s="74" t="inlineStr">
        <is>
          <t>Champaign, IL</t>
        </is>
      </c>
      <c r="G88" s="75" t="inlineStr">
        <is>
          <t/>
        </is>
      </c>
      <c r="H88" s="76" t="n">
        <v>2011.0</v>
      </c>
      <c r="I88" s="77" t="n">
        <v>100.0</v>
      </c>
      <c r="J88" s="78" t="n">
        <v>5.025</v>
      </c>
      <c r="K88" s="79" t="n">
        <v>0.0</v>
      </c>
      <c r="L88" s="80" t="n">
        <v>4.423</v>
      </c>
      <c r="M88" s="81" t="inlineStr">
        <is>
          <t/>
        </is>
      </c>
      <c r="N88" s="82" t="inlineStr">
        <is>
          <t/>
        </is>
      </c>
      <c r="O88" s="83" t="inlineStr">
        <is>
          <t/>
        </is>
      </c>
      <c r="P88" s="84" t="inlineStr">
        <is>
          <t/>
        </is>
      </c>
      <c r="Q88" s="85" t="n">
        <v>0.880199005</v>
      </c>
      <c r="R88" s="86" t="n">
        <v>0.690199005</v>
      </c>
      <c r="S88" s="87" t="inlineStr">
        <is>
          <t/>
        </is>
      </c>
      <c r="T88" s="88" t="inlineStr">
        <is>
          <t/>
        </is>
      </c>
      <c r="U88" s="89" t="inlineStr">
        <is>
          <t/>
        </is>
      </c>
      <c r="V88" s="90" t="inlineStr">
        <is>
          <t/>
        </is>
      </c>
      <c r="W88" s="91" t="inlineStr">
        <is>
          <t/>
        </is>
      </c>
      <c r="X88" s="92" t="inlineStr">
        <is>
          <t>GP Self Reporting</t>
        </is>
      </c>
      <c r="Y88" s="93" t="inlineStr">
        <is>
          <t>2017 Y</t>
        </is>
      </c>
      <c r="Z88" s="94" t="inlineStr">
        <is>
          <t>0 - 99M</t>
        </is>
      </c>
      <c r="AA88" s="95" t="inlineStr">
        <is>
          <t>Serra Ventures</t>
        </is>
      </c>
      <c r="AB88" s="96" t="inlineStr">
        <is>
          <t>Champaign, IL</t>
        </is>
      </c>
      <c r="AC88" s="97" t="inlineStr">
        <is>
          <t>Other Information Technology, Materials and Resources</t>
        </is>
      </c>
      <c r="AD88" s="98" t="inlineStr">
        <is>
          <t>Seed Round, Early Stage VC, Later Stage VC</t>
        </is>
      </c>
      <c r="AE88" s="99" t="inlineStr">
        <is>
          <t>Southern California, Midwest</t>
        </is>
      </c>
      <c r="AF88" s="100" t="inlineStr">
        <is>
          <t>Serra</t>
        </is>
      </c>
      <c r="AG88" s="233">
        <f>HYPERLINK("https://my.pitchbook.com?i=52359-49", "View Investor Online")</f>
      </c>
    </row>
    <row r="89">
      <c r="A89" s="36" t="inlineStr">
        <is>
          <t>14035-51F</t>
        </is>
      </c>
      <c r="B89" s="37" t="inlineStr">
        <is>
          <t>Speedinvest I</t>
        </is>
      </c>
      <c r="C89" s="38" t="inlineStr">
        <is>
          <t/>
        </is>
      </c>
      <c r="D89" s="39" t="inlineStr">
        <is>
          <t>Venture Capital - Early Stage</t>
        </is>
      </c>
      <c r="E89" s="40" t="n">
        <v>13.22702</v>
      </c>
      <c r="F89" s="41" t="inlineStr">
        <is>
          <t>Vienna, Austria</t>
        </is>
      </c>
      <c r="G89" s="42" t="inlineStr">
        <is>
          <t/>
        </is>
      </c>
      <c r="H89" s="43" t="n">
        <v>2011.0</v>
      </c>
      <c r="I89" s="44" t="n">
        <v>100.0</v>
      </c>
      <c r="J89" s="45" t="n">
        <v>13.22701750595767</v>
      </c>
      <c r="K89" s="46" t="n">
        <v>0.0</v>
      </c>
      <c r="L89" s="47" t="n">
        <v>6.216698227800105</v>
      </c>
      <c r="M89" s="48" t="inlineStr">
        <is>
          <t/>
        </is>
      </c>
      <c r="N89" s="49" t="inlineStr">
        <is>
          <t/>
        </is>
      </c>
      <c r="O89" s="50" t="inlineStr">
        <is>
          <t/>
        </is>
      </c>
      <c r="P89" s="51" t="inlineStr">
        <is>
          <t/>
        </is>
      </c>
      <c r="Q89" s="52" t="n">
        <v>0.47</v>
      </c>
      <c r="R89" s="53" t="inlineStr">
        <is>
          <t/>
        </is>
      </c>
      <c r="S89" s="54" t="inlineStr">
        <is>
          <t/>
        </is>
      </c>
      <c r="T89" s="55" t="inlineStr">
        <is>
          <t/>
        </is>
      </c>
      <c r="U89" s="56" t="inlineStr">
        <is>
          <t/>
        </is>
      </c>
      <c r="V89" s="57" t="inlineStr">
        <is>
          <t/>
        </is>
      </c>
      <c r="W89" s="58" t="inlineStr">
        <is>
          <t/>
        </is>
      </c>
      <c r="X89" s="59" t="inlineStr">
        <is>
          <t>GP Self Reporting</t>
        </is>
      </c>
      <c r="Y89" s="60" t="inlineStr">
        <is>
          <t>2015 Y</t>
        </is>
      </c>
      <c r="Z89" s="61" t="inlineStr">
        <is>
          <t>0 - 99M</t>
        </is>
      </c>
      <c r="AA89" s="62" t="inlineStr">
        <is>
          <t>Speedinvest</t>
        </is>
      </c>
      <c r="AB89" s="63" t="inlineStr">
        <is>
          <t>Vienna, Austria</t>
        </is>
      </c>
      <c r="AC89" s="64" t="inlineStr">
        <is>
          <t>Software</t>
        </is>
      </c>
      <c r="AD89" s="65" t="inlineStr">
        <is>
          <t>Seed Round, Early Stage VC</t>
        </is>
      </c>
      <c r="AE89" s="66" t="inlineStr">
        <is>
          <t/>
        </is>
      </c>
      <c r="AF89" s="67" t="inlineStr">
        <is>
          <t>Speedinvest</t>
        </is>
      </c>
      <c r="AG89" s="232">
        <f>HYPERLINK("https://my.pitchbook.com?i=56745-10", "View Investor Online")</f>
      </c>
    </row>
    <row r="90">
      <c r="A90" s="69" t="inlineStr">
        <is>
          <t>15936-49F</t>
        </is>
      </c>
      <c r="B90" s="70" t="inlineStr">
        <is>
          <t>Switch Ventures</t>
        </is>
      </c>
      <c r="C90" s="71" t="inlineStr">
        <is>
          <t/>
        </is>
      </c>
      <c r="D90" s="72" t="inlineStr">
        <is>
          <t>Venture Capital - Early Stage</t>
        </is>
      </c>
      <c r="E90" s="73" t="n">
        <v>5.0</v>
      </c>
      <c r="F90" s="74" t="inlineStr">
        <is>
          <t>San Francisco, CA</t>
        </is>
      </c>
      <c r="G90" s="75" t="n">
        <v>1.0</v>
      </c>
      <c r="H90" s="76" t="n">
        <v>2016.0</v>
      </c>
      <c r="I90" s="77" t="inlineStr">
        <is>
          <t/>
        </is>
      </c>
      <c r="J90" s="78" t="inlineStr">
        <is>
          <t/>
        </is>
      </c>
      <c r="K90" s="79" t="n">
        <v>0.9625912408759123</v>
      </c>
      <c r="L90" s="80" t="inlineStr">
        <is>
          <t/>
        </is>
      </c>
      <c r="M90" s="81" t="inlineStr">
        <is>
          <t/>
        </is>
      </c>
      <c r="N90" s="82" t="n">
        <v>37.0</v>
      </c>
      <c r="O90" s="83" t="inlineStr">
        <is>
          <t/>
        </is>
      </c>
      <c r="P90" s="84" t="n">
        <v>21.6</v>
      </c>
      <c r="Q90" s="85" t="inlineStr">
        <is>
          <t/>
        </is>
      </c>
      <c r="R90" s="86" t="inlineStr">
        <is>
          <t/>
        </is>
      </c>
      <c r="S90" s="87" t="inlineStr">
        <is>
          <t/>
        </is>
      </c>
      <c r="T90" s="88" t="inlineStr">
        <is>
          <t/>
        </is>
      </c>
      <c r="U90" s="89" t="inlineStr">
        <is>
          <t/>
        </is>
      </c>
      <c r="V90" s="90" t="inlineStr">
        <is>
          <t/>
        </is>
      </c>
      <c r="W90" s="91" t="inlineStr">
        <is>
          <t/>
        </is>
      </c>
      <c r="X90" s="92" t="inlineStr">
        <is>
          <t>GP Self Reporting</t>
        </is>
      </c>
      <c r="Y90" s="93" t="inlineStr">
        <is>
          <t>2019 Y</t>
        </is>
      </c>
      <c r="Z90" s="94" t="inlineStr">
        <is>
          <t>0 - 99M</t>
        </is>
      </c>
      <c r="AA90" s="95" t="inlineStr">
        <is>
          <t>Switch Ventures</t>
        </is>
      </c>
      <c r="AB90" s="96" t="inlineStr">
        <is>
          <t>San Francisco, CA</t>
        </is>
      </c>
      <c r="AC90" s="97" t="inlineStr">
        <is>
          <t/>
        </is>
      </c>
      <c r="AD90" s="98" t="inlineStr">
        <is>
          <t>Seed Round, Early Stage VC</t>
        </is>
      </c>
      <c r="AE90" s="99" t="inlineStr">
        <is>
          <t/>
        </is>
      </c>
      <c r="AF90" s="100" t="inlineStr">
        <is>
          <t>Switch</t>
        </is>
      </c>
      <c r="AG90" s="233">
        <f>HYPERLINK("https://my.pitchbook.com?i=153419-41", "View Investor Online")</f>
      </c>
    </row>
    <row r="91">
      <c r="A91" s="36" t="inlineStr">
        <is>
          <t>16962-40F</t>
        </is>
      </c>
      <c r="B91" s="37" t="inlineStr">
        <is>
          <t>Switch Ventures II</t>
        </is>
      </c>
      <c r="C91" s="38" t="inlineStr">
        <is>
          <t/>
        </is>
      </c>
      <c r="D91" s="39" t="inlineStr">
        <is>
          <t>Venture Capital</t>
        </is>
      </c>
      <c r="E91" s="40" t="n">
        <v>15.0</v>
      </c>
      <c r="F91" s="41" t="inlineStr">
        <is>
          <t>San Francisco, CA</t>
        </is>
      </c>
      <c r="G91" s="42" t="inlineStr">
        <is>
          <t/>
        </is>
      </c>
      <c r="H91" s="43" t="n">
        <v>2020.0</v>
      </c>
      <c r="I91" s="44" t="inlineStr">
        <is>
          <t/>
        </is>
      </c>
      <c r="J91" s="45" t="inlineStr">
        <is>
          <t/>
        </is>
      </c>
      <c r="K91" s="46" t="n">
        <v>13.999996874999999</v>
      </c>
      <c r="L91" s="47" t="inlineStr">
        <is>
          <t/>
        </is>
      </c>
      <c r="M91" s="48" t="inlineStr">
        <is>
          <t/>
        </is>
      </c>
      <c r="N91" s="49" t="n">
        <v>20.0</v>
      </c>
      <c r="O91" s="50" t="inlineStr">
        <is>
          <t/>
        </is>
      </c>
      <c r="P91" s="51" t="inlineStr">
        <is>
          <t/>
        </is>
      </c>
      <c r="Q91" s="52" t="inlineStr">
        <is>
          <t/>
        </is>
      </c>
      <c r="R91" s="53" t="inlineStr">
        <is>
          <t/>
        </is>
      </c>
      <c r="S91" s="54" t="inlineStr">
        <is>
          <t/>
        </is>
      </c>
      <c r="T91" s="55" t="inlineStr">
        <is>
          <t/>
        </is>
      </c>
      <c r="U91" s="56" t="inlineStr">
        <is>
          <t/>
        </is>
      </c>
      <c r="V91" s="57" t="inlineStr">
        <is>
          <t/>
        </is>
      </c>
      <c r="W91" s="58" t="inlineStr">
        <is>
          <t/>
        </is>
      </c>
      <c r="X91" s="59" t="inlineStr">
        <is>
          <t>GP Self Reporting</t>
        </is>
      </c>
      <c r="Y91" s="60" t="inlineStr">
        <is>
          <t>2019 Y</t>
        </is>
      </c>
      <c r="Z91" s="61" t="inlineStr">
        <is>
          <t>0 - 99M</t>
        </is>
      </c>
      <c r="AA91" s="62" t="inlineStr">
        <is>
          <t>Switch Ventures</t>
        </is>
      </c>
      <c r="AB91" s="63" t="inlineStr">
        <is>
          <t>San Francisco, CA</t>
        </is>
      </c>
      <c r="AC91" s="64" t="inlineStr">
        <is>
          <t/>
        </is>
      </c>
      <c r="AD91" s="65" t="inlineStr">
        <is>
          <t>Seed Round, Early Stage VC, Later Stage VC</t>
        </is>
      </c>
      <c r="AE91" s="66" t="inlineStr">
        <is>
          <t/>
        </is>
      </c>
      <c r="AF91" s="67" t="inlineStr">
        <is>
          <t>Switch</t>
        </is>
      </c>
      <c r="AG91" s="232">
        <f>HYPERLINK("https://my.pitchbook.com?i=153419-41", "View Investor Online")</f>
      </c>
    </row>
    <row r="92">
      <c r="A92" s="69" t="inlineStr">
        <is>
          <t>15108-67F</t>
        </is>
      </c>
      <c r="B92" s="70" t="inlineStr">
        <is>
          <t>Tallwave Commercialization Fund I</t>
        </is>
      </c>
      <c r="C92" s="71" t="inlineStr">
        <is>
          <t/>
        </is>
      </c>
      <c r="D92" s="72" t="inlineStr">
        <is>
          <t>Venture Capital - Early Stage</t>
        </is>
      </c>
      <c r="E92" s="73" t="n">
        <v>13.15</v>
      </c>
      <c r="F92" s="74" t="inlineStr">
        <is>
          <t>Scottsdale, AZ</t>
        </is>
      </c>
      <c r="G92" s="75" t="inlineStr">
        <is>
          <t/>
        </is>
      </c>
      <c r="H92" s="76" t="n">
        <v>2014.0</v>
      </c>
      <c r="I92" s="77" t="n">
        <v>37.452471482889734</v>
      </c>
      <c r="J92" s="78" t="n">
        <v>4.925</v>
      </c>
      <c r="K92" s="79" t="n">
        <v>0.0</v>
      </c>
      <c r="L92" s="80" t="n">
        <v>0.0</v>
      </c>
      <c r="M92" s="81" t="inlineStr">
        <is>
          <t/>
        </is>
      </c>
      <c r="N92" s="82" t="inlineStr">
        <is>
          <t/>
        </is>
      </c>
      <c r="O92" s="83" t="inlineStr">
        <is>
          <t/>
        </is>
      </c>
      <c r="P92" s="84" t="inlineStr">
        <is>
          <t/>
        </is>
      </c>
      <c r="Q92" s="85" t="n">
        <v>0.0</v>
      </c>
      <c r="R92" s="86" t="n">
        <v>-0.12</v>
      </c>
      <c r="S92" s="87" t="inlineStr">
        <is>
          <t/>
        </is>
      </c>
      <c r="T92" s="88" t="inlineStr">
        <is>
          <t/>
        </is>
      </c>
      <c r="U92" s="89" t="inlineStr">
        <is>
          <t/>
        </is>
      </c>
      <c r="V92" s="90" t="inlineStr">
        <is>
          <t/>
        </is>
      </c>
      <c r="W92" s="91" t="inlineStr">
        <is>
          <t/>
        </is>
      </c>
      <c r="X92" s="92" t="inlineStr">
        <is>
          <t>GP Self Reporting</t>
        </is>
      </c>
      <c r="Y92" s="93" t="inlineStr">
        <is>
          <t>2016 Y</t>
        </is>
      </c>
      <c r="Z92" s="94" t="inlineStr">
        <is>
          <t>0 - 99M</t>
        </is>
      </c>
      <c r="AA92" s="95" t="inlineStr">
        <is>
          <t>Cobre Capital</t>
        </is>
      </c>
      <c r="AB92" s="96" t="inlineStr">
        <is>
          <t>Scottsdale, AZ</t>
        </is>
      </c>
      <c r="AC92" s="97" t="inlineStr">
        <is>
          <t>Software</t>
        </is>
      </c>
      <c r="AD92" s="98" t="inlineStr">
        <is>
          <t>Seed Round</t>
        </is>
      </c>
      <c r="AE92" s="99" t="inlineStr">
        <is>
          <t>United States</t>
        </is>
      </c>
      <c r="AF92" s="100" t="inlineStr">
        <is>
          <t>TWC</t>
        </is>
      </c>
      <c r="AG92" s="233">
        <f>HYPERLINK("https://my.pitchbook.com?i=95532-94", "View Investor Online")</f>
      </c>
    </row>
    <row r="93">
      <c r="A93" s="36" t="inlineStr">
        <is>
          <t>13561-03F</t>
        </is>
      </c>
      <c r="B93" s="37" t="inlineStr">
        <is>
          <t>TEEC Angel Fund II</t>
        </is>
      </c>
      <c r="C93" s="38" t="inlineStr">
        <is>
          <t/>
        </is>
      </c>
      <c r="D93" s="39" t="inlineStr">
        <is>
          <t>Venture Capital</t>
        </is>
      </c>
      <c r="E93" s="40" t="n">
        <v>10.0</v>
      </c>
      <c r="F93" s="41" t="inlineStr">
        <is>
          <t>Los Altos, CA</t>
        </is>
      </c>
      <c r="G93" s="42" t="n">
        <v>1.0</v>
      </c>
      <c r="H93" s="43" t="n">
        <v>2012.0</v>
      </c>
      <c r="I93" s="44" t="n">
        <v>100.0</v>
      </c>
      <c r="J93" s="45" t="n">
        <v>10.0</v>
      </c>
      <c r="K93" s="46" t="n">
        <v>0.0</v>
      </c>
      <c r="L93" s="47" t="inlineStr">
        <is>
          <t/>
        </is>
      </c>
      <c r="M93" s="48" t="inlineStr">
        <is>
          <t/>
        </is>
      </c>
      <c r="N93" s="49" t="n">
        <v>25.0</v>
      </c>
      <c r="O93" s="50" t="inlineStr">
        <is>
          <t/>
        </is>
      </c>
      <c r="P93" s="51" t="n">
        <v>18.01783</v>
      </c>
      <c r="Q93" s="52" t="inlineStr">
        <is>
          <t/>
        </is>
      </c>
      <c r="R93" s="53" t="inlineStr">
        <is>
          <t/>
        </is>
      </c>
      <c r="S93" s="54" t="inlineStr">
        <is>
          <t/>
        </is>
      </c>
      <c r="T93" s="55" t="inlineStr">
        <is>
          <t/>
        </is>
      </c>
      <c r="U93" s="56" t="inlineStr">
        <is>
          <t/>
        </is>
      </c>
      <c r="V93" s="57" t="inlineStr">
        <is>
          <t/>
        </is>
      </c>
      <c r="W93" s="58" t="inlineStr">
        <is>
          <t/>
        </is>
      </c>
      <c r="X93" s="59" t="inlineStr">
        <is>
          <t>GP Self Reporting</t>
        </is>
      </c>
      <c r="Y93" s="60" t="inlineStr">
        <is>
          <t>2019 Y</t>
        </is>
      </c>
      <c r="Z93" s="61" t="inlineStr">
        <is>
          <t>0 - 99M</t>
        </is>
      </c>
      <c r="AA93" s="62" t="inlineStr">
        <is>
          <t>TSVC</t>
        </is>
      </c>
      <c r="AB93" s="63" t="inlineStr">
        <is>
          <t>Los Altos, CA</t>
        </is>
      </c>
      <c r="AC93" s="64" t="inlineStr">
        <is>
          <t>Software</t>
        </is>
      </c>
      <c r="AD93" s="65" t="inlineStr">
        <is>
          <t>Seed Round, Early Stage VC, Later Stage VC</t>
        </is>
      </c>
      <c r="AE93" s="66" t="inlineStr">
        <is>
          <t/>
        </is>
      </c>
      <c r="AF93" s="67" t="inlineStr">
        <is>
          <t>TSVC</t>
        </is>
      </c>
      <c r="AG93" s="232">
        <f>HYPERLINK("https://my.pitchbook.com?i=53830-54", "View Investor Online")</f>
      </c>
    </row>
    <row r="94">
      <c r="A94" s="69" t="inlineStr">
        <is>
          <t>16643-98F</t>
        </is>
      </c>
      <c r="B94" s="70" t="inlineStr">
        <is>
          <t>Thynk Capital Fund II</t>
        </is>
      </c>
      <c r="C94" s="71" t="inlineStr">
        <is>
          <t/>
        </is>
      </c>
      <c r="D94" s="72" t="inlineStr">
        <is>
          <t>Venture Capital</t>
        </is>
      </c>
      <c r="E94" s="73" t="n">
        <v>10.0</v>
      </c>
      <c r="F94" s="74" t="inlineStr">
        <is>
          <t/>
        </is>
      </c>
      <c r="G94" s="75" t="inlineStr">
        <is>
          <t/>
        </is>
      </c>
      <c r="H94" s="76" t="n">
        <v>2017.0</v>
      </c>
      <c r="I94" s="77" t="n">
        <v>23.9</v>
      </c>
      <c r="J94" s="78" t="n">
        <v>2.39</v>
      </c>
      <c r="K94" s="79" t="n">
        <v>4.925000079247044</v>
      </c>
      <c r="L94" s="80" t="n">
        <v>0.0</v>
      </c>
      <c r="M94" s="81" t="n">
        <v>622.3</v>
      </c>
      <c r="N94" s="82" t="inlineStr">
        <is>
          <t/>
        </is>
      </c>
      <c r="O94" s="83" t="inlineStr">
        <is>
          <t/>
        </is>
      </c>
      <c r="P94" s="84" t="inlineStr">
        <is>
          <t/>
        </is>
      </c>
      <c r="Q94" s="85" t="n">
        <v>0.0</v>
      </c>
      <c r="R94" s="86" t="n">
        <v>0.0</v>
      </c>
      <c r="S94" s="87" t="inlineStr">
        <is>
          <t/>
        </is>
      </c>
      <c r="T94" s="88" t="inlineStr">
        <is>
          <t/>
        </is>
      </c>
      <c r="U94" s="89" t="inlineStr">
        <is>
          <t/>
        </is>
      </c>
      <c r="V94" s="90" t="inlineStr">
        <is>
          <t/>
        </is>
      </c>
      <c r="W94" s="91" t="inlineStr">
        <is>
          <t/>
        </is>
      </c>
      <c r="X94" s="92" t="inlineStr">
        <is>
          <t>GP Self Reporting</t>
        </is>
      </c>
      <c r="Y94" s="93" t="inlineStr">
        <is>
          <t>2019 Y</t>
        </is>
      </c>
      <c r="Z94" s="94" t="inlineStr">
        <is>
          <t>0 - 99M</t>
        </is>
      </c>
      <c r="AA94" s="95" t="inlineStr">
        <is>
          <t>Thynk Capital</t>
        </is>
      </c>
      <c r="AB94" s="96" t="inlineStr">
        <is>
          <t/>
        </is>
      </c>
      <c r="AC94" s="97" t="inlineStr">
        <is>
          <t/>
        </is>
      </c>
      <c r="AD94" s="98" t="inlineStr">
        <is>
          <t>Seed Round, Early Stage VC, Later Stage VC</t>
        </is>
      </c>
      <c r="AE94" s="99" t="inlineStr">
        <is>
          <t/>
        </is>
      </c>
      <c r="AF94" s="100" t="inlineStr">
        <is>
          <t>Thynk Capital</t>
        </is>
      </c>
      <c r="AG94" s="233">
        <f>HYPERLINK("https://my.pitchbook.com?i=176634-10", "View Investor Online")</f>
      </c>
    </row>
    <row r="95">
      <c r="A95" s="36" t="inlineStr">
        <is>
          <t>15872-14F</t>
        </is>
      </c>
      <c r="B95" s="37" t="inlineStr">
        <is>
          <t>Trail Mix Ventures Fund</t>
        </is>
      </c>
      <c r="C95" s="38" t="inlineStr">
        <is>
          <t/>
        </is>
      </c>
      <c r="D95" s="39" t="inlineStr">
        <is>
          <t>Venture Capital</t>
        </is>
      </c>
      <c r="E95" s="40" t="n">
        <v>11.21</v>
      </c>
      <c r="F95" s="41" t="inlineStr">
        <is>
          <t>New York, NY</t>
        </is>
      </c>
      <c r="G95" s="42" t="n">
        <v>2.0</v>
      </c>
      <c r="H95" s="43" t="n">
        <v>2017.0</v>
      </c>
      <c r="I95" s="44" t="inlineStr">
        <is>
          <t/>
        </is>
      </c>
      <c r="J95" s="45" t="inlineStr">
        <is>
          <t/>
        </is>
      </c>
      <c r="K95" s="46" t="n">
        <v>5.520925088835936</v>
      </c>
      <c r="L95" s="47" t="inlineStr">
        <is>
          <t/>
        </is>
      </c>
      <c r="M95" s="48" t="inlineStr">
        <is>
          <t/>
        </is>
      </c>
      <c r="N95" s="49" t="n">
        <v>39.0</v>
      </c>
      <c r="O95" s="50" t="inlineStr">
        <is>
          <t/>
        </is>
      </c>
      <c r="P95" s="51" t="n">
        <v>8.55</v>
      </c>
      <c r="Q95" s="52" t="inlineStr">
        <is>
          <t/>
        </is>
      </c>
      <c r="R95" s="53" t="inlineStr">
        <is>
          <t/>
        </is>
      </c>
      <c r="S95" s="54" t="inlineStr">
        <is>
          <t/>
        </is>
      </c>
      <c r="T95" s="55" t="inlineStr">
        <is>
          <t/>
        </is>
      </c>
      <c r="U95" s="56" t="inlineStr">
        <is>
          <t/>
        </is>
      </c>
      <c r="V95" s="57" t="inlineStr">
        <is>
          <t/>
        </is>
      </c>
      <c r="W95" s="58" t="inlineStr">
        <is>
          <t/>
        </is>
      </c>
      <c r="X95" s="59" t="inlineStr">
        <is>
          <t>GP Self Reporting</t>
        </is>
      </c>
      <c r="Y95" s="60" t="inlineStr">
        <is>
          <t>2018 Y</t>
        </is>
      </c>
      <c r="Z95" s="61" t="inlineStr">
        <is>
          <t>0 - 99M</t>
        </is>
      </c>
      <c r="AA95" s="62" t="inlineStr">
        <is>
          <t>Trail Mix Ventures</t>
        </is>
      </c>
      <c r="AB95" s="63" t="inlineStr">
        <is>
          <t>New York, NY</t>
        </is>
      </c>
      <c r="AC95" s="64" t="inlineStr">
        <is>
          <t>Software</t>
        </is>
      </c>
      <c r="AD95" s="65" t="inlineStr">
        <is>
          <t>Seed Round</t>
        </is>
      </c>
      <c r="AE95" s="66" t="inlineStr">
        <is>
          <t/>
        </is>
      </c>
      <c r="AF95" s="67" t="inlineStr">
        <is>
          <t>Trail Mix</t>
        </is>
      </c>
      <c r="AG95" s="232">
        <f>HYPERLINK("https://my.pitchbook.com?i=170616-79", "View Investor Online")</f>
      </c>
    </row>
    <row r="96">
      <c r="A96" s="69" t="inlineStr">
        <is>
          <t>15739-75F</t>
        </is>
      </c>
      <c r="B96" s="70" t="inlineStr">
        <is>
          <t>Tuhaye Venture Partners I</t>
        </is>
      </c>
      <c r="C96" s="71" t="inlineStr">
        <is>
          <t>Kiwi Venture Partners II</t>
        </is>
      </c>
      <c r="D96" s="72" t="inlineStr">
        <is>
          <t>Venture Capital - Early Stage</t>
        </is>
      </c>
      <c r="E96" s="73" t="n">
        <v>13.7</v>
      </c>
      <c r="F96" s="74" t="inlineStr">
        <is>
          <t>New York, NY</t>
        </is>
      </c>
      <c r="G96" s="75" t="n">
        <v>1.0</v>
      </c>
      <c r="H96" s="76" t="n">
        <v>2016.0</v>
      </c>
      <c r="I96" s="77" t="n">
        <v>87.49635036496352</v>
      </c>
      <c r="J96" s="78" t="n">
        <v>11.987000000000002</v>
      </c>
      <c r="K96" s="79" t="n">
        <v>2.6375</v>
      </c>
      <c r="L96" s="80" t="inlineStr">
        <is>
          <t/>
        </is>
      </c>
      <c r="M96" s="81" t="inlineStr">
        <is>
          <t/>
        </is>
      </c>
      <c r="N96" s="82" t="n">
        <v>32.4</v>
      </c>
      <c r="O96" s="83" t="inlineStr">
        <is>
          <t/>
        </is>
      </c>
      <c r="P96" s="84" t="n">
        <v>17.0</v>
      </c>
      <c r="Q96" s="85" t="inlineStr">
        <is>
          <t/>
        </is>
      </c>
      <c r="R96" s="86" t="inlineStr">
        <is>
          <t/>
        </is>
      </c>
      <c r="S96" s="87" t="inlineStr">
        <is>
          <t/>
        </is>
      </c>
      <c r="T96" s="88" t="inlineStr">
        <is>
          <t/>
        </is>
      </c>
      <c r="U96" s="89" t="inlineStr">
        <is>
          <t/>
        </is>
      </c>
      <c r="V96" s="90" t="inlineStr">
        <is>
          <t/>
        </is>
      </c>
      <c r="W96" s="91" t="inlineStr">
        <is>
          <t/>
        </is>
      </c>
      <c r="X96" s="92" t="inlineStr">
        <is>
          <t>GP Self Reporting</t>
        </is>
      </c>
      <c r="Y96" s="93" t="inlineStr">
        <is>
          <t>2019 Y</t>
        </is>
      </c>
      <c r="Z96" s="94" t="inlineStr">
        <is>
          <t>0 - 99M</t>
        </is>
      </c>
      <c r="AA96" s="95" t="inlineStr">
        <is>
          <t>Tuhaye Venture Partners</t>
        </is>
      </c>
      <c r="AB96" s="96" t="inlineStr">
        <is>
          <t>New York, NY</t>
        </is>
      </c>
      <c r="AC96" s="97" t="inlineStr">
        <is>
          <t>Software</t>
        </is>
      </c>
      <c r="AD96" s="98" t="inlineStr">
        <is>
          <t>Seed Round, Early Stage VC</t>
        </is>
      </c>
      <c r="AE96" s="99" t="inlineStr">
        <is>
          <t>United States</t>
        </is>
      </c>
      <c r="AF96" s="100" t="inlineStr">
        <is>
          <t>Tuhaye</t>
        </is>
      </c>
      <c r="AG96" s="233">
        <f>HYPERLINK("https://my.pitchbook.com?i=86883-40", "View Investor Online")</f>
      </c>
    </row>
    <row r="97">
      <c r="A97" s="36" t="inlineStr">
        <is>
          <t>15406-30F</t>
        </is>
      </c>
      <c r="B97" s="37" t="inlineStr">
        <is>
          <t>Urban.Us Fund II</t>
        </is>
      </c>
      <c r="C97" s="38" t="inlineStr">
        <is>
          <t/>
        </is>
      </c>
      <c r="D97" s="39" t="inlineStr">
        <is>
          <t>Venture Capital</t>
        </is>
      </c>
      <c r="E97" s="40" t="n">
        <v>10.0</v>
      </c>
      <c r="F97" s="41" t="inlineStr">
        <is>
          <t>New York, NY</t>
        </is>
      </c>
      <c r="G97" s="42" t="n">
        <v>3.0</v>
      </c>
      <c r="H97" s="43" t="n">
        <v>2016.0</v>
      </c>
      <c r="I97" s="44" t="inlineStr">
        <is>
          <t/>
        </is>
      </c>
      <c r="J97" s="45" t="inlineStr">
        <is>
          <t/>
        </is>
      </c>
      <c r="K97" s="46" t="n">
        <v>0.799885821747599</v>
      </c>
      <c r="L97" s="47" t="inlineStr">
        <is>
          <t/>
        </is>
      </c>
      <c r="M97" s="48" t="inlineStr">
        <is>
          <t/>
        </is>
      </c>
      <c r="N97" s="49" t="n">
        <v>14.0</v>
      </c>
      <c r="O97" s="50" t="inlineStr">
        <is>
          <t/>
        </is>
      </c>
      <c r="P97" s="51" t="n">
        <v>-6.52</v>
      </c>
      <c r="Q97" s="52" t="inlineStr">
        <is>
          <t/>
        </is>
      </c>
      <c r="R97" s="53" t="inlineStr">
        <is>
          <t/>
        </is>
      </c>
      <c r="S97" s="54" t="inlineStr">
        <is>
          <t/>
        </is>
      </c>
      <c r="T97" s="55" t="inlineStr">
        <is>
          <t/>
        </is>
      </c>
      <c r="U97" s="56" t="inlineStr">
        <is>
          <t/>
        </is>
      </c>
      <c r="V97" s="57" t="inlineStr">
        <is>
          <t/>
        </is>
      </c>
      <c r="W97" s="58" t="inlineStr">
        <is>
          <t/>
        </is>
      </c>
      <c r="X97" s="59" t="inlineStr">
        <is>
          <t>GP Self Reporting</t>
        </is>
      </c>
      <c r="Y97" s="60" t="inlineStr">
        <is>
          <t>2019 Y</t>
        </is>
      </c>
      <c r="Z97" s="61" t="inlineStr">
        <is>
          <t>0 - 99M</t>
        </is>
      </c>
      <c r="AA97" s="62" t="inlineStr">
        <is>
          <t>Urban Us</t>
        </is>
      </c>
      <c r="AB97" s="63" t="inlineStr">
        <is>
          <t>New York, NY</t>
        </is>
      </c>
      <c r="AC97" s="64" t="inlineStr">
        <is>
          <t>Software</t>
        </is>
      </c>
      <c r="AD97" s="65" t="inlineStr">
        <is>
          <t>Seed Round, Early Stage VC, Later Stage VC</t>
        </is>
      </c>
      <c r="AE97" s="66" t="inlineStr">
        <is>
          <t/>
        </is>
      </c>
      <c r="AF97" s="67" t="inlineStr">
        <is>
          <t>Urban Us-VC</t>
        </is>
      </c>
      <c r="AG97" s="232">
        <f>HYPERLINK("https://my.pitchbook.com?i=64991-35", "View Investor Online")</f>
      </c>
    </row>
    <row r="98">
      <c r="A98" s="69" t="inlineStr">
        <is>
          <t>14005-45F</t>
        </is>
      </c>
      <c r="B98" s="70" t="inlineStr">
        <is>
          <t>YourNest Angel Fund</t>
        </is>
      </c>
      <c r="C98" s="71" t="inlineStr">
        <is>
          <t/>
        </is>
      </c>
      <c r="D98" s="72" t="inlineStr">
        <is>
          <t>Venture Capital - Early Stage</t>
        </is>
      </c>
      <c r="E98" s="73" t="n">
        <v>14.14915</v>
      </c>
      <c r="F98" s="74" t="inlineStr">
        <is>
          <t>Gurgaon, India</t>
        </is>
      </c>
      <c r="G98" s="75" t="inlineStr">
        <is>
          <t/>
        </is>
      </c>
      <c r="H98" s="76" t="n">
        <v>2012.0</v>
      </c>
      <c r="I98" s="77" t="n">
        <v>92.40997229916897</v>
      </c>
      <c r="J98" s="78" t="n">
        <v>13.075222859778986</v>
      </c>
      <c r="K98" s="79" t="n">
        <v>0.0</v>
      </c>
      <c r="L98" s="80" t="inlineStr">
        <is>
          <t/>
        </is>
      </c>
      <c r="M98" s="81" t="n">
        <v>2.495219717858326</v>
      </c>
      <c r="N98" s="82" t="n">
        <v>15.55</v>
      </c>
      <c r="O98" s="83" t="inlineStr">
        <is>
          <t/>
        </is>
      </c>
      <c r="P98" s="84" t="inlineStr">
        <is>
          <t/>
        </is>
      </c>
      <c r="Q98" s="85" t="inlineStr">
        <is>
          <t/>
        </is>
      </c>
      <c r="R98" s="86" t="inlineStr">
        <is>
          <t/>
        </is>
      </c>
      <c r="S98" s="87" t="n">
        <v>0.191</v>
      </c>
      <c r="T98" s="88" t="inlineStr">
        <is>
          <t/>
        </is>
      </c>
      <c r="U98" s="89" t="inlineStr">
        <is>
          <t/>
        </is>
      </c>
      <c r="V98" s="90" t="inlineStr">
        <is>
          <t/>
        </is>
      </c>
      <c r="W98" s="91" t="inlineStr">
        <is>
          <t/>
        </is>
      </c>
      <c r="X98" s="92" t="inlineStr">
        <is>
          <t>GP Self Reporting</t>
        </is>
      </c>
      <c r="Y98" s="93" t="inlineStr">
        <is>
          <t>2017 Y</t>
        </is>
      </c>
      <c r="Z98" s="94" t="inlineStr">
        <is>
          <t>0 - 99M</t>
        </is>
      </c>
      <c r="AA98" s="95" t="inlineStr">
        <is>
          <t>YourNest Venture Capital</t>
        </is>
      </c>
      <c r="AB98" s="96" t="inlineStr">
        <is>
          <t>Gurgaon, India</t>
        </is>
      </c>
      <c r="AC98" s="97" t="inlineStr">
        <is>
          <t>Software</t>
        </is>
      </c>
      <c r="AD98" s="98" t="inlineStr">
        <is>
          <t>Seed Round, Early Stage VC</t>
        </is>
      </c>
      <c r="AE98" s="99" t="inlineStr">
        <is>
          <t>Asia, Oceania</t>
        </is>
      </c>
      <c r="AF98" s="100" t="inlineStr">
        <is>
          <t>YourNest</t>
        </is>
      </c>
      <c r="AG98" s="233">
        <f>HYPERLINK("https://my.pitchbook.com?i=60658-75", "View Investor Online")</f>
      </c>
    </row>
    <row r="101">
      <c r="A101" s="234" t="inlineStr">
        <is>
          <t>© PitchBook Data, Inc. 2020</t>
        </is>
      </c>
    </row>
  </sheetData>
  <mergeCells count="3">
    <mergeCell ref="B4:E6"/>
    <mergeCell ref="E1:H1"/>
    <mergeCell ref="B3:C3"/>
  </mergeCells>
  <phoneticPr fontId="0" type="noConversion"/>
  <hyperlinks>
    <hyperlink display="https://my.pitchbook.com/?pcc=361644-13" ref="B3" r:id="rId5"/>
  </hyperlinks>
  <pageMargins left="0.75" right="0.75" top="1" bottom="1" header="0.5" footer="0.5"/>
  <pageSetup paperSize="9" firstPageNumber="0" fitToWidth="0" fitToHeight="0" pageOrder="overThenDown" orientation="portrait" horizontalDpi="300" verticalDpi="300" r:id="rId1"/>
  <headerFooter alignWithMargins="0"/>
  <drawing r:id="rId2"/>
  <legacyDrawing r:id="rId4"/>
</worksheet>
</file>

<file path=xl/worksheets/sheet2.xml><?xml version="1.0" encoding="utf-8"?>
<worksheet xmlns="http://schemas.openxmlformats.org/spreadsheetml/2006/main" xmlns:r="http://schemas.openxmlformats.org/officeDocument/2006/relationships">
  <dimension ref="A1:I21"/>
  <sheetViews>
    <sheetView workbookViewId="0" showGridLines="false" tabSelected="false">
      <selection activeCell="A100" sqref="A100"/>
    </sheetView>
  </sheetViews>
  <sheetFormatPr defaultRowHeight="15.0"/>
  <cols>
    <col min="1" max="1" width="19.1640625" customWidth="true"/>
    <col min="2" max="2" width="23.1640625" customWidth="true"/>
    <col min="3" max="3" width="9.1640625" customWidth="true"/>
    <col min="4" max="4" width="9.1640625" customWidth="true"/>
    <col min="5" max="5" width="9.1640625" customWidth="true"/>
    <col min="6" max="6" width="9.1640625" customWidth="true"/>
    <col min="7" max="7" width="9.1640625" customWidth="true"/>
    <col min="8" max="8" width="2.83203125" customWidth="true"/>
    <col min="9" max="9" width="26.5" customWidth="true"/>
    <col min="10" max="10" width="9.1640625" customWidth="true"/>
    <col min="11" max="11" width="9.1640625" customWidth="true"/>
    <col min="12" max="12" width="9.1640625" customWidth="true"/>
    <col min="13" max="13" width="9.1640625" customWidth="true"/>
    <col min="14" max="14" width="9.1640625" customWidth="true"/>
    <col min="15" max="15" width="9.1640625" customWidth="true"/>
    <col min="16" max="16" width="9.1640625" customWidth="true"/>
    <col min="17" max="17" width="9.1640625" customWidth="true"/>
  </cols>
  <sheetData>
    <row r="1">
      <c r="A1" t="s" s="235">
        <v>43</v>
      </c>
    </row>
    <row r="3">
      <c r="A3" t="s" s="236">
        <v>44</v>
      </c>
    </row>
    <row r="4">
      <c r="A4" t="s" s="244">
        <v>45</v>
      </c>
    </row>
    <row r="6">
      <c r="A6" t="s" s="238">
        <v>46</v>
      </c>
      <c r="B6" t="s" s="243">
        <v>47</v>
      </c>
      <c r="C6" t="s" s="240">
        <v>48</v>
      </c>
    </row>
    <row r="8">
      <c r="A8" t="s" s="241">
        <v>49</v>
      </c>
      <c r="I8" t="s" s="245">
        <v>50</v>
      </c>
    </row>
    <row r="10">
      <c r="A10" t="s" s="246">
        <v>51</v>
      </c>
    </row>
    <row r="21">
      <c r="A21"/>
    </row>
  </sheetData>
  <sheetProtection password="C9C1" sheet="true" scenarios="true" objects="true"/>
  <hyperlinks>
    <hyperlink display="PitchBook User Agreement" ref="B6" r:id="rId1"/>
    <hyperlink display="clientservices@pitchbook.com " ref="A4" r:id="rId2"/>
    <hyperlink display="clientservices@pitchbook.com." ref="I8" r:id="rId3"/>
  </hyperlink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Data</vt:lpstr>
      <vt:lpstr>CreatedFor</vt:lpstr>
      <vt:lpstr>CreatedForTitle</vt:lpstr>
      <vt:lpstr>DownloadedOn</vt:lpstr>
      <vt:lpstr>SearchCriteria</vt:lpstr>
      <vt:lpstr>SearchCriteriaType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2011-01-13T13:16:13Z</dcterms:created>
  <dc:creator>PitchBook</dc:creator>
  <cp:lastModifiedBy>PitchBook</cp:lastModifiedBy>
  <dcterms:modified xsi:type="dcterms:W3CDTF">2020-01-21T14:46:14Z</dcterms:modified>
</cp:coreProperties>
</file>