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24226"/>
  <mc:AlternateContent>
    <mc:Choice Requires="x15">
      <x15ac:absPath xmlns:x15ac="http://schemas.microsoft.com/office/spreadsheetml/2010/11/ac" url="C:\Projects\PitchBook\legacy\legacy-trash\src\main\resources\com\pitchbook\excel\processor\preloaded\"/>
    </mc:Choice>
  </mc:AlternateContent>
  <xr:revisionPtr revIDLastSave="0" documentId="13_ncr:1_{C63241A8-0879-4FFD-ACB5-5759F2A62CA5}" xr6:coauthVersionLast="45" xr6:coauthVersionMax="45" xr10:uidLastSave="{00000000-0000-0000-0000-000000000000}"/>
  <bookViews>
    <workbookView xWindow="-120" yWindow="-120" windowWidth="29040" windowHeight="15840" xr2:uid="{00000000-000D-0000-FFFF-FFFF00000000}" activeTab="0" firstSheet="0"/>
  </bookViews>
  <sheets>
    <sheet name="Data" sheetId="1" r:id="rId1"/>
    <sheet name="Disclaimer" r:id="rId5" sheetId="2"/>
  </sheets>
  <definedNames>
    <definedName name="Copyright">#REF!</definedName>
    <definedName name="CreatedFor">Data!$G$5</definedName>
    <definedName name="CreatedForTitle">Data!$F$5</definedName>
    <definedName name="DownloadedOn">Data!$G$4</definedName>
    <definedName name="SearchCriteria">Data!$B$4</definedName>
    <definedName name="SearchCriteriaType">Data!$A$4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authors>
    <author/>
  </authors>
  <commentList>
    <comment ref="K251" authorId="0">
      <text>
        <t>Estimated</t>
      </text>
    </comment>
    <comment ref="K254" authorId="0">
      <text>
        <t>Estimated</t>
      </text>
    </comment>
    <comment ref="K131" authorId="0">
      <text>
        <t>Estimated</t>
      </text>
    </comment>
    <comment ref="K42" authorId="0">
      <text>
        <t>Estimated</t>
      </text>
    </comment>
    <comment ref="K258" authorId="0">
      <text>
        <t>Estimated</t>
      </text>
    </comment>
    <comment ref="K135" authorId="0">
      <text>
        <t>Estimated</t>
      </text>
    </comment>
    <comment ref="K256" authorId="0">
      <text>
        <t>Estimated</t>
      </text>
    </comment>
    <comment ref="K43" authorId="0">
      <text>
        <t>Estimated</t>
      </text>
    </comment>
    <comment ref="K45" authorId="0">
      <text>
        <t>Estimated</t>
      </text>
    </comment>
    <comment ref="K48" authorId="0">
      <text>
        <t>Estimated</t>
      </text>
    </comment>
    <comment ref="K139" authorId="0">
      <text>
        <t>Estimated</t>
      </text>
    </comment>
    <comment ref="K240" authorId="0">
      <text>
        <t>Estimated</t>
      </text>
    </comment>
    <comment ref="K243" authorId="0">
      <text>
        <t>Estimated</t>
      </text>
    </comment>
    <comment ref="K51" authorId="0">
      <text>
        <t>Estimated</t>
      </text>
    </comment>
    <comment ref="K120" authorId="0">
      <text>
        <t>Estimated</t>
      </text>
    </comment>
    <comment ref="K121" authorId="0">
      <text>
        <t>Estimated</t>
      </text>
    </comment>
    <comment ref="K53" authorId="0">
      <text>
        <t>Estimated</t>
      </text>
    </comment>
    <comment ref="K126" authorId="0">
      <text>
        <t>Estimated</t>
      </text>
    </comment>
    <comment ref="K127" authorId="0">
      <text>
        <t>Estimated</t>
      </text>
    </comment>
    <comment ref="K248" authorId="0">
      <text>
        <t>Estimated</t>
      </text>
    </comment>
    <comment ref="K124" authorId="0">
      <text>
        <t>Estimated</t>
      </text>
    </comment>
    <comment ref="K245" authorId="0">
      <text>
        <t>Estimated</t>
      </text>
    </comment>
    <comment ref="K54" authorId="0">
      <text>
        <t>Estimated</t>
      </text>
    </comment>
    <comment ref="K125" authorId="0">
      <text>
        <t>Estimated</t>
      </text>
    </comment>
    <comment ref="K246" authorId="0">
      <text>
        <t>Estimated</t>
      </text>
    </comment>
    <comment ref="K56" authorId="0">
      <text>
        <t>Estimated</t>
      </text>
    </comment>
    <comment ref="K249" authorId="0">
      <text>
        <t>Estimated</t>
      </text>
    </comment>
    <comment ref="K58" authorId="0">
      <text>
        <t>Estimated</t>
      </text>
    </comment>
    <comment ref="K129" authorId="0">
      <text>
        <t>Estimated</t>
      </text>
    </comment>
    <comment ref="K151" authorId="0">
      <text>
        <t>Estimated</t>
      </text>
    </comment>
    <comment ref="K272" authorId="0">
      <text>
        <t>Estimated</t>
      </text>
    </comment>
    <comment ref="K152" authorId="0">
      <text>
        <t>Estimated</t>
      </text>
    </comment>
    <comment ref="K273" authorId="0">
      <text>
        <t>Estimated</t>
      </text>
    </comment>
    <comment ref="K270" authorId="0">
      <text>
        <t>Estimated</t>
      </text>
    </comment>
    <comment ref="K150" authorId="0">
      <text>
        <t>Estimated</t>
      </text>
    </comment>
    <comment ref="K60" authorId="0">
      <text>
        <t>Estimated</t>
      </text>
    </comment>
    <comment ref="K276" authorId="0">
      <text>
        <t>Estimated</t>
      </text>
    </comment>
    <comment ref="K277" authorId="0">
      <text>
        <t>Estimated</t>
      </text>
    </comment>
    <comment ref="K61" authorId="0">
      <text>
        <t>Estimated</t>
      </text>
    </comment>
    <comment ref="K154" authorId="0">
      <text>
        <t>Estimated</t>
      </text>
    </comment>
    <comment ref="K275" authorId="0">
      <text>
        <t>Estimated</t>
      </text>
    </comment>
    <comment ref="K159" authorId="0">
      <text>
        <t>Estimated</t>
      </text>
    </comment>
    <comment ref="K66" authorId="0">
      <text>
        <t>Estimated</t>
      </text>
    </comment>
    <comment ref="K157" authorId="0">
      <text>
        <t>Estimated</t>
      </text>
    </comment>
    <comment ref="K65" authorId="0">
      <text>
        <t>Estimated</t>
      </text>
    </comment>
    <comment ref="K158" authorId="0">
      <text>
        <t>Estimated</t>
      </text>
    </comment>
    <comment ref="K279" authorId="0">
      <text>
        <t>Estimated</t>
      </text>
    </comment>
    <comment ref="K140" authorId="0">
      <text>
        <t>Estimated</t>
      </text>
    </comment>
    <comment ref="K261" authorId="0">
      <text>
        <t>Estimated</t>
      </text>
    </comment>
    <comment ref="K262" authorId="0">
      <text>
        <t>Estimated</t>
      </text>
    </comment>
    <comment ref="K260" authorId="0">
      <text>
        <t>Estimated</t>
      </text>
    </comment>
    <comment ref="K144" authorId="0">
      <text>
        <t>Estimated</t>
      </text>
    </comment>
    <comment ref="K265" authorId="0">
      <text>
        <t>Estimated</t>
      </text>
    </comment>
    <comment ref="K70" authorId="0">
      <text>
        <t>Estimated</t>
      </text>
    </comment>
    <comment ref="K73" authorId="0">
      <text>
        <t>Estimated</t>
      </text>
    </comment>
    <comment ref="K263" authorId="0">
      <text>
        <t>Estimated</t>
      </text>
    </comment>
    <comment ref="K72" authorId="0">
      <text>
        <t>Estimated</t>
      </text>
    </comment>
    <comment ref="K264" authorId="0">
      <text>
        <t>Estimated</t>
      </text>
    </comment>
    <comment ref="K148" authorId="0">
      <text>
        <t>Estimated</t>
      </text>
    </comment>
    <comment ref="K74" authorId="0">
      <text>
        <t>Estimated</t>
      </text>
    </comment>
    <comment ref="K76" authorId="0">
      <text>
        <t>Estimated</t>
      </text>
    </comment>
    <comment ref="K268" authorId="0">
      <text>
        <t>Estimated</t>
      </text>
    </comment>
    <comment ref="K79" authorId="0">
      <text>
        <t>Estimated</t>
      </text>
    </comment>
    <comment ref="K78" authorId="0">
      <text>
        <t>Estimated</t>
      </text>
    </comment>
    <comment ref="K173" authorId="0">
      <text>
        <t>Estimated</t>
      </text>
    </comment>
    <comment ref="K174" authorId="0">
      <text>
        <t>Estimated</t>
      </text>
    </comment>
    <comment ref="K80" authorId="0">
      <text>
        <t>Estimated</t>
      </text>
    </comment>
    <comment ref="K171" authorId="0">
      <text>
        <t>Estimated</t>
      </text>
    </comment>
    <comment ref="K172" authorId="0">
      <text>
        <t>Estimated</t>
      </text>
    </comment>
    <comment ref="K82" authorId="0">
      <text>
        <t>Estimated</t>
      </text>
    </comment>
    <comment ref="K210" authorId="0">
      <text>
        <t>Estimated</t>
      </text>
    </comment>
    <comment ref="K81" authorId="0">
      <text>
        <t>Estimated</t>
      </text>
    </comment>
    <comment ref="K178" authorId="0">
      <text>
        <t>Estimated</t>
      </text>
    </comment>
    <comment ref="K211" authorId="0">
      <text>
        <t>Estimated</t>
      </text>
    </comment>
    <comment ref="K175" authorId="0">
      <text>
        <t>Estimated</t>
      </text>
    </comment>
    <comment ref="K83" authorId="0">
      <text>
        <t>Estimated</t>
      </text>
    </comment>
    <comment ref="K86" authorId="0">
      <text>
        <t>Estimated</t>
      </text>
    </comment>
    <comment ref="K85" authorId="0">
      <text>
        <t>Estimated</t>
      </text>
    </comment>
    <comment ref="K88" authorId="0">
      <text>
        <t>Estimated</t>
      </text>
    </comment>
    <comment ref="K212" authorId="0">
      <text>
        <t>Estimated</t>
      </text>
    </comment>
    <comment ref="K87" authorId="0">
      <text>
        <t>Estimated</t>
      </text>
    </comment>
    <comment ref="K218" authorId="0">
      <text>
        <t>Estimated</t>
      </text>
    </comment>
    <comment ref="K219" authorId="0">
      <text>
        <t>Estimated</t>
      </text>
    </comment>
    <comment ref="K216" authorId="0">
      <text>
        <t>Estimated</t>
      </text>
    </comment>
    <comment ref="K283" authorId="0">
      <text>
        <t>Estimated</t>
      </text>
    </comment>
    <comment ref="K284" authorId="0">
      <text>
        <t>Estimated</t>
      </text>
    </comment>
    <comment ref="K281" authorId="0">
      <text>
        <t>Estimated</t>
      </text>
    </comment>
    <comment ref="K282" authorId="0">
      <text>
        <t>Estimated</t>
      </text>
    </comment>
    <comment ref="K93" authorId="0">
      <text>
        <t>Estimated</t>
      </text>
    </comment>
    <comment ref="K166" authorId="0">
      <text>
        <t>Estimated</t>
      </text>
    </comment>
    <comment ref="K167" authorId="0">
      <text>
        <t>Estimated</t>
      </text>
    </comment>
    <comment ref="K95" authorId="0">
      <text>
        <t>Estimated</t>
      </text>
    </comment>
    <comment ref="K164" authorId="0">
      <text>
        <t>Estimated</t>
      </text>
    </comment>
    <comment ref="K94" authorId="0">
      <text>
        <t>Estimated</t>
      </text>
    </comment>
    <comment ref="K96" authorId="0">
      <text>
        <t>Estimated</t>
      </text>
    </comment>
    <comment ref="K204" authorId="0">
      <text>
        <t>Estimated</t>
      </text>
    </comment>
    <comment ref="K11" authorId="0">
      <text>
        <t>Estimated</t>
      </text>
    </comment>
    <comment ref="K98" authorId="0">
      <text>
        <t>Estimated</t>
      </text>
    </comment>
    <comment ref="K202" authorId="0">
      <text>
        <t>Estimated</t>
      </text>
    </comment>
    <comment ref="K205" authorId="0">
      <text>
        <t>Estimated</t>
      </text>
    </comment>
    <comment ref="K206" authorId="0">
      <text>
        <t>Estimated</t>
      </text>
    </comment>
    <comment ref="K209" authorId="0">
      <text>
        <t>Estimated</t>
      </text>
    </comment>
    <comment ref="K194" authorId="0">
      <text>
        <t>Estimated</t>
      </text>
    </comment>
    <comment ref="K111" authorId="0">
      <text>
        <t>Estimated</t>
      </text>
    </comment>
    <comment ref="K197" authorId="0">
      <text>
        <t>Estimated</t>
      </text>
    </comment>
    <comment ref="K110" authorId="0">
      <text>
        <t>Estimated</t>
      </text>
    </comment>
    <comment ref="K115" authorId="0">
      <text>
        <t>Estimated</t>
      </text>
    </comment>
    <comment ref="K116" authorId="0">
      <text>
        <t>Estimated</t>
      </text>
    </comment>
    <comment ref="K237" authorId="0">
      <text>
        <t>Estimated</t>
      </text>
    </comment>
    <comment ref="K113" authorId="0">
      <text>
        <t>Estimated</t>
      </text>
    </comment>
    <comment ref="K234" authorId="0">
      <text>
        <t>Estimated</t>
      </text>
    </comment>
    <comment ref="K21" authorId="0">
      <text>
        <t>Estimated</t>
      </text>
    </comment>
    <comment ref="K114" authorId="0">
      <text>
        <t>Estimated</t>
      </text>
    </comment>
    <comment ref="K119" authorId="0">
      <text>
        <t>Estimated</t>
      </text>
    </comment>
    <comment ref="K117" authorId="0">
      <text>
        <t>Estimated</t>
      </text>
    </comment>
    <comment ref="K118" authorId="0">
      <text>
        <t>Estimated</t>
      </text>
    </comment>
    <comment ref="K239" authorId="0">
      <text>
        <t>Estimated</t>
      </text>
    </comment>
    <comment ref="K185" authorId="0">
      <text>
        <t>Estimated</t>
      </text>
    </comment>
    <comment ref="K182" authorId="0">
      <text>
        <t>Estimated</t>
      </text>
    </comment>
    <comment ref="K100" authorId="0">
      <text>
        <t>Estimated</t>
      </text>
    </comment>
    <comment ref="K188" authorId="0">
      <text>
        <t>Estimated</t>
      </text>
    </comment>
    <comment ref="K101" authorId="0">
      <text>
        <t>Estimated</t>
      </text>
    </comment>
    <comment ref="K222" authorId="0">
      <text>
        <t>Estimated</t>
      </text>
    </comment>
    <comment ref="K104" authorId="0">
      <text>
        <t>Estimated</t>
      </text>
    </comment>
    <comment ref="K225" authorId="0">
      <text>
        <t>Estimated</t>
      </text>
    </comment>
    <comment ref="K30" authorId="0">
      <text>
        <t>Estimated</t>
      </text>
    </comment>
    <comment ref="K105" authorId="0">
      <text>
        <t>Estimated</t>
      </text>
    </comment>
    <comment ref="K223" authorId="0">
      <text>
        <t>Estimated</t>
      </text>
    </comment>
    <comment ref="K224" authorId="0">
      <text>
        <t>Estimated</t>
      </text>
    </comment>
    <comment ref="K35" authorId="0">
      <text>
        <t>Estimated</t>
      </text>
    </comment>
    <comment ref="K109" authorId="0">
      <text>
        <t>Estimated</t>
      </text>
    </comment>
    <comment ref="K37" authorId="0">
      <text>
        <t>Estimated</t>
      </text>
    </comment>
    <comment ref="K106" authorId="0">
      <text>
        <t>Estimated</t>
      </text>
    </comment>
    <comment ref="K227" authorId="0">
      <text>
        <t>Estimated</t>
      </text>
    </comment>
    <comment ref="K228" authorId="0">
      <text>
        <t>Estimated</t>
      </text>
    </comment>
    <comment ref="K39" authorId="0">
      <text>
        <t>Estimated</t>
      </text>
    </comment>
    <comment ref="K190" authorId="0">
      <text>
        <t>Estimated</t>
      </text>
    </comment>
  </commentList>
</comments>
</file>

<file path=xl/sharedStrings.xml><?xml version="1.0" encoding="utf-8"?>
<sst xmlns="http://schemas.openxmlformats.org/spreadsheetml/2006/main" count="58" uniqueCount="52">
  <si>
    <t>Search Criteria:</t>
  </si>
  <si>
    <t>Downloaded on:</t>
  </si>
  <si>
    <t xml:space="preserve"> </t>
  </si>
  <si>
    <t xml:space="preserve">Fund Returns Data Download </t>
  </si>
  <si>
    <t xml:space="preserve"> Search Link:</t>
  </si>
  <si>
    <t>PitchBook Link</t>
  </si>
  <si>
    <t>View Company Online</t>
  </si>
  <si>
    <t xml:space="preserve">Include Active Positions; Fund Type: Venture Capital; Fund Size: Min: 15M; Max: 100M; Fund Vintage Year: From: 2009; To: 2020; </t>
  </si>
  <si>
    <t>Created for:</t>
  </si>
  <si>
    <t>Vishal Tripathi, Plexo Capital</t>
  </si>
  <si>
    <t>https://my.pitchbook.com/?pcc=361665-01</t>
  </si>
  <si>
    <t>Fund ID</t>
  </si>
  <si>
    <t>Fund Name</t>
  </si>
  <si>
    <t>Fund Former Name</t>
  </si>
  <si>
    <t>Fund Type</t>
  </si>
  <si>
    <t>Fund Size</t>
  </si>
  <si>
    <t>Fund Location</t>
  </si>
  <si>
    <t>Quartile</t>
  </si>
  <si>
    <t>Vintage</t>
  </si>
  <si>
    <t>Called %</t>
  </si>
  <si>
    <t>Contributions</t>
  </si>
  <si>
    <t>Dry Powder</t>
  </si>
  <si>
    <t>Distributions</t>
  </si>
  <si>
    <t>NAV</t>
  </si>
  <si>
    <t>IRR</t>
  </si>
  <si>
    <t>Benchmark %</t>
  </si>
  <si>
    <t>Difference % (from Benchmark)</t>
  </si>
  <si>
    <t>DPI</t>
  </si>
  <si>
    <t>DPI Difference (from Benchmark)</t>
  </si>
  <si>
    <t>RVPI</t>
  </si>
  <si>
    <t>RVPI Difference (from Benchmark)</t>
  </si>
  <si>
    <t>TVPI</t>
  </si>
  <si>
    <t>TVPI Difference (from Benchmark)</t>
  </si>
  <si>
    <t>Benchmark Definition</t>
  </si>
  <si>
    <t>Calculations based on</t>
  </si>
  <si>
    <t>As of Period</t>
  </si>
  <si>
    <t>Fund Size Group</t>
  </si>
  <si>
    <t>Investor Name</t>
  </si>
  <si>
    <t>Investor Location</t>
  </si>
  <si>
    <t>Fund Industry Preferences</t>
  </si>
  <si>
    <t>Fund Financing Type Preferences</t>
  </si>
  <si>
    <t>Fund Regional Preferences</t>
  </si>
  <si>
    <t>LP Returns Source</t>
  </si>
  <si>
    <t>All data copyright PitchBook Data, Inc.</t>
  </si>
  <si>
    <t>For customized data reports and analyses, contact us at:</t>
  </si>
  <si>
    <t xml:space="preserve">clientservices@pitchbook.com </t>
  </si>
  <si>
    <t xml:space="preserve">In accordance with the </t>
  </si>
  <si>
    <t>PitchBook User Agreement</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</si>
  <si>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</si>
  <si>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</si>
  <si>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clientservices@pitchbook.com.</t>
  </si>
  <si>
    <t>© PitchBook Data, Inc.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</si>
</sst>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numFmt numFmtId="165" formatCode="#,##0.00;(#,##0.00)"/>
    <numFmt numFmtId="166" formatCode="#,##0.00&quot;%&quot;;-#,##0.00&quot;%&quot;"/>
    <numFmt numFmtId="167" formatCode="#,##0.00x"/>
  </numFmts>
  <fonts count="226" x14ac:knownFonts="1">
    <font>
      <sz val="10"/>
      <name val="Arial"/>
    </font>
    <font>
      <sz val="8"/>
      <color indexed="8"/>
      <name val="Arial"/>
      <family val="2"/>
    </font>
    <font>
      <b/>
      <sz val="16"/>
      <color indexed="8"/>
      <name val="Arial"/>
      <family val="2"/>
    </font>
    <font>
      <b/>
      <sz val="10"/>
      <color indexed="8"/>
      <name val="Arial"/>
      <family val="2"/>
    </font>
    <font>
      <b/>
      <sz val="8"/>
      <color indexed="16"/>
      <name val="Arial"/>
      <family val="2"/>
    </font>
    <font>
      <u/>
      <sz val="11"/>
      <color indexed="12"/>
      <name val="Calibri"/>
      <family val="2"/>
    </font>
    <font>
      <sz val="6"/>
      <color indexed="8"/>
      <name val="Arial"/>
      <family val="2"/>
    </font>
    <font>
      <b/>
      <sz val="8"/>
      <color indexed="9"/>
      <name val="Arial"/>
      <family val="2"/>
    </font>
    <font>
      <b/>
      <sz val="8"/>
      <color indexed="8"/>
      <name val="Arial"/>
      <family val="2"/>
    </font>
    <font>
      <sz val="14"/>
      <color indexed="8"/>
      <name val="Arial"/>
      <family val="2"/>
    </font>
    <font>
      <u/>
      <sz val="14"/>
      <color indexed="12"/>
      <name val="Arial"/>
      <family val="2"/>
      <charset val="204"/>
    </font>
    <font>
      <u/>
      <sz val="8"/>
      <color indexed="12"/>
      <name val="Calibri"/>
      <family val="2"/>
    </font>
    <font>
      <name val="Arial"/>
      <sz val="8.0"/>
      <color indexed="12"/>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Arial"/>
      <sz val="8.0"/>
    </font>
    <font xmlns:main="http://schemas.openxmlformats.org/spreadsheetml/2006/main">
      <main:b/>
      <main:sz val="14"/>
      <main:color indexed="8"/>
      <main:name val="Arial"/>
      <main:family val="2"/>
    </font>
    <font xmlns:main="http://schemas.openxmlformats.org/spreadsheetml/2006/main">
      <main:i/>
      <main:sz val="10"/>
      <main:color indexed="8"/>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color theme="3" tint="0.39997558519241921"/>
      <main:name val="Arial"/>
      <main:family val="2"/>
      <main:charset val="204"/>
    </font>
    <font>
      <name val="Arial"/>
      <sz val="8.0"/>
    </font>
  </fonts>
  <fills count="11">
    <fill>
      <patternFill patternType="none"/>
    </fill>
    <fill>
      <patternFill patternType="gray125"/>
    </fill>
    <fill>
      <patternFill patternType="solid">
        <fgColor indexed="9"/>
        <bgColor indexed="64"/>
      </patternFill>
    </fill>
    <fill>
      <patternFill patternType="solid">
        <fgColor indexed="62"/>
        <bgColor indexed="64"/>
      </patternFill>
    </fill>
    <fill>
      <patternFill patternType="solid">
        <fgColor indexed="13"/>
        <bgColor indexed="64"/>
      </patternFill>
    </fill>
    <fill>
      <patternFill patternType="none">
        <fgColor rgb="4F81BD"/>
      </patternFill>
    </fill>
    <fill>
      <patternFill patternType="solid">
        <fgColor rgb="4F81BD"/>
      </patternFill>
    </fill>
    <fill>
      <patternFill patternType="none">
        <fgColor rgb="EEF3F8"/>
      </patternFill>
    </fill>
    <fill>
      <patternFill patternType="solid">
        <fgColor rgb="EEF3F8"/>
      </patternFill>
    </fill>
    <fill>
      <patternFill patternType="none">
        <fgColor rgb="FFFFFF"/>
      </patternFill>
    </fill>
    <fill>
      <patternFill patternType="solid">
        <fgColor rgb="FFFFFF"/>
      </patternFill>
    </fill>
  </fills>
  <borders count="13">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hair">
        <color indexed="55"/>
      </left>
      <right style="hair">
        <color indexed="55"/>
      </right>
      <top/>
      <bottom/>
      <diagonal/>
    </border>
    <border>
      <left/>
      <right style="thin">
        <color indexed="64"/>
      </right>
      <top style="thin">
        <color indexed="64"/>
      </top>
      <bottom/>
      <diagonal/>
    </border>
    <border>
      <left style="hair">
        <color indexed="64"/>
      </left>
      <right style="hair">
        <color indexed="64"/>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s>
  <cellStyleXfs count="2">
    <xf numFmtId="0" fontId="0" fillId="0" borderId="0"/>
    <xf numFmtId="0" fontId="5" fillId="0" borderId="0" applyNumberFormat="0" applyFill="0" applyBorder="0" applyAlignment="0" applyProtection="0">
      <alignment vertical="top"/>
      <protection locked="0"/>
    </xf>
  </cellStyleXfs>
  <cellXfs count="247">
    <xf numFmtId="0" fontId="0" fillId="0" borderId="0" xfId="0"/>
    <xf numFmtId="0" fontId="1" fillId="2" borderId="0" xfId="0" applyFont="1" applyFill="1">
      <alignment wrapText="false"/>
    </xf>
    <xf numFmtId="164" fontId="1" fillId="2" borderId="0" xfId="0" applyNumberFormat="1" applyFont="1" applyFill="1"/>
    <xf numFmtId="0" fontId="3" fillId="2" borderId="0" xfId="0" applyFont="1" applyFill="1"/>
    <xf numFmtId="0" fontId="4" fillId="2" borderId="0" xfId="0" applyFont="1" applyFill="1"/>
    <xf numFmtId="0" fontId="1" fillId="2" borderId="0" xfId="0" applyFont="1" applyFill="1" applyAlignment="1">
      <alignment horizontal="right"/>
    </xf>
    <xf numFmtId="0" fontId="6" fillId="2" borderId="0" xfId="0" applyFont="1" applyFill="1"/>
    <xf numFmtId="0" fontId="7" fillId="3" borderId="1" xfId="0" applyFont="1" applyFill="1" applyBorder="1" applyAlignment="1">
      <alignment horizontal="left"/>
    </xf>
    <xf numFmtId="0" fontId="7" fillId="3" borderId="2" xfId="0" applyFont="1" applyFill="1" applyBorder="1" applyAlignment="1">
      <alignment horizontal="left"/>
    </xf>
    <xf numFmtId="164" fontId="7" fillId="3" borderId="2" xfId="0" applyNumberFormat="1" applyFont="1" applyFill="1" applyBorder="1" applyAlignment="1">
      <alignment horizontal="left" wrapText="1"/>
    </xf>
    <xf numFmtId="0" fontId="1" fillId="0" borderId="0" xfId="0" applyFont="1"/>
    <xf numFmtId="164" fontId="1" fillId="0" borderId="0" xfId="0" applyNumberFormat="1" applyFont="1"/>
    <xf numFmtId="0" fontId="9" fillId="2" borderId="0" xfId="0" applyFont="1" applyFill="1" applyAlignment="1">
      <alignment horizontal="right"/>
    </xf>
    <xf numFmtId="14" fontId="1" fillId="2" borderId="0" xfId="0" applyNumberFormat="1" applyFont="1" applyFill="1" applyAlignment="1">
      <alignment horizontal="left"/>
    </xf>
    <xf numFmtId="0" fontId="1" fillId="4" borderId="3" xfId="0" applyNumberFormat="1" applyFont="1" applyFill="1" applyBorder="1"/>
    <xf numFmtId="0" fontId="1" fillId="4" borderId="4" xfId="0" applyNumberFormat="1" applyFont="1" applyFill="1" applyBorder="1"/>
    <xf numFmtId="0" fontId="1" fillId="4" borderId="0" xfId="0" applyNumberFormat="1" applyFont="1" applyFill="1" applyBorder="1"/>
    <xf numFmtId="0" fontId="1" fillId="2" borderId="3" xfId="0" applyNumberFormat="1" applyFont="1" applyFill="1" applyBorder="1"/>
    <xf numFmtId="0" fontId="1" fillId="2" borderId="4" xfId="0" applyNumberFormat="1" applyFont="1" applyFill="1" applyBorder="1"/>
    <xf numFmtId="0" fontId="1" fillId="2" borderId="0" xfId="0" applyNumberFormat="1" applyFont="1" applyFill="1" applyBorder="1"/>
    <xf numFmtId="0" fontId="10" fillId="2" borderId="0" xfId="1" applyFont="1" applyFill="1" applyAlignment="1" applyProtection="1"/>
    <xf numFmtId="14" fontId="1" fillId="4" borderId="4" xfId="0" applyNumberFormat="1" applyFont="1" applyFill="1" applyBorder="1"/>
    <xf numFmtId="14" fontId="1" fillId="2" borderId="4" xfId="0" applyNumberFormat="1" applyFont="1" applyFill="1" applyBorder="1"/>
    <xf numFmtId="0" fontId="8" fillId="0" borderId="0" xfId="0" applyFont="1" applyFill="1" applyAlignment="1">
      <alignment horizontal="left"/>
    </xf>
    <xf numFmtId="0" fontId="1" fillId="0" borderId="0" xfId="0" applyFont="1" applyFill="1"/>
    <xf numFmtId="0" fontId="4" fillId="2" borderId="0" xfId="0" applyFont="1" applyFill="1" applyAlignment="1">
      <alignment horizontal="left" vertical="top" wrapText="1"/>
    </xf>
    <xf numFmtId="0" fontId="1" fillId="2" borderId="0" xfId="0" applyFont="1" applyFill="1" applyAlignment="1">
      <alignment horizontal="right" vertical="top"/>
    </xf>
    <xf numFmtId="0" fontId="4" fillId="2" borderId="0" xfId="0" applyFont="1" applyFill="1" applyAlignment="1">
      <alignment horizontal="left" vertical="top" wrapText="true"/>
    </xf>
    <xf numFmtId="0" fontId="2" fillId="2" borderId="0" xfId="0" applyFont="1" applyFill="1" applyAlignment="1">
      <alignment horizontal="center"/>
    </xf>
    <xf numFmtId="0" fontId="1" fillId="2" borderId="0" xfId="0" applyFont="1" applyFill="1" applyAlignment="1">
      <alignment horizontal="left"/>
    </xf>
    <xf numFmtId="0" fontId="7" fillId="3" borderId="5" xfId="0" applyFont="1" applyFill="1" applyBorder="1" applyAlignment="1">
      <alignment horizontal="left" wrapText="1"/>
    </xf>
    <xf numFmtId="0" fontId="11" fillId="4" borderId="6" xfId="1" applyFont="1" applyFill="1" applyBorder="1" applyAlignment="1" applyProtection="1"/>
    <xf numFmtId="0" fontId="11" fillId="2" borderId="6" xfId="1" applyFont="1" applyFill="1" applyBorder="1" applyAlignment="1" applyProtection="1"/>
    <xf numFmtId="0" fontId="12" fillId="0" borderId="0" xfId="0" applyFont="true">
      <alignment wrapText="true"/>
    </xf>
    <xf numFmtId="0" fontId="13" fillId="6" borderId="8" xfId="0" applyFill="true" applyFont="true" applyBorder="true">
      <alignment horizontal="center" vertical="center" wrapText="true"/>
    </xf>
    <xf numFmtId="0" fontId="14" fillId="6" borderId="10" xfId="0" applyFill="true" applyFont="true" applyBorder="true">
      <alignment horizontal="center" vertical="center" wrapText="true"/>
    </xf>
    <xf numFmtId="0" fontId="15" fillId="8" borderId="12" xfId="0" applyFill="true" applyFont="true" applyBorder="true">
      <alignment horizontal="left" vertical="top" indent="1" wrapText="false"/>
    </xf>
    <xf numFmtId="0" fontId="16" fillId="8" borderId="12" xfId="0" applyFill="true" applyFont="true" applyBorder="true">
      <alignment horizontal="left" vertical="top" indent="1" wrapText="false"/>
    </xf>
    <xf numFmtId="0" fontId="17" fillId="8" borderId="12" xfId="0" applyFill="true" applyFont="true" applyBorder="true">
      <alignment horizontal="left" vertical="top" indent="1" wrapText="false"/>
    </xf>
    <xf numFmtId="0" fontId="18" fillId="8" borderId="12" xfId="0" applyFill="true" applyFont="true" applyBorder="true">
      <alignment horizontal="left" vertical="top" indent="1" wrapText="false"/>
    </xf>
    <xf numFmtId="165" fontId="19" fillId="8" borderId="12" xfId="0" applyFill="true" applyFont="true" applyBorder="true" applyNumberFormat="true">
      <alignment horizontal="right" vertical="top" indent="1" wrapText="false"/>
    </xf>
    <xf numFmtId="0" fontId="20" fillId="8" borderId="12" xfId="0" applyFill="true" applyFont="true" applyBorder="true">
      <alignment horizontal="left" vertical="top" indent="1" wrapText="false"/>
    </xf>
    <xf numFmtId="0" fontId="21" fillId="8" borderId="12" xfId="0" applyFill="true" applyFont="true" applyBorder="true">
      <alignment horizontal="right" vertical="top" indent="1" wrapText="false"/>
    </xf>
    <xf numFmtId="0" fontId="22" fillId="8" borderId="12" xfId="0" applyFill="true" applyFont="true" applyBorder="true">
      <alignment horizontal="right" vertical="top" indent="1" wrapText="false"/>
    </xf>
    <xf numFmtId="166" fontId="23" fillId="8" borderId="12" xfId="0" applyFill="true" applyFont="true" applyBorder="true" applyNumberFormat="true">
      <alignment horizontal="right" vertical="top" indent="1" wrapText="false"/>
    </xf>
    <xf numFmtId="165" fontId="24" fillId="8" borderId="12" xfId="0" applyFill="true" applyFont="true" applyBorder="true" applyNumberFormat="true">
      <alignment horizontal="right" vertical="top" indent="1" wrapText="false"/>
    </xf>
    <xf numFmtId="165" fontId="25" fillId="8" borderId="12" xfId="0" applyFill="true" applyFont="true" applyBorder="true" applyNumberFormat="true">
      <alignment horizontal="right" vertical="top" indent="1" wrapText="false"/>
    </xf>
    <xf numFmtId="165" fontId="26" fillId="8" borderId="12" xfId="0" applyFill="true" applyFont="true" applyBorder="true" applyNumberFormat="true">
      <alignment horizontal="right" vertical="top" indent="1" wrapText="false"/>
    </xf>
    <xf numFmtId="165" fontId="27" fillId="8" borderId="12" xfId="0" applyFill="true" applyFont="true" applyBorder="true" applyNumberFormat="true">
      <alignment horizontal="right" vertical="top" indent="1" wrapText="false"/>
    </xf>
    <xf numFmtId="166" fontId="28" fillId="8" borderId="12" xfId="0" applyFill="true" applyFont="true" applyBorder="true" applyNumberFormat="true">
      <alignment horizontal="right" vertical="top" indent="1" wrapText="false"/>
    </xf>
    <xf numFmtId="166" fontId="29" fillId="8" borderId="12" xfId="0" applyFill="true" applyFont="true" applyBorder="true" applyNumberFormat="true">
      <alignment horizontal="right" vertical="top" indent="1" wrapText="false"/>
    </xf>
    <xf numFmtId="166" fontId="30" fillId="8" borderId="12" xfId="0" applyFill="true" applyFont="true" applyBorder="true" applyNumberFormat="true">
      <alignment horizontal="right" vertical="top" indent="1" wrapText="false"/>
    </xf>
    <xf numFmtId="167" fontId="31" fillId="8" borderId="12" xfId="0" applyFill="true" applyFont="true" applyBorder="true" applyNumberFormat="true">
      <alignment horizontal="right" vertical="top" indent="1" wrapText="false"/>
    </xf>
    <xf numFmtId="167" fontId="32" fillId="8" borderId="12" xfId="0" applyFill="true" applyFont="true" applyBorder="true" applyNumberFormat="true">
      <alignment horizontal="right" vertical="top" indent="1" wrapText="false"/>
    </xf>
    <xf numFmtId="167" fontId="33" fillId="8" borderId="12" xfId="0" applyFill="true" applyFont="true" applyBorder="true" applyNumberFormat="true">
      <alignment horizontal="right" vertical="top" indent="1" wrapText="false"/>
    </xf>
    <xf numFmtId="167" fontId="34" fillId="8" borderId="12" xfId="0" applyFill="true" applyFont="true" applyBorder="true" applyNumberFormat="true">
      <alignment horizontal="right" vertical="top" indent="1" wrapText="false"/>
    </xf>
    <xf numFmtId="167" fontId="35" fillId="8" borderId="12" xfId="0" applyFill="true" applyFont="true" applyBorder="true" applyNumberFormat="true">
      <alignment horizontal="right" vertical="top" indent="1" wrapText="false"/>
    </xf>
    <xf numFmtId="167" fontId="36" fillId="8" borderId="12" xfId="0" applyFill="true" applyFont="true" applyBorder="true" applyNumberFormat="true">
      <alignment horizontal="right" vertical="top" indent="1" wrapText="false"/>
    </xf>
    <xf numFmtId="0" fontId="37" fillId="8" borderId="12" xfId="0" applyFill="true" applyFont="true" applyBorder="true">
      <alignment horizontal="left" vertical="top" indent="1" wrapText="false"/>
    </xf>
    <xf numFmtId="0" fontId="38" fillId="8" borderId="12" xfId="0" applyFill="true" applyFont="true" applyBorder="true">
      <alignment horizontal="left" vertical="top" indent="1" wrapText="false"/>
    </xf>
    <xf numFmtId="0" fontId="39" fillId="8" borderId="12" xfId="0" applyFill="true" applyFont="true" applyBorder="true">
      <alignment horizontal="right" vertical="top" indent="1" wrapText="false"/>
    </xf>
    <xf numFmtId="0" fontId="40" fillId="8" borderId="12" xfId="0" applyFill="true" applyFont="true" applyBorder="true">
      <alignment horizontal="left" vertical="top" indent="1" wrapText="false"/>
    </xf>
    <xf numFmtId="0" fontId="41" fillId="8" borderId="12" xfId="0" applyFill="true" applyFont="true" applyBorder="true">
      <alignment horizontal="left" vertical="top" indent="1" wrapText="false"/>
    </xf>
    <xf numFmtId="0" fontId="42" fillId="8" borderId="12" xfId="0" applyFill="true" applyFont="true" applyBorder="true">
      <alignment horizontal="left" vertical="top" indent="1" wrapText="false"/>
    </xf>
    <xf numFmtId="0" fontId="43" fillId="8" borderId="12" xfId="0" applyFill="true" applyFont="true" applyBorder="true">
      <alignment horizontal="left" vertical="top" indent="1" wrapText="false"/>
    </xf>
    <xf numFmtId="0" fontId="44" fillId="8" borderId="12" xfId="0" applyFill="true" applyFont="true" applyBorder="true">
      <alignment horizontal="left" vertical="top" indent="1" wrapText="false"/>
    </xf>
    <xf numFmtId="0" fontId="45" fillId="8" borderId="12" xfId="0" applyFill="true" applyFont="true" applyBorder="true">
      <alignment horizontal="left" vertical="top" indent="1" wrapText="false"/>
    </xf>
    <xf numFmtId="0" fontId="46" fillId="8" borderId="12" xfId="0" applyFill="true" applyFont="true" applyBorder="true">
      <alignment horizontal="left" vertical="top" indent="1" wrapText="false"/>
    </xf>
    <xf numFmtId="0" fontId="47" fillId="8" borderId="12" xfId="0" applyFill="true" applyFont="true" applyBorder="true">
      <alignment horizontal="left" vertical="top" indent="1" wrapText="false"/>
    </xf>
    <xf numFmtId="0" fontId="48" fillId="10" borderId="12" xfId="0" applyFill="true" applyFont="true" applyBorder="true">
      <alignment horizontal="left" vertical="top" indent="1" wrapText="false"/>
    </xf>
    <xf numFmtId="0" fontId="49" fillId="10" borderId="12" xfId="0" applyFill="true" applyFont="true" applyBorder="true">
      <alignment horizontal="left" vertical="top" indent="1" wrapText="false"/>
    </xf>
    <xf numFmtId="0" fontId="50" fillId="10" borderId="12" xfId="0" applyFill="true" applyFont="true" applyBorder="true">
      <alignment horizontal="left" vertical="top" indent="1" wrapText="false"/>
    </xf>
    <xf numFmtId="0" fontId="51" fillId="10" borderId="12" xfId="0" applyFill="true" applyFont="true" applyBorder="true">
      <alignment horizontal="left" vertical="top" indent="1" wrapText="false"/>
    </xf>
    <xf numFmtId="165" fontId="52" fillId="10" borderId="12" xfId="0" applyFill="true" applyFont="true" applyBorder="true" applyNumberFormat="true">
      <alignment horizontal="right" vertical="top" indent="1" wrapText="false"/>
    </xf>
    <xf numFmtId="0" fontId="53" fillId="10" borderId="12" xfId="0" applyFill="true" applyFont="true" applyBorder="true">
      <alignment horizontal="left" vertical="top" indent="1" wrapText="false"/>
    </xf>
    <xf numFmtId="0" fontId="54" fillId="10" borderId="12" xfId="0" applyFill="true" applyFont="true" applyBorder="true">
      <alignment horizontal="right" vertical="top" indent="1" wrapText="false"/>
    </xf>
    <xf numFmtId="0" fontId="55" fillId="10" borderId="12" xfId="0" applyFill="true" applyFont="true" applyBorder="true">
      <alignment horizontal="right" vertical="top" indent="1" wrapText="false"/>
    </xf>
    <xf numFmtId="166" fontId="56" fillId="10" borderId="12" xfId="0" applyFill="true" applyFont="true" applyBorder="true" applyNumberFormat="true">
      <alignment horizontal="right" vertical="top" indent="1" wrapText="false"/>
    </xf>
    <xf numFmtId="165" fontId="57" fillId="10" borderId="12" xfId="0" applyFill="true" applyFont="true" applyBorder="true" applyNumberFormat="true">
      <alignment horizontal="right" vertical="top" indent="1" wrapText="false"/>
    </xf>
    <xf numFmtId="165" fontId="58" fillId="10" borderId="12" xfId="0" applyFill="true" applyFont="true" applyBorder="true" applyNumberFormat="true">
      <alignment horizontal="right" vertical="top" indent="1" wrapText="false"/>
    </xf>
    <xf numFmtId="165" fontId="59" fillId="10" borderId="12" xfId="0" applyFill="true" applyFont="true" applyBorder="true" applyNumberFormat="true">
      <alignment horizontal="right" vertical="top" indent="1" wrapText="false"/>
    </xf>
    <xf numFmtId="165" fontId="60" fillId="10" borderId="12" xfId="0" applyFill="true" applyFont="true" applyBorder="true" applyNumberFormat="true">
      <alignment horizontal="right" vertical="top" indent="1" wrapText="false"/>
    </xf>
    <xf numFmtId="166" fontId="61" fillId="10" borderId="12" xfId="0" applyFill="true" applyFont="true" applyBorder="true" applyNumberFormat="true">
      <alignment horizontal="right" vertical="top" indent="1" wrapText="false"/>
    </xf>
    <xf numFmtId="166" fontId="62" fillId="10" borderId="12" xfId="0" applyFill="true" applyFont="true" applyBorder="true" applyNumberFormat="true">
      <alignment horizontal="right" vertical="top" indent="1" wrapText="false"/>
    </xf>
    <xf numFmtId="166" fontId="63" fillId="10" borderId="12" xfId="0" applyFill="true" applyFont="true" applyBorder="true" applyNumberFormat="true">
      <alignment horizontal="right" vertical="top" indent="1" wrapText="false"/>
    </xf>
    <xf numFmtId="167" fontId="64" fillId="10" borderId="12" xfId="0" applyFill="true" applyFont="true" applyBorder="true" applyNumberFormat="true">
      <alignment horizontal="right" vertical="top" indent="1" wrapText="false"/>
    </xf>
    <xf numFmtId="167" fontId="65" fillId="10" borderId="12" xfId="0" applyFill="true" applyFont="true" applyBorder="true" applyNumberFormat="true">
      <alignment horizontal="right" vertical="top" indent="1" wrapText="false"/>
    </xf>
    <xf numFmtId="167" fontId="66" fillId="10" borderId="12" xfId="0" applyFill="true" applyFont="true" applyBorder="true" applyNumberFormat="true">
      <alignment horizontal="right" vertical="top" indent="1" wrapText="false"/>
    </xf>
    <xf numFmtId="167" fontId="67" fillId="10" borderId="12" xfId="0" applyFill="true" applyFont="true" applyBorder="true" applyNumberFormat="true">
      <alignment horizontal="right" vertical="top" indent="1" wrapText="false"/>
    </xf>
    <xf numFmtId="167" fontId="68" fillId="10" borderId="12" xfId="0" applyFill="true" applyFont="true" applyBorder="true" applyNumberFormat="true">
      <alignment horizontal="right" vertical="top" indent="1" wrapText="false"/>
    </xf>
    <xf numFmtId="167" fontId="69" fillId="10" borderId="12" xfId="0" applyFill="true" applyFont="true" applyBorder="true" applyNumberFormat="true">
      <alignment horizontal="right" vertical="top" indent="1" wrapText="false"/>
    </xf>
    <xf numFmtId="0" fontId="70" fillId="10" borderId="12" xfId="0" applyFill="true" applyFont="true" applyBorder="true">
      <alignment horizontal="left" vertical="top" indent="1" wrapText="false"/>
    </xf>
    <xf numFmtId="0" fontId="71" fillId="10" borderId="12" xfId="0" applyFill="true" applyFont="true" applyBorder="true">
      <alignment horizontal="left" vertical="top" indent="1" wrapText="false"/>
    </xf>
    <xf numFmtId="0" fontId="72" fillId="10" borderId="12" xfId="0" applyFill="true" applyFont="true" applyBorder="true">
      <alignment horizontal="right" vertical="top" indent="1" wrapText="false"/>
    </xf>
    <xf numFmtId="0" fontId="73" fillId="10" borderId="12" xfId="0" applyFill="true" applyFont="true" applyBorder="true">
      <alignment horizontal="left" vertical="top" indent="1" wrapText="false"/>
    </xf>
    <xf numFmtId="0" fontId="74" fillId="10" borderId="12" xfId="0" applyFill="true" applyFont="true" applyBorder="true">
      <alignment horizontal="left" vertical="top" indent="1" wrapText="false"/>
    </xf>
    <xf numFmtId="0" fontId="75" fillId="10" borderId="12" xfId="0" applyFill="true" applyFont="true" applyBorder="true">
      <alignment horizontal="left" vertical="top" indent="1" wrapText="false"/>
    </xf>
    <xf numFmtId="0" fontId="76" fillId="10" borderId="12" xfId="0" applyFill="true" applyFont="true" applyBorder="true">
      <alignment horizontal="left" vertical="top" indent="1" wrapText="false"/>
    </xf>
    <xf numFmtId="0" fontId="77" fillId="10" borderId="12" xfId="0" applyFill="true" applyFont="true" applyBorder="true">
      <alignment horizontal="left" vertical="top" indent="1" wrapText="false"/>
    </xf>
    <xf numFmtId="0" fontId="78" fillId="10" borderId="12" xfId="0" applyFill="true" applyFont="true" applyBorder="true">
      <alignment horizontal="left" vertical="top" indent="1" wrapText="false"/>
    </xf>
    <xf numFmtId="0" fontId="79" fillId="10" borderId="12" xfId="0" applyFill="true" applyFont="true" applyBorder="true">
      <alignment horizontal="left" vertical="top" indent="1" wrapText="false"/>
    </xf>
    <xf numFmtId="0" fontId="80" fillId="10" borderId="12" xfId="0" applyFill="true" applyFont="true" applyBorder="true">
      <alignment horizontal="left" vertical="top" indent="1" wrapText="false"/>
    </xf>
    <xf numFmtId="0" fontId="81" fillId="8" borderId="12" xfId="0" applyFill="true" applyFont="true" applyBorder="true">
      <alignment horizontal="left" vertical="top" indent="1" wrapText="false"/>
    </xf>
    <xf numFmtId="0" fontId="82" fillId="8" borderId="12" xfId="0" applyFill="true" applyFont="true" applyBorder="true">
      <alignment horizontal="left" vertical="top" indent="1" wrapText="false"/>
    </xf>
    <xf numFmtId="0" fontId="83" fillId="8" borderId="12" xfId="0" applyFill="true" applyFont="true" applyBorder="true">
      <alignment horizontal="left" vertical="top" indent="1" wrapText="false"/>
    </xf>
    <xf numFmtId="0" fontId="84" fillId="8" borderId="12" xfId="0" applyFill="true" applyFont="true" applyBorder="true">
      <alignment horizontal="left" vertical="top" indent="1" wrapText="false"/>
    </xf>
    <xf numFmtId="165" fontId="85" fillId="8" borderId="12" xfId="0" applyFill="true" applyFont="true" applyBorder="true" applyNumberFormat="true">
      <alignment horizontal="right" vertical="top" indent="1" wrapText="false"/>
    </xf>
    <xf numFmtId="0" fontId="86" fillId="8" borderId="12" xfId="0" applyFill="true" applyFont="true" applyBorder="true">
      <alignment horizontal="left" vertical="top" indent="1" wrapText="false"/>
    </xf>
    <xf numFmtId="0" fontId="87" fillId="8" borderId="12" xfId="0" applyFill="true" applyFont="true" applyBorder="true">
      <alignment horizontal="right" vertical="top" indent="1" wrapText="false"/>
    </xf>
    <xf numFmtId="0" fontId="88" fillId="8" borderId="12" xfId="0" applyFill="true" applyFont="true" applyBorder="true">
      <alignment horizontal="right" vertical="top" indent="1" wrapText="false"/>
    </xf>
    <xf numFmtId="166" fontId="89" fillId="8" borderId="12" xfId="0" applyFill="true" applyFont="true" applyBorder="true" applyNumberFormat="true">
      <alignment horizontal="right" vertical="top" indent="1" wrapText="false"/>
    </xf>
    <xf numFmtId="165" fontId="90" fillId="8" borderId="12" xfId="0" applyFill="true" applyFont="true" applyBorder="true" applyNumberFormat="true">
      <alignment horizontal="right" vertical="top" indent="1" wrapText="false"/>
    </xf>
    <xf numFmtId="165" fontId="91" fillId="8" borderId="12" xfId="0" applyFill="true" applyFont="true" applyBorder="true" applyNumberFormat="true">
      <alignment horizontal="right" vertical="top" indent="1" wrapText="false"/>
    </xf>
    <xf numFmtId="165" fontId="92" fillId="8" borderId="12" xfId="0" applyFill="true" applyFont="true" applyBorder="true" applyNumberFormat="true">
      <alignment horizontal="right" vertical="top" indent="1" wrapText="false"/>
    </xf>
    <xf numFmtId="165" fontId="93" fillId="8" borderId="12" xfId="0" applyFill="true" applyFont="true" applyBorder="true" applyNumberFormat="true">
      <alignment horizontal="right" vertical="top" indent="1" wrapText="false"/>
    </xf>
    <xf numFmtId="166" fontId="94" fillId="8" borderId="12" xfId="0" applyFill="true" applyFont="true" applyBorder="true" applyNumberFormat="true">
      <alignment horizontal="right" vertical="top" indent="1" wrapText="false"/>
    </xf>
    <xf numFmtId="166" fontId="95" fillId="8" borderId="12" xfId="0" applyFill="true" applyFont="true" applyBorder="true" applyNumberFormat="true">
      <alignment horizontal="right" vertical="top" indent="1" wrapText="false"/>
    </xf>
    <xf numFmtId="166" fontId="96" fillId="8" borderId="12" xfId="0" applyFill="true" applyFont="true" applyBorder="true" applyNumberFormat="true">
      <alignment horizontal="right" vertical="top" indent="1" wrapText="false"/>
    </xf>
    <xf numFmtId="167" fontId="97" fillId="8" borderId="12" xfId="0" applyFill="true" applyFont="true" applyBorder="true" applyNumberFormat="true">
      <alignment horizontal="right" vertical="top" indent="1" wrapText="false"/>
    </xf>
    <xf numFmtId="167" fontId="98" fillId="8" borderId="12" xfId="0" applyFill="true" applyFont="true" applyBorder="true" applyNumberFormat="true">
      <alignment horizontal="right" vertical="top" indent="1" wrapText="false"/>
    </xf>
    <xf numFmtId="167" fontId="99" fillId="8" borderId="12" xfId="0" applyFill="true" applyFont="true" applyBorder="true" applyNumberFormat="true">
      <alignment horizontal="right" vertical="top" indent="1" wrapText="false"/>
    </xf>
    <xf numFmtId="167" fontId="100" fillId="8" borderId="12" xfId="0" applyFill="true" applyFont="true" applyBorder="true" applyNumberFormat="true">
      <alignment horizontal="right" vertical="top" indent="1" wrapText="false"/>
    </xf>
    <xf numFmtId="167" fontId="101" fillId="8" borderId="12" xfId="0" applyFill="true" applyFont="true" applyBorder="true" applyNumberFormat="true">
      <alignment horizontal="right" vertical="top" indent="1" wrapText="false"/>
    </xf>
    <xf numFmtId="167" fontId="102" fillId="8" borderId="12" xfId="0" applyFill="true" applyFont="true" applyBorder="true" applyNumberFormat="true">
      <alignment horizontal="right" vertical="top" indent="1" wrapText="false"/>
    </xf>
    <xf numFmtId="0" fontId="103" fillId="8" borderId="12" xfId="0" applyFill="true" applyFont="true" applyBorder="true">
      <alignment horizontal="left" vertical="top" indent="1" wrapText="false"/>
    </xf>
    <xf numFmtId="0" fontId="104" fillId="8" borderId="12" xfId="0" applyFill="true" applyFont="true" applyBorder="true">
      <alignment horizontal="left" vertical="top" indent="1" wrapText="false"/>
    </xf>
    <xf numFmtId="0" fontId="105" fillId="8" borderId="12" xfId="0" applyFill="true" applyFont="true" applyBorder="true">
      <alignment horizontal="right" vertical="top" indent="1" wrapText="false"/>
    </xf>
    <xf numFmtId="0" fontId="106" fillId="8" borderId="12" xfId="0" applyFill="true" applyFont="true" applyBorder="true">
      <alignment horizontal="left" vertical="top" indent="1" wrapText="false"/>
    </xf>
    <xf numFmtId="0" fontId="107" fillId="8" borderId="12" xfId="0" applyFill="true" applyFont="true" applyBorder="true">
      <alignment horizontal="left" vertical="top" indent="1" wrapText="false"/>
    </xf>
    <xf numFmtId="0" fontId="108" fillId="8" borderId="12" xfId="0" applyFill="true" applyFont="true" applyBorder="true">
      <alignment horizontal="left" vertical="top" indent="1" wrapText="false"/>
    </xf>
    <xf numFmtId="0" fontId="109" fillId="8" borderId="12" xfId="0" applyFill="true" applyFont="true" applyBorder="true">
      <alignment horizontal="left" vertical="top" indent="1" wrapText="false"/>
    </xf>
    <xf numFmtId="0" fontId="110" fillId="8" borderId="12" xfId="0" applyFill="true" applyFont="true" applyBorder="true">
      <alignment horizontal="left" vertical="top" indent="1" wrapText="false"/>
    </xf>
    <xf numFmtId="0" fontId="111" fillId="8" borderId="12" xfId="0" applyFill="true" applyFont="true" applyBorder="true">
      <alignment horizontal="left" vertical="top" indent="1" wrapText="false"/>
    </xf>
    <xf numFmtId="0" fontId="112" fillId="8" borderId="12" xfId="0" applyFill="true" applyFont="true" applyBorder="true">
      <alignment horizontal="left" vertical="top" indent="1" wrapText="false"/>
    </xf>
    <xf numFmtId="0" fontId="113" fillId="8" borderId="12" xfId="0" applyFill="true" applyFont="true" applyBorder="true">
      <alignment horizontal="left" vertical="top" indent="1" wrapText="false"/>
    </xf>
    <xf numFmtId="0" fontId="114" fillId="10" borderId="12" xfId="0" applyFill="true" applyFont="true" applyBorder="true">
      <alignment horizontal="left" vertical="top" indent="1" wrapText="false"/>
    </xf>
    <xf numFmtId="0" fontId="115" fillId="10" borderId="12" xfId="0" applyFill="true" applyFont="true" applyBorder="true">
      <alignment horizontal="left" vertical="top" indent="1" wrapText="false"/>
    </xf>
    <xf numFmtId="0" fontId="116" fillId="10" borderId="12" xfId="0" applyFill="true" applyFont="true" applyBorder="true">
      <alignment horizontal="left" vertical="top" indent="1" wrapText="false"/>
    </xf>
    <xf numFmtId="0" fontId="117" fillId="10" borderId="12" xfId="0" applyFill="true" applyFont="true" applyBorder="true">
      <alignment horizontal="left" vertical="top" indent="1" wrapText="false"/>
    </xf>
    <xf numFmtId="165" fontId="118" fillId="10" borderId="12" xfId="0" applyFill="true" applyFont="true" applyBorder="true" applyNumberFormat="true">
      <alignment horizontal="right" vertical="top" indent="1" wrapText="false"/>
    </xf>
    <xf numFmtId="0" fontId="119" fillId="10" borderId="12" xfId="0" applyFill="true" applyFont="true" applyBorder="true">
      <alignment horizontal="left" vertical="top" indent="1" wrapText="false"/>
    </xf>
    <xf numFmtId="0" fontId="120" fillId="10" borderId="12" xfId="0" applyFill="true" applyFont="true" applyBorder="true">
      <alignment horizontal="right" vertical="top" indent="1" wrapText="false"/>
    </xf>
    <xf numFmtId="0" fontId="121" fillId="10" borderId="12" xfId="0" applyFill="true" applyFont="true" applyBorder="true">
      <alignment horizontal="right" vertical="top" indent="1" wrapText="false"/>
    </xf>
    <xf numFmtId="166" fontId="122" fillId="10" borderId="12" xfId="0" applyFill="true" applyFont="true" applyBorder="true" applyNumberFormat="true">
      <alignment horizontal="right" vertical="top" indent="1" wrapText="false"/>
    </xf>
    <xf numFmtId="165" fontId="123" fillId="10" borderId="12" xfId="0" applyFill="true" applyFont="true" applyBorder="true" applyNumberFormat="true">
      <alignment horizontal="right" vertical="top" indent="1" wrapText="false"/>
    </xf>
    <xf numFmtId="165" fontId="124" fillId="10" borderId="12" xfId="0" applyFill="true" applyFont="true" applyBorder="true" applyNumberFormat="true">
      <alignment horizontal="right" vertical="top" indent="1" wrapText="false"/>
    </xf>
    <xf numFmtId="165" fontId="125" fillId="10" borderId="12" xfId="0" applyFill="true" applyFont="true" applyBorder="true" applyNumberFormat="true">
      <alignment horizontal="right" vertical="top" indent="1" wrapText="false"/>
    </xf>
    <xf numFmtId="165" fontId="126" fillId="10" borderId="12" xfId="0" applyFill="true" applyFont="true" applyBorder="true" applyNumberFormat="true">
      <alignment horizontal="right" vertical="top" indent="1" wrapText="false"/>
    </xf>
    <xf numFmtId="166" fontId="127" fillId="10" borderId="12" xfId="0" applyFill="true" applyFont="true" applyBorder="true" applyNumberFormat="true">
      <alignment horizontal="right" vertical="top" indent="1" wrapText="false"/>
    </xf>
    <xf numFmtId="166" fontId="128" fillId="10" borderId="12" xfId="0" applyFill="true" applyFont="true" applyBorder="true" applyNumberFormat="true">
      <alignment horizontal="right" vertical="top" indent="1" wrapText="false"/>
    </xf>
    <xf numFmtId="166" fontId="129" fillId="10" borderId="12" xfId="0" applyFill="true" applyFont="true" applyBorder="true" applyNumberFormat="true">
      <alignment horizontal="right" vertical="top" indent="1" wrapText="false"/>
    </xf>
    <xf numFmtId="167" fontId="130" fillId="10" borderId="12" xfId="0" applyFill="true" applyFont="true" applyBorder="true" applyNumberFormat="true">
      <alignment horizontal="right" vertical="top" indent="1" wrapText="false"/>
    </xf>
    <xf numFmtId="167" fontId="131" fillId="10" borderId="12" xfId="0" applyFill="true" applyFont="true" applyBorder="true" applyNumberFormat="true">
      <alignment horizontal="right" vertical="top" indent="1" wrapText="false"/>
    </xf>
    <xf numFmtId="167" fontId="132" fillId="10" borderId="12" xfId="0" applyFill="true" applyFont="true" applyBorder="true" applyNumberFormat="true">
      <alignment horizontal="right" vertical="top" indent="1" wrapText="false"/>
    </xf>
    <xf numFmtId="167" fontId="133" fillId="10" borderId="12" xfId="0" applyFill="true" applyFont="true" applyBorder="true" applyNumberFormat="true">
      <alignment horizontal="right" vertical="top" indent="1" wrapText="false"/>
    </xf>
    <xf numFmtId="167" fontId="134" fillId="10" borderId="12" xfId="0" applyFill="true" applyFont="true" applyBorder="true" applyNumberFormat="true">
      <alignment horizontal="right" vertical="top" indent="1" wrapText="false"/>
    </xf>
    <xf numFmtId="167" fontId="135" fillId="10" borderId="12" xfId="0" applyFill="true" applyFont="true" applyBorder="true" applyNumberFormat="true">
      <alignment horizontal="right" vertical="top" indent="1" wrapText="false"/>
    </xf>
    <xf numFmtId="0" fontId="136" fillId="10" borderId="12" xfId="0" applyFill="true" applyFont="true" applyBorder="true">
      <alignment horizontal="left" vertical="top" indent="1" wrapText="false"/>
    </xf>
    <xf numFmtId="0" fontId="137" fillId="10" borderId="12" xfId="0" applyFill="true" applyFont="true" applyBorder="true">
      <alignment horizontal="left" vertical="top" indent="1" wrapText="false"/>
    </xf>
    <xf numFmtId="0" fontId="138" fillId="10" borderId="12" xfId="0" applyFill="true" applyFont="true" applyBorder="true">
      <alignment horizontal="right" vertical="top" indent="1" wrapText="false"/>
    </xf>
    <xf numFmtId="0" fontId="139" fillId="10" borderId="12" xfId="0" applyFill="true" applyFont="true" applyBorder="true">
      <alignment horizontal="left" vertical="top" indent="1" wrapText="false"/>
    </xf>
    <xf numFmtId="0" fontId="140" fillId="10" borderId="12" xfId="0" applyFill="true" applyFont="true" applyBorder="true">
      <alignment horizontal="left" vertical="top" indent="1" wrapText="false"/>
    </xf>
    <xf numFmtId="0" fontId="141" fillId="10" borderId="12" xfId="0" applyFill="true" applyFont="true" applyBorder="true">
      <alignment horizontal="left" vertical="top" indent="1" wrapText="false"/>
    </xf>
    <xf numFmtId="0" fontId="142" fillId="10" borderId="12" xfId="0" applyFill="true" applyFont="true" applyBorder="true">
      <alignment horizontal="left" vertical="top" indent="1" wrapText="false"/>
    </xf>
    <xf numFmtId="0" fontId="143" fillId="10" borderId="12" xfId="0" applyFill="true" applyFont="true" applyBorder="true">
      <alignment horizontal="left" vertical="top" indent="1" wrapText="false"/>
    </xf>
    <xf numFmtId="0" fontId="144" fillId="10" borderId="12" xfId="0" applyFill="true" applyFont="true" applyBorder="true">
      <alignment horizontal="left" vertical="top" indent="1" wrapText="false"/>
    </xf>
    <xf numFmtId="0" fontId="145" fillId="10" borderId="12" xfId="0" applyFill="true" applyFont="true" applyBorder="true">
      <alignment horizontal="left" vertical="top" indent="1" wrapText="false"/>
    </xf>
    <xf numFmtId="0" fontId="146" fillId="10" borderId="12" xfId="0" applyFill="true" applyFont="true" applyBorder="true">
      <alignment horizontal="left" vertical="top" indent="1" wrapText="false"/>
    </xf>
    <xf numFmtId="0" fontId="147" fillId="8" borderId="12" xfId="0" applyFill="true" applyFont="true" applyBorder="true">
      <alignment horizontal="left" vertical="top" indent="1" wrapText="false"/>
    </xf>
    <xf numFmtId="0" fontId="148" fillId="10" borderId="12" xfId="0" applyFill="true" applyFont="true" applyBorder="true">
      <alignment horizontal="left" vertical="top" indent="1" wrapText="false"/>
    </xf>
    <xf numFmtId="0" fontId="149" fillId="8" borderId="12" xfId="0" applyFill="true" applyFont="true" applyBorder="true">
      <alignment horizontal="left" vertical="top" indent="1" wrapText="false"/>
    </xf>
    <xf numFmtId="0" fontId="150" fillId="10" borderId="12" xfId="0" applyFill="true" applyFont="true" applyBorder="true">
      <alignment horizontal="left" vertical="top" indent="1" wrapText="false"/>
    </xf>
    <xf numFmtId="0" fontId="151" fillId="8" borderId="12" xfId="0" applyFill="true" applyFont="true" applyBorder="true">
      <alignment horizontal="left" vertical="top" indent="1" wrapText="false"/>
    </xf>
    <xf numFmtId="0" fontId="152" fillId="10" borderId="12" xfId="0" applyFill="true" applyFont="true" applyBorder="true">
      <alignment horizontal="left" vertical="top" indent="1" wrapText="false"/>
    </xf>
    <xf numFmtId="0" fontId="153" fillId="8" borderId="12" xfId="0" applyFill="true" applyFont="true" applyBorder="true">
      <alignment horizontal="left" vertical="top" indent="1" wrapText="false"/>
    </xf>
    <xf numFmtId="0" fontId="154" fillId="10" borderId="12" xfId="0" applyFill="true" applyFont="true" applyBorder="true">
      <alignment horizontal="left" vertical="top" indent="1" wrapText="false"/>
    </xf>
    <xf numFmtId="165" fontId="155" fillId="8" borderId="12" xfId="0" applyFill="true" applyFont="true" applyBorder="true" applyNumberFormat="true">
      <alignment horizontal="left" vertical="top" indent="1" wrapText="false"/>
    </xf>
    <xf numFmtId="165" fontId="156" fillId="10" borderId="12" xfId="0" applyFill="true" applyFont="true" applyBorder="true" applyNumberFormat="true">
      <alignment horizontal="left" vertical="top" indent="1" wrapText="false"/>
    </xf>
    <xf numFmtId="0" fontId="157" fillId="8" borderId="12" xfId="0" applyFill="true" applyFont="true" applyBorder="true">
      <alignment horizontal="left" vertical="top" indent="1" wrapText="false"/>
    </xf>
    <xf numFmtId="0" fontId="158" fillId="10" borderId="12" xfId="0" applyFill="true" applyFont="true" applyBorder="true">
      <alignment horizontal="left" vertical="top" indent="1" wrapText="false"/>
    </xf>
    <xf numFmtId="0" fontId="159" fillId="8" borderId="12" xfId="0" applyFill="true" applyFont="true" applyBorder="true">
      <alignment horizontal="left" vertical="top" indent="1" wrapText="false"/>
    </xf>
    <xf numFmtId="0" fontId="160" fillId="10" borderId="12" xfId="0" applyFill="true" applyFont="true" applyBorder="true">
      <alignment horizontal="left" vertical="top" indent="1" wrapText="false"/>
    </xf>
    <xf numFmtId="0" fontId="161" fillId="8" borderId="12" xfId="0" applyFill="true" applyFont="true" applyBorder="true">
      <alignment horizontal="left" vertical="top" indent="1" wrapText="false"/>
    </xf>
    <xf numFmtId="0" fontId="162" fillId="10" borderId="12" xfId="0" applyFill="true" applyFont="true" applyBorder="true">
      <alignment horizontal="left" vertical="top" indent="1" wrapText="false"/>
    </xf>
    <xf numFmtId="166" fontId="163" fillId="8" borderId="12" xfId="0" applyFill="true" applyFont="true" applyBorder="true" applyNumberFormat="true">
      <alignment horizontal="left" vertical="top" indent="1" wrapText="false"/>
    </xf>
    <xf numFmtId="166" fontId="164" fillId="10" borderId="12" xfId="0" applyFill="true" applyFont="true" applyBorder="true" applyNumberFormat="true">
      <alignment horizontal="left" vertical="top" indent="1" wrapText="false"/>
    </xf>
    <xf numFmtId="165" fontId="165" fillId="8" borderId="12" xfId="0" applyFill="true" applyFont="true" applyBorder="true" applyNumberFormat="true">
      <alignment horizontal="left" vertical="top" indent="1" wrapText="false"/>
    </xf>
    <xf numFmtId="165" fontId="166" fillId="10" borderId="12" xfId="0" applyFill="true" applyFont="true" applyBorder="true" applyNumberFormat="true">
      <alignment horizontal="left" vertical="top" indent="1" wrapText="false"/>
    </xf>
    <xf numFmtId="165" fontId="167" fillId="8" borderId="12" xfId="0" applyFill="true" applyFont="true" applyBorder="true" applyNumberFormat="true">
      <alignment horizontal="left" vertical="top" indent="1" wrapText="false"/>
    </xf>
    <xf numFmtId="165" fontId="168" fillId="10" borderId="12" xfId="0" applyFill="true" applyFont="true" applyBorder="true" applyNumberFormat="true">
      <alignment horizontal="left" vertical="top" indent="1" wrapText="false"/>
    </xf>
    <xf numFmtId="165" fontId="169" fillId="8" borderId="12" xfId="0" applyFill="true" applyFont="true" applyBorder="true" applyNumberFormat="true">
      <alignment horizontal="left" vertical="top" indent="1" wrapText="false"/>
    </xf>
    <xf numFmtId="165" fontId="170" fillId="10" borderId="12" xfId="0" applyFill="true" applyFont="true" applyBorder="true" applyNumberFormat="true">
      <alignment horizontal="left" vertical="top" indent="1" wrapText="false"/>
    </xf>
    <xf numFmtId="165" fontId="171" fillId="8" borderId="12" xfId="0" applyFill="true" applyFont="true" applyBorder="true" applyNumberFormat="true">
      <alignment horizontal="left" vertical="top" indent="1" wrapText="false"/>
    </xf>
    <xf numFmtId="165" fontId="172" fillId="10" borderId="12" xfId="0" applyFill="true" applyFont="true" applyBorder="true" applyNumberFormat="true">
      <alignment horizontal="left" vertical="top" indent="1" wrapText="false"/>
    </xf>
    <xf numFmtId="166" fontId="173" fillId="8" borderId="12" xfId="0" applyFill="true" applyFont="true" applyBorder="true" applyNumberFormat="true">
      <alignment horizontal="left" vertical="top" indent="1" wrapText="false"/>
    </xf>
    <xf numFmtId="166" fontId="174" fillId="10" borderId="12" xfId="0" applyFill="true" applyFont="true" applyBorder="true" applyNumberFormat="true">
      <alignment horizontal="left" vertical="top" indent="1" wrapText="false"/>
    </xf>
    <xf numFmtId="166" fontId="175" fillId="8" borderId="12" xfId="0" applyFill="true" applyFont="true" applyBorder="true" applyNumberFormat="true">
      <alignment horizontal="left" vertical="top" indent="1" wrapText="false"/>
    </xf>
    <xf numFmtId="166" fontId="176" fillId="10" borderId="12" xfId="0" applyFill="true" applyFont="true" applyBorder="true" applyNumberFormat="true">
      <alignment horizontal="left" vertical="top" indent="1" wrapText="false"/>
    </xf>
    <xf numFmtId="166" fontId="177" fillId="8" borderId="12" xfId="0" applyFill="true" applyFont="true" applyBorder="true" applyNumberFormat="true">
      <alignment horizontal="left" vertical="top" indent="1" wrapText="false"/>
    </xf>
    <xf numFmtId="166" fontId="178" fillId="10" borderId="12" xfId="0" applyFill="true" applyFont="true" applyBorder="true" applyNumberFormat="true">
      <alignment horizontal="left" vertical="top" indent="1" wrapText="false"/>
    </xf>
    <xf numFmtId="167" fontId="179" fillId="8" borderId="12" xfId="0" applyFill="true" applyFont="true" applyBorder="true" applyNumberFormat="true">
      <alignment horizontal="left" vertical="top" indent="1" wrapText="false"/>
    </xf>
    <xf numFmtId="167" fontId="180" fillId="10" borderId="12" xfId="0" applyFill="true" applyFont="true" applyBorder="true" applyNumberFormat="true">
      <alignment horizontal="left" vertical="top" indent="1" wrapText="false"/>
    </xf>
    <xf numFmtId="167" fontId="181" fillId="8" borderId="12" xfId="0" applyFill="true" applyFont="true" applyBorder="true" applyNumberFormat="true">
      <alignment horizontal="left" vertical="top" indent="1" wrapText="false"/>
    </xf>
    <xf numFmtId="167" fontId="182" fillId="10" borderId="12" xfId="0" applyFill="true" applyFont="true" applyBorder="true" applyNumberFormat="true">
      <alignment horizontal="left" vertical="top" indent="1" wrapText="false"/>
    </xf>
    <xf numFmtId="167" fontId="183" fillId="8" borderId="12" xfId="0" applyFill="true" applyFont="true" applyBorder="true" applyNumberFormat="true">
      <alignment horizontal="left" vertical="top" indent="1" wrapText="false"/>
    </xf>
    <xf numFmtId="167" fontId="184" fillId="10" borderId="12" xfId="0" applyFill="true" applyFont="true" applyBorder="true" applyNumberFormat="true">
      <alignment horizontal="left" vertical="top" indent="1" wrapText="false"/>
    </xf>
    <xf numFmtId="167" fontId="185" fillId="8" borderId="12" xfId="0" applyFill="true" applyFont="true" applyBorder="true" applyNumberFormat="true">
      <alignment horizontal="left" vertical="top" indent="1" wrapText="false"/>
    </xf>
    <xf numFmtId="167" fontId="186" fillId="10" borderId="12" xfId="0" applyFill="true" applyFont="true" applyBorder="true" applyNumberFormat="true">
      <alignment horizontal="left" vertical="top" indent="1" wrapText="false"/>
    </xf>
    <xf numFmtId="167" fontId="187" fillId="8" borderId="12" xfId="0" applyFill="true" applyFont="true" applyBorder="true" applyNumberFormat="true">
      <alignment horizontal="left" vertical="top" indent="1" wrapText="false"/>
    </xf>
    <xf numFmtId="167" fontId="188" fillId="10" borderId="12" xfId="0" applyFill="true" applyFont="true" applyBorder="true" applyNumberFormat="true">
      <alignment horizontal="left" vertical="top" indent="1" wrapText="false"/>
    </xf>
    <xf numFmtId="167" fontId="189" fillId="8" borderId="12" xfId="0" applyFill="true" applyFont="true" applyBorder="true" applyNumberFormat="true">
      <alignment horizontal="left" vertical="top" indent="1" wrapText="false"/>
    </xf>
    <xf numFmtId="167" fontId="190" fillId="10" borderId="12" xfId="0" applyFill="true" applyFont="true" applyBorder="true" applyNumberFormat="true">
      <alignment horizontal="left" vertical="top" indent="1" wrapText="false"/>
    </xf>
    <xf numFmtId="0" fontId="191" fillId="8" borderId="12" xfId="0" applyFill="true" applyFont="true" applyBorder="true">
      <alignment horizontal="left" vertical="top" indent="1" wrapText="false"/>
    </xf>
    <xf numFmtId="0" fontId="192" fillId="10" borderId="12" xfId="0" applyFill="true" applyFont="true" applyBorder="true">
      <alignment horizontal="left" vertical="top" indent="1" wrapText="false"/>
    </xf>
    <xf numFmtId="0" fontId="193" fillId="8" borderId="12" xfId="0" applyFill="true" applyFont="true" applyBorder="true">
      <alignment horizontal="left" vertical="top" indent="1" wrapText="false"/>
    </xf>
    <xf numFmtId="0" fontId="194" fillId="10" borderId="12" xfId="0" applyFill="true" applyFont="true" applyBorder="true">
      <alignment horizontal="left" vertical="top" indent="1" wrapText="false"/>
    </xf>
    <xf numFmtId="0" fontId="195" fillId="8" borderId="12" xfId="0" applyFill="true" applyFont="true" applyBorder="true">
      <alignment horizontal="left" vertical="top" indent="1" wrapText="false"/>
    </xf>
    <xf numFmtId="0" fontId="196" fillId="10" borderId="12" xfId="0" applyFill="true" applyFont="true" applyBorder="true">
      <alignment horizontal="left" vertical="top" indent="1" wrapText="false"/>
    </xf>
    <xf numFmtId="0" fontId="197" fillId="8" borderId="12" xfId="0" applyFill="true" applyFont="true" applyBorder="true">
      <alignment horizontal="left" vertical="top" indent="1" wrapText="false"/>
    </xf>
    <xf numFmtId="0" fontId="198" fillId="10" borderId="12" xfId="0" applyFill="true" applyFont="true" applyBorder="true">
      <alignment horizontal="left" vertical="top" indent="1" wrapText="false"/>
    </xf>
    <xf numFmtId="0" fontId="199" fillId="8" borderId="12" xfId="0" applyFill="true" applyFont="true" applyBorder="true">
      <alignment horizontal="left" vertical="top" indent="1" wrapText="false"/>
    </xf>
    <xf numFmtId="0" fontId="200" fillId="10" borderId="12" xfId="0" applyFill="true" applyFont="true" applyBorder="true">
      <alignment horizontal="left" vertical="top" indent="1" wrapText="false"/>
    </xf>
    <xf numFmtId="0" fontId="201" fillId="8" borderId="12" xfId="0" applyFill="true" applyFont="true" applyBorder="true">
      <alignment horizontal="left" vertical="top" indent="1" wrapText="false"/>
    </xf>
    <xf numFmtId="0" fontId="202" fillId="10" borderId="12" xfId="0" applyFill="true" applyFont="true" applyBorder="true">
      <alignment horizontal="left" vertical="top" indent="1" wrapText="false"/>
    </xf>
    <xf numFmtId="0" fontId="203" fillId="8" borderId="12" xfId="0" applyFill="true" applyFont="true" applyBorder="true">
      <alignment horizontal="left" vertical="top" indent="1" wrapText="false"/>
    </xf>
    <xf numFmtId="0" fontId="204" fillId="10" borderId="12" xfId="0" applyFill="true" applyFont="true" applyBorder="true">
      <alignment horizontal="left" vertical="top" indent="1" wrapText="false"/>
    </xf>
    <xf numFmtId="0" fontId="205" fillId="8" borderId="12" xfId="0" applyFill="true" applyFont="true" applyBorder="true">
      <alignment horizontal="left" vertical="top" indent="1" wrapText="false"/>
    </xf>
    <xf numFmtId="0" fontId="206" fillId="10" borderId="12" xfId="0" applyFill="true" applyFont="true" applyBorder="true">
      <alignment horizontal="left" vertical="top" indent="1" wrapText="false"/>
    </xf>
    <xf numFmtId="0" fontId="207" fillId="8" borderId="12" xfId="0" applyFill="true" applyFont="true" applyBorder="true">
      <alignment horizontal="left" vertical="top" indent="1" wrapText="false"/>
    </xf>
    <xf numFmtId="0" fontId="208" fillId="10" borderId="12" xfId="0" applyFill="true" applyFont="true" applyBorder="true">
      <alignment horizontal="left" vertical="top" indent="1" wrapText="false"/>
    </xf>
    <xf numFmtId="0" fontId="209" fillId="8" borderId="12" xfId="0" applyFill="true" applyFont="true" applyBorder="true">
      <alignment horizontal="left" vertical="top" indent="1" wrapText="false"/>
    </xf>
    <xf numFmtId="0" fontId="210" fillId="10" borderId="12" xfId="0" applyFill="true" applyFont="true" applyBorder="true">
      <alignment horizontal="left" vertical="top" indent="1" wrapText="false"/>
    </xf>
    <xf numFmtId="0" fontId="211" fillId="8" borderId="12" xfId="0" applyFill="true" applyFont="true" applyBorder="true">
      <alignment horizontal="left" vertical="top" indent="1" wrapText="false"/>
    </xf>
    <xf numFmtId="0" fontId="212" fillId="10" borderId="12" xfId="0" applyFill="true" applyFont="true" applyBorder="true">
      <alignment horizontal="left" vertical="top" indent="1" wrapText="false"/>
    </xf>
    <xf numFmtId="0" fontId="213" fillId="0" borderId="0" xfId="0" applyFont="true">
      <alignment horizontal="general" vertical="bottom" wrapText="true"/>
    </xf>
    <xf numFmtId="0" fontId="214" fillId="2" borderId="0" xfId="0" applyFont="true" applyFill="true" applyBorder="true" applyNumberFormat="true"/>
    <xf numFmtId="0" fontId="215" fillId="2" borderId="0" xfId="0" applyFont="true" applyFill="true" applyBorder="true" applyNumberFormat="true"/>
    <xf numFmtId="0" fontId="216" fillId="2" borderId="0" xfId="1" applyFont="true" applyFill="true" applyAlignment="1" applyProtection="1" applyBorder="true" applyNumberFormat="true"/>
    <xf numFmtId="0" fontId="217" fillId="2" borderId="0" xfId="0" applyFont="true" applyFill="true" applyBorder="true" applyNumberFormat="true"/>
    <xf numFmtId="0" fontId="218" fillId="2" borderId="0" xfId="2" applyFont="true" applyFill="true" applyAlignment="1" applyProtection="1" applyBorder="true" applyNumberFormat="true"/>
    <xf numFmtId="0" fontId="219" fillId="2" borderId="0" xfId="0" applyFont="true" applyFill="true" applyBorder="true" applyNumberFormat="true"/>
    <xf numFmtId="0" fontId="220" fillId="2" borderId="0" xfId="0" applyFont="true" applyFill="true" applyBorder="true" applyNumberFormat="true"/>
    <xf numFmtId="0" fontId="221" fillId="2" borderId="0" xfId="2" applyFont="true" applyFill="true" applyAlignment="1" applyProtection="1" applyBorder="true" applyNumberFormat="true"/>
    <xf numFmtId="0" fontId="222" fillId="2" borderId="0" xfId="2" applyFont="true" applyFill="true" applyAlignment="1" applyProtection="1" applyBorder="true" applyNumberFormat="true"/>
    <xf numFmtId="0" fontId="223" fillId="2" borderId="0" xfId="1" applyFont="true" applyFill="true" applyAlignment="1" applyProtection="1" applyBorder="true" applyNumberFormat="true"/>
    <xf numFmtId="0" fontId="224" fillId="2" borderId="0" xfId="2" applyFont="true" applyFill="true" applyAlignment="1" applyProtection="1" applyBorder="true" applyNumberFormat="true"/>
    <xf numFmtId="0" fontId="225" fillId="0" borderId="0" xfId="0" applyFont="true">
      <alignment horizontal="general" vertical="bottom" wrapText="true"/>
    </xf>
  </cellXfs>
  <cellStyles count="2">
    <cellStyle name="Comma"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FF0000"/>
      <rgbColor rgb="0000FF00"/>
      <rgbColor rgb="000000FF"/>
      <rgbColor rgb="00EEF3F8"/>
      <rgbColor rgb="00FF00FF"/>
      <rgbColor rgb="0000FFFF"/>
      <rgbColor rgb="00800000"/>
      <rgbColor rgb="00008000"/>
      <rgbColor rgb="00000080"/>
      <rgbColor rgb="00808000"/>
      <rgbColor rgb="00808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4F81BD"/>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worksheets/sheet2.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1009488</xdr:colOff>
      <xdr:row>1</xdr:row>
      <xdr:rowOff>9525</xdr:rowOff>
    </xdr:to>
    <xdr:pic>
      <xdr:nvPicPr>
        <xdr:cNvPr id="1" name="Picture 1" descr="Picture"/>
        <xdr:cNvPicPr>
          <a:picLocks noChangeAspect="true"/>
        </xdr:cNvPicPr>
      </xdr:nvPicPr>
      <xdr:blipFill>
        <a:blip r:embed="rId1"/>
        <a:stretch>
          <a:fillRect/>
        </a:stretch>
      </xdr:blipFill>
      <xdr:spPr>
        <a:xfrm>
          <a:off x="0" y="0"/>
          <a:ext cx="1828800" cy="314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comments1.xml" Type="http://schemas.openxmlformats.org/officeDocument/2006/relationships/comments"/><Relationship Id="rId4" Target="../drawings/vmlDrawing1.vml" Type="http://schemas.openxmlformats.org/officeDocument/2006/relationships/vmlDrawing"/><Relationship Id="rId5" Target="https://my.pitchbook.com/?pcc=361665-01" TargetMode="External" Type="http://schemas.openxmlformats.org/officeDocument/2006/relationships/hyperlink"/></Relationships>
</file>

<file path=xl/worksheets/_rels/sheet2.xml.rels><?xml version="1.0" encoding="UTF-8" standalone="yes"?><Relationships xmlns="http://schemas.openxmlformats.org/package/2006/relationships"><Relationship Id="rId1" Target="https://pitchbook.com/subscription-agreement" TargetMode="External" Type="http://schemas.openxmlformats.org/officeDocument/2006/relationships/hyperlink"/><Relationship Id="rId2" Target="mailto:clientservices@pitchbook.com" TargetMode="External" Type="http://schemas.openxmlformats.org/officeDocument/2006/relationships/hyperlink"/><Relationship Id="rId3" Target="mailto:clientservices@pitchbook.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84"/>
  <sheetViews>
    <sheetView showGridLines="0" tabSelected="false" workbookViewId="0">
      <selection activeCell="A1" sqref="A1"/>
    </sheetView>
  </sheetViews>
  <sheetFormatPr defaultColWidth="0" defaultRowHeight="11.25" customHeight="1" x14ac:dyDescent="0.2"/>
  <cols>
    <col min="32" max="32" customWidth="true" style="10" width="108.3984375" collapsed="true"/>
    <col min="31" max="31" customWidth="true" style="10" width="26.015625" collapsed="true"/>
    <col min="30" max="30" customWidth="true" style="10" width="26.015625" collapsed="true"/>
    <col min="29" max="29" customWidth="true" style="10" width="26.015625" collapsed="true"/>
    <col min="28" max="28" customWidth="true" style="10" width="28.90625" collapsed="true"/>
    <col min="27" max="27" customWidth="true" style="10" width="28.90625" collapsed="true"/>
    <col min="26" max="26" customWidth="true" style="10" width="14.453125" collapsed="true"/>
    <col min="25" max="25" customWidth="true" style="10" width="14.453125" collapsed="true"/>
    <col min="24" max="24" customWidth="true" style="10" width="20.234375" collapsed="true"/>
    <col min="23" max="23" customWidth="true" style="10" width="20.234375" collapsed="true"/>
    <col min="22" max="22" customWidth="true" style="10" width="14.453125" collapsed="true"/>
    <col min="21" max="21" customWidth="true" style="10" width="12.28515625" collapsed="true"/>
    <col min="20" max="20" customWidth="true" style="10" width="14.453125" collapsed="true"/>
    <col min="19" max="19" customWidth="true" style="10" width="12.28515625" collapsed="true"/>
    <col min="18" max="18" customWidth="true" style="10" width="14.453125" collapsed="true"/>
    <col min="15" max="15" customWidth="true" style="11" width="12.28515625" collapsed="true"/>
    <col min="13" max="13" bestFit="true" customWidth="true" style="10" width="12.28515625" collapsed="true"/>
    <col min="12" max="12" bestFit="true" customWidth="true" style="10" width="12.28515625" collapsed="true"/>
    <col min="1" max="1" customWidth="true" style="10" width="12.28515625" collapsed="false"/>
    <col min="2" max="2" bestFit="true" customWidth="true" style="10" width="26.015625" collapsed="false"/>
    <col min="3" max="3" customWidth="true" style="10" width="33.2421875" collapsed="false"/>
    <col min="4" max="4" customWidth="true" style="10" width="18.7890625" collapsed="false"/>
    <col min="5" max="5" bestFit="true" customWidth="true" style="10" width="14.453125" collapsed="false"/>
    <col min="6" max="6" bestFit="true" customWidth="true" style="10" width="17.34375" collapsed="false"/>
    <col min="7" max="7" bestFit="true" customWidth="true" style="10" width="10.1171875" collapsed="false"/>
    <col min="8" max="8" bestFit="true" customWidth="true" style="10" width="10.1171875" collapsed="false"/>
    <col min="9" max="9" bestFit="true" customWidth="true" style="10" width="10.1171875" collapsed="false"/>
    <col min="10" max="10" customWidth="true" style="10" width="11.5625" collapsed="false"/>
    <col min="11" max="11" bestFit="true" customWidth="true" style="10" width="12.28515625" collapsed="false"/>
    <col min="14" max="14" customWidth="true" style="11" width="12.28515625" collapsed="false"/>
    <col min="16" max="16" bestFit="true" customWidth="true" style="11" width="14.453125" collapsed="false"/>
    <col min="17" max="17" customWidth="true" style="10" width="12.28515625" collapsed="false"/>
    <col min="33" max="33" customWidth="true" style="24" width="17.34375" collapsed="false"/>
    <col min="34" max="16384" hidden="true" style="24" width="0.0" collapsed="false"/>
  </cols>
  <sheetData>
    <row r="1" spans="1:33" ht="24" customHeight="1" x14ac:dyDescent="0.3">
      <c r="A1" s="1"/>
      <c r="B1" s="1"/>
      <c r="C1" s="1"/>
      <c r="D1" s="1"/>
      <c r="E1" s="28" t="s">
        <v>3</v>
      </c>
      <c r="F1" s="28"/>
      <c r="G1" s="28"/>
      <c r="H1" s="28"/>
      <c r="I1" s="1"/>
      <c r="J1" s="1"/>
      <c r="K1" s="1"/>
      <c r="L1" s="1"/>
      <c r="M1" s="1"/>
      <c r="N1" s="2"/>
      <c r="O1" s="2"/>
      <c r="P1" s="2"/>
      <c r="Q1" s="1"/>
      <c r="R1" s="1"/>
      <c r="S1" s="1"/>
      <c r="T1" s="1"/>
      <c r="U1" s="1"/>
      <c r="V1" s="1"/>
      <c r="W1" s="1"/>
      <c r="X1" s="1"/>
      <c r="Y1" s="1"/>
      <c r="Z1" s="1"/>
      <c r="AA1" s="1"/>
      <c r="AB1" s="1"/>
      <c r="AC1" s="1"/>
      <c r="AD1" s="1"/>
      <c r="AE1" s="1"/>
      <c r="AF1" s="1"/>
    </row>
    <row r="2" spans="1:33" ht="18" customHeight="1" x14ac:dyDescent="0.25">
      <c r="A2" s="3"/>
      <c r="B2" s="4"/>
      <c r="C2" s="1"/>
      <c r="D2" s="1"/>
      <c r="E2" s="1"/>
      <c r="F2" s="1"/>
      <c r="G2" s="1"/>
      <c r="H2" s="12"/>
      <c r="I2" s="20"/>
      <c r="J2" s="20"/>
      <c r="K2" s="1"/>
      <c r="L2" s="1"/>
      <c r="M2" s="1"/>
      <c r="N2" s="2"/>
      <c r="O2" s="2"/>
      <c r="P2" s="2"/>
      <c r="Q2" s="1"/>
      <c r="R2" s="1"/>
      <c r="S2" s="1"/>
      <c r="T2" s="1"/>
      <c r="U2" s="1"/>
      <c r="V2" s="1"/>
      <c r="W2" s="1"/>
      <c r="X2" s="1"/>
      <c r="Y2" s="1"/>
      <c r="Z2" s="1"/>
      <c r="AA2" s="1"/>
      <c r="AB2" s="1"/>
      <c r="AC2" s="1"/>
      <c r="AD2" s="1"/>
      <c r="AE2" s="1"/>
      <c r="AF2" s="1"/>
    </row>
    <row r="3" spans="1:33" x14ac:dyDescent="0.2">
      <c r="A3" s="5" t="s">
        <v>4</v>
      </c>
      <c r="B3" s="33" t="s">
        <v>10</v>
      </c>
      <c r="C3" s="29"/>
      <c r="D3" s="1"/>
      <c r="E3" s="1"/>
      <c r="F3" s="1"/>
      <c r="G3" s="1"/>
      <c r="H3" s="1"/>
      <c r="I3" s="1"/>
      <c r="J3" s="1"/>
      <c r="K3" s="1"/>
      <c r="L3" s="1"/>
      <c r="M3" s="1"/>
      <c r="N3" s="2"/>
      <c r="O3" s="2"/>
      <c r="P3" s="2"/>
      <c r="Q3" s="1"/>
      <c r="R3" s="1"/>
      <c r="S3" s="1"/>
      <c r="T3" s="1"/>
      <c r="U3" s="1"/>
      <c r="V3" s="1"/>
      <c r="W3" s="1"/>
      <c r="X3" s="1"/>
      <c r="Y3" s="1"/>
      <c r="Z3" s="1"/>
      <c r="AA3" s="1"/>
      <c r="AB3" s="1"/>
      <c r="AC3" s="1"/>
      <c r="AD3" s="1"/>
      <c r="AE3" s="1"/>
      <c r="AF3" s="1"/>
    </row>
    <row r="4" spans="1:33" ht="11.25" customHeight="1" x14ac:dyDescent="0.2">
      <c r="A4" s="26" t="s">
        <v>0</v>
      </c>
      <c r="B4" s="27" t="s">
        <v>7</v>
      </c>
      <c r="C4" s="27"/>
      <c r="D4" s="27"/>
      <c r="E4" s="27"/>
      <c r="F4" s="5" t="s">
        <v>1</v>
      </c>
      <c r="G4" s="13" t="n">
        <v>44066.82500538194</v>
      </c>
      <c r="J4" s="13"/>
      <c r="K4" s="1"/>
      <c r="L4" s="1"/>
      <c r="M4" s="1"/>
      <c r="N4" s="2"/>
      <c r="O4" s="2"/>
      <c r="P4" s="2"/>
      <c r="Q4" s="1"/>
      <c r="R4" s="1"/>
      <c r="S4" s="1"/>
      <c r="T4" s="1"/>
      <c r="U4" s="1"/>
      <c r="V4" s="1"/>
      <c r="W4" s="1"/>
      <c r="X4" s="1"/>
      <c r="Y4" s="1"/>
      <c r="Z4" s="1"/>
      <c r="AA4" s="1"/>
      <c r="AB4" s="1"/>
      <c r="AC4" s="1"/>
      <c r="AD4" s="1"/>
      <c r="AE4" s="1"/>
      <c r="AF4" s="1"/>
    </row>
    <row r="5" spans="1:33" x14ac:dyDescent="0.2">
      <c r="A5" s="1"/>
      <c r="B5" s="27"/>
      <c r="C5" s="27"/>
      <c r="D5" s="27"/>
      <c r="E5" s="27"/>
      <c r="F5" s="5" t="s">
        <v>8</v>
      </c>
      <c r="G5" s="1" t="s">
        <v>9</v>
      </c>
      <c r="J5" s="1"/>
      <c r="K5" s="1"/>
      <c r="L5" s="1"/>
      <c r="M5" s="1"/>
      <c r="N5" s="2"/>
      <c r="O5" s="2"/>
      <c r="P5" s="2"/>
      <c r="Q5" s="1"/>
      <c r="R5" s="1"/>
      <c r="S5" s="1"/>
      <c r="T5" s="1"/>
      <c r="U5" s="1"/>
      <c r="V5" s="1"/>
      <c r="W5" s="1"/>
      <c r="X5" s="1"/>
      <c r="Y5" s="1"/>
      <c r="Z5" s="1"/>
      <c r="AA5" s="1"/>
      <c r="AB5" s="1"/>
      <c r="AC5" s="1"/>
      <c r="AD5" s="1"/>
      <c r="AE5" s="1"/>
      <c r="AF5" s="1"/>
    </row>
    <row r="6" spans="1:33" x14ac:dyDescent="0.2">
      <c r="A6" s="1"/>
      <c r="B6" s="27"/>
      <c r="C6" s="27"/>
      <c r="D6" s="27"/>
      <c r="E6" s="27"/>
      <c r="F6" s="25"/>
      <c r="G6" s="1"/>
      <c r="H6" s="1"/>
      <c r="I6" s="1"/>
      <c r="J6" s="1"/>
      <c r="K6" s="1"/>
      <c r="L6" s="1"/>
      <c r="M6" s="1"/>
      <c r="N6" s="2"/>
      <c r="O6" s="2"/>
      <c r="P6" s="2"/>
      <c r="Q6" s="1"/>
      <c r="R6" s="1"/>
      <c r="S6" s="1"/>
      <c r="T6" s="1"/>
      <c r="U6" s="1"/>
      <c r="V6" s="1"/>
      <c r="W6" s="1"/>
      <c r="X6" s="1"/>
      <c r="Y6" s="1"/>
      <c r="Z6" s="1"/>
      <c r="AA6" s="1"/>
      <c r="AB6" s="1"/>
      <c r="AC6" s="1"/>
      <c r="AD6" s="1"/>
      <c r="AE6" s="1"/>
      <c r="AF6" s="1"/>
    </row>
    <row r="7" spans="1:33" x14ac:dyDescent="0.2">
      <c r="A7" s="1"/>
      <c r="B7" s="1"/>
      <c r="C7" s="1"/>
      <c r="D7" s="1"/>
      <c r="E7" s="1"/>
      <c r="F7" s="1"/>
      <c r="G7" s="6"/>
      <c r="H7" s="1"/>
      <c r="I7" s="1"/>
      <c r="J7" s="1"/>
      <c r="K7" s="1"/>
      <c r="L7" s="1"/>
      <c r="M7" s="1"/>
      <c r="N7" s="2"/>
      <c r="O7" s="2"/>
      <c r="P7" s="2"/>
      <c r="Q7" s="1"/>
      <c r="R7" s="1"/>
      <c r="S7" s="1"/>
      <c r="T7" s="1"/>
      <c r="U7" s="1"/>
      <c r="V7" s="1"/>
      <c r="W7" s="1"/>
      <c r="X7" s="1"/>
      <c r="Y7" s="1"/>
      <c r="Z7" s="1"/>
      <c r="AA7" s="1"/>
      <c r="AB7" s="1"/>
      <c r="AC7" s="1"/>
      <c r="AD7" s="1"/>
      <c r="AE7" s="1"/>
      <c r="AF7" s="1"/>
    </row>
    <row r="8" spans="1:33" s="23" customFormat="1" ht="35.0" customHeight="true" x14ac:dyDescent="0.2">
      <c r="A8" t="s" s="34">
        <v>11</v>
      </c>
      <c r="B8" t="s" s="34">
        <v>12</v>
      </c>
      <c r="C8" t="s" s="34">
        <v>13</v>
      </c>
      <c r="D8" t="s" s="34">
        <v>14</v>
      </c>
      <c r="E8" t="s" s="34">
        <v>15</v>
      </c>
      <c r="F8" t="s" s="34">
        <v>16</v>
      </c>
      <c r="G8" t="s" s="34">
        <v>17</v>
      </c>
      <c r="H8" t="s" s="34">
        <v>18</v>
      </c>
      <c r="I8" t="s" s="34">
        <v>19</v>
      </c>
      <c r="J8" t="s" s="34">
        <v>20</v>
      </c>
      <c r="K8" t="s" s="34">
        <v>21</v>
      </c>
      <c r="L8" t="s" s="34">
        <v>22</v>
      </c>
      <c r="M8" t="s" s="34">
        <v>23</v>
      </c>
      <c r="N8" t="s" s="34">
        <v>24</v>
      </c>
      <c r="O8" t="s" s="34">
        <v>25</v>
      </c>
      <c r="P8" t="s" s="34">
        <v>26</v>
      </c>
      <c r="Q8" t="s" s="34">
        <v>27</v>
      </c>
      <c r="R8" t="s" s="34">
        <v>28</v>
      </c>
      <c r="S8" t="s" s="34">
        <v>29</v>
      </c>
      <c r="T8" t="s" s="34">
        <v>30</v>
      </c>
      <c r="U8" t="s" s="34">
        <v>31</v>
      </c>
      <c r="V8" t="s" s="34">
        <v>32</v>
      </c>
      <c r="W8" t="s" s="34">
        <v>33</v>
      </c>
      <c r="X8" t="s" s="34">
        <v>34</v>
      </c>
      <c r="Y8" t="s" s="34">
        <v>35</v>
      </c>
      <c r="Z8" t="s" s="34">
        <v>36</v>
      </c>
      <c r="AA8" t="s" s="34">
        <v>37</v>
      </c>
      <c r="AB8" t="s" s="34">
        <v>38</v>
      </c>
      <c r="AC8" t="s" s="34">
        <v>39</v>
      </c>
      <c r="AD8" t="s" s="34">
        <v>40</v>
      </c>
      <c r="AE8" t="s" s="34">
        <v>41</v>
      </c>
      <c r="AF8" t="s" s="34">
        <v>42</v>
      </c>
      <c r="AG8" t="s" s="35">
        <v>5</v>
      </c>
    </row>
    <row r="9">
      <c r="A9" s="36" t="inlineStr">
        <is>
          <t>12956-95F</t>
        </is>
      </c>
      <c r="B9" s="37" t="inlineStr">
        <is>
          <t>IA Ventures Fund I</t>
        </is>
      </c>
      <c r="C9" s="38" t="inlineStr">
        <is>
          <t/>
        </is>
      </c>
      <c r="D9" s="39" t="inlineStr">
        <is>
          <t>Venture Capital</t>
        </is>
      </c>
      <c r="E9" s="40" t="n">
        <v>50.0</v>
      </c>
      <c r="F9" s="41" t="inlineStr">
        <is>
          <t>New York, NY</t>
        </is>
      </c>
      <c r="G9" s="42" t="n">
        <v>1.0</v>
      </c>
      <c r="H9" s="43" t="n">
        <v>2010.0</v>
      </c>
      <c r="I9" s="44" t="n">
        <v>96.89284274759083</v>
      </c>
      <c r="J9" s="45" t="n">
        <v>48.44642137379542</v>
      </c>
      <c r="K9" s="46" t="n">
        <v>1.553578626204593</v>
      </c>
      <c r="L9" s="47" t="n">
        <v>295.8542629274531</v>
      </c>
      <c r="M9" s="48" t="n">
        <v>205.8506062814856</v>
      </c>
      <c r="N9" s="49" t="n">
        <v>54.84</v>
      </c>
      <c r="O9" s="50" t="inlineStr">
        <is>
          <t/>
        </is>
      </c>
      <c r="P9" s="51" t="n">
        <v>33.34</v>
      </c>
      <c r="Q9" s="52" t="n">
        <v>6.11</v>
      </c>
      <c r="R9" s="53" t="n">
        <v>5.29</v>
      </c>
      <c r="S9" s="54" t="n">
        <v>4.25</v>
      </c>
      <c r="T9" s="55" t="n">
        <v>3.57637</v>
      </c>
      <c r="U9" s="56" t="n">
        <v>10.36</v>
      </c>
      <c r="V9" s="57" t="n">
        <v>9.059999999999999</v>
      </c>
      <c r="W9" s="58" t="inlineStr">
        <is>
          <t/>
        </is>
      </c>
      <c r="X9" s="59" t="inlineStr">
        <is>
          <t>LP Original Commitments</t>
        </is>
      </c>
      <c r="Y9" s="60" t="inlineStr">
        <is>
          <t>2019 Y</t>
        </is>
      </c>
      <c r="Z9" s="61" t="inlineStr">
        <is>
          <t>0 - 99M</t>
        </is>
      </c>
      <c r="AA9" s="62" t="inlineStr">
        <is>
          <t>IA Ventures</t>
        </is>
      </c>
      <c r="AB9" s="63" t="inlineStr">
        <is>
          <t>New York, NY</t>
        </is>
      </c>
      <c r="AC9" s="64" t="inlineStr">
        <is>
          <t>Software</t>
        </is>
      </c>
      <c r="AD9" s="65" t="inlineStr">
        <is>
          <t>Angel (individual), Early Stage VC, Seed Round</t>
        </is>
      </c>
      <c r="AE9" s="66" t="inlineStr">
        <is>
          <t>United States</t>
        </is>
      </c>
      <c r="AF9" s="67" t="inlineStr">
        <is>
          <t>UTIMCO</t>
        </is>
      </c>
      <c r="AG9" s="232">
        <f>HYPERLINK("https://my.pitchbook.com?i=50986-90", "View Investor Online")</f>
      </c>
    </row>
    <row r="10">
      <c r="A10" s="69" t="inlineStr">
        <is>
          <t>14449-24F</t>
        </is>
      </c>
      <c r="B10" s="70" t="inlineStr">
        <is>
          <t>BioGeneration Ventures II</t>
        </is>
      </c>
      <c r="C10" s="71" t="inlineStr">
        <is>
          <t/>
        </is>
      </c>
      <c r="D10" s="72" t="inlineStr">
        <is>
          <t>Venture Capital</t>
        </is>
      </c>
      <c r="E10" s="73" t="n">
        <v>19.67692</v>
      </c>
      <c r="F10" s="74" t="inlineStr">
        <is>
          <t>Naarden, Netherlands</t>
        </is>
      </c>
      <c r="G10" s="75" t="inlineStr">
        <is>
          <t/>
        </is>
      </c>
      <c r="H10" s="76" t="n">
        <v>2012.0</v>
      </c>
      <c r="I10" s="77" t="n">
        <v>100.0</v>
      </c>
      <c r="J10" s="78" t="n">
        <v>19.67692242438924</v>
      </c>
      <c r="K10" s="79" t="n">
        <v>0.0</v>
      </c>
      <c r="L10" s="80" t="n">
        <v>89.2020483238979</v>
      </c>
      <c r="M10" s="81" t="n">
        <v>61.65435692975295</v>
      </c>
      <c r="N10" s="82" t="n">
        <v>104.0</v>
      </c>
      <c r="O10" s="83" t="inlineStr">
        <is>
          <t/>
        </is>
      </c>
      <c r="P10" s="84" t="inlineStr">
        <is>
          <t/>
        </is>
      </c>
      <c r="Q10" s="85" t="n">
        <v>4.533333333</v>
      </c>
      <c r="R10" s="86" t="n">
        <v>4.416423333</v>
      </c>
      <c r="S10" s="87" t="n">
        <v>3.133333333</v>
      </c>
      <c r="T10" s="88" t="n">
        <v>2.1233333329999997</v>
      </c>
      <c r="U10" s="89" t="n">
        <v>7.66</v>
      </c>
      <c r="V10" s="90" t="n">
        <v>6.155</v>
      </c>
      <c r="W10" s="91" t="inlineStr">
        <is>
          <t/>
        </is>
      </c>
      <c r="X10" s="92" t="inlineStr">
        <is>
          <t>GP Self Reporting</t>
        </is>
      </c>
      <c r="Y10" s="93" t="inlineStr">
        <is>
          <t>2020 Y</t>
        </is>
      </c>
      <c r="Z10" s="94" t="inlineStr">
        <is>
          <t>0 - 99M</t>
        </is>
      </c>
      <c r="AA10" s="95" t="inlineStr">
        <is>
          <t>BioGeneration Ventures</t>
        </is>
      </c>
      <c r="AB10" s="96" t="inlineStr">
        <is>
          <t>Naarden, Netherlands</t>
        </is>
      </c>
      <c r="AC10" s="97" t="inlineStr">
        <is>
          <t>Pharmaceuticals and Biotechnology</t>
        </is>
      </c>
      <c r="AD10" s="98" t="inlineStr">
        <is>
          <t>Seed Round, Early Stage VC, Later Stage VC</t>
        </is>
      </c>
      <c r="AE10" s="99" t="inlineStr">
        <is>
          <t>Western Europe</t>
        </is>
      </c>
      <c r="AF10" s="100" t="inlineStr">
        <is>
          <t>BioGeneration, BGV</t>
        </is>
      </c>
      <c r="AG10" s="233">
        <f>HYPERLINK("https://my.pitchbook.com?i=11140-75", "View Investor Online")</f>
      </c>
    </row>
    <row r="11">
      <c r="A11" s="36" t="inlineStr">
        <is>
          <t>14986-18F</t>
        </is>
      </c>
      <c r="B11" s="37" t="inlineStr">
        <is>
          <t>Wavemaker Labs</t>
        </is>
      </c>
      <c r="C11" s="38" t="inlineStr">
        <is>
          <t/>
        </is>
      </c>
      <c r="D11" s="39" t="inlineStr">
        <is>
          <t>Venture Capital - Early Stage</t>
        </is>
      </c>
      <c r="E11" s="40" t="n">
        <v>20.0</v>
      </c>
      <c r="F11" s="41" t="inlineStr">
        <is>
          <t>Singapore, Singapore</t>
        </is>
      </c>
      <c r="G11" s="42" t="inlineStr">
        <is>
          <t/>
        </is>
      </c>
      <c r="H11" s="43" t="n">
        <v>2012.0</v>
      </c>
      <c r="I11" s="44" t="n">
        <v>23.80952380952381</v>
      </c>
      <c r="J11" s="45" t="n">
        <v>4.761904761904762</v>
      </c>
      <c r="K11" s="46" t="n">
        <v>0.0</v>
      </c>
      <c r="L11" s="47" t="n">
        <v>3.8095238095238093</v>
      </c>
      <c r="M11" s="48" t="n">
        <v>28.571428571428573</v>
      </c>
      <c r="N11" s="49" t="inlineStr">
        <is>
          <t/>
        </is>
      </c>
      <c r="O11" s="50" t="inlineStr">
        <is>
          <t/>
        </is>
      </c>
      <c r="P11" s="51" t="inlineStr">
        <is>
          <t/>
        </is>
      </c>
      <c r="Q11" s="52" t="n">
        <v>0.8</v>
      </c>
      <c r="R11" s="53" t="inlineStr">
        <is>
          <t/>
        </is>
      </c>
      <c r="S11" s="54" t="n">
        <v>6.0</v>
      </c>
      <c r="T11" s="55" t="inlineStr">
        <is>
          <t/>
        </is>
      </c>
      <c r="U11" s="56" t="n">
        <v>6.8</v>
      </c>
      <c r="V11" s="57" t="inlineStr">
        <is>
          <t/>
        </is>
      </c>
      <c r="W11" s="58" t="inlineStr">
        <is>
          <t/>
        </is>
      </c>
      <c r="X11" s="59" t="inlineStr">
        <is>
          <t>GP Self Reporting</t>
        </is>
      </c>
      <c r="Y11" s="60" t="inlineStr">
        <is>
          <t>2016 Y</t>
        </is>
      </c>
      <c r="Z11" s="61" t="inlineStr">
        <is>
          <t>0 - 99M</t>
        </is>
      </c>
      <c r="AA11" s="62" t="inlineStr">
        <is>
          <t>Wavemaker Partners</t>
        </is>
      </c>
      <c r="AB11" s="63" t="inlineStr">
        <is>
          <t>Singapore, Singapore</t>
        </is>
      </c>
      <c r="AC11" s="64" t="inlineStr">
        <is>
          <t>Software</t>
        </is>
      </c>
      <c r="AD11" s="65" t="inlineStr">
        <is>
          <t>Early Stage VC, Seed Round, Accelerator/Incubator</t>
        </is>
      </c>
      <c r="AE11" s="66" t="inlineStr">
        <is>
          <t>Singapore</t>
        </is>
      </c>
      <c r="AF11" s="67" t="inlineStr">
        <is>
          <t>Wavemaker</t>
        </is>
      </c>
      <c r="AG11" s="232">
        <f>HYPERLINK("https://my.pitchbook.com?i=51755-50", "View Investor Online")</f>
      </c>
    </row>
    <row r="12">
      <c r="A12" s="69" t="inlineStr">
        <is>
          <t>12645-64F</t>
        </is>
      </c>
      <c r="B12" s="70" t="inlineStr">
        <is>
          <t>Cottonwood Technology Fund I</t>
        </is>
      </c>
      <c r="C12" s="71" t="inlineStr">
        <is>
          <t/>
        </is>
      </c>
      <c r="D12" s="72" t="inlineStr">
        <is>
          <t>Venture Capital - Early Stage</t>
        </is>
      </c>
      <c r="E12" s="73" t="n">
        <v>25.0</v>
      </c>
      <c r="F12" s="74" t="inlineStr">
        <is>
          <t>Enschede, Netherlands</t>
        </is>
      </c>
      <c r="G12" s="75" t="inlineStr">
        <is>
          <t/>
        </is>
      </c>
      <c r="H12" s="76" t="n">
        <v>2010.0</v>
      </c>
      <c r="I12" s="77" t="n">
        <v>96.0</v>
      </c>
      <c r="J12" s="78" t="n">
        <v>24.0</v>
      </c>
      <c r="K12" s="79" t="n">
        <v>0.0</v>
      </c>
      <c r="L12" s="80" t="n">
        <v>10.0</v>
      </c>
      <c r="M12" s="81" t="n">
        <v>150.0</v>
      </c>
      <c r="N12" s="82" t="inlineStr">
        <is>
          <t/>
        </is>
      </c>
      <c r="O12" s="83" t="inlineStr">
        <is>
          <t/>
        </is>
      </c>
      <c r="P12" s="84" t="inlineStr">
        <is>
          <t/>
        </is>
      </c>
      <c r="Q12" s="85" t="n">
        <v>0.417</v>
      </c>
      <c r="R12" s="86" t="inlineStr">
        <is>
          <t/>
        </is>
      </c>
      <c r="S12" s="87" t="n">
        <v>6.25</v>
      </c>
      <c r="T12" s="88" t="inlineStr">
        <is>
          <t/>
        </is>
      </c>
      <c r="U12" s="89" t="n">
        <v>6.67</v>
      </c>
      <c r="V12" s="90" t="inlineStr">
        <is>
          <t/>
        </is>
      </c>
      <c r="W12" s="91" t="inlineStr">
        <is>
          <t/>
        </is>
      </c>
      <c r="X12" s="92" t="inlineStr">
        <is>
          <t>GP Self Reporting</t>
        </is>
      </c>
      <c r="Y12" s="93" t="inlineStr">
        <is>
          <t>2019 Y</t>
        </is>
      </c>
      <c r="Z12" s="94" t="inlineStr">
        <is>
          <t>0 - 99M</t>
        </is>
      </c>
      <c r="AA12" s="95" t="inlineStr">
        <is>
          <t>Cottonwood Technology Fund</t>
        </is>
      </c>
      <c r="AB12" s="96" t="inlineStr">
        <is>
          <t>Santa Fe, NM</t>
        </is>
      </c>
      <c r="AC12" s="97" t="inlineStr">
        <is>
          <t>Energy, Healthcare, Communications and Networking, Other Materials</t>
        </is>
      </c>
      <c r="AD12" s="98" t="inlineStr">
        <is>
          <t>Seed Round, Early Stage VC</t>
        </is>
      </c>
      <c r="AE12" s="99" t="inlineStr">
        <is>
          <t>Southwest</t>
        </is>
      </c>
      <c r="AF12" s="100" t="inlineStr">
        <is>
          <t>CTF, Cottonwood</t>
        </is>
      </c>
      <c r="AG12" s="233">
        <f>HYPERLINK("https://my.pitchbook.com?i=42330-16", "View Investor Online")</f>
      </c>
    </row>
    <row r="13">
      <c r="A13" s="36" t="inlineStr">
        <is>
          <t>13965-22F</t>
        </is>
      </c>
      <c r="B13" s="37" t="inlineStr">
        <is>
          <t>Newion Investment II</t>
        </is>
      </c>
      <c r="C13" s="38" t="inlineStr">
        <is>
          <t/>
        </is>
      </c>
      <c r="D13" s="39" t="inlineStr">
        <is>
          <t>Venture Capital</t>
        </is>
      </c>
      <c r="E13" s="40" t="n">
        <v>67.58739</v>
      </c>
      <c r="F13" s="41" t="inlineStr">
        <is>
          <t>Amsterdam, Netherlands</t>
        </is>
      </c>
      <c r="G13" s="42" t="inlineStr">
        <is>
          <t/>
        </is>
      </c>
      <c r="H13" s="43" t="n">
        <v>2011.0</v>
      </c>
      <c r="I13" s="44" t="n">
        <v>62.5</v>
      </c>
      <c r="J13" s="45" t="n">
        <v>42.24211773816928</v>
      </c>
      <c r="K13" s="46" t="n">
        <v>0.0</v>
      </c>
      <c r="L13" s="47" t="n">
        <v>8.448423547633855</v>
      </c>
      <c r="M13" s="48" t="n">
        <v>250.63656524647104</v>
      </c>
      <c r="N13" s="49" t="n">
        <v>39.0</v>
      </c>
      <c r="O13" s="50" t="inlineStr">
        <is>
          <t/>
        </is>
      </c>
      <c r="P13" s="51" t="inlineStr">
        <is>
          <t/>
        </is>
      </c>
      <c r="Q13" s="52" t="n">
        <v>0.2</v>
      </c>
      <c r="R13" s="53" t="inlineStr">
        <is>
          <t/>
        </is>
      </c>
      <c r="S13" s="54" t="n">
        <v>5.933</v>
      </c>
      <c r="T13" s="55" t="inlineStr">
        <is>
          <t/>
        </is>
      </c>
      <c r="U13" s="56" t="n">
        <v>6.13</v>
      </c>
      <c r="V13" s="57" t="inlineStr">
        <is>
          <t/>
        </is>
      </c>
      <c r="W13" s="58" t="inlineStr">
        <is>
          <t/>
        </is>
      </c>
      <c r="X13" s="59" t="inlineStr">
        <is>
          <t>GP Self Reporting</t>
        </is>
      </c>
      <c r="Y13" s="60" t="inlineStr">
        <is>
          <t>2020 Y</t>
        </is>
      </c>
      <c r="Z13" s="61" t="inlineStr">
        <is>
          <t>0 - 99M</t>
        </is>
      </c>
      <c r="AA13" s="62" t="inlineStr">
        <is>
          <t>Newion Investments</t>
        </is>
      </c>
      <c r="AB13" s="63" t="inlineStr">
        <is>
          <t>Amsterdam, Netherlands</t>
        </is>
      </c>
      <c r="AC13" s="64" t="inlineStr">
        <is>
          <t>Software</t>
        </is>
      </c>
      <c r="AD13" s="65" t="inlineStr">
        <is>
          <t>Seed Round, Early Stage VC, Later Stage VC</t>
        </is>
      </c>
      <c r="AE13" s="66" t="inlineStr">
        <is>
          <t>Luxembourg, Belgium, Netherlands</t>
        </is>
      </c>
      <c r="AF13" s="67" t="inlineStr">
        <is>
          <t>Newion, Newion Partners</t>
        </is>
      </c>
      <c r="AG13" s="232">
        <f>HYPERLINK("https://my.pitchbook.com?i=56070-01", "View Investor Online")</f>
      </c>
    </row>
    <row r="14">
      <c r="A14" s="69" t="inlineStr">
        <is>
          <t>13620-25F</t>
        </is>
      </c>
      <c r="B14" s="70" t="inlineStr">
        <is>
          <t>Foresite Capital Fund I</t>
        </is>
      </c>
      <c r="C14" s="71" t="inlineStr">
        <is>
          <t/>
        </is>
      </c>
      <c r="D14" s="72" t="inlineStr">
        <is>
          <t>Venture Capital - Later Stage</t>
        </is>
      </c>
      <c r="E14" s="73" t="n">
        <v>100.0</v>
      </c>
      <c r="F14" s="74" t="inlineStr">
        <is>
          <t>San Francisco, CA</t>
        </is>
      </c>
      <c r="G14" s="75" t="inlineStr">
        <is>
          <t/>
        </is>
      </c>
      <c r="H14" s="76" t="n">
        <v>2013.0</v>
      </c>
      <c r="I14" s="77" t="n">
        <v>83.125</v>
      </c>
      <c r="J14" s="78" t="n">
        <v>83.125</v>
      </c>
      <c r="K14" s="79" t="n">
        <v>16.875</v>
      </c>
      <c r="L14" s="80" t="n">
        <v>196.692</v>
      </c>
      <c r="M14" s="81" t="n">
        <v>301.956</v>
      </c>
      <c r="N14" s="82" t="n">
        <v>72.2</v>
      </c>
      <c r="O14" s="83" t="inlineStr">
        <is>
          <t/>
        </is>
      </c>
      <c r="P14" s="84" t="inlineStr">
        <is>
          <t/>
        </is>
      </c>
      <c r="Q14" s="85" t="n">
        <v>2.37</v>
      </c>
      <c r="R14" s="86" t="inlineStr">
        <is>
          <t/>
        </is>
      </c>
      <c r="S14" s="87" t="n">
        <v>3.63</v>
      </c>
      <c r="T14" s="88" t="inlineStr">
        <is>
          <t/>
        </is>
      </c>
      <c r="U14" s="89" t="n">
        <v>6.0</v>
      </c>
      <c r="V14" s="90" t="inlineStr">
        <is>
          <t/>
        </is>
      </c>
      <c r="W14" s="91" t="inlineStr">
        <is>
          <t/>
        </is>
      </c>
      <c r="X14" s="92" t="inlineStr">
        <is>
          <t>GP Self Reporting</t>
        </is>
      </c>
      <c r="Y14" s="93" t="inlineStr">
        <is>
          <t>2020 Y</t>
        </is>
      </c>
      <c r="Z14" s="94" t="inlineStr">
        <is>
          <t>100M - 249M</t>
        </is>
      </c>
      <c r="AA14" s="95" t="inlineStr">
        <is>
          <t>Foresite Capital Management</t>
        </is>
      </c>
      <c r="AB14" s="96" t="inlineStr">
        <is>
          <t>San Francisco, CA</t>
        </is>
      </c>
      <c r="AC14" s="97" t="inlineStr">
        <is>
          <t>Pharmaceuticals and Biotechnology</t>
        </is>
      </c>
      <c r="AD14" s="98" t="inlineStr">
        <is>
          <t>Later Stage VC</t>
        </is>
      </c>
      <c r="AE14" s="99" t="inlineStr">
        <is>
          <t/>
        </is>
      </c>
      <c r="AF14" s="100" t="inlineStr">
        <is>
          <t>Foresite Capital</t>
        </is>
      </c>
      <c r="AG14" s="233">
        <f>HYPERLINK("https://my.pitchbook.com?i=54064-81", "View Investor Online")</f>
      </c>
    </row>
    <row r="15">
      <c r="A15" s="36" t="inlineStr">
        <is>
          <t>13341-43F</t>
        </is>
      </c>
      <c r="B15" s="37" t="inlineStr">
        <is>
          <t>Signal Peak Technology Ventures</t>
        </is>
      </c>
      <c r="C15" s="38" t="inlineStr">
        <is>
          <t/>
        </is>
      </c>
      <c r="D15" s="39" t="inlineStr">
        <is>
          <t>Venture Capital</t>
        </is>
      </c>
      <c r="E15" s="40" t="n">
        <v>33.0</v>
      </c>
      <c r="F15" s="41" t="inlineStr">
        <is>
          <t>Salt Lake City, UT</t>
        </is>
      </c>
      <c r="G15" s="42" t="n">
        <v>1.0</v>
      </c>
      <c r="H15" s="43" t="n">
        <v>2011.0</v>
      </c>
      <c r="I15" s="44" t="n">
        <v>100.0</v>
      </c>
      <c r="J15" s="45" t="n">
        <v>33.0</v>
      </c>
      <c r="K15" s="46" t="n">
        <v>0.0</v>
      </c>
      <c r="L15" s="47" t="n">
        <v>108.3</v>
      </c>
      <c r="M15" s="48" t="n">
        <v>80.8</v>
      </c>
      <c r="N15" s="49" t="n">
        <v>51.7</v>
      </c>
      <c r="O15" s="50" t="inlineStr">
        <is>
          <t/>
        </is>
      </c>
      <c r="P15" s="51" t="n">
        <v>40.6</v>
      </c>
      <c r="Q15" s="52" t="n">
        <v>3.281818182</v>
      </c>
      <c r="R15" s="53" t="n">
        <v>3.091818182</v>
      </c>
      <c r="S15" s="54" t="n">
        <v>2.448484848</v>
      </c>
      <c r="T15" s="55" t="n">
        <v>1.289384848</v>
      </c>
      <c r="U15" s="56" t="n">
        <v>5.73</v>
      </c>
      <c r="V15" s="57" t="n">
        <v>4.2</v>
      </c>
      <c r="W15" s="58" t="inlineStr">
        <is>
          <t/>
        </is>
      </c>
      <c r="X15" s="59" t="inlineStr">
        <is>
          <t>GP Self Reporting</t>
        </is>
      </c>
      <c r="Y15" s="60" t="inlineStr">
        <is>
          <t>2017 Y</t>
        </is>
      </c>
      <c r="Z15" s="61" t="inlineStr">
        <is>
          <t>0 - 99M</t>
        </is>
      </c>
      <c r="AA15" s="62" t="inlineStr">
        <is>
          <t>Signal Peak Ventures</t>
        </is>
      </c>
      <c r="AB15" s="63" t="inlineStr">
        <is>
          <t>Salt Lake City, UT</t>
        </is>
      </c>
      <c r="AC15" s="64" t="inlineStr">
        <is>
          <t>Software, Pharmaceuticals and Biotechnology</t>
        </is>
      </c>
      <c r="AD15" s="65" t="inlineStr">
        <is>
          <t>Seed Round, Early Stage VC, Later Stage VC</t>
        </is>
      </c>
      <c r="AE15" s="66" t="inlineStr">
        <is>
          <t/>
        </is>
      </c>
      <c r="AF15" s="67" t="inlineStr">
        <is>
          <t>Signal Peak, SPV</t>
        </is>
      </c>
      <c r="AG15" s="232">
        <f>HYPERLINK("https://my.pitchbook.com?i=11331-01", "View Investor Online")</f>
      </c>
    </row>
    <row r="16">
      <c r="A16" s="69" t="inlineStr">
        <is>
          <t>13527-55F</t>
        </is>
      </c>
      <c r="B16" s="70" t="inlineStr">
        <is>
          <t>A.M. Pappas Life Science Ventures V</t>
        </is>
      </c>
      <c r="C16" s="71" t="inlineStr">
        <is>
          <t/>
        </is>
      </c>
      <c r="D16" s="72" t="inlineStr">
        <is>
          <t>Venture Capital</t>
        </is>
      </c>
      <c r="E16" s="73" t="n">
        <v>94.0</v>
      </c>
      <c r="F16" s="74" t="inlineStr">
        <is>
          <t>Durham, NC</t>
        </is>
      </c>
      <c r="G16" s="75" t="inlineStr">
        <is>
          <t/>
        </is>
      </c>
      <c r="H16" s="76" t="n">
        <v>2017.0</v>
      </c>
      <c r="I16" s="77" t="n">
        <v>50.74999920752957</v>
      </c>
      <c r="J16" s="78" t="n">
        <v>47.704999255077794</v>
      </c>
      <c r="K16" s="79" t="n">
        <v>46.295000744922206</v>
      </c>
      <c r="L16" s="80" t="n">
        <v>220.96580696976307</v>
      </c>
      <c r="M16" s="81" t="n">
        <v>42.16796484082439</v>
      </c>
      <c r="N16" s="82" t="inlineStr">
        <is>
          <t/>
        </is>
      </c>
      <c r="O16" s="83" t="inlineStr">
        <is>
          <t/>
        </is>
      </c>
      <c r="P16" s="84" t="inlineStr">
        <is>
          <t/>
        </is>
      </c>
      <c r="Q16" s="85" t="n">
        <v>4.632</v>
      </c>
      <c r="R16" s="86" t="n">
        <v>4.632</v>
      </c>
      <c r="S16" s="87" t="n">
        <v>0.88</v>
      </c>
      <c r="T16" s="88" t="n">
        <v>-0.26061999999999996</v>
      </c>
      <c r="U16" s="89" t="n">
        <v>5.51</v>
      </c>
      <c r="V16" s="90" t="n">
        <v>4.234999999999999</v>
      </c>
      <c r="W16" s="91" t="inlineStr">
        <is>
          <t/>
        </is>
      </c>
      <c r="X16" s="92" t="inlineStr">
        <is>
          <t>GP Self Reporting</t>
        </is>
      </c>
      <c r="Y16" s="93" t="inlineStr">
        <is>
          <t>2020 Y</t>
        </is>
      </c>
      <c r="Z16" s="94" t="inlineStr">
        <is>
          <t>0 - 99M</t>
        </is>
      </c>
      <c r="AA16" s="95" t="inlineStr">
        <is>
          <t>Pappas Capital</t>
        </is>
      </c>
      <c r="AB16" s="96" t="inlineStr">
        <is>
          <t>Durham, NC</t>
        </is>
      </c>
      <c r="AC16" s="97" t="inlineStr">
        <is>
          <t>Pharmaceuticals and Biotechnology</t>
        </is>
      </c>
      <c r="AD16" s="98" t="inlineStr">
        <is>
          <t>Seed Round, Early Stage VC, Later Stage VC</t>
        </is>
      </c>
      <c r="AE16" s="99" t="inlineStr">
        <is>
          <t>Canada, United States</t>
        </is>
      </c>
      <c r="AF16" s="100" t="inlineStr">
        <is>
          <t>Pappas</t>
        </is>
      </c>
      <c r="AG16" s="233">
        <f>HYPERLINK("https://my.pitchbook.com?i=11108-98", "View Investor Online")</f>
      </c>
    </row>
    <row r="17">
      <c r="A17" s="36" t="inlineStr">
        <is>
          <t>13544-56F</t>
        </is>
      </c>
      <c r="B17" s="37" t="inlineStr">
        <is>
          <t>Vickers Venture Fund IV</t>
        </is>
      </c>
      <c r="C17" s="38" t="inlineStr">
        <is>
          <t/>
        </is>
      </c>
      <c r="D17" s="39" t="inlineStr">
        <is>
          <t>Venture Capital</t>
        </is>
      </c>
      <c r="E17" s="40" t="n">
        <v>81.1</v>
      </c>
      <c r="F17" s="41" t="inlineStr">
        <is>
          <t>Singapore, Singapore</t>
        </is>
      </c>
      <c r="G17" s="42" t="inlineStr">
        <is>
          <t/>
        </is>
      </c>
      <c r="H17" s="43" t="n">
        <v>2012.0</v>
      </c>
      <c r="I17" s="44" t="n">
        <v>100.0</v>
      </c>
      <c r="J17" s="45" t="n">
        <v>81.1</v>
      </c>
      <c r="K17" s="46" t="inlineStr">
        <is>
          <t/>
        </is>
      </c>
      <c r="L17" s="47" t="inlineStr">
        <is>
          <t/>
        </is>
      </c>
      <c r="M17" s="48" t="inlineStr">
        <is>
          <t/>
        </is>
      </c>
      <c r="N17" s="49" t="n">
        <v>31.0</v>
      </c>
      <c r="O17" s="50" t="inlineStr">
        <is>
          <t/>
        </is>
      </c>
      <c r="P17" s="51" t="inlineStr">
        <is>
          <t/>
        </is>
      </c>
      <c r="Q17" s="52" t="inlineStr">
        <is>
          <t/>
        </is>
      </c>
      <c r="R17" s="53" t="inlineStr">
        <is>
          <t/>
        </is>
      </c>
      <c r="S17" s="54" t="inlineStr">
        <is>
          <t/>
        </is>
      </c>
      <c r="T17" s="55" t="inlineStr">
        <is>
          <t/>
        </is>
      </c>
      <c r="U17" s="56" t="n">
        <v>5.16</v>
      </c>
      <c r="V17" s="57" t="inlineStr">
        <is>
          <t/>
        </is>
      </c>
      <c r="W17" s="58" t="inlineStr">
        <is>
          <t/>
        </is>
      </c>
      <c r="X17" s="59" t="inlineStr">
        <is>
          <t>GP Self Reporting</t>
        </is>
      </c>
      <c r="Y17" s="60" t="inlineStr">
        <is>
          <t>2019 Y</t>
        </is>
      </c>
      <c r="Z17" s="61" t="inlineStr">
        <is>
          <t>0 - 99M</t>
        </is>
      </c>
      <c r="AA17" s="62" t="inlineStr">
        <is>
          <t>Vickers Venture Partners</t>
        </is>
      </c>
      <c r="AB17" s="63" t="inlineStr">
        <is>
          <t>Singapore, Singapore</t>
        </is>
      </c>
      <c r="AC17" s="64" t="inlineStr">
        <is>
          <t>Software</t>
        </is>
      </c>
      <c r="AD17" s="65" t="inlineStr">
        <is>
          <t>Seed Round, Early Stage VC, Later Stage VC</t>
        </is>
      </c>
      <c r="AE17" s="66" t="inlineStr">
        <is>
          <t/>
        </is>
      </c>
      <c r="AF17" s="67" t="inlineStr">
        <is>
          <t>Vickers</t>
        </is>
      </c>
      <c r="AG17" s="232">
        <f>HYPERLINK("https://my.pitchbook.com?i=54942-40", "View Investor Online")</f>
      </c>
    </row>
    <row r="18">
      <c r="A18" s="69" t="inlineStr">
        <is>
          <t>14912-65F</t>
        </is>
      </c>
      <c r="B18" s="70" t="inlineStr">
        <is>
          <t>Social Leverage Capital Fund II</t>
        </is>
      </c>
      <c r="C18" s="71" t="inlineStr">
        <is>
          <t/>
        </is>
      </c>
      <c r="D18" s="72" t="inlineStr">
        <is>
          <t>Venture Capital</t>
        </is>
      </c>
      <c r="E18" s="73" t="n">
        <v>20.8</v>
      </c>
      <c r="F18" s="74" t="inlineStr">
        <is>
          <t>Phoenix, AZ</t>
        </is>
      </c>
      <c r="G18" s="75" t="n">
        <v>1.0</v>
      </c>
      <c r="H18" s="76" t="n">
        <v>2016.0</v>
      </c>
      <c r="I18" s="77" t="n">
        <v>100.0</v>
      </c>
      <c r="J18" s="78" t="n">
        <v>20.8</v>
      </c>
      <c r="K18" s="79" t="n">
        <v>0.0</v>
      </c>
      <c r="L18" s="80" t="n">
        <v>8.4</v>
      </c>
      <c r="M18" s="81" t="n">
        <v>95.22</v>
      </c>
      <c r="N18" s="82" t="n">
        <v>44.54</v>
      </c>
      <c r="O18" s="83" t="inlineStr">
        <is>
          <t/>
        </is>
      </c>
      <c r="P18" s="84" t="n">
        <v>24.02</v>
      </c>
      <c r="Q18" s="85" t="n">
        <v>0.403846154</v>
      </c>
      <c r="R18" s="86" t="n">
        <v>0.34364615400000004</v>
      </c>
      <c r="S18" s="87" t="n">
        <v>4.577884615</v>
      </c>
      <c r="T18" s="88" t="n">
        <v>3.4078846150000004</v>
      </c>
      <c r="U18" s="89" t="n">
        <v>4.98</v>
      </c>
      <c r="V18" s="90" t="n">
        <v>3.7200000000000006</v>
      </c>
      <c r="W18" s="91" t="inlineStr">
        <is>
          <t/>
        </is>
      </c>
      <c r="X18" s="92" t="inlineStr">
        <is>
          <t>GP Self Reporting</t>
        </is>
      </c>
      <c r="Y18" s="93" t="inlineStr">
        <is>
          <t>2020 Y</t>
        </is>
      </c>
      <c r="Z18" s="94" t="inlineStr">
        <is>
          <t>0 - 99M</t>
        </is>
      </c>
      <c r="AA18" s="95" t="inlineStr">
        <is>
          <t>Social Leverage</t>
        </is>
      </c>
      <c r="AB18" s="96" t="inlineStr">
        <is>
          <t>Phoenix, AZ</t>
        </is>
      </c>
      <c r="AC18" s="97" t="inlineStr">
        <is>
          <t>Software</t>
        </is>
      </c>
      <c r="AD18" s="98" t="inlineStr">
        <is>
          <t>Seed Round, Early Stage VC, Later Stage VC</t>
        </is>
      </c>
      <c r="AE18" s="99" t="inlineStr">
        <is>
          <t>North America</t>
        </is>
      </c>
      <c r="AF18" s="100" t="inlineStr">
        <is>
          <t>SLC, SL</t>
        </is>
      </c>
      <c r="AG18" s="233">
        <f>HYPERLINK("https://my.pitchbook.com?i=51468-94", "View Investor Online")</f>
      </c>
    </row>
    <row r="19">
      <c r="A19" s="36" t="inlineStr">
        <is>
          <t>13720-69F</t>
        </is>
      </c>
      <c r="B19" s="37" t="inlineStr">
        <is>
          <t>Pear Ventures I</t>
        </is>
      </c>
      <c r="C19" s="38" t="inlineStr">
        <is>
          <t>Pejman Mar Ventures</t>
        </is>
      </c>
      <c r="D19" s="39" t="inlineStr">
        <is>
          <t>Venture Capital</t>
        </is>
      </c>
      <c r="E19" s="40" t="n">
        <v>50.0</v>
      </c>
      <c r="F19" s="41" t="inlineStr">
        <is>
          <t>Palo Alto, CA</t>
        </is>
      </c>
      <c r="G19" s="42" t="n">
        <v>1.0</v>
      </c>
      <c r="H19" s="43" t="n">
        <v>2013.0</v>
      </c>
      <c r="I19" s="44" t="n">
        <v>100.0</v>
      </c>
      <c r="J19" s="45" t="n">
        <v>50.213</v>
      </c>
      <c r="K19" s="46" t="n">
        <v>0.0</v>
      </c>
      <c r="L19" s="47" t="n">
        <v>19.4</v>
      </c>
      <c r="M19" s="48" t="n">
        <v>201.4</v>
      </c>
      <c r="N19" s="49" t="n">
        <v>32.76</v>
      </c>
      <c r="O19" s="50" t="inlineStr">
        <is>
          <t/>
        </is>
      </c>
      <c r="P19" s="51" t="n">
        <v>24.599999999999998</v>
      </c>
      <c r="Q19" s="52" t="n">
        <v>0.386</v>
      </c>
      <c r="R19" s="53" t="n">
        <v>0.30136</v>
      </c>
      <c r="S19" s="54" t="n">
        <v>4.011</v>
      </c>
      <c r="T19" s="55" t="n">
        <v>2.94874</v>
      </c>
      <c r="U19" s="56" t="n">
        <v>4.3999999999999995</v>
      </c>
      <c r="V19" s="57" t="n">
        <v>3.1549999999999994</v>
      </c>
      <c r="W19" s="58" t="inlineStr">
        <is>
          <t/>
        </is>
      </c>
      <c r="X19" s="59" t="inlineStr">
        <is>
          <t>GP Self Reporting</t>
        </is>
      </c>
      <c r="Y19" s="60" t="inlineStr">
        <is>
          <t>2020 Y</t>
        </is>
      </c>
      <c r="Z19" s="61" t="inlineStr">
        <is>
          <t>0 - 99M</t>
        </is>
      </c>
      <c r="AA19" s="62" t="inlineStr">
        <is>
          <t>Pear</t>
        </is>
      </c>
      <c r="AB19" s="63" t="inlineStr">
        <is>
          <t>Palo Alto, CA</t>
        </is>
      </c>
      <c r="AC19" s="64" t="inlineStr">
        <is>
          <t>Software</t>
        </is>
      </c>
      <c r="AD19" s="65" t="inlineStr">
        <is>
          <t>Seed Round, Early Stage VC, Later Stage VC</t>
        </is>
      </c>
      <c r="AE19" s="66" t="inlineStr">
        <is>
          <t/>
        </is>
      </c>
      <c r="AF19" s="67" t="inlineStr">
        <is>
          <t>Pear</t>
        </is>
      </c>
      <c r="AG19" s="232">
        <f>HYPERLINK("https://my.pitchbook.com?i=58373-20", "View Investor Online")</f>
      </c>
    </row>
    <row r="20">
      <c r="A20" s="69" t="inlineStr">
        <is>
          <t>13883-50F</t>
        </is>
      </c>
      <c r="B20" s="70" t="inlineStr">
        <is>
          <t>RiverVest Venture Fund III</t>
        </is>
      </c>
      <c r="C20" s="71" t="inlineStr">
        <is>
          <t/>
        </is>
      </c>
      <c r="D20" s="72" t="inlineStr">
        <is>
          <t>Venture Capital - Early Stage</t>
        </is>
      </c>
      <c r="E20" s="73" t="n">
        <v>80.2</v>
      </c>
      <c r="F20" s="74" t="inlineStr">
        <is>
          <t>Saint Louis, MO</t>
        </is>
      </c>
      <c r="G20" s="75" t="n">
        <v>1.0</v>
      </c>
      <c r="H20" s="76" t="n">
        <v>2014.0</v>
      </c>
      <c r="I20" s="77" t="n">
        <v>98.69077306733168</v>
      </c>
      <c r="J20" s="78" t="n">
        <v>79.15</v>
      </c>
      <c r="K20" s="79" t="n">
        <v>0.0</v>
      </c>
      <c r="L20" s="80" t="n">
        <v>2.967</v>
      </c>
      <c r="M20" s="81" t="n">
        <v>323.3</v>
      </c>
      <c r="N20" s="82" t="n">
        <v>48.89</v>
      </c>
      <c r="O20" s="83" t="inlineStr">
        <is>
          <t/>
        </is>
      </c>
      <c r="P20" s="84" t="n">
        <v>34.14</v>
      </c>
      <c r="Q20" s="85" t="n">
        <v>0.04</v>
      </c>
      <c r="R20" s="86" t="n">
        <v>-0.07999999999999999</v>
      </c>
      <c r="S20" s="87" t="n">
        <v>4.08</v>
      </c>
      <c r="T20" s="88" t="n">
        <v>2.875</v>
      </c>
      <c r="U20" s="89" t="n">
        <v>4.12</v>
      </c>
      <c r="V20" s="90" t="n">
        <v>2.4800000000000004</v>
      </c>
      <c r="W20" s="91" t="inlineStr">
        <is>
          <t/>
        </is>
      </c>
      <c r="X20" s="92" t="inlineStr">
        <is>
          <t>GP Self Reporting</t>
        </is>
      </c>
      <c r="Y20" s="93" t="inlineStr">
        <is>
          <t>2019 Y</t>
        </is>
      </c>
      <c r="Z20" s="94" t="inlineStr">
        <is>
          <t>0 - 99M</t>
        </is>
      </c>
      <c r="AA20" s="95" t="inlineStr">
        <is>
          <t>RiverVest Venture Partners</t>
        </is>
      </c>
      <c r="AB20" s="96" t="inlineStr">
        <is>
          <t>Saint Louis, MO</t>
        </is>
      </c>
      <c r="AC20" s="97" t="inlineStr">
        <is>
          <t>Pharmaceuticals and Biotechnology</t>
        </is>
      </c>
      <c r="AD20" s="98" t="inlineStr">
        <is>
          <t>Seed Round, Early Stage VC</t>
        </is>
      </c>
      <c r="AE20" s="99" t="inlineStr">
        <is>
          <t/>
        </is>
      </c>
      <c r="AF20" s="100" t="inlineStr">
        <is>
          <t>RiverVest, RiverVest Venture Partners Limited Liability Company, RiverVest Venture Management Limited Liability Company</t>
        </is>
      </c>
      <c r="AG20" s="233">
        <f>HYPERLINK("https://my.pitchbook.com?i=11286-73", "View Investor Online")</f>
      </c>
    </row>
    <row r="21">
      <c r="A21" s="36" t="inlineStr">
        <is>
          <t>13417-12F</t>
        </is>
      </c>
      <c r="B21" s="37" t="inlineStr">
        <is>
          <t>Artis Ventures I</t>
        </is>
      </c>
      <c r="C21" s="38" t="inlineStr">
        <is>
          <t/>
        </is>
      </c>
      <c r="D21" s="39" t="inlineStr">
        <is>
          <t>Venture Capital</t>
        </is>
      </c>
      <c r="E21" s="40" t="n">
        <v>95.0</v>
      </c>
      <c r="F21" s="41" t="inlineStr">
        <is>
          <t>San Francisco, CA</t>
        </is>
      </c>
      <c r="G21" s="42" t="n">
        <v>2.0</v>
      </c>
      <c r="H21" s="43" t="n">
        <v>2010.0</v>
      </c>
      <c r="I21" s="44" t="n">
        <v>64.94736842105263</v>
      </c>
      <c r="J21" s="45" t="n">
        <v>61.7</v>
      </c>
      <c r="K21" s="46" t="n">
        <v>2.389807333333333</v>
      </c>
      <c r="L21" s="47" t="n">
        <v>205.46</v>
      </c>
      <c r="M21" s="48" t="n">
        <v>27.590000000000003</v>
      </c>
      <c r="N21" s="49" t="n">
        <v>32.2</v>
      </c>
      <c r="O21" s="50" t="inlineStr">
        <is>
          <t/>
        </is>
      </c>
      <c r="P21" s="51" t="n">
        <v>10.700000000000003</v>
      </c>
      <c r="Q21" s="52" t="n">
        <v>3.329983793</v>
      </c>
      <c r="R21" s="53" t="n">
        <v>2.509983793</v>
      </c>
      <c r="S21" s="54" t="n">
        <v>0.447163695</v>
      </c>
      <c r="T21" s="55" t="n">
        <v>-0.22646630499999992</v>
      </c>
      <c r="U21" s="56" t="n">
        <v>3.7800000000000002</v>
      </c>
      <c r="V21" s="57" t="n">
        <v>2.4800000000000004</v>
      </c>
      <c r="W21" s="58" t="inlineStr">
        <is>
          <t/>
        </is>
      </c>
      <c r="X21" s="59" t="inlineStr">
        <is>
          <t>GP Self Reporting</t>
        </is>
      </c>
      <c r="Y21" s="60" t="inlineStr">
        <is>
          <t>2018 Y</t>
        </is>
      </c>
      <c r="Z21" s="61" t="inlineStr">
        <is>
          <t>0 - 99M</t>
        </is>
      </c>
      <c r="AA21" s="62" t="inlineStr">
        <is>
          <t>ARTIS Ventures</t>
        </is>
      </c>
      <c r="AB21" s="63" t="inlineStr">
        <is>
          <t>San Francisco, CA</t>
        </is>
      </c>
      <c r="AC21" s="64" t="inlineStr">
        <is>
          <t>Information Technology, Healthcare, Software</t>
        </is>
      </c>
      <c r="AD21" s="65" t="inlineStr">
        <is>
          <t>Seed Round, Early Stage VC, Later Stage VC</t>
        </is>
      </c>
      <c r="AE21" s="66" t="inlineStr">
        <is>
          <t/>
        </is>
      </c>
      <c r="AF21" s="67" t="inlineStr">
        <is>
          <t>ARTIS</t>
        </is>
      </c>
      <c r="AG21" s="232">
        <f>HYPERLINK("https://my.pitchbook.com?i=40993-12", "View Investor Online")</f>
      </c>
    </row>
    <row r="22">
      <c r="A22" s="69" t="inlineStr">
        <is>
          <t>15282-37F</t>
        </is>
      </c>
      <c r="B22" s="70" t="inlineStr">
        <is>
          <t>Openspace Ventures I</t>
        </is>
      </c>
      <c r="C22" s="71" t="inlineStr">
        <is>
          <t>NSI Ventures Fund</t>
        </is>
      </c>
      <c r="D22" s="72" t="inlineStr">
        <is>
          <t>Venture Capital - Early Stage</t>
        </is>
      </c>
      <c r="E22" s="73" t="n">
        <v>90.0</v>
      </c>
      <c r="F22" s="74" t="inlineStr">
        <is>
          <t>Singapore, Singapore</t>
        </is>
      </c>
      <c r="G22" s="75" t="inlineStr">
        <is>
          <t/>
        </is>
      </c>
      <c r="H22" s="76" t="n">
        <v>2014.0</v>
      </c>
      <c r="I22" s="77" t="n">
        <v>94.66666666666667</v>
      </c>
      <c r="J22" s="78" t="n">
        <v>85.2</v>
      </c>
      <c r="K22" s="79" t="n">
        <v>4.8</v>
      </c>
      <c r="L22" s="80" t="n">
        <v>31.8</v>
      </c>
      <c r="M22" s="81" t="n">
        <v>261.0</v>
      </c>
      <c r="N22" s="82" t="n">
        <v>37.0</v>
      </c>
      <c r="O22" s="83" t="inlineStr">
        <is>
          <t/>
        </is>
      </c>
      <c r="P22" s="84" t="inlineStr">
        <is>
          <t/>
        </is>
      </c>
      <c r="Q22" s="85" t="n">
        <v>0.37</v>
      </c>
      <c r="R22" s="86" t="inlineStr">
        <is>
          <t/>
        </is>
      </c>
      <c r="S22" s="87" t="n">
        <v>3.06</v>
      </c>
      <c r="T22" s="88" t="inlineStr">
        <is>
          <t/>
        </is>
      </c>
      <c r="U22" s="89" t="n">
        <v>3.43</v>
      </c>
      <c r="V22" s="90" t="inlineStr">
        <is>
          <t/>
        </is>
      </c>
      <c r="W22" s="91" t="inlineStr">
        <is>
          <t/>
        </is>
      </c>
      <c r="X22" s="92" t="inlineStr">
        <is>
          <t>GP Self Reporting</t>
        </is>
      </c>
      <c r="Y22" s="93" t="inlineStr">
        <is>
          <t>2020 Y</t>
        </is>
      </c>
      <c r="Z22" s="94" t="inlineStr">
        <is>
          <t>0 - 99M</t>
        </is>
      </c>
      <c r="AA22" s="95" t="inlineStr">
        <is>
          <t>Openspace Ventures</t>
        </is>
      </c>
      <c r="AB22" s="96" t="inlineStr">
        <is>
          <t>Singapore, Singapore</t>
        </is>
      </c>
      <c r="AC22" s="97" t="inlineStr">
        <is>
          <t>Computer Hardware, Financial Software</t>
        </is>
      </c>
      <c r="AD22" s="98" t="inlineStr">
        <is>
          <t>Seed Round, Early Stage VC</t>
        </is>
      </c>
      <c r="AE22" s="99" t="inlineStr">
        <is>
          <t/>
        </is>
      </c>
      <c r="AF22" s="100" t="inlineStr">
        <is>
          <t>NSI</t>
        </is>
      </c>
      <c r="AG22" s="233">
        <f>HYPERLINK("https://my.pitchbook.com?i=111526-12", "View Investor Online")</f>
      </c>
    </row>
    <row r="23">
      <c r="A23" s="36" t="inlineStr">
        <is>
          <t>12967-21F</t>
        </is>
      </c>
      <c r="B23" s="37" t="inlineStr">
        <is>
          <t>SoftTech VC III</t>
        </is>
      </c>
      <c r="C23" s="38" t="inlineStr">
        <is>
          <t/>
        </is>
      </c>
      <c r="D23" s="39" t="inlineStr">
        <is>
          <t>Venture Capital - Early Stage</t>
        </is>
      </c>
      <c r="E23" s="40" t="n">
        <v>55.0</v>
      </c>
      <c r="F23" s="41" t="inlineStr">
        <is>
          <t>Palo Alto, CA</t>
        </is>
      </c>
      <c r="G23" s="42" t="n">
        <v>1.0</v>
      </c>
      <c r="H23" s="43" t="n">
        <v>2011.0</v>
      </c>
      <c r="I23" s="44" t="n">
        <v>92.5</v>
      </c>
      <c r="J23" s="45" t="n">
        <v>50.875</v>
      </c>
      <c r="K23" s="46" t="n">
        <v>4.125</v>
      </c>
      <c r="L23" s="47" t="n">
        <v>63.837081</v>
      </c>
      <c r="M23" s="48" t="n">
        <v>108.4090645</v>
      </c>
      <c r="N23" s="49" t="n">
        <v>21.5</v>
      </c>
      <c r="O23" s="50" t="inlineStr">
        <is>
          <t/>
        </is>
      </c>
      <c r="P23" s="51" t="n">
        <v>8.93</v>
      </c>
      <c r="Q23" s="52" t="n">
        <v>1.25</v>
      </c>
      <c r="R23" s="53" t="n">
        <v>0.9748</v>
      </c>
      <c r="S23" s="54" t="n">
        <v>2.13</v>
      </c>
      <c r="T23" s="55" t="n">
        <v>0.6699999999999999</v>
      </c>
      <c r="U23" s="56" t="n">
        <v>3.38</v>
      </c>
      <c r="V23" s="57" t="n">
        <v>1.5699999999999998</v>
      </c>
      <c r="W23" s="58" t="inlineStr">
        <is>
          <t/>
        </is>
      </c>
      <c r="X23" s="59" t="inlineStr">
        <is>
          <t>LP Original Commitments</t>
        </is>
      </c>
      <c r="Y23" s="60" t="inlineStr">
        <is>
          <t>2019 Y</t>
        </is>
      </c>
      <c r="Z23" s="61" t="inlineStr">
        <is>
          <t>0 - 99M</t>
        </is>
      </c>
      <c r="AA23" s="62" t="inlineStr">
        <is>
          <t>Uncork Capital</t>
        </is>
      </c>
      <c r="AB23" s="63" t="inlineStr">
        <is>
          <t>Palo Alto, CA</t>
        </is>
      </c>
      <c r="AC23" s="64" t="inlineStr">
        <is>
          <t>Software</t>
        </is>
      </c>
      <c r="AD23" s="65" t="inlineStr">
        <is>
          <t>Early Stage VC, Angel (individual), Seed Round</t>
        </is>
      </c>
      <c r="AE23" s="66" t="inlineStr">
        <is>
          <t>United States</t>
        </is>
      </c>
      <c r="AF23" s="67" t="inlineStr">
        <is>
          <t>SDCERS</t>
        </is>
      </c>
      <c r="AG23" s="232">
        <f>HYPERLINK("https://my.pitchbook.com?i=48176-38", "View Investor Online")</f>
      </c>
    </row>
    <row r="24">
      <c r="A24" s="69" t="inlineStr">
        <is>
          <t>14816-62F</t>
        </is>
      </c>
      <c r="B24" s="70" t="inlineStr">
        <is>
          <t>Notion Capital 1</t>
        </is>
      </c>
      <c r="C24" s="71" t="inlineStr">
        <is>
          <t/>
        </is>
      </c>
      <c r="D24" s="72" t="inlineStr">
        <is>
          <t>Venture Capital</t>
        </is>
      </c>
      <c r="E24" s="73" t="n">
        <v>33.66987</v>
      </c>
      <c r="F24" s="74" t="inlineStr">
        <is>
          <t>London, United Kingdom</t>
        </is>
      </c>
      <c r="G24" s="75" t="n">
        <v>2.0</v>
      </c>
      <c r="H24" s="76" t="n">
        <v>2009.0</v>
      </c>
      <c r="I24" s="77" t="n">
        <v>100.0</v>
      </c>
      <c r="J24" s="78" t="n">
        <v>38.351987893486104</v>
      </c>
      <c r="K24" s="79" t="n">
        <v>0.0</v>
      </c>
      <c r="L24" s="80" t="n">
        <v>84.15553459457087</v>
      </c>
      <c r="M24" s="81" t="n">
        <v>42.02007927546345</v>
      </c>
      <c r="N24" s="82" t="n">
        <v>28.16</v>
      </c>
      <c r="O24" s="83" t="inlineStr">
        <is>
          <t/>
        </is>
      </c>
      <c r="P24" s="84" t="n">
        <v>10.260000000000002</v>
      </c>
      <c r="Q24" s="85" t="n">
        <v>2.19</v>
      </c>
      <c r="R24" s="86" t="n">
        <v>1.415</v>
      </c>
      <c r="S24" s="87" t="n">
        <v>1.1</v>
      </c>
      <c r="T24" s="88" t="n">
        <v>0.39465000000000006</v>
      </c>
      <c r="U24" s="89" t="n">
        <v>3.29</v>
      </c>
      <c r="V24" s="90" t="n">
        <v>1.675</v>
      </c>
      <c r="W24" s="91" t="inlineStr">
        <is>
          <t/>
        </is>
      </c>
      <c r="X24" s="92" t="inlineStr">
        <is>
          <t>GP Self Reporting</t>
        </is>
      </c>
      <c r="Y24" s="93" t="inlineStr">
        <is>
          <t>2019 Y</t>
        </is>
      </c>
      <c r="Z24" s="94" t="inlineStr">
        <is>
          <t>0 - 99M</t>
        </is>
      </c>
      <c r="AA24" s="95" t="inlineStr">
        <is>
          <t>Notion</t>
        </is>
      </c>
      <c r="AB24" s="96" t="inlineStr">
        <is>
          <t>London, United Kingdom</t>
        </is>
      </c>
      <c r="AC24" s="97" t="inlineStr">
        <is>
          <t>IT Services</t>
        </is>
      </c>
      <c r="AD24" s="98" t="inlineStr">
        <is>
          <t>Seed Round, Early Stage VC, Later Stage VC</t>
        </is>
      </c>
      <c r="AE24" s="99" t="inlineStr">
        <is>
          <t>Europe</t>
        </is>
      </c>
      <c r="AF24" s="100" t="inlineStr">
        <is>
          <t>Notion</t>
        </is>
      </c>
      <c r="AG24" s="233">
        <f>HYPERLINK("https://my.pitchbook.com?i=51311-35", "View Investor Online")</f>
      </c>
    </row>
    <row r="25">
      <c r="A25" s="36" t="inlineStr">
        <is>
          <t>14055-76F</t>
        </is>
      </c>
      <c r="B25" s="37" t="inlineStr">
        <is>
          <t>MEP Associates V</t>
        </is>
      </c>
      <c r="C25" s="38" t="inlineStr">
        <is>
          <t/>
        </is>
      </c>
      <c r="D25" s="39" t="inlineStr">
        <is>
          <t>Venture Capital</t>
        </is>
      </c>
      <c r="E25" s="40" t="n">
        <v>27.0364</v>
      </c>
      <c r="F25" s="41" t="inlineStr">
        <is>
          <t>Seattle, WA</t>
        </is>
      </c>
      <c r="G25" s="42" t="n">
        <v>1.0</v>
      </c>
      <c r="H25" s="43" t="n">
        <v>2015.0</v>
      </c>
      <c r="I25" s="44" t="n">
        <v>100.0</v>
      </c>
      <c r="J25" s="45" t="n">
        <v>27.0364</v>
      </c>
      <c r="K25" s="46" t="n">
        <v>0.0</v>
      </c>
      <c r="L25" s="47" t="inlineStr">
        <is>
          <t/>
        </is>
      </c>
      <c r="M25" s="48" t="inlineStr">
        <is>
          <t/>
        </is>
      </c>
      <c r="N25" s="49" t="n">
        <v>28.14</v>
      </c>
      <c r="O25" s="50" t="inlineStr">
        <is>
          <t/>
        </is>
      </c>
      <c r="P25" s="51" t="n">
        <v>13.14</v>
      </c>
      <c r="Q25" s="52" t="n">
        <v>0.32</v>
      </c>
      <c r="R25" s="53" t="n">
        <v>0.2</v>
      </c>
      <c r="S25" s="54" t="inlineStr">
        <is>
          <t/>
        </is>
      </c>
      <c r="T25" s="55" t="inlineStr">
        <is>
          <t/>
        </is>
      </c>
      <c r="U25" s="56" t="n">
        <v>3.06</v>
      </c>
      <c r="V25" s="57" t="n">
        <v>1.85</v>
      </c>
      <c r="W25" s="58" t="inlineStr">
        <is>
          <t/>
        </is>
      </c>
      <c r="X25" s="59" t="inlineStr">
        <is>
          <t>GP Self Reporting</t>
        </is>
      </c>
      <c r="Y25" s="60" t="inlineStr">
        <is>
          <t>2020 Y</t>
        </is>
      </c>
      <c r="Z25" s="61" t="inlineStr">
        <is>
          <t>0 - 99M</t>
        </is>
      </c>
      <c r="AA25" s="62" t="inlineStr">
        <is>
          <t>Maveron</t>
        </is>
      </c>
      <c r="AB25" s="63" t="inlineStr">
        <is>
          <t>Seattle, WA</t>
        </is>
      </c>
      <c r="AC25" s="64" t="inlineStr">
        <is>
          <t>Software</t>
        </is>
      </c>
      <c r="AD25" s="65" t="inlineStr">
        <is>
          <t>Seed Round, Early Stage VC, Later Stage VC</t>
        </is>
      </c>
      <c r="AE25" s="66" t="inlineStr">
        <is>
          <t/>
        </is>
      </c>
      <c r="AF25" s="67" t="inlineStr">
        <is>
          <t>Maveron</t>
        </is>
      </c>
      <c r="AG25" s="232">
        <f>HYPERLINK("https://my.pitchbook.com?i=11237-68", "View Investor Online")</f>
      </c>
    </row>
    <row r="26">
      <c r="A26" s="69" t="inlineStr">
        <is>
          <t>14347-27F</t>
        </is>
      </c>
      <c r="B26" s="70" t="inlineStr">
        <is>
          <t>Sixth Sense India Opportunities I</t>
        </is>
      </c>
      <c r="C26" s="71" t="inlineStr">
        <is>
          <t/>
        </is>
      </c>
      <c r="D26" s="72" t="inlineStr">
        <is>
          <t>Venture Capital</t>
        </is>
      </c>
      <c r="E26" s="73" t="n">
        <v>40.0</v>
      </c>
      <c r="F26" s="74" t="inlineStr">
        <is>
          <t>Mumbai, India</t>
        </is>
      </c>
      <c r="G26" s="75" t="inlineStr">
        <is>
          <t/>
        </is>
      </c>
      <c r="H26" s="76" t="n">
        <v>2016.0</v>
      </c>
      <c r="I26" s="77" t="inlineStr">
        <is>
          <t/>
        </is>
      </c>
      <c r="J26" s="78" t="inlineStr">
        <is>
          <t/>
        </is>
      </c>
      <c r="K26" s="79" t="n">
        <v>0.0</v>
      </c>
      <c r="L26" s="80" t="inlineStr">
        <is>
          <t/>
        </is>
      </c>
      <c r="M26" s="81" t="inlineStr">
        <is>
          <t/>
        </is>
      </c>
      <c r="N26" s="82" t="n">
        <v>40.0</v>
      </c>
      <c r="O26" s="83" t="inlineStr">
        <is>
          <t/>
        </is>
      </c>
      <c r="P26" s="84" t="inlineStr">
        <is>
          <t/>
        </is>
      </c>
      <c r="Q26" s="85" t="inlineStr">
        <is>
          <t/>
        </is>
      </c>
      <c r="R26" s="86" t="inlineStr">
        <is>
          <t/>
        </is>
      </c>
      <c r="S26" s="87" t="inlineStr">
        <is>
          <t/>
        </is>
      </c>
      <c r="T26" s="88" t="inlineStr">
        <is>
          <t/>
        </is>
      </c>
      <c r="U26" s="89" t="n">
        <v>2.6</v>
      </c>
      <c r="V26" s="90" t="inlineStr">
        <is>
          <t/>
        </is>
      </c>
      <c r="W26" s="91" t="inlineStr">
        <is>
          <t/>
        </is>
      </c>
      <c r="X26" s="92" t="inlineStr">
        <is>
          <t>GP Self Reporting</t>
        </is>
      </c>
      <c r="Y26" s="93" t="inlineStr">
        <is>
          <t>2020 Y</t>
        </is>
      </c>
      <c r="Z26" s="94" t="inlineStr">
        <is>
          <t>0 - 99M</t>
        </is>
      </c>
      <c r="AA26" s="95" t="inlineStr">
        <is>
          <t>Sixth Sense Ventures</t>
        </is>
      </c>
      <c r="AB26" s="96" t="inlineStr">
        <is>
          <t>Mumbai, India</t>
        </is>
      </c>
      <c r="AC26" s="97" t="inlineStr">
        <is>
          <t>Consumer Non-Durables, Consumer Products and Services (B2C)</t>
        </is>
      </c>
      <c r="AD26" s="98" t="inlineStr">
        <is>
          <t>Seed Round, Early Stage VC, Later Stage VC</t>
        </is>
      </c>
      <c r="AE26" s="99" t="inlineStr">
        <is>
          <t>India</t>
        </is>
      </c>
      <c r="AF26" s="100" t="inlineStr">
        <is>
          <t>Sixth Sense</t>
        </is>
      </c>
      <c r="AG26" s="233">
        <f>HYPERLINK("https://my.pitchbook.com?i=61401-88", "View Investor Online")</f>
      </c>
    </row>
    <row r="27">
      <c r="A27" s="36" t="inlineStr">
        <is>
          <t>14431-24F</t>
        </is>
      </c>
      <c r="B27" s="37" t="inlineStr">
        <is>
          <t>Seaya Ventures Fund I</t>
        </is>
      </c>
      <c r="C27" s="38" t="inlineStr">
        <is>
          <t/>
        </is>
      </c>
      <c r="D27" s="39" t="inlineStr">
        <is>
          <t>Venture Capital</t>
        </is>
      </c>
      <c r="E27" s="40" t="n">
        <v>73.70528</v>
      </c>
      <c r="F27" s="41" t="inlineStr">
        <is>
          <t>Madrid, Spain</t>
        </is>
      </c>
      <c r="G27" s="42" t="inlineStr">
        <is>
          <t/>
        </is>
      </c>
      <c r="H27" s="43" t="n">
        <v>2013.0</v>
      </c>
      <c r="I27" s="44" t="n">
        <v>100.0</v>
      </c>
      <c r="J27" s="45" t="n">
        <v>95.22204468781074</v>
      </c>
      <c r="K27" s="46" t="n">
        <v>0.0</v>
      </c>
      <c r="L27" s="47" t="n">
        <v>50.86957140166316</v>
      </c>
      <c r="M27" s="48" t="n">
        <v>196.5086112331151</v>
      </c>
      <c r="N27" s="49" t="n">
        <v>29.95</v>
      </c>
      <c r="O27" s="50" t="inlineStr">
        <is>
          <t/>
        </is>
      </c>
      <c r="P27" s="51" t="inlineStr">
        <is>
          <t/>
        </is>
      </c>
      <c r="Q27" s="52" t="n">
        <v>0.534220532</v>
      </c>
      <c r="R27" s="53" t="n">
        <v>0.45550053199999996</v>
      </c>
      <c r="S27" s="54" t="n">
        <v>2.063688213</v>
      </c>
      <c r="T27" s="55" t="n">
        <v>0.8486082129999999</v>
      </c>
      <c r="U27" s="56" t="n">
        <v>2.59</v>
      </c>
      <c r="V27" s="57" t="n">
        <v>1.265</v>
      </c>
      <c r="W27" s="58" t="inlineStr">
        <is>
          <t/>
        </is>
      </c>
      <c r="X27" s="59" t="inlineStr">
        <is>
          <t>GP Self Reporting</t>
        </is>
      </c>
      <c r="Y27" s="60" t="inlineStr">
        <is>
          <t>2019 Y</t>
        </is>
      </c>
      <c r="Z27" s="61" t="inlineStr">
        <is>
          <t>0 - 99M</t>
        </is>
      </c>
      <c r="AA27" s="62" t="inlineStr">
        <is>
          <t>Seaya Ventures</t>
        </is>
      </c>
      <c r="AB27" s="63" t="inlineStr">
        <is>
          <t>Madrid, Spain</t>
        </is>
      </c>
      <c r="AC27" s="64" t="inlineStr">
        <is>
          <t>Software</t>
        </is>
      </c>
      <c r="AD27" s="65" t="inlineStr">
        <is>
          <t>Seed Round, Early Stage VC, Later Stage VC</t>
        </is>
      </c>
      <c r="AE27" s="66" t="inlineStr">
        <is>
          <t>Europe, South America, Central America</t>
        </is>
      </c>
      <c r="AF27" s="67" t="inlineStr">
        <is>
          <t>Seaya</t>
        </is>
      </c>
      <c r="AG27" s="232">
        <f>HYPERLINK("https://my.pitchbook.com?i=59079-61", "View Investor Online")</f>
      </c>
    </row>
    <row r="28">
      <c r="A28" s="69" t="inlineStr">
        <is>
          <t>12796-21F</t>
        </is>
      </c>
      <c r="B28" s="70" t="inlineStr">
        <is>
          <t>Storm Ventures Fund IV</t>
        </is>
      </c>
      <c r="C28" s="71" t="inlineStr">
        <is>
          <t/>
        </is>
      </c>
      <c r="D28" s="72" t="inlineStr">
        <is>
          <t>Venture Capital</t>
        </is>
      </c>
      <c r="E28" s="73" t="n">
        <v>95.525</v>
      </c>
      <c r="F28" s="74" t="inlineStr">
        <is>
          <t>Menlo Park, CA</t>
        </is>
      </c>
      <c r="G28" s="75" t="n">
        <v>2.0</v>
      </c>
      <c r="H28" s="76" t="n">
        <v>2011.0</v>
      </c>
      <c r="I28" s="77" t="n">
        <v>76.31510075896362</v>
      </c>
      <c r="J28" s="78" t="n">
        <v>72.9</v>
      </c>
      <c r="K28" s="79" t="n">
        <v>0.0</v>
      </c>
      <c r="L28" s="80" t="n">
        <v>13.8</v>
      </c>
      <c r="M28" s="81" t="n">
        <v>174.79999999999998</v>
      </c>
      <c r="N28" s="82" t="n">
        <v>18.09</v>
      </c>
      <c r="O28" s="83" t="inlineStr">
        <is>
          <t/>
        </is>
      </c>
      <c r="P28" s="84" t="n">
        <v>6.99</v>
      </c>
      <c r="Q28" s="85" t="n">
        <v>0.19</v>
      </c>
      <c r="R28" s="86" t="n">
        <v>0.0</v>
      </c>
      <c r="S28" s="87" t="n">
        <v>2.4</v>
      </c>
      <c r="T28" s="88" t="n">
        <v>1.2409</v>
      </c>
      <c r="U28" s="89" t="n">
        <v>2.59</v>
      </c>
      <c r="V28" s="90" t="n">
        <v>1.0599999999999998</v>
      </c>
      <c r="W28" s="91" t="inlineStr">
        <is>
          <t/>
        </is>
      </c>
      <c r="X28" s="92" t="inlineStr">
        <is>
          <t>GP Self Reporting</t>
        </is>
      </c>
      <c r="Y28" s="93" t="inlineStr">
        <is>
          <t>2020 Y</t>
        </is>
      </c>
      <c r="Z28" s="94" t="inlineStr">
        <is>
          <t>0 - 99M</t>
        </is>
      </c>
      <c r="AA28" s="95" t="inlineStr">
        <is>
          <t>Storm Ventures</t>
        </is>
      </c>
      <c r="AB28" s="96" t="inlineStr">
        <is>
          <t>Menlo Park, CA</t>
        </is>
      </c>
      <c r="AC28" s="97" t="inlineStr">
        <is>
          <t>Software, Commercial Services</t>
        </is>
      </c>
      <c r="AD28" s="98" t="inlineStr">
        <is>
          <t>Early Stage VC, Later Stage VC</t>
        </is>
      </c>
      <c r="AE28" s="99" t="inlineStr">
        <is>
          <t>United States</t>
        </is>
      </c>
      <c r="AF28" s="100" t="inlineStr">
        <is>
          <t>Storm</t>
        </is>
      </c>
      <c r="AG28" s="233">
        <f>HYPERLINK("https://my.pitchbook.com?i=11307-34", "View Investor Online")</f>
      </c>
    </row>
    <row r="29">
      <c r="A29" s="36" t="inlineStr">
        <is>
          <t>13941-64F</t>
        </is>
      </c>
      <c r="B29" s="37" t="inlineStr">
        <is>
          <t>iTech Fund I</t>
        </is>
      </c>
      <c r="C29" s="38" t="inlineStr">
        <is>
          <t/>
        </is>
      </c>
      <c r="D29" s="39" t="inlineStr">
        <is>
          <t>Venture Capital</t>
        </is>
      </c>
      <c r="E29" s="40" t="n">
        <v>100.0</v>
      </c>
      <c r="F29" s="41" t="inlineStr">
        <is>
          <t>Rīga, Latvia</t>
        </is>
      </c>
      <c r="G29" s="42" t="n">
        <v>1.0</v>
      </c>
      <c r="H29" s="43" t="n">
        <v>2011.0</v>
      </c>
      <c r="I29" s="44" t="n">
        <v>90.0</v>
      </c>
      <c r="J29" s="45" t="n">
        <v>90.0</v>
      </c>
      <c r="K29" s="46" t="n">
        <v>0.0</v>
      </c>
      <c r="L29" s="47" t="n">
        <v>64.0</v>
      </c>
      <c r="M29" s="48" t="n">
        <v>167.0</v>
      </c>
      <c r="N29" s="49" t="n">
        <v>22.0</v>
      </c>
      <c r="O29" s="50" t="inlineStr">
        <is>
          <t/>
        </is>
      </c>
      <c r="P29" s="51" t="n">
        <v>8.275</v>
      </c>
      <c r="Q29" s="52" t="n">
        <v>0.711</v>
      </c>
      <c r="R29" s="53" t="n">
        <v>0.0</v>
      </c>
      <c r="S29" s="54" t="n">
        <v>1.856</v>
      </c>
      <c r="T29" s="55" t="n">
        <v>0.6060000000000001</v>
      </c>
      <c r="U29" s="56" t="n">
        <v>2.5700000000000003</v>
      </c>
      <c r="V29" s="57" t="n">
        <v>0.6100000000000003</v>
      </c>
      <c r="W29" s="58" t="inlineStr">
        <is>
          <t/>
        </is>
      </c>
      <c r="X29" s="59" t="inlineStr">
        <is>
          <t>GP Self Reporting</t>
        </is>
      </c>
      <c r="Y29" s="60" t="inlineStr">
        <is>
          <t>2019 Y</t>
        </is>
      </c>
      <c r="Z29" s="61" t="inlineStr">
        <is>
          <t>100M - 249M</t>
        </is>
      </c>
      <c r="AA29" s="62" t="inlineStr">
        <is>
          <t>iTech Capital</t>
        </is>
      </c>
      <c r="AB29" s="63" t="inlineStr">
        <is>
          <t>Rīga, Latvia</t>
        </is>
      </c>
      <c r="AC29" s="64" t="inlineStr">
        <is>
          <t/>
        </is>
      </c>
      <c r="AD29" s="65" t="inlineStr">
        <is>
          <t>PE Growth/Expansion</t>
        </is>
      </c>
      <c r="AE29" s="66" t="inlineStr">
        <is>
          <t/>
        </is>
      </c>
      <c r="AF29" s="67" t="inlineStr">
        <is>
          <t>iTech</t>
        </is>
      </c>
      <c r="AG29" s="232">
        <f>HYPERLINK("https://my.pitchbook.com?i=52507-54", "View Investor Online")</f>
      </c>
    </row>
    <row r="30">
      <c r="A30" s="69" t="inlineStr">
        <is>
          <t>14518-36F</t>
        </is>
      </c>
      <c r="B30" s="70" t="inlineStr">
        <is>
          <t>Vertical Venture Partners Fund I</t>
        </is>
      </c>
      <c r="C30" s="71" t="inlineStr">
        <is>
          <t>Enterprise X Ventures</t>
        </is>
      </c>
      <c r="D30" s="72" t="inlineStr">
        <is>
          <t>Venture Capital</t>
        </is>
      </c>
      <c r="E30" s="73" t="n">
        <v>52.0</v>
      </c>
      <c r="F30" s="74" t="inlineStr">
        <is>
          <t>Palo Alto, CA</t>
        </is>
      </c>
      <c r="G30" s="75" t="n">
        <v>1.0</v>
      </c>
      <c r="H30" s="76" t="n">
        <v>2015.0</v>
      </c>
      <c r="I30" s="77" t="n">
        <v>100.0</v>
      </c>
      <c r="J30" s="78" t="n">
        <v>52.0</v>
      </c>
      <c r="K30" s="79" t="n">
        <v>2.2770977534052714</v>
      </c>
      <c r="L30" s="80" t="n">
        <v>4.0000012</v>
      </c>
      <c r="M30" s="81" t="n">
        <v>128.666551</v>
      </c>
      <c r="N30" s="82" t="n">
        <v>45.85</v>
      </c>
      <c r="O30" s="83" t="inlineStr">
        <is>
          <t/>
        </is>
      </c>
      <c r="P30" s="84" t="n">
        <v>30.85</v>
      </c>
      <c r="Q30" s="85" t="n">
        <v>0.075</v>
      </c>
      <c r="R30" s="86" t="n">
        <v>-0.045</v>
      </c>
      <c r="S30" s="87" t="n">
        <v>2.475</v>
      </c>
      <c r="T30" s="88" t="n">
        <v>1.3593000000000002</v>
      </c>
      <c r="U30" s="89" t="n">
        <v>2.56</v>
      </c>
      <c r="V30" s="90" t="n">
        <v>1.35</v>
      </c>
      <c r="W30" s="91" t="inlineStr">
        <is>
          <t/>
        </is>
      </c>
      <c r="X30" s="92" t="inlineStr">
        <is>
          <t>LP Original Commitments</t>
        </is>
      </c>
      <c r="Y30" s="93" t="inlineStr">
        <is>
          <t>2019 Y</t>
        </is>
      </c>
      <c r="Z30" s="94" t="inlineStr">
        <is>
          <t>0 - 99M</t>
        </is>
      </c>
      <c r="AA30" s="95" t="inlineStr">
        <is>
          <t>Vertical Venture Partners</t>
        </is>
      </c>
      <c r="AB30" s="96" t="inlineStr">
        <is>
          <t>Palo Alto, CA</t>
        </is>
      </c>
      <c r="AC30" s="97" t="inlineStr">
        <is>
          <t>Software</t>
        </is>
      </c>
      <c r="AD30" s="98" t="inlineStr">
        <is>
          <t>Early Stage VC</t>
        </is>
      </c>
      <c r="AE30" s="99" t="inlineStr">
        <is>
          <t/>
        </is>
      </c>
      <c r="AF30" s="100" t="inlineStr">
        <is>
          <t>SDCERS, UC Regents</t>
        </is>
      </c>
      <c r="AG30" s="233">
        <f>HYPERLINK("https://my.pitchbook.com?i=62349-85", "View Investor Online")</f>
      </c>
    </row>
    <row r="31">
      <c r="A31" s="36" t="inlineStr">
        <is>
          <t>13671-01F</t>
        </is>
      </c>
      <c r="B31" s="37" t="inlineStr">
        <is>
          <t>Environmental Energies Fund</t>
        </is>
      </c>
      <c r="C31" s="38" t="inlineStr">
        <is>
          <t/>
        </is>
      </c>
      <c r="D31" s="39" t="inlineStr">
        <is>
          <t>Venture Capital</t>
        </is>
      </c>
      <c r="E31" s="40" t="n">
        <v>88.99837</v>
      </c>
      <c r="F31" s="41" t="inlineStr">
        <is>
          <t>Glasgow, United Kingdom</t>
        </is>
      </c>
      <c r="G31" s="42" t="inlineStr">
        <is>
          <t/>
        </is>
      </c>
      <c r="H31" s="43" t="n">
        <v>2011.0</v>
      </c>
      <c r="I31" s="44" t="n">
        <v>86.2923097913824</v>
      </c>
      <c r="J31" s="45" t="n">
        <v>76.79874934585409</v>
      </c>
      <c r="K31" s="46" t="n">
        <v>12.199620850319272</v>
      </c>
      <c r="L31" s="47" t="n">
        <v>109.73730904921776</v>
      </c>
      <c r="M31" s="48" t="n">
        <v>86.13114494000584</v>
      </c>
      <c r="N31" s="49" t="n">
        <v>23.57</v>
      </c>
      <c r="O31" s="50" t="inlineStr">
        <is>
          <t/>
        </is>
      </c>
      <c r="P31" s="51" t="inlineStr">
        <is>
          <t/>
        </is>
      </c>
      <c r="Q31" s="52" t="n">
        <v>1.43</v>
      </c>
      <c r="R31" s="53" t="inlineStr">
        <is>
          <t/>
        </is>
      </c>
      <c r="S31" s="54" t="n">
        <v>1.12</v>
      </c>
      <c r="T31" s="55" t="inlineStr">
        <is>
          <t/>
        </is>
      </c>
      <c r="U31" s="56" t="n">
        <v>2.55</v>
      </c>
      <c r="V31" s="57" t="inlineStr">
        <is>
          <t/>
        </is>
      </c>
      <c r="W31" s="58" t="inlineStr">
        <is>
          <t/>
        </is>
      </c>
      <c r="X31" s="59" t="inlineStr">
        <is>
          <t>GP Self Reporting</t>
        </is>
      </c>
      <c r="Y31" s="60" t="inlineStr">
        <is>
          <t>2020 Y</t>
        </is>
      </c>
      <c r="Z31" s="61" t="inlineStr">
        <is>
          <t>0 - 99M</t>
        </is>
      </c>
      <c r="AA31" s="62" t="inlineStr">
        <is>
          <t>Scottish Equity Partners</t>
        </is>
      </c>
      <c r="AB31" s="63" t="inlineStr">
        <is>
          <t>London, United Kingdom</t>
        </is>
      </c>
      <c r="AC31" s="64" t="inlineStr">
        <is>
          <t>Energy Services</t>
        </is>
      </c>
      <c r="AD31" s="65" t="inlineStr">
        <is>
          <t>Seed Round, Early Stage VC, Later Stage VC</t>
        </is>
      </c>
      <c r="AE31" s="66" t="inlineStr">
        <is>
          <t/>
        </is>
      </c>
      <c r="AF31" s="67" t="inlineStr">
        <is>
          <t>SEP</t>
        </is>
      </c>
      <c r="AG31" s="232">
        <f>HYPERLINK("https://my.pitchbook.com?i=11288-71", "View Investor Online")</f>
      </c>
    </row>
    <row r="32">
      <c r="A32" s="69" t="inlineStr">
        <is>
          <t>17744-95F</t>
        </is>
      </c>
      <c r="B32" s="70" t="inlineStr">
        <is>
          <t>Accelmed Ventures I</t>
        </is>
      </c>
      <c r="C32" s="71" t="inlineStr">
        <is>
          <t/>
        </is>
      </c>
      <c r="D32" s="72" t="inlineStr">
        <is>
          <t>Venture Capital</t>
        </is>
      </c>
      <c r="E32" s="73" t="n">
        <v>77.0</v>
      </c>
      <c r="F32" s="74" t="inlineStr">
        <is>
          <t>Tel Aviv, Israel</t>
        </is>
      </c>
      <c r="G32" s="75" t="inlineStr">
        <is>
          <t/>
        </is>
      </c>
      <c r="H32" s="76" t="n">
        <v>2011.0</v>
      </c>
      <c r="I32" s="77" t="n">
        <v>83.11688311688312</v>
      </c>
      <c r="J32" s="78" t="n">
        <v>64.0</v>
      </c>
      <c r="K32" s="79" t="n">
        <v>13.0</v>
      </c>
      <c r="L32" s="80" t="n">
        <v>11.8</v>
      </c>
      <c r="M32" s="81" t="n">
        <v>143.0</v>
      </c>
      <c r="N32" s="82" t="n">
        <v>12.5</v>
      </c>
      <c r="O32" s="83" t="inlineStr">
        <is>
          <t/>
        </is>
      </c>
      <c r="P32" s="84" t="inlineStr">
        <is>
          <t/>
        </is>
      </c>
      <c r="Q32" s="85" t="n">
        <v>0.184</v>
      </c>
      <c r="R32" s="86" t="inlineStr">
        <is>
          <t/>
        </is>
      </c>
      <c r="S32" s="87" t="n">
        <v>2.234</v>
      </c>
      <c r="T32" s="88" t="inlineStr">
        <is>
          <t/>
        </is>
      </c>
      <c r="U32" s="89" t="n">
        <v>2.41</v>
      </c>
      <c r="V32" s="90" t="inlineStr">
        <is>
          <t/>
        </is>
      </c>
      <c r="W32" s="91" t="inlineStr">
        <is>
          <t/>
        </is>
      </c>
      <c r="X32" s="92" t="inlineStr">
        <is>
          <t>GP Self Reporting</t>
        </is>
      </c>
      <c r="Y32" s="93" t="inlineStr">
        <is>
          <t>2020 Y</t>
        </is>
      </c>
      <c r="Z32" s="94" t="inlineStr">
        <is>
          <t>0 - 99M</t>
        </is>
      </c>
      <c r="AA32" s="95" t="inlineStr">
        <is>
          <t>Accelmed Ventures</t>
        </is>
      </c>
      <c r="AB32" s="96" t="inlineStr">
        <is>
          <t>Tel Aviv, Israel</t>
        </is>
      </c>
      <c r="AC32" s="97" t="inlineStr">
        <is>
          <t/>
        </is>
      </c>
      <c r="AD32" s="98" t="inlineStr">
        <is>
          <t>Early Stage VC, Seed Round, Later Stage VC</t>
        </is>
      </c>
      <c r="AE32" s="99" t="inlineStr">
        <is>
          <t>Europe, Israel, United States</t>
        </is>
      </c>
      <c r="AF32" s="100" t="inlineStr">
        <is>
          <t>Accelmed Ventures</t>
        </is>
      </c>
      <c r="AG32" s="233">
        <f>HYPERLINK("https://my.pitchbook.com?i=432604-00", "View Investor Online")</f>
      </c>
    </row>
    <row r="33">
      <c r="A33" s="36" t="inlineStr">
        <is>
          <t>13025-80F</t>
        </is>
      </c>
      <c r="B33" s="37" t="inlineStr">
        <is>
          <t>DCM A-Fund</t>
        </is>
      </c>
      <c r="C33" s="38" t="inlineStr">
        <is>
          <t/>
        </is>
      </c>
      <c r="D33" s="39" t="inlineStr">
        <is>
          <t>Venture Capital - Early Stage</t>
        </is>
      </c>
      <c r="E33" s="40" t="n">
        <v>63.64</v>
      </c>
      <c r="F33" s="41" t="inlineStr">
        <is>
          <t>Menlo Park, CA</t>
        </is>
      </c>
      <c r="G33" s="42" t="n">
        <v>1.0</v>
      </c>
      <c r="H33" s="43" t="n">
        <v>2011.0</v>
      </c>
      <c r="I33" s="44" t="n">
        <v>100.0</v>
      </c>
      <c r="J33" s="45" t="n">
        <v>63.64</v>
      </c>
      <c r="K33" s="46" t="n">
        <v>0.0</v>
      </c>
      <c r="L33" s="47" t="n">
        <v>18.9</v>
      </c>
      <c r="M33" s="48" t="n">
        <v>132.31</v>
      </c>
      <c r="N33" s="49" t="n">
        <v>21.3</v>
      </c>
      <c r="O33" s="50" t="inlineStr">
        <is>
          <t/>
        </is>
      </c>
      <c r="P33" s="51" t="n">
        <v>8.73</v>
      </c>
      <c r="Q33" s="52" t="n">
        <v>0.3</v>
      </c>
      <c r="R33" s="53" t="n">
        <v>0.02479999999999999</v>
      </c>
      <c r="S33" s="54" t="n">
        <v>2.08</v>
      </c>
      <c r="T33" s="55" t="n">
        <v>0.6200000000000001</v>
      </c>
      <c r="U33" s="56" t="n">
        <v>2.38</v>
      </c>
      <c r="V33" s="57" t="n">
        <v>0.5699999999999998</v>
      </c>
      <c r="W33" s="58" t="inlineStr">
        <is>
          <t/>
        </is>
      </c>
      <c r="X33" s="59" t="inlineStr">
        <is>
          <t>GP Self Reporting</t>
        </is>
      </c>
      <c r="Y33" s="60" t="inlineStr">
        <is>
          <t>2016 Y</t>
        </is>
      </c>
      <c r="Z33" s="61" t="inlineStr">
        <is>
          <t>0 - 99M</t>
        </is>
      </c>
      <c r="AA33" s="62" t="inlineStr">
        <is>
          <t>DCM Ventures</t>
        </is>
      </c>
      <c r="AB33" s="63" t="inlineStr">
        <is>
          <t>Menlo Park, CA</t>
        </is>
      </c>
      <c r="AC33" s="64" t="inlineStr">
        <is>
          <t>Software</t>
        </is>
      </c>
      <c r="AD33" s="65" t="inlineStr">
        <is>
          <t>Early Stage VC, Later Stage VC</t>
        </is>
      </c>
      <c r="AE33" s="66" t="inlineStr">
        <is>
          <t>Mainland China, South Korea, United States</t>
        </is>
      </c>
      <c r="AF33" s="67" t="inlineStr">
        <is>
          <t>DCM</t>
        </is>
      </c>
      <c r="AG33" s="232">
        <f>HYPERLINK("https://my.pitchbook.com?i=11165-50", "View Investor Online")</f>
      </c>
    </row>
    <row r="34">
      <c r="A34" s="69" t="inlineStr">
        <is>
          <t>11715-49F</t>
        </is>
      </c>
      <c r="B34" s="70" t="inlineStr">
        <is>
          <t>Epic Venture Fund IV</t>
        </is>
      </c>
      <c r="C34" s="71" t="inlineStr">
        <is>
          <t>Wasatch Venture Fund IV</t>
        </is>
      </c>
      <c r="D34" s="72" t="inlineStr">
        <is>
          <t>Venture Capital - Early Stage</t>
        </is>
      </c>
      <c r="E34" s="73" t="n">
        <v>58.25</v>
      </c>
      <c r="F34" s="74" t="inlineStr">
        <is>
          <t>Salt Lake City, UT</t>
        </is>
      </c>
      <c r="G34" s="75" t="inlineStr">
        <is>
          <t/>
        </is>
      </c>
      <c r="H34" s="76" t="n">
        <v>2010.0</v>
      </c>
      <c r="I34" s="77" t="n">
        <v>96.0006</v>
      </c>
      <c r="J34" s="78" t="n">
        <v>55.92034950000001</v>
      </c>
      <c r="K34" s="79" t="n">
        <v>2.3296505</v>
      </c>
      <c r="L34" s="80" t="inlineStr">
        <is>
          <t/>
        </is>
      </c>
      <c r="M34" s="81" t="n">
        <v>20.075765416666666</v>
      </c>
      <c r="N34" s="82" t="n">
        <v>13.1</v>
      </c>
      <c r="O34" s="83" t="inlineStr">
        <is>
          <t/>
        </is>
      </c>
      <c r="P34" s="84" t="inlineStr">
        <is>
          <t/>
        </is>
      </c>
      <c r="Q34" s="85" t="inlineStr">
        <is>
          <t/>
        </is>
      </c>
      <c r="R34" s="86" t="inlineStr">
        <is>
          <t/>
        </is>
      </c>
      <c r="S34" s="87" t="n">
        <v>0.36</v>
      </c>
      <c r="T34" s="88" t="inlineStr">
        <is>
          <t/>
        </is>
      </c>
      <c r="U34" s="89" t="n">
        <v>2.38</v>
      </c>
      <c r="V34" s="90" t="inlineStr">
        <is>
          <t/>
        </is>
      </c>
      <c r="W34" s="91" t="inlineStr">
        <is>
          <t/>
        </is>
      </c>
      <c r="X34" s="92" t="inlineStr">
        <is>
          <t>LP Original Commitments</t>
        </is>
      </c>
      <c r="Y34" s="93" t="inlineStr">
        <is>
          <t>2019 Y</t>
        </is>
      </c>
      <c r="Z34" s="94" t="inlineStr">
        <is>
          <t>0 - 99M</t>
        </is>
      </c>
      <c r="AA34" s="95" t="inlineStr">
        <is>
          <t>EPIC Ventures</t>
        </is>
      </c>
      <c r="AB34" s="96" t="inlineStr">
        <is>
          <t>Salt Lake City, UT</t>
        </is>
      </c>
      <c r="AC34" s="97" t="inlineStr">
        <is>
          <t>Software</t>
        </is>
      </c>
      <c r="AD34" s="98" t="inlineStr">
        <is>
          <t>Seed Round, Early Stage VC</t>
        </is>
      </c>
      <c r="AE34" s="99" t="inlineStr">
        <is>
          <t>United States</t>
        </is>
      </c>
      <c r="AF34" s="100" t="inlineStr">
        <is>
          <t>HIERS, New Mexico SIC</t>
        </is>
      </c>
      <c r="AG34" s="233">
        <f>HYPERLINK("https://my.pitchbook.com?i=11331-91", "View Investor Online")</f>
      </c>
    </row>
    <row r="35">
      <c r="A35" s="36" t="inlineStr">
        <is>
          <t>16161-85F</t>
        </is>
      </c>
      <c r="B35" s="37" t="inlineStr">
        <is>
          <t>New Science Ventures 2012</t>
        </is>
      </c>
      <c r="C35" s="38" t="inlineStr">
        <is>
          <t/>
        </is>
      </c>
      <c r="D35" s="39" t="inlineStr">
        <is>
          <t>Venture Capital</t>
        </is>
      </c>
      <c r="E35" s="40" t="n">
        <v>36.0</v>
      </c>
      <c r="F35" s="41" t="inlineStr">
        <is>
          <t>New York, NY</t>
        </is>
      </c>
      <c r="G35" s="42" t="n">
        <v>1.0</v>
      </c>
      <c r="H35" s="43" t="n">
        <v>2012.0</v>
      </c>
      <c r="I35" s="44" t="n">
        <v>100.0</v>
      </c>
      <c r="J35" s="45" t="n">
        <v>38.90306743824983</v>
      </c>
      <c r="K35" s="46" t="n">
        <v>0.0</v>
      </c>
      <c r="L35" s="47" t="n">
        <v>30.807722601552577</v>
      </c>
      <c r="M35" s="48" t="n">
        <v>62.000906537191256</v>
      </c>
      <c r="N35" s="49" t="n">
        <v>21.07059658</v>
      </c>
      <c r="O35" s="50" t="inlineStr">
        <is>
          <t/>
        </is>
      </c>
      <c r="P35" s="51" t="n">
        <v>14.08842658</v>
      </c>
      <c r="Q35" s="52" t="n">
        <v>0.791909858</v>
      </c>
      <c r="R35" s="53" t="n">
        <v>0.309989858</v>
      </c>
      <c r="S35" s="54" t="n">
        <v>1.593727966</v>
      </c>
      <c r="T35" s="55" t="n">
        <v>0.463627966</v>
      </c>
      <c r="U35" s="56" t="n">
        <v>2.38</v>
      </c>
      <c r="V35" s="57" t="n">
        <v>1.0899999999999999</v>
      </c>
      <c r="W35" s="58" t="inlineStr">
        <is>
          <t/>
        </is>
      </c>
      <c r="X35" s="59" t="inlineStr">
        <is>
          <t>GP Self Reporting</t>
        </is>
      </c>
      <c r="Y35" s="60" t="inlineStr">
        <is>
          <t>2018 Y</t>
        </is>
      </c>
      <c r="Z35" s="61" t="inlineStr">
        <is>
          <t>0 - 99M</t>
        </is>
      </c>
      <c r="AA35" s="62" t="inlineStr">
        <is>
          <t>New Science Ventures</t>
        </is>
      </c>
      <c r="AB35" s="63" t="inlineStr">
        <is>
          <t>New York, NY</t>
        </is>
      </c>
      <c r="AC35" s="64" t="inlineStr">
        <is>
          <t/>
        </is>
      </c>
      <c r="AD35" s="65" t="inlineStr">
        <is>
          <t>Seed Round, Early Stage VC, Later Stage VC</t>
        </is>
      </c>
      <c r="AE35" s="66" t="inlineStr">
        <is>
          <t/>
        </is>
      </c>
      <c r="AF35" s="67" t="inlineStr">
        <is>
          <t>NSV</t>
        </is>
      </c>
      <c r="AG35" s="232">
        <f>HYPERLINK("https://my.pitchbook.com?i=11252-98", "View Investor Online")</f>
      </c>
    </row>
    <row r="36">
      <c r="A36" s="69" t="inlineStr">
        <is>
          <t>16056-10F</t>
        </is>
      </c>
      <c r="B36" s="70" t="inlineStr">
        <is>
          <t>Technology Impact Fund</t>
        </is>
      </c>
      <c r="C36" s="71" t="inlineStr">
        <is>
          <t/>
        </is>
      </c>
      <c r="D36" s="72" t="inlineStr">
        <is>
          <t>Venture Capital</t>
        </is>
      </c>
      <c r="E36" s="73" t="n">
        <v>40.0</v>
      </c>
      <c r="F36" s="74" t="inlineStr">
        <is>
          <t>Palo Alto, CA</t>
        </is>
      </c>
      <c r="G36" s="75" t="inlineStr">
        <is>
          <t/>
        </is>
      </c>
      <c r="H36" s="76" t="n">
        <v>2017.0</v>
      </c>
      <c r="I36" s="77" t="n">
        <v>33.0325</v>
      </c>
      <c r="J36" s="78" t="n">
        <v>13.213</v>
      </c>
      <c r="K36" s="79" t="n">
        <v>26.787</v>
      </c>
      <c r="L36" s="80" t="n">
        <v>1.132</v>
      </c>
      <c r="M36" s="81" t="n">
        <v>30.286</v>
      </c>
      <c r="N36" s="82" t="inlineStr">
        <is>
          <t/>
        </is>
      </c>
      <c r="O36" s="83" t="inlineStr">
        <is>
          <t/>
        </is>
      </c>
      <c r="P36" s="84" t="inlineStr">
        <is>
          <t/>
        </is>
      </c>
      <c r="Q36" s="85" t="n">
        <v>0.09</v>
      </c>
      <c r="R36" s="86" t="n">
        <v>0.09</v>
      </c>
      <c r="S36" s="87" t="n">
        <v>2.29</v>
      </c>
      <c r="T36" s="88" t="n">
        <v>1.14938</v>
      </c>
      <c r="U36" s="89" t="n">
        <v>2.38</v>
      </c>
      <c r="V36" s="90" t="n">
        <v>1.105</v>
      </c>
      <c r="W36" s="91" t="inlineStr">
        <is>
          <t/>
        </is>
      </c>
      <c r="X36" s="92" t="inlineStr">
        <is>
          <t>LP Original Commitments</t>
        </is>
      </c>
      <c r="Y36" s="93" t="inlineStr">
        <is>
          <t>2020 Y</t>
        </is>
      </c>
      <c r="Z36" s="94" t="inlineStr">
        <is>
          <t>0 - 99M</t>
        </is>
      </c>
      <c r="AA36" s="95" t="inlineStr">
        <is>
          <t>Capricorn Investment Group</t>
        </is>
      </c>
      <c r="AB36" s="96" t="inlineStr">
        <is>
          <t>Palo Alto, CA</t>
        </is>
      </c>
      <c r="AC36" s="97" t="inlineStr">
        <is>
          <t>Commercial Services, Commercial Products, Commercial Transportation, Business Products and Services (B2B), Energy</t>
        </is>
      </c>
      <c r="AD36" s="98" t="inlineStr">
        <is>
          <t>Seed Round, Early Stage VC, Later Stage VC</t>
        </is>
      </c>
      <c r="AE36" s="99" t="inlineStr">
        <is>
          <t/>
        </is>
      </c>
      <c r="AF36" s="100" t="inlineStr">
        <is>
          <t>MainePERS</t>
        </is>
      </c>
      <c r="AG36" s="233">
        <f>HYPERLINK("https://my.pitchbook.com?i=10789-57", "View Investor Online")</f>
      </c>
    </row>
    <row r="37">
      <c r="A37" s="36" t="inlineStr">
        <is>
          <t>14662-99F</t>
        </is>
      </c>
      <c r="B37" s="37" t="inlineStr">
        <is>
          <t>Wavemaker Partners III</t>
        </is>
      </c>
      <c r="C37" s="38" t="inlineStr">
        <is>
          <t/>
        </is>
      </c>
      <c r="D37" s="39" t="inlineStr">
        <is>
          <t>Venture Capital - Early Stage</t>
        </is>
      </c>
      <c r="E37" s="40" t="n">
        <v>45.0</v>
      </c>
      <c r="F37" s="41" t="inlineStr">
        <is>
          <t>Santa Monica, CA</t>
        </is>
      </c>
      <c r="G37" s="42" t="inlineStr">
        <is>
          <t/>
        </is>
      </c>
      <c r="H37" s="43" t="n">
        <v>2014.0</v>
      </c>
      <c r="I37" s="44" t="n">
        <v>45.833333333333336</v>
      </c>
      <c r="J37" s="45" t="n">
        <v>20.625</v>
      </c>
      <c r="K37" s="46" t="n">
        <v>0.0</v>
      </c>
      <c r="L37" s="47" t="n">
        <v>0.0</v>
      </c>
      <c r="M37" s="48" t="n">
        <v>47.8125</v>
      </c>
      <c r="N37" s="49" t="inlineStr">
        <is>
          <t/>
        </is>
      </c>
      <c r="O37" s="50" t="inlineStr">
        <is>
          <t/>
        </is>
      </c>
      <c r="P37" s="51" t="inlineStr">
        <is>
          <t/>
        </is>
      </c>
      <c r="Q37" s="52" t="n">
        <v>0.0</v>
      </c>
      <c r="R37" s="53" t="n">
        <v>-0.12</v>
      </c>
      <c r="S37" s="54" t="n">
        <v>2.318181818</v>
      </c>
      <c r="T37" s="55" t="n">
        <v>1.1131818179999997</v>
      </c>
      <c r="U37" s="56" t="n">
        <v>2.32</v>
      </c>
      <c r="V37" s="57" t="n">
        <v>0.6799999999999999</v>
      </c>
      <c r="W37" s="58" t="inlineStr">
        <is>
          <t/>
        </is>
      </c>
      <c r="X37" s="59" t="inlineStr">
        <is>
          <t>GP Self Reporting</t>
        </is>
      </c>
      <c r="Y37" s="60" t="inlineStr">
        <is>
          <t>2016 Y</t>
        </is>
      </c>
      <c r="Z37" s="61" t="inlineStr">
        <is>
          <t>0 - 99M</t>
        </is>
      </c>
      <c r="AA37" s="62" t="inlineStr">
        <is>
          <t>Wavemaker Partners</t>
        </is>
      </c>
      <c r="AB37" s="63" t="inlineStr">
        <is>
          <t>Singapore, Singapore</t>
        </is>
      </c>
      <c r="AC37" s="64" t="inlineStr">
        <is>
          <t>Software</t>
        </is>
      </c>
      <c r="AD37" s="65" t="inlineStr">
        <is>
          <t>Early Stage VC</t>
        </is>
      </c>
      <c r="AE37" s="66" t="inlineStr">
        <is>
          <t>Southeast Asia, Southern California</t>
        </is>
      </c>
      <c r="AF37" s="67" t="inlineStr">
        <is>
          <t>Wavemaker</t>
        </is>
      </c>
      <c r="AG37" s="232">
        <f>HYPERLINK("https://my.pitchbook.com?i=51755-50", "View Investor Online")</f>
      </c>
    </row>
    <row r="38">
      <c r="A38" s="69" t="inlineStr">
        <is>
          <t>14753-98F</t>
        </is>
      </c>
      <c r="B38" s="70" t="inlineStr">
        <is>
          <t>ESO Venture Fund II</t>
        </is>
      </c>
      <c r="C38" s="71" t="inlineStr">
        <is>
          <t/>
        </is>
      </c>
      <c r="D38" s="72" t="inlineStr">
        <is>
          <t>Venture Capital</t>
        </is>
      </c>
      <c r="E38" s="73" t="n">
        <v>75.0</v>
      </c>
      <c r="F38" s="74" t="inlineStr">
        <is>
          <t>San Mateo, CA</t>
        </is>
      </c>
      <c r="G38" s="75" t="inlineStr">
        <is>
          <t/>
        </is>
      </c>
      <c r="H38" s="76" t="n">
        <v>2014.0</v>
      </c>
      <c r="I38" s="77" t="n">
        <v>83.73333333333333</v>
      </c>
      <c r="J38" s="78" t="n">
        <v>62.8</v>
      </c>
      <c r="K38" s="79" t="n">
        <v>0.0</v>
      </c>
      <c r="L38" s="80" t="n">
        <v>10.8</v>
      </c>
      <c r="M38" s="81" t="inlineStr">
        <is>
          <t/>
        </is>
      </c>
      <c r="N38" s="82" t="inlineStr">
        <is>
          <t/>
        </is>
      </c>
      <c r="O38" s="83" t="inlineStr">
        <is>
          <t/>
        </is>
      </c>
      <c r="P38" s="84" t="inlineStr">
        <is>
          <t/>
        </is>
      </c>
      <c r="Q38" s="85" t="n">
        <v>0.17</v>
      </c>
      <c r="R38" s="86" t="n">
        <v>0.15000000000000002</v>
      </c>
      <c r="S38" s="87" t="n">
        <v>2.12</v>
      </c>
      <c r="T38" s="88" t="n">
        <v>0.9400000000000002</v>
      </c>
      <c r="U38" s="89" t="n">
        <v>2.29</v>
      </c>
      <c r="V38" s="90" t="n">
        <v>0.79</v>
      </c>
      <c r="W38" s="91" t="inlineStr">
        <is>
          <t/>
        </is>
      </c>
      <c r="X38" s="92" t="inlineStr">
        <is>
          <t>GP Self Reporting</t>
        </is>
      </c>
      <c r="Y38" s="93" t="inlineStr">
        <is>
          <t>2017 Y</t>
        </is>
      </c>
      <c r="Z38" s="94" t="inlineStr">
        <is>
          <t>0 - 99M</t>
        </is>
      </c>
      <c r="AA38" s="95" t="inlineStr">
        <is>
          <t>ESO Fund</t>
        </is>
      </c>
      <c r="AB38" s="96" t="inlineStr">
        <is>
          <t>San Mateo, CA</t>
        </is>
      </c>
      <c r="AC38" s="97" t="inlineStr">
        <is>
          <t>Media, Software</t>
        </is>
      </c>
      <c r="AD38" s="98" t="inlineStr">
        <is>
          <t>Seed Round, Early Stage VC, Later Stage VC</t>
        </is>
      </c>
      <c r="AE38" s="99" t="inlineStr">
        <is>
          <t/>
        </is>
      </c>
      <c r="AF38" s="100" t="inlineStr">
        <is>
          <t>ESO</t>
        </is>
      </c>
      <c r="AG38" s="233">
        <f>HYPERLINK("https://my.pitchbook.com?i=54960-49", "View Investor Online")</f>
      </c>
    </row>
    <row r="39">
      <c r="A39" s="36" t="inlineStr">
        <is>
          <t>15922-99F</t>
        </is>
      </c>
      <c r="B39" s="37" t="inlineStr">
        <is>
          <t>Tusk Venture Partners I</t>
        </is>
      </c>
      <c r="C39" s="38" t="inlineStr">
        <is>
          <t/>
        </is>
      </c>
      <c r="D39" s="39" t="inlineStr">
        <is>
          <t>Venture Capital</t>
        </is>
      </c>
      <c r="E39" s="40" t="n">
        <v>36.0</v>
      </c>
      <c r="F39" s="41" t="inlineStr">
        <is>
          <t>New York, NY</t>
        </is>
      </c>
      <c r="G39" s="42" t="n">
        <v>1.0</v>
      </c>
      <c r="H39" s="43" t="n">
        <v>2016.0</v>
      </c>
      <c r="I39" s="44" t="inlineStr">
        <is>
          <t/>
        </is>
      </c>
      <c r="J39" s="45" t="inlineStr">
        <is>
          <t/>
        </is>
      </c>
      <c r="K39" s="46" t="n">
        <v>2.879588958291356</v>
      </c>
      <c r="L39" s="47" t="inlineStr">
        <is>
          <t/>
        </is>
      </c>
      <c r="M39" s="48" t="inlineStr">
        <is>
          <t/>
        </is>
      </c>
      <c r="N39" s="49" t="n">
        <v>64.6</v>
      </c>
      <c r="O39" s="50" t="inlineStr">
        <is>
          <t/>
        </is>
      </c>
      <c r="P39" s="51" t="n">
        <v>44.08</v>
      </c>
      <c r="Q39" s="52" t="n">
        <v>0.2</v>
      </c>
      <c r="R39" s="53" t="n">
        <v>0.1398</v>
      </c>
      <c r="S39" s="54" t="n">
        <v>2.09</v>
      </c>
      <c r="T39" s="55" t="n">
        <v>0.9199999999999999</v>
      </c>
      <c r="U39" s="56" t="n">
        <v>2.29</v>
      </c>
      <c r="V39" s="57" t="n">
        <v>1.03</v>
      </c>
      <c r="W39" s="58" t="inlineStr">
        <is>
          <t/>
        </is>
      </c>
      <c r="X39" s="59" t="inlineStr">
        <is>
          <t>GP Self Reporting</t>
        </is>
      </c>
      <c r="Y39" s="60" t="inlineStr">
        <is>
          <t>2019 Y</t>
        </is>
      </c>
      <c r="Z39" s="61" t="inlineStr">
        <is>
          <t>0 - 99M</t>
        </is>
      </c>
      <c r="AA39" s="62" t="inlineStr">
        <is>
          <t>Tusk Ventures</t>
        </is>
      </c>
      <c r="AB39" s="63" t="inlineStr">
        <is>
          <t>New York, NY</t>
        </is>
      </c>
      <c r="AC39" s="64" t="inlineStr">
        <is>
          <t>Software</t>
        </is>
      </c>
      <c r="AD39" s="65" t="inlineStr">
        <is>
          <t>Seed Round, Early Stage VC, Later Stage VC</t>
        </is>
      </c>
      <c r="AE39" s="66" t="inlineStr">
        <is>
          <t>North America</t>
        </is>
      </c>
      <c r="AF39" s="67" t="inlineStr">
        <is>
          <t>Tusk</t>
        </is>
      </c>
      <c r="AG39" s="232">
        <f>HYPERLINK("https://my.pitchbook.com?i=121035-61", "View Investor Online")</f>
      </c>
    </row>
    <row r="40">
      <c r="A40" s="69" t="inlineStr">
        <is>
          <t>12634-30F</t>
        </is>
      </c>
      <c r="B40" s="70" t="inlineStr">
        <is>
          <t>Contour Venture Partners II</t>
        </is>
      </c>
      <c r="C40" s="71" t="inlineStr">
        <is>
          <t/>
        </is>
      </c>
      <c r="D40" s="72" t="inlineStr">
        <is>
          <t>Venture Capital - Early Stage</t>
        </is>
      </c>
      <c r="E40" s="73" t="n">
        <v>40.0</v>
      </c>
      <c r="F40" s="74" t="inlineStr">
        <is>
          <t>New York, NY</t>
        </is>
      </c>
      <c r="G40" s="75" t="inlineStr">
        <is>
          <t/>
        </is>
      </c>
      <c r="H40" s="76" t="n">
        <v>2009.0</v>
      </c>
      <c r="I40" s="77" t="n">
        <v>94.79889999999999</v>
      </c>
      <c r="J40" s="78" t="n">
        <v>37.91956</v>
      </c>
      <c r="K40" s="79" t="n">
        <v>2.08044</v>
      </c>
      <c r="L40" s="80" t="n">
        <v>17.404056</v>
      </c>
      <c r="M40" s="81" t="n">
        <v>68.451452</v>
      </c>
      <c r="N40" s="82" t="inlineStr">
        <is>
          <t/>
        </is>
      </c>
      <c r="O40" s="83" t="inlineStr">
        <is>
          <t/>
        </is>
      </c>
      <c r="P40" s="84" t="inlineStr">
        <is>
          <t/>
        </is>
      </c>
      <c r="Q40" s="85" t="n">
        <v>0.46</v>
      </c>
      <c r="R40" s="86" t="inlineStr">
        <is>
          <t/>
        </is>
      </c>
      <c r="S40" s="87" t="n">
        <v>1.81</v>
      </c>
      <c r="T40" s="88" t="inlineStr">
        <is>
          <t/>
        </is>
      </c>
      <c r="U40" s="89" t="n">
        <v>2.27</v>
      </c>
      <c r="V40" s="90" t="n">
        <v>0.3999999999999999</v>
      </c>
      <c r="W40" s="91" t="inlineStr">
        <is>
          <t/>
        </is>
      </c>
      <c r="X40" s="92" t="inlineStr">
        <is>
          <t>LP Original Commitments</t>
        </is>
      </c>
      <c r="Y40" s="93" t="inlineStr">
        <is>
          <t>2019 Y</t>
        </is>
      </c>
      <c r="Z40" s="94" t="inlineStr">
        <is>
          <t>0 - 99M</t>
        </is>
      </c>
      <c r="AA40" s="95" t="inlineStr">
        <is>
          <t>Contour Venture Partners</t>
        </is>
      </c>
      <c r="AB40" s="96" t="inlineStr">
        <is>
          <t>New York, NY</t>
        </is>
      </c>
      <c r="AC40" s="97" t="inlineStr">
        <is>
          <t>Media, Financial Services, Software</t>
        </is>
      </c>
      <c r="AD40" s="98" t="inlineStr">
        <is>
          <t>Angel (individual), Early Stage VC</t>
        </is>
      </c>
      <c r="AE40" s="99" t="inlineStr">
        <is>
          <t>New York</t>
        </is>
      </c>
      <c r="AF40" s="100" t="inlineStr">
        <is>
          <t>NYSCRF</t>
        </is>
      </c>
      <c r="AG40" s="233">
        <f>HYPERLINK("https://my.pitchbook.com?i=11156-14", "View Investor Online")</f>
      </c>
    </row>
    <row r="41">
      <c r="A41" s="36" t="inlineStr">
        <is>
          <t>13826-44F</t>
        </is>
      </c>
      <c r="B41" s="37" t="inlineStr">
        <is>
          <t>LionBird I</t>
        </is>
      </c>
      <c r="C41" s="38" t="inlineStr">
        <is>
          <t/>
        </is>
      </c>
      <c r="D41" s="39" t="inlineStr">
        <is>
          <t>Venture Capital</t>
        </is>
      </c>
      <c r="E41" s="40" t="n">
        <v>20.25</v>
      </c>
      <c r="F41" s="41" t="inlineStr">
        <is>
          <t>Tel Aviv, Israel</t>
        </is>
      </c>
      <c r="G41" s="42" t="inlineStr">
        <is>
          <t/>
        </is>
      </c>
      <c r="H41" s="43" t="n">
        <v>2013.0</v>
      </c>
      <c r="I41" s="44" t="n">
        <v>100.0</v>
      </c>
      <c r="J41" s="45" t="n">
        <v>20.25</v>
      </c>
      <c r="K41" s="46" t="n">
        <v>0.0</v>
      </c>
      <c r="L41" s="47" t="n">
        <v>1.0</v>
      </c>
      <c r="M41" s="48" t="n">
        <v>44.5</v>
      </c>
      <c r="N41" s="49" t="n">
        <v>14.0</v>
      </c>
      <c r="O41" s="50" t="inlineStr">
        <is>
          <t/>
        </is>
      </c>
      <c r="P41" s="51" t="inlineStr">
        <is>
          <t/>
        </is>
      </c>
      <c r="Q41" s="52" t="n">
        <v>0.05</v>
      </c>
      <c r="R41" s="53" t="inlineStr">
        <is>
          <t/>
        </is>
      </c>
      <c r="S41" s="54" t="n">
        <v>2.2</v>
      </c>
      <c r="T41" s="55" t="inlineStr">
        <is>
          <t/>
        </is>
      </c>
      <c r="U41" s="56" t="n">
        <v>2.25</v>
      </c>
      <c r="V41" s="57" t="inlineStr">
        <is>
          <t/>
        </is>
      </c>
      <c r="W41" s="58" t="inlineStr">
        <is>
          <t/>
        </is>
      </c>
      <c r="X41" s="59" t="inlineStr">
        <is>
          <t>GP Self Reporting</t>
        </is>
      </c>
      <c r="Y41" s="60" t="inlineStr">
        <is>
          <t>2020 Y</t>
        </is>
      </c>
      <c r="Z41" s="61" t="inlineStr">
        <is>
          <t>0 - 99M</t>
        </is>
      </c>
      <c r="AA41" s="62" t="inlineStr">
        <is>
          <t>LionBird</t>
        </is>
      </c>
      <c r="AB41" s="63" t="inlineStr">
        <is>
          <t>Tel Aviv, Israel</t>
        </is>
      </c>
      <c r="AC41" s="64" t="inlineStr">
        <is>
          <t>Software</t>
        </is>
      </c>
      <c r="AD41" s="65" t="inlineStr">
        <is>
          <t>Early Stage VC</t>
        </is>
      </c>
      <c r="AE41" s="66" t="inlineStr">
        <is>
          <t>Israel, United States</t>
        </is>
      </c>
      <c r="AF41" s="67" t="inlineStr">
        <is>
          <t>LionBird</t>
        </is>
      </c>
      <c r="AG41" s="232">
        <f>HYPERLINK("https://my.pitchbook.com?i=55891-00", "View Investor Online")</f>
      </c>
    </row>
    <row r="42">
      <c r="A42" s="69" t="inlineStr">
        <is>
          <t>17582-77F</t>
        </is>
      </c>
      <c r="B42" s="70" t="inlineStr">
        <is>
          <t>Tribeca Access Fund</t>
        </is>
      </c>
      <c r="C42" s="71" t="inlineStr">
        <is>
          <t/>
        </is>
      </c>
      <c r="D42" s="72" t="inlineStr">
        <is>
          <t>Venture Capital</t>
        </is>
      </c>
      <c r="E42" s="73" t="n">
        <v>40.0</v>
      </c>
      <c r="F42" s="74" t="inlineStr">
        <is>
          <t>New York, NY</t>
        </is>
      </c>
      <c r="G42" s="75" t="n">
        <v>1.0</v>
      </c>
      <c r="H42" s="76" t="n">
        <v>2018.0</v>
      </c>
      <c r="I42" s="77" t="inlineStr">
        <is>
          <t/>
        </is>
      </c>
      <c r="J42" s="78" t="inlineStr">
        <is>
          <t/>
        </is>
      </c>
      <c r="K42" s="79" t="n">
        <v>22.560844328318645</v>
      </c>
      <c r="L42" s="80" t="inlineStr">
        <is>
          <t/>
        </is>
      </c>
      <c r="M42" s="81" t="inlineStr">
        <is>
          <t/>
        </is>
      </c>
      <c r="N42" s="82" t="n">
        <v>59.8</v>
      </c>
      <c r="O42" s="83" t="inlineStr">
        <is>
          <t/>
        </is>
      </c>
      <c r="P42" s="84" t="n">
        <v>46.61</v>
      </c>
      <c r="Q42" s="85" t="inlineStr">
        <is>
          <t/>
        </is>
      </c>
      <c r="R42" s="86" t="inlineStr">
        <is>
          <t/>
        </is>
      </c>
      <c r="S42" s="87" t="inlineStr">
        <is>
          <t/>
        </is>
      </c>
      <c r="T42" s="88" t="inlineStr">
        <is>
          <t/>
        </is>
      </c>
      <c r="U42" s="89" t="n">
        <v>2.2</v>
      </c>
      <c r="V42" s="90" t="n">
        <v>1.1</v>
      </c>
      <c r="W42" s="91" t="inlineStr">
        <is>
          <t/>
        </is>
      </c>
      <c r="X42" s="92" t="inlineStr">
        <is>
          <t>GP Self Reporting</t>
        </is>
      </c>
      <c r="Y42" s="93" t="inlineStr">
        <is>
          <t>2019 Y</t>
        </is>
      </c>
      <c r="Z42" s="94" t="inlineStr">
        <is>
          <t>0 - 99M</t>
        </is>
      </c>
      <c r="AA42" s="95" t="inlineStr">
        <is>
          <t>Tribeca Venture Partners</t>
        </is>
      </c>
      <c r="AB42" s="96" t="inlineStr">
        <is>
          <t>New York, NY</t>
        </is>
      </c>
      <c r="AC42" s="97" t="inlineStr">
        <is>
          <t/>
        </is>
      </c>
      <c r="AD42" s="98" t="inlineStr">
        <is>
          <t>Seed Round, Early Stage VC, Later Stage VC</t>
        </is>
      </c>
      <c r="AE42" s="99" t="inlineStr">
        <is>
          <t/>
        </is>
      </c>
      <c r="AF42" s="100" t="inlineStr">
        <is>
          <t>TVP</t>
        </is>
      </c>
      <c r="AG42" s="233">
        <f>HYPERLINK("https://my.pitchbook.com?i=11877-94", "View Investor Online")</f>
      </c>
    </row>
    <row r="43">
      <c r="A43" s="36" t="inlineStr">
        <is>
          <t>14595-58F</t>
        </is>
      </c>
      <c r="B43" s="37" t="inlineStr">
        <is>
          <t>New Science Ventures 2014B</t>
        </is>
      </c>
      <c r="C43" s="38" t="inlineStr">
        <is>
          <t/>
        </is>
      </c>
      <c r="D43" s="39" t="inlineStr">
        <is>
          <t>Venture Capital</t>
        </is>
      </c>
      <c r="E43" s="40" t="n">
        <v>55.0</v>
      </c>
      <c r="F43" s="41" t="inlineStr">
        <is>
          <t>New York, NY</t>
        </is>
      </c>
      <c r="G43" s="42" t="n">
        <v>2.0</v>
      </c>
      <c r="H43" s="43" t="n">
        <v>2014.0</v>
      </c>
      <c r="I43" s="44" t="n">
        <v>100.0</v>
      </c>
      <c r="J43" s="45" t="n">
        <v>57.6472972401104</v>
      </c>
      <c r="K43" s="46" t="n">
        <v>1.1048505634492898</v>
      </c>
      <c r="L43" s="47" t="n">
        <v>7.525209291628335</v>
      </c>
      <c r="M43" s="48" t="n">
        <v>118.84229231830727</v>
      </c>
      <c r="N43" s="49" t="n">
        <v>25.16262949</v>
      </c>
      <c r="O43" s="50" t="inlineStr">
        <is>
          <t/>
        </is>
      </c>
      <c r="P43" s="51" t="n">
        <v>11.20262949</v>
      </c>
      <c r="Q43" s="52" t="n">
        <v>0.130538805</v>
      </c>
      <c r="R43" s="53" t="n">
        <v>0.110538805</v>
      </c>
      <c r="S43" s="54" t="n">
        <v>2.061541443</v>
      </c>
      <c r="T43" s="55" t="n">
        <v>0.8815414429999999</v>
      </c>
      <c r="U43" s="56" t="n">
        <v>2.19</v>
      </c>
      <c r="V43" s="57" t="n">
        <v>0.69</v>
      </c>
      <c r="W43" s="58" t="inlineStr">
        <is>
          <t/>
        </is>
      </c>
      <c r="X43" s="59" t="inlineStr">
        <is>
          <t>GP Self Reporting</t>
        </is>
      </c>
      <c r="Y43" s="60" t="inlineStr">
        <is>
          <t>2018 Y</t>
        </is>
      </c>
      <c r="Z43" s="61" t="inlineStr">
        <is>
          <t>0 - 99M</t>
        </is>
      </c>
      <c r="AA43" s="62" t="inlineStr">
        <is>
          <t>New Science Ventures</t>
        </is>
      </c>
      <c r="AB43" s="63" t="inlineStr">
        <is>
          <t>New York, NY</t>
        </is>
      </c>
      <c r="AC43" s="64" t="inlineStr">
        <is>
          <t>Pharmaceuticals and Biotechnology</t>
        </is>
      </c>
      <c r="AD43" s="65" t="inlineStr">
        <is>
          <t>Seed Round, Early Stage VC, Later Stage VC</t>
        </is>
      </c>
      <c r="AE43" s="66" t="inlineStr">
        <is>
          <t/>
        </is>
      </c>
      <c r="AF43" s="67" t="inlineStr">
        <is>
          <t>NSV</t>
        </is>
      </c>
      <c r="AG43" s="232">
        <f>HYPERLINK("https://my.pitchbook.com?i=11252-98", "View Investor Online")</f>
      </c>
    </row>
    <row r="44">
      <c r="A44" s="69" t="inlineStr">
        <is>
          <t>12120-31F</t>
        </is>
      </c>
      <c r="B44" s="70" t="inlineStr">
        <is>
          <t>Arboretum Ventures II</t>
        </is>
      </c>
      <c r="C44" s="71" t="inlineStr">
        <is>
          <t/>
        </is>
      </c>
      <c r="D44" s="72" t="inlineStr">
        <is>
          <t>Venture Capital</t>
        </is>
      </c>
      <c r="E44" s="73" t="n">
        <v>73.0</v>
      </c>
      <c r="F44" s="74" t="inlineStr">
        <is>
          <t>Ann Arbor, MI</t>
        </is>
      </c>
      <c r="G44" s="75" t="n">
        <v>1.0</v>
      </c>
      <c r="H44" s="76" t="n">
        <v>2009.0</v>
      </c>
      <c r="I44" s="77" t="n">
        <v>99.58904109589041</v>
      </c>
      <c r="J44" s="78" t="n">
        <v>72.7</v>
      </c>
      <c r="K44" s="79" t="n">
        <v>0.3</v>
      </c>
      <c r="L44" s="80" t="n">
        <v>142.74</v>
      </c>
      <c r="M44" s="81" t="n">
        <v>15.6</v>
      </c>
      <c r="N44" s="82" t="n">
        <v>21.2</v>
      </c>
      <c r="O44" s="83" t="inlineStr">
        <is>
          <t/>
        </is>
      </c>
      <c r="P44" s="84" t="n">
        <v>12.14548</v>
      </c>
      <c r="Q44" s="85" t="n">
        <v>1.96</v>
      </c>
      <c r="R44" s="86" t="n">
        <v>1.1</v>
      </c>
      <c r="S44" s="87" t="n">
        <v>0.21</v>
      </c>
      <c r="T44" s="88" t="n">
        <v>-0.26813</v>
      </c>
      <c r="U44" s="89" t="n">
        <v>2.17</v>
      </c>
      <c r="V44" s="90" t="n">
        <v>0.6699999999999999</v>
      </c>
      <c r="W44" s="91" t="inlineStr">
        <is>
          <t/>
        </is>
      </c>
      <c r="X44" s="92" t="inlineStr">
        <is>
          <t>GP Self Reporting, LP Original Commitments</t>
        </is>
      </c>
      <c r="Y44" s="93" t="inlineStr">
        <is>
          <t>2020 Y</t>
        </is>
      </c>
      <c r="Z44" s="94" t="inlineStr">
        <is>
          <t>0 - 99M</t>
        </is>
      </c>
      <c r="AA44" s="95" t="inlineStr">
        <is>
          <t>Arboretum Ventures</t>
        </is>
      </c>
      <c r="AB44" s="96" t="inlineStr">
        <is>
          <t>Ann Arbor, MI</t>
        </is>
      </c>
      <c r="AC44" s="97" t="inlineStr">
        <is>
          <t>Pharmaceuticals and Biotechnology</t>
        </is>
      </c>
      <c r="AD44" s="98" t="inlineStr">
        <is>
          <t>Early Stage VC, Later Stage VC</t>
        </is>
      </c>
      <c r="AE44" s="99" t="inlineStr">
        <is>
          <t/>
        </is>
      </c>
      <c r="AF44" s="100" t="inlineStr">
        <is>
          <t>Arboretum, Michigan Department of Treasury</t>
        </is>
      </c>
      <c r="AG44" s="233">
        <f>HYPERLINK("https://my.pitchbook.com?i=11111-41", "View Investor Online")</f>
      </c>
    </row>
    <row r="45">
      <c r="A45" s="36" t="inlineStr">
        <is>
          <t>14687-47F</t>
        </is>
      </c>
      <c r="B45" s="37" t="inlineStr">
        <is>
          <t>Clarus Defined Exit I</t>
        </is>
      </c>
      <c r="C45" s="38" t="inlineStr">
        <is>
          <t/>
        </is>
      </c>
      <c r="D45" s="39" t="inlineStr">
        <is>
          <t>Venture Capital</t>
        </is>
      </c>
      <c r="E45" s="40" t="n">
        <v>100.0</v>
      </c>
      <c r="F45" s="41" t="inlineStr">
        <is>
          <t>Cambridge, MA</t>
        </is>
      </c>
      <c r="G45" s="42" t="n">
        <v>1.0</v>
      </c>
      <c r="H45" s="43" t="n">
        <v>2014.0</v>
      </c>
      <c r="I45" s="44" t="n">
        <v>17.2</v>
      </c>
      <c r="J45" s="45" t="n">
        <v>17.2</v>
      </c>
      <c r="K45" s="46" t="n">
        <v>0.25</v>
      </c>
      <c r="L45" s="47" t="n">
        <v>0.0</v>
      </c>
      <c r="M45" s="48" t="n">
        <v>37.207</v>
      </c>
      <c r="N45" s="49" t="n">
        <v>105.54</v>
      </c>
      <c r="O45" s="50" t="inlineStr">
        <is>
          <t/>
        </is>
      </c>
      <c r="P45" s="51" t="n">
        <v>84.16000000000001</v>
      </c>
      <c r="Q45" s="52" t="n">
        <v>0.0</v>
      </c>
      <c r="R45" s="53" t="n">
        <v>0.0</v>
      </c>
      <c r="S45" s="54" t="n">
        <v>2.16</v>
      </c>
      <c r="T45" s="55" t="n">
        <v>0.9200000000000002</v>
      </c>
      <c r="U45" s="56" t="n">
        <v>2.16</v>
      </c>
      <c r="V45" s="57" t="n">
        <v>0.5750000000000002</v>
      </c>
      <c r="W45" s="58" t="inlineStr">
        <is>
          <t/>
        </is>
      </c>
      <c r="X45" s="59" t="inlineStr">
        <is>
          <t>GP Self Reporting</t>
        </is>
      </c>
      <c r="Y45" s="60" t="inlineStr">
        <is>
          <t>2016 Y</t>
        </is>
      </c>
      <c r="Z45" s="61" t="inlineStr">
        <is>
          <t>100M - 249M</t>
        </is>
      </c>
      <c r="AA45" s="62" t="inlineStr">
        <is>
          <t>Blackstone Life Sciences</t>
        </is>
      </c>
      <c r="AB45" s="63" t="inlineStr">
        <is>
          <t>Cambridge, MA</t>
        </is>
      </c>
      <c r="AC45" s="64" t="inlineStr">
        <is>
          <t>Pharmaceuticals and Biotechnology</t>
        </is>
      </c>
      <c r="AD45" s="65" t="inlineStr">
        <is>
          <t>Seed Round, Early Stage VC, Later Stage VC</t>
        </is>
      </c>
      <c r="AE45" s="66" t="inlineStr">
        <is>
          <t/>
        </is>
      </c>
      <c r="AF45" s="67" t="inlineStr">
        <is>
          <t>Blackstone Life Sciences</t>
        </is>
      </c>
      <c r="AG45" s="232">
        <f>HYPERLINK("https://my.pitchbook.com?i=11151-91", "View Investor Online")</f>
      </c>
    </row>
    <row r="46">
      <c r="A46" s="69" t="inlineStr">
        <is>
          <t>12961-99F</t>
        </is>
      </c>
      <c r="B46" s="70" t="inlineStr">
        <is>
          <t>Vickers Venture Fund III</t>
        </is>
      </c>
      <c r="C46" s="71" t="inlineStr">
        <is>
          <t/>
        </is>
      </c>
      <c r="D46" s="72" t="inlineStr">
        <is>
          <t>Venture Capital</t>
        </is>
      </c>
      <c r="E46" s="73" t="n">
        <v>62.5</v>
      </c>
      <c r="F46" s="74" t="inlineStr">
        <is>
          <t>Singapore, Singapore</t>
        </is>
      </c>
      <c r="G46" s="75" t="inlineStr">
        <is>
          <t/>
        </is>
      </c>
      <c r="H46" s="76" t="n">
        <v>2009.0</v>
      </c>
      <c r="I46" s="77" t="n">
        <v>100.0</v>
      </c>
      <c r="J46" s="78" t="n">
        <v>62.5</v>
      </c>
      <c r="K46" s="79" t="inlineStr">
        <is>
          <t/>
        </is>
      </c>
      <c r="L46" s="80" t="inlineStr">
        <is>
          <t/>
        </is>
      </c>
      <c r="M46" s="81" t="inlineStr">
        <is>
          <t/>
        </is>
      </c>
      <c r="N46" s="82" t="n">
        <v>10.0</v>
      </c>
      <c r="O46" s="83" t="inlineStr">
        <is>
          <t/>
        </is>
      </c>
      <c r="P46" s="84" t="inlineStr">
        <is>
          <t/>
        </is>
      </c>
      <c r="Q46" s="85" t="inlineStr">
        <is>
          <t/>
        </is>
      </c>
      <c r="R46" s="86" t="inlineStr">
        <is>
          <t/>
        </is>
      </c>
      <c r="S46" s="87" t="inlineStr">
        <is>
          <t/>
        </is>
      </c>
      <c r="T46" s="88" t="inlineStr">
        <is>
          <t/>
        </is>
      </c>
      <c r="U46" s="89" t="n">
        <v>2.12</v>
      </c>
      <c r="V46" s="90" t="inlineStr">
        <is>
          <t/>
        </is>
      </c>
      <c r="W46" s="91" t="inlineStr">
        <is>
          <t/>
        </is>
      </c>
      <c r="X46" s="92" t="inlineStr">
        <is>
          <t>GP Self Reporting</t>
        </is>
      </c>
      <c r="Y46" s="93" t="inlineStr">
        <is>
          <t>2019 Y</t>
        </is>
      </c>
      <c r="Z46" s="94" t="inlineStr">
        <is>
          <t>0 - 99M</t>
        </is>
      </c>
      <c r="AA46" s="95" t="inlineStr">
        <is>
          <t>Vickers Venture Partners</t>
        </is>
      </c>
      <c r="AB46" s="96" t="inlineStr">
        <is>
          <t>Singapore, Singapore</t>
        </is>
      </c>
      <c r="AC46" s="97" t="inlineStr">
        <is>
          <t>Software</t>
        </is>
      </c>
      <c r="AD46" s="98" t="inlineStr">
        <is>
          <t>Seed Round, Early Stage VC, Later Stage VC</t>
        </is>
      </c>
      <c r="AE46" s="99" t="inlineStr">
        <is>
          <t/>
        </is>
      </c>
      <c r="AF46" s="100" t="inlineStr">
        <is>
          <t>Vickers</t>
        </is>
      </c>
      <c r="AG46" s="233">
        <f>HYPERLINK("https://my.pitchbook.com?i=54942-40", "View Investor Online")</f>
      </c>
    </row>
    <row r="47">
      <c r="A47" s="36" t="inlineStr">
        <is>
          <t>13245-76F</t>
        </is>
      </c>
      <c r="B47" s="37" t="inlineStr">
        <is>
          <t>Aravis Energy I</t>
        </is>
      </c>
      <c r="C47" s="38" t="inlineStr">
        <is>
          <t/>
        </is>
      </c>
      <c r="D47" s="39" t="inlineStr">
        <is>
          <t>Venture Capital</t>
        </is>
      </c>
      <c r="E47" s="40" t="n">
        <v>68.57096</v>
      </c>
      <c r="F47" s="41" t="inlineStr">
        <is>
          <t>Zurich, Switzerland</t>
        </is>
      </c>
      <c r="G47" s="42" t="n">
        <v>1.0</v>
      </c>
      <c r="H47" s="43" t="n">
        <v>2009.0</v>
      </c>
      <c r="I47" s="44" t="inlineStr">
        <is>
          <t/>
        </is>
      </c>
      <c r="J47" s="45" t="inlineStr">
        <is>
          <t/>
        </is>
      </c>
      <c r="K47" s="46" t="n">
        <v>0.0</v>
      </c>
      <c r="L47" s="47" t="inlineStr">
        <is>
          <t/>
        </is>
      </c>
      <c r="M47" s="48" t="inlineStr">
        <is>
          <t/>
        </is>
      </c>
      <c r="N47" s="49" t="n">
        <v>448.1</v>
      </c>
      <c r="O47" s="50" t="inlineStr">
        <is>
          <t/>
        </is>
      </c>
      <c r="P47" s="51" t="n">
        <v>430.20000000000005</v>
      </c>
      <c r="Q47" s="52" t="n">
        <v>2.1</v>
      </c>
      <c r="R47" s="53" t="n">
        <v>1.3250000000000002</v>
      </c>
      <c r="S47" s="54" t="n">
        <v>0.0</v>
      </c>
      <c r="T47" s="55" t="n">
        <v>-0.70535</v>
      </c>
      <c r="U47" s="56" t="n">
        <v>2.1</v>
      </c>
      <c r="V47" s="57" t="n">
        <v>0.4850000000000001</v>
      </c>
      <c r="W47" s="58" t="inlineStr">
        <is>
          <t/>
        </is>
      </c>
      <c r="X47" s="59" t="inlineStr">
        <is>
          <t>GP Self Reporting</t>
        </is>
      </c>
      <c r="Y47" s="60" t="inlineStr">
        <is>
          <t>2017 Y</t>
        </is>
      </c>
      <c r="Z47" s="61" t="inlineStr">
        <is>
          <t>0 - 99M</t>
        </is>
      </c>
      <c r="AA47" s="62" t="inlineStr">
        <is>
          <t>Aravis</t>
        </is>
      </c>
      <c r="AB47" s="63" t="inlineStr">
        <is>
          <t>Zurich, Switzerland</t>
        </is>
      </c>
      <c r="AC47" s="64" t="inlineStr">
        <is>
          <t>Exploration, Production and Refining</t>
        </is>
      </c>
      <c r="AD47" s="65" t="inlineStr">
        <is>
          <t>Early Stage VC</t>
        </is>
      </c>
      <c r="AE47" s="66" t="inlineStr">
        <is>
          <t>United States</t>
        </is>
      </c>
      <c r="AF47" s="67" t="inlineStr">
        <is>
          <t>Aravis</t>
        </is>
      </c>
      <c r="AG47" s="232">
        <f>HYPERLINK("https://my.pitchbook.com?i=11111-32", "View Investor Online")</f>
      </c>
    </row>
    <row r="48">
      <c r="A48" s="69" t="inlineStr">
        <is>
          <t>13446-55F</t>
        </is>
      </c>
      <c r="B48" s="70" t="inlineStr">
        <is>
          <t>Wavemaker Partners II</t>
        </is>
      </c>
      <c r="C48" s="71" t="inlineStr">
        <is>
          <t>Siemer Ventures II</t>
        </is>
      </c>
      <c r="D48" s="72" t="inlineStr">
        <is>
          <t>Venture Capital - Early Stage</t>
        </is>
      </c>
      <c r="E48" s="73" t="n">
        <v>20.0</v>
      </c>
      <c r="F48" s="74" t="inlineStr">
        <is>
          <t>Santa Monica, CA</t>
        </is>
      </c>
      <c r="G48" s="75" t="inlineStr">
        <is>
          <t/>
        </is>
      </c>
      <c r="H48" s="76" t="n">
        <v>2011.0</v>
      </c>
      <c r="I48" s="77" t="n">
        <v>86.95652173913044</v>
      </c>
      <c r="J48" s="78" t="n">
        <v>17.391304347826086</v>
      </c>
      <c r="K48" s="79" t="n">
        <v>0.3</v>
      </c>
      <c r="L48" s="80" t="n">
        <v>2.608695652173913</v>
      </c>
      <c r="M48" s="81" t="n">
        <v>33.91304347826087</v>
      </c>
      <c r="N48" s="82" t="inlineStr">
        <is>
          <t/>
        </is>
      </c>
      <c r="O48" s="83" t="inlineStr">
        <is>
          <t/>
        </is>
      </c>
      <c r="P48" s="84" t="inlineStr">
        <is>
          <t/>
        </is>
      </c>
      <c r="Q48" s="85" t="n">
        <v>0.15</v>
      </c>
      <c r="R48" s="86" t="n">
        <v>-0.1252</v>
      </c>
      <c r="S48" s="87" t="n">
        <v>1.95</v>
      </c>
      <c r="T48" s="88" t="n">
        <v>0.49</v>
      </c>
      <c r="U48" s="89" t="n">
        <v>2.1</v>
      </c>
      <c r="V48" s="90" t="n">
        <v>0.29000000000000004</v>
      </c>
      <c r="W48" s="91" t="inlineStr">
        <is>
          <t/>
        </is>
      </c>
      <c r="X48" s="92" t="inlineStr">
        <is>
          <t>GP Self Reporting</t>
        </is>
      </c>
      <c r="Y48" s="93" t="inlineStr">
        <is>
          <t>2016 Y</t>
        </is>
      </c>
      <c r="Z48" s="94" t="inlineStr">
        <is>
          <t>0 - 99M</t>
        </is>
      </c>
      <c r="AA48" s="95" t="inlineStr">
        <is>
          <t>Wavemaker Partners</t>
        </is>
      </c>
      <c r="AB48" s="96" t="inlineStr">
        <is>
          <t>Singapore, Singapore</t>
        </is>
      </c>
      <c r="AC48" s="97" t="inlineStr">
        <is>
          <t>Software</t>
        </is>
      </c>
      <c r="AD48" s="98" t="inlineStr">
        <is>
          <t>Seed Round, Early Stage VC</t>
        </is>
      </c>
      <c r="AE48" s="99" t="inlineStr">
        <is>
          <t>California, Asia</t>
        </is>
      </c>
      <c r="AF48" s="100" t="inlineStr">
        <is>
          <t>Wavemaker</t>
        </is>
      </c>
      <c r="AG48" s="233">
        <f>HYPERLINK("https://my.pitchbook.com?i=51755-50", "View Investor Online")</f>
      </c>
    </row>
    <row r="49">
      <c r="A49" s="36" t="inlineStr">
        <is>
          <t>13486-51F</t>
        </is>
      </c>
      <c r="B49" s="37" t="inlineStr">
        <is>
          <t>Asset Management Ventures Fund</t>
        </is>
      </c>
      <c r="C49" s="38" t="inlineStr">
        <is>
          <t/>
        </is>
      </c>
      <c r="D49" s="39" t="inlineStr">
        <is>
          <t>Venture Capital</t>
        </is>
      </c>
      <c r="E49" s="40" t="n">
        <v>21.0</v>
      </c>
      <c r="F49" s="41" t="inlineStr">
        <is>
          <t>Palo Alto, CA</t>
        </is>
      </c>
      <c r="G49" s="42" t="n">
        <v>2.0</v>
      </c>
      <c r="H49" s="43" t="n">
        <v>2012.0</v>
      </c>
      <c r="I49" s="44" t="n">
        <v>100.0</v>
      </c>
      <c r="J49" s="45" t="n">
        <v>21.053019</v>
      </c>
      <c r="K49" s="46" t="n">
        <v>0.0</v>
      </c>
      <c r="L49" s="47" t="n">
        <v>7.659747</v>
      </c>
      <c r="M49" s="48" t="n">
        <v>36.192734</v>
      </c>
      <c r="N49" s="49" t="n">
        <v>14.343</v>
      </c>
      <c r="O49" s="50" t="inlineStr">
        <is>
          <t/>
        </is>
      </c>
      <c r="P49" s="51" t="n">
        <v>7.36083</v>
      </c>
      <c r="Q49" s="52" t="n">
        <v>0.363831287</v>
      </c>
      <c r="R49" s="53" t="n">
        <v>-0.11808871300000001</v>
      </c>
      <c r="S49" s="54" t="n">
        <v>1.719123229</v>
      </c>
      <c r="T49" s="55" t="n">
        <v>0.5890232289999999</v>
      </c>
      <c r="U49" s="56" t="n">
        <v>2.08</v>
      </c>
      <c r="V49" s="57" t="n">
        <v>0.79</v>
      </c>
      <c r="W49" s="58" t="inlineStr">
        <is>
          <t/>
        </is>
      </c>
      <c r="X49" s="59" t="inlineStr">
        <is>
          <t>GP Self Reporting</t>
        </is>
      </c>
      <c r="Y49" s="60" t="inlineStr">
        <is>
          <t>2020 Y</t>
        </is>
      </c>
      <c r="Z49" s="61" t="inlineStr">
        <is>
          <t>0 - 99M</t>
        </is>
      </c>
      <c r="AA49" s="62" t="inlineStr">
        <is>
          <t>Asset Management Ventures</t>
        </is>
      </c>
      <c r="AB49" s="63" t="inlineStr">
        <is>
          <t>Palo Alto, CA</t>
        </is>
      </c>
      <c r="AC49" s="64" t="inlineStr">
        <is>
          <t>Software</t>
        </is>
      </c>
      <c r="AD49" s="65" t="inlineStr">
        <is>
          <t>Seed Round, Early Stage VC, Later Stage VC</t>
        </is>
      </c>
      <c r="AE49" s="66" t="inlineStr">
        <is>
          <t/>
        </is>
      </c>
      <c r="AF49" s="67" t="inlineStr">
        <is>
          <t>AMV</t>
        </is>
      </c>
      <c r="AG49" s="232">
        <f>HYPERLINK("https://my.pitchbook.com?i=11115-28", "View Investor Online")</f>
      </c>
    </row>
    <row r="50">
      <c r="A50" s="69" t="inlineStr">
        <is>
          <t>13818-43F</t>
        </is>
      </c>
      <c r="B50" s="70" t="inlineStr">
        <is>
          <t>Flint Capital Fund</t>
        </is>
      </c>
      <c r="C50" s="71" t="inlineStr">
        <is>
          <t/>
        </is>
      </c>
      <c r="D50" s="72" t="inlineStr">
        <is>
          <t>Venture Capital</t>
        </is>
      </c>
      <c r="E50" s="73" t="n">
        <v>100.0</v>
      </c>
      <c r="F50" s="74" t="inlineStr">
        <is>
          <t>Cambridge, MA</t>
        </is>
      </c>
      <c r="G50" s="75" t="n">
        <v>2.0</v>
      </c>
      <c r="H50" s="76" t="n">
        <v>2013.0</v>
      </c>
      <c r="I50" s="77" t="inlineStr">
        <is>
          <t/>
        </is>
      </c>
      <c r="J50" s="78" t="inlineStr">
        <is>
          <t/>
        </is>
      </c>
      <c r="K50" s="79" t="n">
        <v>30.0</v>
      </c>
      <c r="L50" s="80" t="inlineStr">
        <is>
          <t/>
        </is>
      </c>
      <c r="M50" s="81" t="inlineStr">
        <is>
          <t/>
        </is>
      </c>
      <c r="N50" s="82" t="n">
        <v>19.3</v>
      </c>
      <c r="O50" s="83" t="inlineStr">
        <is>
          <t/>
        </is>
      </c>
      <c r="P50" s="84" t="n">
        <v>14.700000000000001</v>
      </c>
      <c r="Q50" s="85" t="n">
        <v>0.43</v>
      </c>
      <c r="R50" s="86" t="n">
        <v>0.31</v>
      </c>
      <c r="S50" s="87" t="n">
        <v>1.64</v>
      </c>
      <c r="T50" s="88" t="n">
        <v>0.5713699999999999</v>
      </c>
      <c r="U50" s="89" t="n">
        <v>2.07</v>
      </c>
      <c r="V50" s="90" t="n">
        <v>0.8799999999999999</v>
      </c>
      <c r="W50" s="91" t="inlineStr">
        <is>
          <t/>
        </is>
      </c>
      <c r="X50" s="92" t="inlineStr">
        <is>
          <t>GP Self Reporting</t>
        </is>
      </c>
      <c r="Y50" s="93" t="inlineStr">
        <is>
          <t>2020 Y</t>
        </is>
      </c>
      <c r="Z50" s="94" t="inlineStr">
        <is>
          <t>100M - 249M</t>
        </is>
      </c>
      <c r="AA50" s="95" t="inlineStr">
        <is>
          <t>Flint Capital</t>
        </is>
      </c>
      <c r="AB50" s="96" t="inlineStr">
        <is>
          <t>Cambridge, MA</t>
        </is>
      </c>
      <c r="AC50" s="97" t="inlineStr">
        <is>
          <t/>
        </is>
      </c>
      <c r="AD50" s="98" t="inlineStr">
        <is>
          <t>Early Stage VC</t>
        </is>
      </c>
      <c r="AE50" s="99" t="inlineStr">
        <is>
          <t>Eastern Europe, Israel, United States</t>
        </is>
      </c>
      <c r="AF50" s="100" t="inlineStr">
        <is>
          <t>Flint Capital</t>
        </is>
      </c>
      <c r="AG50" s="233">
        <f>HYPERLINK("https://my.pitchbook.com?i=59286-07", "View Investor Online")</f>
      </c>
    </row>
    <row r="51">
      <c r="A51" s="36" t="inlineStr">
        <is>
          <t>14732-38F</t>
        </is>
      </c>
      <c r="B51" s="37" t="inlineStr">
        <is>
          <t>Clarus DE II</t>
        </is>
      </c>
      <c r="C51" s="38" t="inlineStr">
        <is>
          <t/>
        </is>
      </c>
      <c r="D51" s="39" t="inlineStr">
        <is>
          <t>Venture Capital</t>
        </is>
      </c>
      <c r="E51" s="40" t="n">
        <v>40.0</v>
      </c>
      <c r="F51" s="41" t="inlineStr">
        <is>
          <t>Cambridge, MA</t>
        </is>
      </c>
      <c r="G51" s="42" t="n">
        <v>1.0</v>
      </c>
      <c r="H51" s="43" t="n">
        <v>2014.0</v>
      </c>
      <c r="I51" s="44" t="n">
        <v>18.75</v>
      </c>
      <c r="J51" s="45" t="n">
        <v>7.5</v>
      </c>
      <c r="K51" s="46" t="n">
        <v>0.8035276825085744</v>
      </c>
      <c r="L51" s="47" t="n">
        <v>0.0</v>
      </c>
      <c r="M51" s="48" t="n">
        <v>15.002</v>
      </c>
      <c r="N51" s="49" t="n">
        <v>91.29</v>
      </c>
      <c r="O51" s="50" t="inlineStr">
        <is>
          <t/>
        </is>
      </c>
      <c r="P51" s="51" t="n">
        <v>77.33000000000001</v>
      </c>
      <c r="Q51" s="52" t="n">
        <v>0.0</v>
      </c>
      <c r="R51" s="53" t="n">
        <v>-0.02</v>
      </c>
      <c r="S51" s="54" t="n">
        <v>2.0</v>
      </c>
      <c r="T51" s="55" t="n">
        <v>0.8200000000000001</v>
      </c>
      <c r="U51" s="56" t="n">
        <v>2.0</v>
      </c>
      <c r="V51" s="57" t="n">
        <v>0.5</v>
      </c>
      <c r="W51" s="58" t="inlineStr">
        <is>
          <t/>
        </is>
      </c>
      <c r="X51" s="59" t="inlineStr">
        <is>
          <t>GP Self Reporting, LP Original Commitments</t>
        </is>
      </c>
      <c r="Y51" s="60" t="inlineStr">
        <is>
          <t>2016 Y</t>
        </is>
      </c>
      <c r="Z51" s="61" t="inlineStr">
        <is>
          <t>0 - 99M</t>
        </is>
      </c>
      <c r="AA51" s="62" t="inlineStr">
        <is>
          <t>Blackstone Life Sciences</t>
        </is>
      </c>
      <c r="AB51" s="63" t="inlineStr">
        <is>
          <t>Cambridge, MA</t>
        </is>
      </c>
      <c r="AC51" s="64" t="inlineStr">
        <is>
          <t>Pharmaceuticals and Biotechnology</t>
        </is>
      </c>
      <c r="AD51" s="65" t="inlineStr">
        <is>
          <t>Seed Round, Early Stage VC, Later Stage VC</t>
        </is>
      </c>
      <c r="AE51" s="66" t="inlineStr">
        <is>
          <t/>
        </is>
      </c>
      <c r="AF51" s="67" t="inlineStr">
        <is>
          <t>Blackstone Life Sciences, RWJF</t>
        </is>
      </c>
      <c r="AG51" s="232">
        <f>HYPERLINK("https://my.pitchbook.com?i=11151-91", "View Investor Online")</f>
      </c>
    </row>
    <row r="52">
      <c r="A52" s="69" t="inlineStr">
        <is>
          <t>13690-90F</t>
        </is>
      </c>
      <c r="B52" s="70" t="inlineStr">
        <is>
          <t>Inveready Biotech II</t>
        </is>
      </c>
      <c r="C52" s="71" t="inlineStr">
        <is>
          <t/>
        </is>
      </c>
      <c r="D52" s="72" t="inlineStr">
        <is>
          <t>Venture Capital</t>
        </is>
      </c>
      <c r="E52" s="73" t="n">
        <v>20.15654</v>
      </c>
      <c r="F52" s="74" t="inlineStr">
        <is>
          <t>Barcelona, Spain</t>
        </is>
      </c>
      <c r="G52" s="75" t="inlineStr">
        <is>
          <t/>
        </is>
      </c>
      <c r="H52" s="76" t="n">
        <v>2012.0</v>
      </c>
      <c r="I52" s="77" t="n">
        <v>85.96491228070175</v>
      </c>
      <c r="J52" s="78" t="n">
        <v>16.27652824974173</v>
      </c>
      <c r="K52" s="79" t="n">
        <v>2.8289880701754386</v>
      </c>
      <c r="L52" s="80" t="n">
        <v>3.598552164058546</v>
      </c>
      <c r="M52" s="81" t="n">
        <v>28.98772174001623</v>
      </c>
      <c r="N52" s="82" t="n">
        <v>15.7</v>
      </c>
      <c r="O52" s="83" t="inlineStr">
        <is>
          <t/>
        </is>
      </c>
      <c r="P52" s="84" t="inlineStr">
        <is>
          <t/>
        </is>
      </c>
      <c r="Q52" s="85" t="n">
        <v>0.221088435</v>
      </c>
      <c r="R52" s="86" t="n">
        <v>0.104178435</v>
      </c>
      <c r="S52" s="87" t="n">
        <v>1.780952381</v>
      </c>
      <c r="T52" s="88" t="n">
        <v>0.7709523810000001</v>
      </c>
      <c r="U52" s="89" t="n">
        <v>2.0</v>
      </c>
      <c r="V52" s="90" t="n">
        <v>0.4950000000000001</v>
      </c>
      <c r="W52" s="91" t="inlineStr">
        <is>
          <t/>
        </is>
      </c>
      <c r="X52" s="92" t="inlineStr">
        <is>
          <t>GP Self Reporting</t>
        </is>
      </c>
      <c r="Y52" s="93" t="inlineStr">
        <is>
          <t>2020 Y</t>
        </is>
      </c>
      <c r="Z52" s="94" t="inlineStr">
        <is>
          <t>0 - 99M</t>
        </is>
      </c>
      <c r="AA52" s="95" t="inlineStr">
        <is>
          <t>Inveready Technology Investment Group</t>
        </is>
      </c>
      <c r="AB52" s="96" t="inlineStr">
        <is>
          <t>Barcelona, Spain</t>
        </is>
      </c>
      <c r="AC52" s="97" t="inlineStr">
        <is>
          <t>Pharmaceuticals and Biotechnology</t>
        </is>
      </c>
      <c r="AD52" s="98" t="inlineStr">
        <is>
          <t>Seed Round, Early Stage VC, Later Stage VC</t>
        </is>
      </c>
      <c r="AE52" s="99" t="inlineStr">
        <is>
          <t>Spain</t>
        </is>
      </c>
      <c r="AF52" s="100" t="inlineStr">
        <is>
          <t>Inveready</t>
        </is>
      </c>
      <c r="AG52" s="233">
        <f>HYPERLINK("https://my.pitchbook.com?i=54589-15", "View Investor Online")</f>
      </c>
    </row>
    <row r="53">
      <c r="A53" s="36" t="inlineStr">
        <is>
          <t>13283-47F</t>
        </is>
      </c>
      <c r="B53" s="37" t="inlineStr">
        <is>
          <t>Okapi Ventures II</t>
        </is>
      </c>
      <c r="C53" s="38" t="inlineStr">
        <is>
          <t/>
        </is>
      </c>
      <c r="D53" s="39" t="inlineStr">
        <is>
          <t>Venture Capital</t>
        </is>
      </c>
      <c r="E53" s="40" t="n">
        <v>19.04</v>
      </c>
      <c r="F53" s="41" t="inlineStr">
        <is>
          <t>Ladera Ranch, CA</t>
        </is>
      </c>
      <c r="G53" s="42" t="inlineStr">
        <is>
          <t/>
        </is>
      </c>
      <c r="H53" s="43" t="n">
        <v>2012.0</v>
      </c>
      <c r="I53" s="44" t="n">
        <v>70.0000010503979</v>
      </c>
      <c r="J53" s="45" t="n">
        <v>13.328000199995758</v>
      </c>
      <c r="K53" s="46" t="n">
        <v>0.0</v>
      </c>
      <c r="L53" s="47" t="n">
        <v>9.288494912187787</v>
      </c>
      <c r="M53" s="48" t="n">
        <v>16.90607827859115</v>
      </c>
      <c r="N53" s="49" t="inlineStr">
        <is>
          <t/>
        </is>
      </c>
      <c r="O53" s="50" t="inlineStr">
        <is>
          <t/>
        </is>
      </c>
      <c r="P53" s="51" t="inlineStr">
        <is>
          <t/>
        </is>
      </c>
      <c r="Q53" s="52" t="n">
        <v>0.697</v>
      </c>
      <c r="R53" s="53" t="n">
        <v>0.21507999999999994</v>
      </c>
      <c r="S53" s="54" t="n">
        <v>1.268</v>
      </c>
      <c r="T53" s="55" t="n">
        <v>0.1378999999999999</v>
      </c>
      <c r="U53" s="56" t="n">
        <v>1.97</v>
      </c>
      <c r="V53" s="57" t="n">
        <v>0.6799999999999999</v>
      </c>
      <c r="W53" s="58" t="inlineStr">
        <is>
          <t/>
        </is>
      </c>
      <c r="X53" s="59" t="inlineStr">
        <is>
          <t>GP Self Reporting</t>
        </is>
      </c>
      <c r="Y53" s="60" t="inlineStr">
        <is>
          <t>2016 Y</t>
        </is>
      </c>
      <c r="Z53" s="61" t="inlineStr">
        <is>
          <t>0 - 99M</t>
        </is>
      </c>
      <c r="AA53" s="62" t="inlineStr">
        <is>
          <t>Okapi Venture Capital</t>
        </is>
      </c>
      <c r="AB53" s="63" t="inlineStr">
        <is>
          <t>Ladera Ranch, CA</t>
        </is>
      </c>
      <c r="AC53" s="64" t="inlineStr">
        <is>
          <t>Information Technology</t>
        </is>
      </c>
      <c r="AD53" s="65" t="inlineStr">
        <is>
          <t>Seed Round, Early Stage VC, Later Stage VC</t>
        </is>
      </c>
      <c r="AE53" s="66" t="inlineStr">
        <is>
          <t/>
        </is>
      </c>
      <c r="AF53" s="67" t="inlineStr">
        <is>
          <t>Okapi</t>
        </is>
      </c>
      <c r="AG53" s="232">
        <f>HYPERLINK("https://my.pitchbook.com?i=11261-53", "View Investor Online")</f>
      </c>
    </row>
    <row r="54">
      <c r="A54" s="69" t="inlineStr">
        <is>
          <t>14042-80F</t>
        </is>
      </c>
      <c r="B54" s="70" t="inlineStr">
        <is>
          <t>Rural Impulse Fund I</t>
        </is>
      </c>
      <c r="C54" s="71" t="inlineStr">
        <is>
          <t/>
        </is>
      </c>
      <c r="D54" s="72" t="inlineStr">
        <is>
          <t>Venture Capital</t>
        </is>
      </c>
      <c r="E54" s="73" t="n">
        <v>43.56539</v>
      </c>
      <c r="F54" s="74" t="inlineStr">
        <is>
          <t>Antwerp, Belgium</t>
        </is>
      </c>
      <c r="G54" s="75" t="n">
        <v>3.0</v>
      </c>
      <c r="H54" s="76" t="n">
        <v>2009.0</v>
      </c>
      <c r="I54" s="77" t="n">
        <v>30.0</v>
      </c>
      <c r="J54" s="78" t="n">
        <v>13.069617495861287</v>
      </c>
      <c r="K54" s="79" t="n">
        <v>0.1236324152477374</v>
      </c>
      <c r="L54" s="80" t="inlineStr">
        <is>
          <t/>
        </is>
      </c>
      <c r="M54" s="81" t="n">
        <v>25.301590732189016</v>
      </c>
      <c r="N54" s="82" t="n">
        <v>7.64</v>
      </c>
      <c r="O54" s="83" t="inlineStr">
        <is>
          <t/>
        </is>
      </c>
      <c r="P54" s="84" t="n">
        <v>-10.259999999999998</v>
      </c>
      <c r="Q54" s="85" t="n">
        <v>0.0</v>
      </c>
      <c r="R54" s="86" t="n">
        <v>-0.775</v>
      </c>
      <c r="S54" s="87" t="n">
        <v>1.94</v>
      </c>
      <c r="T54" s="88" t="n">
        <v>1.2346499999999998</v>
      </c>
      <c r="U54" s="89" t="n">
        <v>1.94</v>
      </c>
      <c r="V54" s="90" t="n">
        <v>0.32499999999999996</v>
      </c>
      <c r="W54" s="91" t="inlineStr">
        <is>
          <t/>
        </is>
      </c>
      <c r="X54" s="92" t="inlineStr">
        <is>
          <t>GP Self Reporting</t>
        </is>
      </c>
      <c r="Y54" s="93" t="inlineStr">
        <is>
          <t>2017 Y</t>
        </is>
      </c>
      <c r="Z54" s="94" t="inlineStr">
        <is>
          <t>0 - 99M</t>
        </is>
      </c>
      <c r="AA54" s="95" t="inlineStr">
        <is>
          <t>Incofin Investment Management</t>
        </is>
      </c>
      <c r="AB54" s="96" t="inlineStr">
        <is>
          <t>Antwerp, Belgium</t>
        </is>
      </c>
      <c r="AC54" s="97" t="inlineStr">
        <is>
          <t>Other Financial Services</t>
        </is>
      </c>
      <c r="AD54" s="98" t="inlineStr">
        <is>
          <t>Seed Round, Early Stage VC, Later Stage VC</t>
        </is>
      </c>
      <c r="AE54" s="99" t="inlineStr">
        <is>
          <t/>
        </is>
      </c>
      <c r="AF54" s="100" t="inlineStr">
        <is>
          <t>Incofin IM, Incofin</t>
        </is>
      </c>
      <c r="AG54" s="233">
        <f>HYPERLINK("https://my.pitchbook.com?i=56267-92", "View Investor Online")</f>
      </c>
    </row>
    <row r="55">
      <c r="A55" s="36" t="inlineStr">
        <is>
          <t>15348-16F</t>
        </is>
      </c>
      <c r="B55" s="37" t="inlineStr">
        <is>
          <t>Accelmed Medical Partners</t>
        </is>
      </c>
      <c r="C55" s="38" t="inlineStr">
        <is>
          <t/>
        </is>
      </c>
      <c r="D55" s="39" t="inlineStr">
        <is>
          <t>Venture Capital</t>
        </is>
      </c>
      <c r="E55" s="40" t="n">
        <v>90.0</v>
      </c>
      <c r="F55" s="41" t="inlineStr">
        <is>
          <t>New York, NY</t>
        </is>
      </c>
      <c r="G55" s="42" t="n">
        <v>2.0</v>
      </c>
      <c r="H55" s="43" t="n">
        <v>2011.0</v>
      </c>
      <c r="I55" s="44" t="n">
        <v>66.66666666666667</v>
      </c>
      <c r="J55" s="45" t="n">
        <v>60.0</v>
      </c>
      <c r="K55" s="46" t="n">
        <v>0.0</v>
      </c>
      <c r="L55" s="47" t="n">
        <v>0.0</v>
      </c>
      <c r="M55" s="48" t="n">
        <v>116.0</v>
      </c>
      <c r="N55" s="49" t="n">
        <v>14.0</v>
      </c>
      <c r="O55" s="50" t="inlineStr">
        <is>
          <t/>
        </is>
      </c>
      <c r="P55" s="51" t="n">
        <v>2.9000000000000004</v>
      </c>
      <c r="Q55" s="52" t="n">
        <v>0.0</v>
      </c>
      <c r="R55" s="53" t="n">
        <v>-0.19</v>
      </c>
      <c r="S55" s="54" t="n">
        <v>1.93</v>
      </c>
      <c r="T55" s="55" t="n">
        <v>0.7708999999999999</v>
      </c>
      <c r="U55" s="56" t="n">
        <v>1.93</v>
      </c>
      <c r="V55" s="57" t="n">
        <v>0.3999999999999999</v>
      </c>
      <c r="W55" s="58" t="inlineStr">
        <is>
          <t/>
        </is>
      </c>
      <c r="X55" s="59" t="inlineStr">
        <is>
          <t>GP Self Reporting</t>
        </is>
      </c>
      <c r="Y55" s="60" t="inlineStr">
        <is>
          <t>2019 Y</t>
        </is>
      </c>
      <c r="Z55" s="61" t="inlineStr">
        <is>
          <t>0 - 99M</t>
        </is>
      </c>
      <c r="AA55" s="62" t="inlineStr">
        <is>
          <t>Accelmed</t>
        </is>
      </c>
      <c r="AB55" s="63" t="inlineStr">
        <is>
          <t>New York, NY</t>
        </is>
      </c>
      <c r="AC55" s="64" t="inlineStr">
        <is>
          <t>Healthcare Devices and Supplies</t>
        </is>
      </c>
      <c r="AD55" s="65" t="inlineStr">
        <is>
          <t>Seed Round, Early Stage VC, Later Stage VC</t>
        </is>
      </c>
      <c r="AE55" s="66" t="inlineStr">
        <is>
          <t>Israel, United States</t>
        </is>
      </c>
      <c r="AF55" s="67" t="inlineStr">
        <is>
          <t>Accelmed</t>
        </is>
      </c>
      <c r="AG55" s="232">
        <f>HYPERLINK("https://my.pitchbook.com?i=40845-52", "View Investor Online")</f>
      </c>
    </row>
    <row r="56">
      <c r="A56" s="69" t="inlineStr">
        <is>
          <t>15407-02F</t>
        </is>
      </c>
      <c r="B56" s="70" t="inlineStr">
        <is>
          <t>New Science Ventures 2016</t>
        </is>
      </c>
      <c r="C56" s="71" t="inlineStr">
        <is>
          <t/>
        </is>
      </c>
      <c r="D56" s="72" t="inlineStr">
        <is>
          <t>Venture Capital</t>
        </is>
      </c>
      <c r="E56" s="73" t="n">
        <v>46.0</v>
      </c>
      <c r="F56" s="74" t="inlineStr">
        <is>
          <t>New York, NY</t>
        </is>
      </c>
      <c r="G56" s="75" t="n">
        <v>1.0</v>
      </c>
      <c r="H56" s="76" t="n">
        <v>2016.0</v>
      </c>
      <c r="I56" s="77" t="n">
        <v>100.0</v>
      </c>
      <c r="J56" s="78" t="n">
        <v>47.530545920642005</v>
      </c>
      <c r="K56" s="79" t="n">
        <v>3.679474780038955</v>
      </c>
      <c r="L56" s="80" t="n">
        <v>3.06108568880963</v>
      </c>
      <c r="M56" s="81" t="n">
        <v>89.01111302362906</v>
      </c>
      <c r="N56" s="82" t="n">
        <v>34.3904072</v>
      </c>
      <c r="O56" s="83" t="inlineStr">
        <is>
          <t/>
        </is>
      </c>
      <c r="P56" s="84" t="n">
        <v>13.870407199999999</v>
      </c>
      <c r="Q56" s="85" t="n">
        <v>0.064402494</v>
      </c>
      <c r="R56" s="86" t="n">
        <v>0.004202494000000008</v>
      </c>
      <c r="S56" s="87" t="n">
        <v>1.872713879</v>
      </c>
      <c r="T56" s="88" t="n">
        <v>0.702713879</v>
      </c>
      <c r="U56" s="89" t="n">
        <v>1.9300000000000002</v>
      </c>
      <c r="V56" s="90" t="n">
        <v>0.6700000000000002</v>
      </c>
      <c r="W56" s="91" t="inlineStr">
        <is>
          <t/>
        </is>
      </c>
      <c r="X56" s="92" t="inlineStr">
        <is>
          <t>GP Self Reporting</t>
        </is>
      </c>
      <c r="Y56" s="93" t="inlineStr">
        <is>
          <t>2018 Y</t>
        </is>
      </c>
      <c r="Z56" s="94" t="inlineStr">
        <is>
          <t>0 - 99M</t>
        </is>
      </c>
      <c r="AA56" s="95" t="inlineStr">
        <is>
          <t>New Science Ventures</t>
        </is>
      </c>
      <c r="AB56" s="96" t="inlineStr">
        <is>
          <t>New York, NY</t>
        </is>
      </c>
      <c r="AC56" s="97" t="inlineStr">
        <is>
          <t>Pharmaceuticals and Biotechnology</t>
        </is>
      </c>
      <c r="AD56" s="98" t="inlineStr">
        <is>
          <t>Seed Round, Early Stage VC, Later Stage VC</t>
        </is>
      </c>
      <c r="AE56" s="99" t="inlineStr">
        <is>
          <t/>
        </is>
      </c>
      <c r="AF56" s="100" t="inlineStr">
        <is>
          <t>NSV</t>
        </is>
      </c>
      <c r="AG56" s="233">
        <f>HYPERLINK("https://my.pitchbook.com?i=11252-98", "View Investor Online")</f>
      </c>
    </row>
    <row r="57">
      <c r="A57" s="36" t="inlineStr">
        <is>
          <t>14543-56F</t>
        </is>
      </c>
      <c r="B57" s="37" t="inlineStr">
        <is>
          <t>Benhamou Global Ventures II</t>
        </is>
      </c>
      <c r="C57" s="38" t="inlineStr">
        <is>
          <t/>
        </is>
      </c>
      <c r="D57" s="39" t="inlineStr">
        <is>
          <t>Venture Capital</t>
        </is>
      </c>
      <c r="E57" s="40" t="n">
        <v>72.0</v>
      </c>
      <c r="F57" s="41" t="inlineStr">
        <is>
          <t>Palo Alto, CA</t>
        </is>
      </c>
      <c r="G57" s="42" t="n">
        <v>2.0</v>
      </c>
      <c r="H57" s="43" t="n">
        <v>2015.0</v>
      </c>
      <c r="I57" s="44" t="n">
        <v>57.638888888888886</v>
      </c>
      <c r="J57" s="45" t="n">
        <v>41.5</v>
      </c>
      <c r="K57" s="46" t="n">
        <v>30.5</v>
      </c>
      <c r="L57" s="47" t="n">
        <v>31.399999999999995</v>
      </c>
      <c r="M57" s="48" t="n">
        <v>47.1</v>
      </c>
      <c r="N57" s="49" t="n">
        <v>18.5</v>
      </c>
      <c r="O57" s="50" t="inlineStr">
        <is>
          <t/>
        </is>
      </c>
      <c r="P57" s="51" t="n">
        <v>3.5</v>
      </c>
      <c r="Q57" s="52" t="n">
        <v>0.76</v>
      </c>
      <c r="R57" s="53" t="n">
        <v>0.64</v>
      </c>
      <c r="S57" s="54" t="n">
        <v>1.14</v>
      </c>
      <c r="T57" s="55" t="n">
        <v>0.02429999999999999</v>
      </c>
      <c r="U57" s="56" t="n">
        <v>1.9</v>
      </c>
      <c r="V57" s="57" t="n">
        <v>0.69</v>
      </c>
      <c r="W57" s="58" t="inlineStr">
        <is>
          <t/>
        </is>
      </c>
      <c r="X57" s="59" t="inlineStr">
        <is>
          <t>GP Self Reporting</t>
        </is>
      </c>
      <c r="Y57" s="60" t="inlineStr">
        <is>
          <t>2020 Y</t>
        </is>
      </c>
      <c r="Z57" s="61" t="inlineStr">
        <is>
          <t>0 - 99M</t>
        </is>
      </c>
      <c r="AA57" s="62" t="inlineStr">
        <is>
          <t>Benhamou Global Ventures</t>
        </is>
      </c>
      <c r="AB57" s="63" t="inlineStr">
        <is>
          <t>Palo Alto, CA</t>
        </is>
      </c>
      <c r="AC57" s="64" t="inlineStr">
        <is>
          <t>Software</t>
        </is>
      </c>
      <c r="AD57" s="65" t="inlineStr">
        <is>
          <t>Seed Round, Early Stage VC, Later Stage VC</t>
        </is>
      </c>
      <c r="AE57" s="66" t="inlineStr">
        <is>
          <t>Europe, United States</t>
        </is>
      </c>
      <c r="AF57" s="67" t="inlineStr">
        <is>
          <t>BGV</t>
        </is>
      </c>
      <c r="AG57" s="232">
        <f>HYPERLINK("https://my.pitchbook.com?i=51586-39", "View Investor Online")</f>
      </c>
    </row>
    <row r="58">
      <c r="A58" s="69" t="inlineStr">
        <is>
          <t>14829-85F</t>
        </is>
      </c>
      <c r="B58" s="70" t="inlineStr">
        <is>
          <t>PVP Fund I</t>
        </is>
      </c>
      <c r="C58" s="71" t="inlineStr">
        <is>
          <t>High Peaks Ventures III, L.P.</t>
        </is>
      </c>
      <c r="D58" s="72" t="inlineStr">
        <is>
          <t>Venture Capital - Early Stage</t>
        </is>
      </c>
      <c r="E58" s="73" t="n">
        <v>30.71066</v>
      </c>
      <c r="F58" s="74" t="inlineStr">
        <is>
          <t>New York, NY</t>
        </is>
      </c>
      <c r="G58" s="75" t="inlineStr">
        <is>
          <t/>
        </is>
      </c>
      <c r="H58" s="76" t="n">
        <v>2016.0</v>
      </c>
      <c r="I58" s="77" t="n">
        <v>84.99387333333334</v>
      </c>
      <c r="J58" s="78" t="n">
        <v>26.10217946023067</v>
      </c>
      <c r="K58" s="79" t="n">
        <v>5.91236246350365</v>
      </c>
      <c r="L58" s="80" t="n">
        <v>0.16851246248600002</v>
      </c>
      <c r="M58" s="81" t="n">
        <v>48.714950262564</v>
      </c>
      <c r="N58" s="82" t="inlineStr">
        <is>
          <t/>
        </is>
      </c>
      <c r="O58" s="83" t="inlineStr">
        <is>
          <t/>
        </is>
      </c>
      <c r="P58" s="84" t="inlineStr">
        <is>
          <t/>
        </is>
      </c>
      <c r="Q58" s="85" t="n">
        <v>0.01</v>
      </c>
      <c r="R58" s="86" t="n">
        <v>0.01</v>
      </c>
      <c r="S58" s="87" t="n">
        <v>1.87</v>
      </c>
      <c r="T58" s="88" t="n">
        <v>0.6950000000000001</v>
      </c>
      <c r="U58" s="89" t="n">
        <v>1.8800000000000001</v>
      </c>
      <c r="V58" s="90" t="n">
        <v>0.7050000000000001</v>
      </c>
      <c r="W58" s="91" t="inlineStr">
        <is>
          <t/>
        </is>
      </c>
      <c r="X58" s="92" t="inlineStr">
        <is>
          <t>LP Original Commitments</t>
        </is>
      </c>
      <c r="Y58" s="93" t="inlineStr">
        <is>
          <t>2019 Y</t>
        </is>
      </c>
      <c r="Z58" s="94" t="inlineStr">
        <is>
          <t>0 - 99M</t>
        </is>
      </c>
      <c r="AA58" s="95" t="inlineStr">
        <is>
          <t>Primary Venture Partners</t>
        </is>
      </c>
      <c r="AB58" s="96" t="inlineStr">
        <is>
          <t>New York, NY</t>
        </is>
      </c>
      <c r="AC58" s="97" t="inlineStr">
        <is>
          <t>Software</t>
        </is>
      </c>
      <c r="AD58" s="98" t="inlineStr">
        <is>
          <t>Seed Round, Early Stage VC</t>
        </is>
      </c>
      <c r="AE58" s="99" t="inlineStr">
        <is>
          <t/>
        </is>
      </c>
      <c r="AF58" s="100" t="inlineStr">
        <is>
          <t>NYSCRF</t>
        </is>
      </c>
      <c r="AG58" s="233">
        <f>HYPERLINK("https://my.pitchbook.com?i=11209-51", "View Investor Online")</f>
      </c>
    </row>
    <row r="59">
      <c r="A59" s="36" t="inlineStr">
        <is>
          <t>15201-19F</t>
        </is>
      </c>
      <c r="B59" s="37" t="inlineStr">
        <is>
          <t>Foundry Venture Capital 2010 Annex</t>
        </is>
      </c>
      <c r="C59" s="38" t="inlineStr">
        <is>
          <t/>
        </is>
      </c>
      <c r="D59" s="39" t="inlineStr">
        <is>
          <t>Venture Capital - Early Stage</t>
        </is>
      </c>
      <c r="E59" s="40" t="n">
        <v>30.0</v>
      </c>
      <c r="F59" s="41" t="inlineStr">
        <is>
          <t>Boulder, CO</t>
        </is>
      </c>
      <c r="G59" s="42" t="n">
        <v>1.0</v>
      </c>
      <c r="H59" s="43" t="n">
        <v>2015.0</v>
      </c>
      <c r="I59" s="44" t="n">
        <v>69.1250001111111</v>
      </c>
      <c r="J59" s="45" t="n">
        <v>20.73750003333333</v>
      </c>
      <c r="K59" s="46" t="n">
        <v>9.262499966666667</v>
      </c>
      <c r="L59" s="47" t="n">
        <v>17.65589</v>
      </c>
      <c r="M59" s="48" t="n">
        <v>20.937493333333332</v>
      </c>
      <c r="N59" s="49" t="n">
        <v>20.95</v>
      </c>
      <c r="O59" s="50" t="inlineStr">
        <is>
          <t/>
        </is>
      </c>
      <c r="P59" s="51" t="n">
        <v>3.5500000000000007</v>
      </c>
      <c r="Q59" s="52" t="n">
        <v>0.85</v>
      </c>
      <c r="R59" s="53" t="n">
        <v>0.84</v>
      </c>
      <c r="S59" s="54" t="n">
        <v>1.01</v>
      </c>
      <c r="T59" s="55" t="n">
        <v>-0.29000000000000004</v>
      </c>
      <c r="U59" s="56" t="n">
        <v>1.8599999999999999</v>
      </c>
      <c r="V59" s="57" t="n">
        <v>0.33499999999999996</v>
      </c>
      <c r="W59" s="58" t="inlineStr">
        <is>
          <t/>
        </is>
      </c>
      <c r="X59" s="59" t="inlineStr">
        <is>
          <t>LP Original Commitments</t>
        </is>
      </c>
      <c r="Y59" s="60" t="inlineStr">
        <is>
          <t>2019 Y</t>
        </is>
      </c>
      <c r="Z59" s="61" t="inlineStr">
        <is>
          <t>0 - 99M</t>
        </is>
      </c>
      <c r="AA59" s="62" t="inlineStr">
        <is>
          <t>Foundry Group</t>
        </is>
      </c>
      <c r="AB59" s="63" t="inlineStr">
        <is>
          <t>Boulder, CO</t>
        </is>
      </c>
      <c r="AC59" s="64" t="inlineStr">
        <is>
          <t>Software</t>
        </is>
      </c>
      <c r="AD59" s="65" t="inlineStr">
        <is>
          <t>Seed Round, Early Stage VC</t>
        </is>
      </c>
      <c r="AE59" s="66" t="inlineStr">
        <is>
          <t/>
        </is>
      </c>
      <c r="AF59" s="67" t="inlineStr">
        <is>
          <t>MWRAERS, UTIMCO</t>
        </is>
      </c>
      <c r="AG59" s="232">
        <f>HYPERLINK("https://my.pitchbook.com?i=42240-79", "View Investor Online")</f>
      </c>
    </row>
    <row r="60">
      <c r="A60" s="69" t="inlineStr">
        <is>
          <t>16208-11F</t>
        </is>
      </c>
      <c r="B60" s="70" t="inlineStr">
        <is>
          <t>OrbiMed Private Investments VII</t>
        </is>
      </c>
      <c r="C60" s="71" t="inlineStr">
        <is>
          <t/>
        </is>
      </c>
      <c r="D60" s="72" t="inlineStr">
        <is>
          <t>Venture Capital</t>
        </is>
      </c>
      <c r="E60" s="73" t="n">
        <v>90.0</v>
      </c>
      <c r="F60" s="74" t="inlineStr">
        <is>
          <t>New York, NY</t>
        </is>
      </c>
      <c r="G60" s="75" t="inlineStr">
        <is>
          <t/>
        </is>
      </c>
      <c r="H60" s="76" t="n">
        <v>2018.0</v>
      </c>
      <c r="I60" s="77" t="n">
        <v>38.105555555555554</v>
      </c>
      <c r="J60" s="78" t="n">
        <v>34.295</v>
      </c>
      <c r="K60" s="79" t="n">
        <v>50.761899738716956</v>
      </c>
      <c r="L60" s="80" t="n">
        <v>1.404</v>
      </c>
      <c r="M60" s="81" t="n">
        <v>61.025000000000006</v>
      </c>
      <c r="N60" s="82" t="inlineStr">
        <is>
          <t/>
        </is>
      </c>
      <c r="O60" s="83" t="inlineStr">
        <is>
          <t/>
        </is>
      </c>
      <c r="P60" s="84" t="inlineStr">
        <is>
          <t/>
        </is>
      </c>
      <c r="Q60" s="85" t="n">
        <v>0.04</v>
      </c>
      <c r="R60" s="86" t="n">
        <v>0.04</v>
      </c>
      <c r="S60" s="87" t="n">
        <v>1.78</v>
      </c>
      <c r="T60" s="88" t="n">
        <v>0.76851</v>
      </c>
      <c r="U60" s="89" t="n">
        <v>1.82</v>
      </c>
      <c r="V60" s="90" t="n">
        <v>0.72</v>
      </c>
      <c r="W60" s="91" t="inlineStr">
        <is>
          <t/>
        </is>
      </c>
      <c r="X60" s="92" t="inlineStr">
        <is>
          <t>LP Original Commitments</t>
        </is>
      </c>
      <c r="Y60" s="93" t="inlineStr">
        <is>
          <t>2019 Y</t>
        </is>
      </c>
      <c r="Z60" s="94" t="inlineStr">
        <is>
          <t>0 - 99M</t>
        </is>
      </c>
      <c r="AA60" s="95" t="inlineStr">
        <is>
          <t>OrbiMed</t>
        </is>
      </c>
      <c r="AB60" s="96" t="inlineStr">
        <is>
          <t>New York, NY</t>
        </is>
      </c>
      <c r="AC60" s="97" t="inlineStr">
        <is>
          <t>Healthcare</t>
        </is>
      </c>
      <c r="AD60" s="98" t="inlineStr">
        <is>
          <t>Seed Round, Early Stage VC, Later Stage VC</t>
        </is>
      </c>
      <c r="AE60" s="99" t="inlineStr">
        <is>
          <t/>
        </is>
      </c>
      <c r="AF60" s="100" t="inlineStr">
        <is>
          <t>SFERS, TCDRS</t>
        </is>
      </c>
      <c r="AG60" s="233">
        <f>HYPERLINK("https://my.pitchbook.com?i=11263-51", "View Investor Online")</f>
      </c>
    </row>
    <row r="61">
      <c r="A61" s="36" t="inlineStr">
        <is>
          <t>16892-65F</t>
        </is>
      </c>
      <c r="B61" s="37" t="inlineStr">
        <is>
          <t>Consultant Trailblazer Fund</t>
        </is>
      </c>
      <c r="C61" s="38" t="inlineStr">
        <is>
          <t/>
        </is>
      </c>
      <c r="D61" s="39" t="inlineStr">
        <is>
          <t>Venture Capital</t>
        </is>
      </c>
      <c r="E61" s="40" t="n">
        <v>50.0</v>
      </c>
      <c r="F61" s="41" t="inlineStr">
        <is>
          <t>San Francisco, CA</t>
        </is>
      </c>
      <c r="G61" s="42" t="inlineStr">
        <is>
          <t/>
        </is>
      </c>
      <c r="H61" s="43" t="n">
        <v>2019.0</v>
      </c>
      <c r="I61" s="44" t="n">
        <v>100.0</v>
      </c>
      <c r="J61" s="45" t="n">
        <v>50.0</v>
      </c>
      <c r="K61" s="46" t="n">
        <v>47.25113464447807</v>
      </c>
      <c r="L61" s="47" t="n">
        <v>0.0</v>
      </c>
      <c r="M61" s="48" t="n">
        <v>90.73083333333334</v>
      </c>
      <c r="N61" s="49" t="inlineStr">
        <is>
          <t/>
        </is>
      </c>
      <c r="O61" s="50" t="inlineStr">
        <is>
          <t/>
        </is>
      </c>
      <c r="P61" s="51" t="inlineStr">
        <is>
          <t/>
        </is>
      </c>
      <c r="Q61" s="52" t="n">
        <v>0.0</v>
      </c>
      <c r="R61" s="53" t="n">
        <v>0.0</v>
      </c>
      <c r="S61" s="54" t="n">
        <v>1.81</v>
      </c>
      <c r="T61" s="55" t="n">
        <v>0.9600000000000001</v>
      </c>
      <c r="U61" s="56" t="n">
        <v>1.81</v>
      </c>
      <c r="V61" s="57" t="n">
        <v>0.91</v>
      </c>
      <c r="W61" s="58" t="inlineStr">
        <is>
          <t/>
        </is>
      </c>
      <c r="X61" s="59" t="inlineStr">
        <is>
          <t>LP Original Commitments</t>
        </is>
      </c>
      <c r="Y61" s="60" t="inlineStr">
        <is>
          <t>2017 Y</t>
        </is>
      </c>
      <c r="Z61" s="61" t="inlineStr">
        <is>
          <t>0 - 99M</t>
        </is>
      </c>
      <c r="AA61" s="62" t="inlineStr">
        <is>
          <t>Salesforce Ventures</t>
        </is>
      </c>
      <c r="AB61" s="63" t="inlineStr">
        <is>
          <t>San Francisco, CA</t>
        </is>
      </c>
      <c r="AC61" s="64" t="inlineStr">
        <is>
          <t/>
        </is>
      </c>
      <c r="AD61" s="65" t="inlineStr">
        <is>
          <t>Early Stage VC, Seed Round, Later Stage VC</t>
        </is>
      </c>
      <c r="AE61" s="66" t="inlineStr">
        <is>
          <t/>
        </is>
      </c>
      <c r="AF61" s="67" t="inlineStr">
        <is>
          <t>TMRS</t>
        </is>
      </c>
      <c r="AG61" s="232">
        <f>HYPERLINK("https://my.pitchbook.com?i=107882-74", "View Investor Online")</f>
      </c>
    </row>
    <row r="62">
      <c r="A62" s="69" t="inlineStr">
        <is>
          <t>13544-83F</t>
        </is>
      </c>
      <c r="B62" s="70" t="inlineStr">
        <is>
          <t>ESO Venture Fund</t>
        </is>
      </c>
      <c r="C62" s="71" t="inlineStr">
        <is>
          <t/>
        </is>
      </c>
      <c r="D62" s="72" t="inlineStr">
        <is>
          <t>Venture Capital</t>
        </is>
      </c>
      <c r="E62" s="73" t="n">
        <v>25.0</v>
      </c>
      <c r="F62" s="74" t="inlineStr">
        <is>
          <t>San Mateo, CA</t>
        </is>
      </c>
      <c r="G62" s="75" t="inlineStr">
        <is>
          <t/>
        </is>
      </c>
      <c r="H62" s="76" t="n">
        <v>2012.0</v>
      </c>
      <c r="I62" s="77" t="n">
        <v>100.0</v>
      </c>
      <c r="J62" s="78" t="n">
        <v>25.0</v>
      </c>
      <c r="K62" s="79" t="n">
        <v>0.0</v>
      </c>
      <c r="L62" s="80" t="n">
        <v>15.0</v>
      </c>
      <c r="M62" s="81" t="inlineStr">
        <is>
          <t/>
        </is>
      </c>
      <c r="N62" s="82" t="inlineStr">
        <is>
          <t/>
        </is>
      </c>
      <c r="O62" s="83" t="inlineStr">
        <is>
          <t/>
        </is>
      </c>
      <c r="P62" s="84" t="inlineStr">
        <is>
          <t/>
        </is>
      </c>
      <c r="Q62" s="85" t="n">
        <v>0.6</v>
      </c>
      <c r="R62" s="86" t="n">
        <v>0.11807999999999996</v>
      </c>
      <c r="S62" s="87" t="n">
        <v>1.21</v>
      </c>
      <c r="T62" s="88" t="n">
        <v>0.07989999999999986</v>
      </c>
      <c r="U62" s="89" t="n">
        <v>1.81</v>
      </c>
      <c r="V62" s="90" t="n">
        <v>0.52</v>
      </c>
      <c r="W62" s="91" t="inlineStr">
        <is>
          <t/>
        </is>
      </c>
      <c r="X62" s="92" t="inlineStr">
        <is>
          <t>GP Self Reporting</t>
        </is>
      </c>
      <c r="Y62" s="93" t="inlineStr">
        <is>
          <t>2017 Y</t>
        </is>
      </c>
      <c r="Z62" s="94" t="inlineStr">
        <is>
          <t>0 - 99M</t>
        </is>
      </c>
      <c r="AA62" s="95" t="inlineStr">
        <is>
          <t>ESO Fund</t>
        </is>
      </c>
      <c r="AB62" s="96" t="inlineStr">
        <is>
          <t>San Mateo, CA</t>
        </is>
      </c>
      <c r="AC62" s="97" t="inlineStr">
        <is>
          <t>Commercial Services, Software</t>
        </is>
      </c>
      <c r="AD62" s="98" t="inlineStr">
        <is>
          <t>Seed Round, Early Stage VC, Later Stage VC</t>
        </is>
      </c>
      <c r="AE62" s="99" t="inlineStr">
        <is>
          <t/>
        </is>
      </c>
      <c r="AF62" s="100" t="inlineStr">
        <is>
          <t>ESO</t>
        </is>
      </c>
      <c r="AG62" s="233">
        <f>HYPERLINK("https://my.pitchbook.com?i=54960-49", "View Investor Online")</f>
      </c>
    </row>
    <row r="63">
      <c r="A63" s="36" t="inlineStr">
        <is>
          <t>13202-74F</t>
        </is>
      </c>
      <c r="B63" s="37" t="inlineStr">
        <is>
          <t>ff Silver (II) Venture Capital Fund</t>
        </is>
      </c>
      <c r="C63" s="38" t="inlineStr">
        <is>
          <t/>
        </is>
      </c>
      <c r="D63" s="39" t="inlineStr">
        <is>
          <t>Venture Capital - Early Stage</t>
        </is>
      </c>
      <c r="E63" s="40" t="n">
        <v>27.0</v>
      </c>
      <c r="F63" s="41" t="inlineStr">
        <is>
          <t>New York, NY</t>
        </is>
      </c>
      <c r="G63" s="42" t="inlineStr">
        <is>
          <t/>
        </is>
      </c>
      <c r="H63" s="43" t="n">
        <v>2011.0</v>
      </c>
      <c r="I63" s="44" t="inlineStr">
        <is>
          <t/>
        </is>
      </c>
      <c r="J63" s="45" t="inlineStr">
        <is>
          <t/>
        </is>
      </c>
      <c r="K63" s="46" t="n">
        <v>0.0</v>
      </c>
      <c r="L63" s="47" t="inlineStr">
        <is>
          <t/>
        </is>
      </c>
      <c r="M63" s="48" t="inlineStr">
        <is>
          <t/>
        </is>
      </c>
      <c r="N63" s="49" t="inlineStr">
        <is>
          <t/>
        </is>
      </c>
      <c r="O63" s="50" t="inlineStr">
        <is>
          <t/>
        </is>
      </c>
      <c r="P63" s="51" t="inlineStr">
        <is>
          <t/>
        </is>
      </c>
      <c r="Q63" s="52" t="n">
        <v>0.35</v>
      </c>
      <c r="R63" s="53" t="n">
        <v>0.07479999999999998</v>
      </c>
      <c r="S63" s="54" t="n">
        <v>1.46</v>
      </c>
      <c r="T63" s="55" t="n">
        <v>0.0</v>
      </c>
      <c r="U63" s="56" t="n">
        <v>1.81</v>
      </c>
      <c r="V63" s="57" t="n">
        <v>0.0</v>
      </c>
      <c r="W63" s="58" t="inlineStr">
        <is>
          <t/>
        </is>
      </c>
      <c r="X63" s="59" t="inlineStr">
        <is>
          <t>GP Self Reporting</t>
        </is>
      </c>
      <c r="Y63" s="60" t="inlineStr">
        <is>
          <t>2019 Y</t>
        </is>
      </c>
      <c r="Z63" s="61" t="inlineStr">
        <is>
          <t>0 - 99M</t>
        </is>
      </c>
      <c r="AA63" s="62" t="inlineStr">
        <is>
          <t>ff Venture Capital</t>
        </is>
      </c>
      <c r="AB63" s="63" t="inlineStr">
        <is>
          <t>New York, NY</t>
        </is>
      </c>
      <c r="AC63" s="64" t="inlineStr">
        <is>
          <t/>
        </is>
      </c>
      <c r="AD63" s="65" t="inlineStr">
        <is>
          <t>Seed Round, Early Stage VC</t>
        </is>
      </c>
      <c r="AE63" s="66" t="inlineStr">
        <is>
          <t>Israel, Canada, United States</t>
        </is>
      </c>
      <c r="AF63" s="67" t="inlineStr">
        <is>
          <t>ff</t>
        </is>
      </c>
      <c r="AG63" s="232">
        <f>HYPERLINK("https://my.pitchbook.com?i=51089-77", "View Investor Online")</f>
      </c>
    </row>
    <row r="64">
      <c r="A64" s="69" t="inlineStr">
        <is>
          <t>16076-35F</t>
        </is>
      </c>
      <c r="B64" s="70" t="inlineStr">
        <is>
          <t>3one4 Capital Fund II</t>
        </is>
      </c>
      <c r="C64" s="71" t="inlineStr">
        <is>
          <t/>
        </is>
      </c>
      <c r="D64" s="72" t="inlineStr">
        <is>
          <t>Venture Capital</t>
        </is>
      </c>
      <c r="E64" s="73" t="n">
        <v>38.94118</v>
      </c>
      <c r="F64" s="74" t="inlineStr">
        <is>
          <t>Bangalore, India</t>
        </is>
      </c>
      <c r="G64" s="75" t="inlineStr">
        <is>
          <t/>
        </is>
      </c>
      <c r="H64" s="76" t="n">
        <v>2017.0</v>
      </c>
      <c r="I64" s="77" t="inlineStr">
        <is>
          <t/>
        </is>
      </c>
      <c r="J64" s="78" t="inlineStr">
        <is>
          <t/>
        </is>
      </c>
      <c r="K64" s="79" t="inlineStr">
        <is>
          <t/>
        </is>
      </c>
      <c r="L64" s="80" t="inlineStr">
        <is>
          <t/>
        </is>
      </c>
      <c r="M64" s="81" t="inlineStr">
        <is>
          <t/>
        </is>
      </c>
      <c r="N64" s="82" t="n">
        <v>43.77</v>
      </c>
      <c r="O64" s="83" t="inlineStr">
        <is>
          <t/>
        </is>
      </c>
      <c r="P64" s="84" t="inlineStr">
        <is>
          <t/>
        </is>
      </c>
      <c r="Q64" s="85" t="n">
        <v>0.01</v>
      </c>
      <c r="R64" s="86" t="inlineStr">
        <is>
          <t/>
        </is>
      </c>
      <c r="S64" s="87" t="n">
        <v>1.71</v>
      </c>
      <c r="T64" s="88" t="inlineStr">
        <is>
          <t/>
        </is>
      </c>
      <c r="U64" s="89" t="n">
        <v>1.72</v>
      </c>
      <c r="V64" s="90" t="inlineStr">
        <is>
          <t/>
        </is>
      </c>
      <c r="W64" s="91" t="inlineStr">
        <is>
          <t/>
        </is>
      </c>
      <c r="X64" s="92" t="inlineStr">
        <is>
          <t>GP Self Reporting</t>
        </is>
      </c>
      <c r="Y64" s="93" t="inlineStr">
        <is>
          <t>2019 Y</t>
        </is>
      </c>
      <c r="Z64" s="94" t="inlineStr">
        <is>
          <t>0 - 99M</t>
        </is>
      </c>
      <c r="AA64" s="95" t="inlineStr">
        <is>
          <t>3one4 Capital</t>
        </is>
      </c>
      <c r="AB64" s="96" t="inlineStr">
        <is>
          <t>Bangalore, India</t>
        </is>
      </c>
      <c r="AC64" s="97" t="inlineStr">
        <is>
          <t>Software</t>
        </is>
      </c>
      <c r="AD64" s="98" t="inlineStr">
        <is>
          <t>Seed Round, Early Stage VC, Later Stage VC</t>
        </is>
      </c>
      <c r="AE64" s="99" t="inlineStr">
        <is>
          <t>United States, India</t>
        </is>
      </c>
      <c r="AF64" s="100" t="inlineStr">
        <is>
          <t>3one4</t>
        </is>
      </c>
      <c r="AG64" s="233">
        <f>HYPERLINK("https://my.pitchbook.com?i=154351-72", "View Investor Online")</f>
      </c>
    </row>
    <row r="65">
      <c r="A65" s="36" t="inlineStr">
        <is>
          <t>13949-92F</t>
        </is>
      </c>
      <c r="B65" s="37" t="inlineStr">
        <is>
          <t>Artis Ventures II</t>
        </is>
      </c>
      <c r="C65" s="38" t="inlineStr">
        <is>
          <t/>
        </is>
      </c>
      <c r="D65" s="39" t="inlineStr">
        <is>
          <t>Venture Capital</t>
        </is>
      </c>
      <c r="E65" s="40" t="n">
        <v>60.0</v>
      </c>
      <c r="F65" s="41" t="inlineStr">
        <is>
          <t>San Francisco, CA</t>
        </is>
      </c>
      <c r="G65" s="42" t="n">
        <v>3.0</v>
      </c>
      <c r="H65" s="43" t="n">
        <v>2013.0</v>
      </c>
      <c r="I65" s="44" t="n">
        <v>97.0</v>
      </c>
      <c r="J65" s="45" t="n">
        <v>58.2</v>
      </c>
      <c r="K65" s="46" t="n">
        <v>1.6524590163934427</v>
      </c>
      <c r="L65" s="47" t="n">
        <v>1.8</v>
      </c>
      <c r="M65" s="48" t="n">
        <v>98.4</v>
      </c>
      <c r="N65" s="49" t="n">
        <v>7.8</v>
      </c>
      <c r="O65" s="50" t="inlineStr">
        <is>
          <t/>
        </is>
      </c>
      <c r="P65" s="51" t="n">
        <v>-0.3600000000000003</v>
      </c>
      <c r="Q65" s="52" t="n">
        <v>0.030927835</v>
      </c>
      <c r="R65" s="53" t="n">
        <v>-0.053712165000000006</v>
      </c>
      <c r="S65" s="54" t="n">
        <v>1.690721649</v>
      </c>
      <c r="T65" s="55" t="n">
        <v>0.6284616490000001</v>
      </c>
      <c r="U65" s="56" t="n">
        <v>1.72</v>
      </c>
      <c r="V65" s="57" t="n">
        <v>0.47499999999999987</v>
      </c>
      <c r="W65" s="58" t="inlineStr">
        <is>
          <t/>
        </is>
      </c>
      <c r="X65" s="59" t="inlineStr">
        <is>
          <t>GP Self Reporting</t>
        </is>
      </c>
      <c r="Y65" s="60" t="inlineStr">
        <is>
          <t>2018 Y</t>
        </is>
      </c>
      <c r="Z65" s="61" t="inlineStr">
        <is>
          <t>0 - 99M</t>
        </is>
      </c>
      <c r="AA65" s="62" t="inlineStr">
        <is>
          <t>ARTIS Ventures</t>
        </is>
      </c>
      <c r="AB65" s="63" t="inlineStr">
        <is>
          <t>San Francisco, CA</t>
        </is>
      </c>
      <c r="AC65" s="64" t="inlineStr">
        <is>
          <t>Software</t>
        </is>
      </c>
      <c r="AD65" s="65" t="inlineStr">
        <is>
          <t>Seed Round, Early Stage VC, Later Stage VC</t>
        </is>
      </c>
      <c r="AE65" s="66" t="inlineStr">
        <is>
          <t/>
        </is>
      </c>
      <c r="AF65" s="67" t="inlineStr">
        <is>
          <t>ARTIS</t>
        </is>
      </c>
      <c r="AG65" s="232">
        <f>HYPERLINK("https://my.pitchbook.com?i=40993-12", "View Investor Online")</f>
      </c>
    </row>
    <row r="66">
      <c r="A66" s="69" t="inlineStr">
        <is>
          <t>13512-88F</t>
        </is>
      </c>
      <c r="B66" s="70" t="inlineStr">
        <is>
          <t>TTV Fund III</t>
        </is>
      </c>
      <c r="C66" s="71" t="inlineStr">
        <is>
          <t/>
        </is>
      </c>
      <c r="D66" s="72" t="inlineStr">
        <is>
          <t>Venture Capital</t>
        </is>
      </c>
      <c r="E66" s="73" t="n">
        <v>40.7</v>
      </c>
      <c r="F66" s="74" t="inlineStr">
        <is>
          <t>Atlanta, GA</t>
        </is>
      </c>
      <c r="G66" s="75" t="n">
        <v>2.0</v>
      </c>
      <c r="H66" s="76" t="n">
        <v>2011.0</v>
      </c>
      <c r="I66" s="77" t="n">
        <v>80.46683046683046</v>
      </c>
      <c r="J66" s="78" t="n">
        <v>32.75</v>
      </c>
      <c r="K66" s="79" t="n">
        <v>0.0</v>
      </c>
      <c r="L66" s="80" t="n">
        <v>3.9000000000000004</v>
      </c>
      <c r="M66" s="81" t="n">
        <v>42.7</v>
      </c>
      <c r="N66" s="82" t="n">
        <v>11.1</v>
      </c>
      <c r="O66" s="83" t="inlineStr">
        <is>
          <t/>
        </is>
      </c>
      <c r="P66" s="84" t="n">
        <v>0.0</v>
      </c>
      <c r="Q66" s="85" t="n">
        <v>0.12</v>
      </c>
      <c r="R66" s="86" t="n">
        <v>-0.07</v>
      </c>
      <c r="S66" s="87" t="n">
        <v>1.6</v>
      </c>
      <c r="T66" s="88" t="n">
        <v>0.44090000000000007</v>
      </c>
      <c r="U66" s="89" t="n">
        <v>1.7200000000000002</v>
      </c>
      <c r="V66" s="90" t="n">
        <v>0.19000000000000017</v>
      </c>
      <c r="W66" s="91" t="inlineStr">
        <is>
          <t/>
        </is>
      </c>
      <c r="X66" s="92" t="inlineStr">
        <is>
          <t>GP Self Reporting</t>
        </is>
      </c>
      <c r="Y66" s="93" t="inlineStr">
        <is>
          <t>2016 Y</t>
        </is>
      </c>
      <c r="Z66" s="94" t="inlineStr">
        <is>
          <t>0 - 99M</t>
        </is>
      </c>
      <c r="AA66" s="95" t="inlineStr">
        <is>
          <t>TTV Capital</t>
        </is>
      </c>
      <c r="AB66" s="96" t="inlineStr">
        <is>
          <t>Atlanta, GA</t>
        </is>
      </c>
      <c r="AC66" s="97" t="inlineStr">
        <is>
          <t>Software</t>
        </is>
      </c>
      <c r="AD66" s="98" t="inlineStr">
        <is>
          <t>Seed Round, Early Stage VC, Later Stage VC</t>
        </is>
      </c>
      <c r="AE66" s="99" t="inlineStr">
        <is>
          <t>United States, Southeast</t>
        </is>
      </c>
      <c r="AF66" s="100" t="inlineStr">
        <is>
          <t>TTV</t>
        </is>
      </c>
      <c r="AG66" s="233">
        <f>HYPERLINK("https://my.pitchbook.com?i=11319-04", "View Investor Online")</f>
      </c>
    </row>
    <row r="67">
      <c r="A67" s="36" t="inlineStr">
        <is>
          <t>15839-56F</t>
        </is>
      </c>
      <c r="B67" s="37" t="inlineStr">
        <is>
          <t>Camber Creek Fund VI</t>
        </is>
      </c>
      <c r="C67" s="38" t="inlineStr">
        <is>
          <t/>
        </is>
      </c>
      <c r="D67" s="39" t="inlineStr">
        <is>
          <t>Venture Capital</t>
        </is>
      </c>
      <c r="E67" s="40" t="n">
        <v>31.0</v>
      </c>
      <c r="F67" s="41" t="inlineStr">
        <is>
          <t>Rockville, MD</t>
        </is>
      </c>
      <c r="G67" s="42" t="n">
        <v>1.0</v>
      </c>
      <c r="H67" s="43" t="n">
        <v>2018.0</v>
      </c>
      <c r="I67" s="44" t="n">
        <v>77.41935483870968</v>
      </c>
      <c r="J67" s="45" t="n">
        <v>24.0</v>
      </c>
      <c r="K67" s="46" t="n">
        <v>7.0</v>
      </c>
      <c r="L67" s="47" t="n">
        <v>0.6</v>
      </c>
      <c r="M67" s="48" t="n">
        <v>40.0</v>
      </c>
      <c r="N67" s="49" t="n">
        <v>36.0</v>
      </c>
      <c r="O67" s="50" t="inlineStr">
        <is>
          <t/>
        </is>
      </c>
      <c r="P67" s="51" t="n">
        <v>22.810000000000002</v>
      </c>
      <c r="Q67" s="52" t="n">
        <v>0.025</v>
      </c>
      <c r="R67" s="53" t="n">
        <v>0.025</v>
      </c>
      <c r="S67" s="54" t="n">
        <v>1.667</v>
      </c>
      <c r="T67" s="55" t="n">
        <v>0.65551</v>
      </c>
      <c r="U67" s="56" t="n">
        <v>1.7</v>
      </c>
      <c r="V67" s="57" t="n">
        <v>0.5999999999999999</v>
      </c>
      <c r="W67" s="58" t="inlineStr">
        <is>
          <t/>
        </is>
      </c>
      <c r="X67" s="59" t="inlineStr">
        <is>
          <t>GP Self Reporting</t>
        </is>
      </c>
      <c r="Y67" s="60" t="inlineStr">
        <is>
          <t>2020 Y</t>
        </is>
      </c>
      <c r="Z67" s="61" t="inlineStr">
        <is>
          <t>0 - 99M</t>
        </is>
      </c>
      <c r="AA67" s="62" t="inlineStr">
        <is>
          <t>Camber Creek</t>
        </is>
      </c>
      <c r="AB67" s="63" t="inlineStr">
        <is>
          <t>Rockville, MD</t>
        </is>
      </c>
      <c r="AC67" s="64" t="inlineStr">
        <is>
          <t>Information Technology</t>
        </is>
      </c>
      <c r="AD67" s="65" t="inlineStr">
        <is>
          <t>Early Stage VC</t>
        </is>
      </c>
      <c r="AE67" s="66" t="inlineStr">
        <is>
          <t/>
        </is>
      </c>
      <c r="AF67" s="67" t="inlineStr">
        <is>
          <t>Camber Creek</t>
        </is>
      </c>
      <c r="AG67" s="232">
        <f>HYPERLINK("https://my.pitchbook.com?i=56289-61", "View Investor Online")</f>
      </c>
    </row>
    <row r="68">
      <c r="A68" s="69" t="inlineStr">
        <is>
          <t>16065-55F</t>
        </is>
      </c>
      <c r="B68" s="70" t="inlineStr">
        <is>
          <t>Joy Capital II</t>
        </is>
      </c>
      <c r="C68" s="71" t="inlineStr">
        <is>
          <t/>
        </is>
      </c>
      <c r="D68" s="72" t="inlineStr">
        <is>
          <t>Venture Capital</t>
        </is>
      </c>
      <c r="E68" s="73" t="n">
        <v>90.0</v>
      </c>
      <c r="F68" s="74" t="inlineStr">
        <is>
          <t>Beijing, China</t>
        </is>
      </c>
      <c r="G68" s="75" t="inlineStr">
        <is>
          <t/>
        </is>
      </c>
      <c r="H68" s="76" t="n">
        <v>2017.0</v>
      </c>
      <c r="I68" s="77" t="n">
        <v>87.12200000000001</v>
      </c>
      <c r="J68" s="78" t="n">
        <v>78.40979999999999</v>
      </c>
      <c r="K68" s="79" t="n">
        <v>11.5902</v>
      </c>
      <c r="L68" s="80" t="n">
        <v>0.0</v>
      </c>
      <c r="M68" s="81" t="n">
        <v>133.46280000000002</v>
      </c>
      <c r="N68" s="82" t="n">
        <v>41.85</v>
      </c>
      <c r="O68" s="83" t="inlineStr">
        <is>
          <t/>
        </is>
      </c>
      <c r="P68" s="84" t="inlineStr">
        <is>
          <t/>
        </is>
      </c>
      <c r="Q68" s="85" t="n">
        <v>0.0</v>
      </c>
      <c r="R68" s="86" t="inlineStr">
        <is>
          <t/>
        </is>
      </c>
      <c r="S68" s="87" t="n">
        <v>1.7</v>
      </c>
      <c r="T68" s="88" t="inlineStr">
        <is>
          <t/>
        </is>
      </c>
      <c r="U68" s="89" t="n">
        <v>1.7</v>
      </c>
      <c r="V68" s="90" t="inlineStr">
        <is>
          <t/>
        </is>
      </c>
      <c r="W68" s="91" t="inlineStr">
        <is>
          <t/>
        </is>
      </c>
      <c r="X68" s="92" t="inlineStr">
        <is>
          <t>LP Original Commitments</t>
        </is>
      </c>
      <c r="Y68" s="93" t="inlineStr">
        <is>
          <t>2019 Y</t>
        </is>
      </c>
      <c r="Z68" s="94" t="inlineStr">
        <is>
          <t>0 - 99M</t>
        </is>
      </c>
      <c r="AA68" s="95" t="inlineStr">
        <is>
          <t>Joy Capital (Beijing)</t>
        </is>
      </c>
      <c r="AB68" s="96" t="inlineStr">
        <is>
          <t>Beijing, China</t>
        </is>
      </c>
      <c r="AC68" s="97" t="inlineStr">
        <is>
          <t/>
        </is>
      </c>
      <c r="AD68" s="98" t="inlineStr">
        <is>
          <t>Seed Round, Early Stage VC, Later Stage VC</t>
        </is>
      </c>
      <c r="AE68" s="99" t="inlineStr">
        <is>
          <t/>
        </is>
      </c>
      <c r="AF68" s="100" t="inlineStr">
        <is>
          <t>TCDRS</t>
        </is>
      </c>
      <c r="AG68" s="233">
        <f>HYPERLINK("https://my.pitchbook.com?i=234932-23", "View Investor Online")</f>
      </c>
    </row>
    <row r="69">
      <c r="A69" s="36" t="inlineStr">
        <is>
          <t>15460-03F</t>
        </is>
      </c>
      <c r="B69" s="37" t="inlineStr">
        <is>
          <t>Vivo Capital Surplus Fund VIII</t>
        </is>
      </c>
      <c r="C69" s="38" t="inlineStr">
        <is>
          <t/>
        </is>
      </c>
      <c r="D69" s="39" t="inlineStr">
        <is>
          <t>Venture Capital - Later Stage</t>
        </is>
      </c>
      <c r="E69" s="40" t="n">
        <v>92.0</v>
      </c>
      <c r="F69" s="41" t="inlineStr">
        <is>
          <t>Palo Alto, CA</t>
        </is>
      </c>
      <c r="G69" s="42" t="inlineStr">
        <is>
          <t/>
        </is>
      </c>
      <c r="H69" s="43" t="n">
        <v>2015.0</v>
      </c>
      <c r="I69" s="44" t="n">
        <v>96.9777</v>
      </c>
      <c r="J69" s="45" t="n">
        <v>89.219484</v>
      </c>
      <c r="K69" s="46" t="n">
        <v>2.76</v>
      </c>
      <c r="L69" s="47" t="n">
        <v>36.701008</v>
      </c>
      <c r="M69" s="48" t="n">
        <v>113.71199999999999</v>
      </c>
      <c r="N69" s="49" t="n">
        <v>19.02</v>
      </c>
      <c r="O69" s="50" t="inlineStr">
        <is>
          <t/>
        </is>
      </c>
      <c r="P69" s="51" t="inlineStr">
        <is>
          <t/>
        </is>
      </c>
      <c r="Q69" s="52" t="n">
        <v>0.41</v>
      </c>
      <c r="R69" s="53" t="inlineStr">
        <is>
          <t/>
        </is>
      </c>
      <c r="S69" s="54" t="n">
        <v>1.27</v>
      </c>
      <c r="T69" s="55" t="inlineStr">
        <is>
          <t/>
        </is>
      </c>
      <c r="U69" s="56" t="n">
        <v>1.68</v>
      </c>
      <c r="V69" s="57" t="inlineStr">
        <is>
          <t/>
        </is>
      </c>
      <c r="W69" s="58" t="inlineStr">
        <is>
          <t/>
        </is>
      </c>
      <c r="X69" s="59" t="inlineStr">
        <is>
          <t>LP Original Commitments</t>
        </is>
      </c>
      <c r="Y69" s="60" t="inlineStr">
        <is>
          <t>2019 Y</t>
        </is>
      </c>
      <c r="Z69" s="61" t="inlineStr">
        <is>
          <t>0 - 99M</t>
        </is>
      </c>
      <c r="AA69" s="62" t="inlineStr">
        <is>
          <t>Vivo Capital</t>
        </is>
      </c>
      <c r="AB69" s="63" t="inlineStr">
        <is>
          <t>Palo Alto, CA</t>
        </is>
      </c>
      <c r="AC69" s="64" t="inlineStr">
        <is>
          <t>Pharmaceuticals and Biotechnology</t>
        </is>
      </c>
      <c r="AD69" s="65" t="inlineStr">
        <is>
          <t>Later Stage VC</t>
        </is>
      </c>
      <c r="AE69" s="66" t="inlineStr">
        <is>
          <t/>
        </is>
      </c>
      <c r="AF69" s="67" t="inlineStr">
        <is>
          <t>CalSTRS, SFERS</t>
        </is>
      </c>
      <c r="AG69" s="232">
        <f>HYPERLINK("https://my.pitchbook.com?i=11125-00", "View Investor Online")</f>
      </c>
    </row>
    <row r="70">
      <c r="A70" s="69" t="inlineStr">
        <is>
          <t>15568-39F</t>
        </is>
      </c>
      <c r="B70" s="70" t="inlineStr">
        <is>
          <t>Point 406 Ventures 2016 Opportunities Fund</t>
        </is>
      </c>
      <c r="C70" s="71" t="inlineStr">
        <is>
          <t/>
        </is>
      </c>
      <c r="D70" s="72" t="inlineStr">
        <is>
          <t>Venture Capital</t>
        </is>
      </c>
      <c r="E70" s="73" t="n">
        <v>75.0</v>
      </c>
      <c r="F70" s="74" t="inlineStr">
        <is>
          <t>Boston, MA</t>
        </is>
      </c>
      <c r="G70" s="75" t="n">
        <v>1.0</v>
      </c>
      <c r="H70" s="76" t="n">
        <v>2016.0</v>
      </c>
      <c r="I70" s="77" t="n">
        <v>85.2451925</v>
      </c>
      <c r="J70" s="78" t="n">
        <v>63.93389437500001</v>
      </c>
      <c r="K70" s="79" t="n">
        <v>5.999143663106992</v>
      </c>
      <c r="L70" s="80" t="n">
        <v>24.81135</v>
      </c>
      <c r="M70" s="81" t="n">
        <v>80.89121812500001</v>
      </c>
      <c r="N70" s="82" t="n">
        <v>31.3</v>
      </c>
      <c r="O70" s="83" t="inlineStr">
        <is>
          <t/>
        </is>
      </c>
      <c r="P70" s="84" t="n">
        <v>10.780000000000001</v>
      </c>
      <c r="Q70" s="85" t="n">
        <v>0.39</v>
      </c>
      <c r="R70" s="86" t="n">
        <v>0.32980000000000004</v>
      </c>
      <c r="S70" s="87" t="n">
        <v>1.27</v>
      </c>
      <c r="T70" s="88" t="n">
        <v>0.10000000000000009</v>
      </c>
      <c r="U70" s="89" t="n">
        <v>1.6600000000000001</v>
      </c>
      <c r="V70" s="90" t="n">
        <v>0.40000000000000013</v>
      </c>
      <c r="W70" s="91" t="inlineStr">
        <is>
          <t/>
        </is>
      </c>
      <c r="X70" s="92" t="inlineStr">
        <is>
          <t>LP Original Commitments</t>
        </is>
      </c>
      <c r="Y70" s="93" t="inlineStr">
        <is>
          <t>2019 Y</t>
        </is>
      </c>
      <c r="Z70" s="94" t="inlineStr">
        <is>
          <t>0 - 99M</t>
        </is>
      </c>
      <c r="AA70" s="95" t="inlineStr">
        <is>
          <t>.406 Ventures</t>
        </is>
      </c>
      <c r="AB70" s="96" t="inlineStr">
        <is>
          <t>Boston, MA</t>
        </is>
      </c>
      <c r="AC70" s="97" t="inlineStr">
        <is>
          <t>Software, Commercial Services</t>
        </is>
      </c>
      <c r="AD70" s="98" t="inlineStr">
        <is>
          <t>Later Stage VC, Early Stage VC, Seed Round</t>
        </is>
      </c>
      <c r="AE70" s="99" t="inlineStr">
        <is>
          <t/>
        </is>
      </c>
      <c r="AF70" s="100" t="inlineStr">
        <is>
          <t>Maryland SRPS</t>
        </is>
      </c>
      <c r="AG70" s="233">
        <f>HYPERLINK("https://my.pitchbook.com?i=42183-19", "View Investor Online")</f>
      </c>
    </row>
    <row r="71">
      <c r="A71" s="36" t="inlineStr">
        <is>
          <t>13724-83F</t>
        </is>
      </c>
      <c r="B71" s="37" t="inlineStr">
        <is>
          <t>IDG Ventures India Fund II</t>
        </is>
      </c>
      <c r="C71" s="38" t="inlineStr">
        <is>
          <t/>
        </is>
      </c>
      <c r="D71" s="39" t="inlineStr">
        <is>
          <t>Venture Capital - Early Stage</t>
        </is>
      </c>
      <c r="E71" s="40" t="n">
        <v>95.0</v>
      </c>
      <c r="F71" s="41" t="inlineStr">
        <is>
          <t>Bangalore, India</t>
        </is>
      </c>
      <c r="G71" s="42" t="inlineStr">
        <is>
          <t/>
        </is>
      </c>
      <c r="H71" s="43" t="n">
        <v>2013.0</v>
      </c>
      <c r="I71" s="44" t="n">
        <v>100.0</v>
      </c>
      <c r="J71" s="45" t="n">
        <v>98.11922199999998</v>
      </c>
      <c r="K71" s="46" t="n">
        <v>0.0</v>
      </c>
      <c r="L71" s="47" t="n">
        <v>46.981009</v>
      </c>
      <c r="M71" s="48" t="n">
        <v>114.96293800000001</v>
      </c>
      <c r="N71" s="49" t="n">
        <v>13.0</v>
      </c>
      <c r="O71" s="50" t="inlineStr">
        <is>
          <t/>
        </is>
      </c>
      <c r="P71" s="51" t="inlineStr">
        <is>
          <t/>
        </is>
      </c>
      <c r="Q71" s="52" t="n">
        <v>0.478815547</v>
      </c>
      <c r="R71" s="53" t="inlineStr">
        <is>
          <t/>
        </is>
      </c>
      <c r="S71" s="54" t="n">
        <v>1.171665813</v>
      </c>
      <c r="T71" s="55" t="inlineStr">
        <is>
          <t/>
        </is>
      </c>
      <c r="U71" s="56" t="n">
        <v>1.65</v>
      </c>
      <c r="V71" s="57" t="inlineStr">
        <is>
          <t/>
        </is>
      </c>
      <c r="W71" s="58" t="inlineStr">
        <is>
          <t/>
        </is>
      </c>
      <c r="X71" s="59" t="inlineStr">
        <is>
          <t>GP Self Reporting</t>
        </is>
      </c>
      <c r="Y71" s="60" t="inlineStr">
        <is>
          <t>2020 Y</t>
        </is>
      </c>
      <c r="Z71" s="61" t="inlineStr">
        <is>
          <t>0 - 99M</t>
        </is>
      </c>
      <c r="AA71" s="62" t="inlineStr">
        <is>
          <t>Chiratae Ventures India Advisors</t>
        </is>
      </c>
      <c r="AB71" s="63" t="inlineStr">
        <is>
          <t>Bangalore, India</t>
        </is>
      </c>
      <c r="AC71" s="64" t="inlineStr">
        <is>
          <t>Software, Consumer Products and Services (B2C)</t>
        </is>
      </c>
      <c r="AD71" s="65" t="inlineStr">
        <is>
          <t>Early Stage VC</t>
        </is>
      </c>
      <c r="AE71" s="66" t="inlineStr">
        <is>
          <t>India</t>
        </is>
      </c>
      <c r="AF71" s="67" t="inlineStr">
        <is>
          <t>Chiratae, Chiratae Ventures</t>
        </is>
      </c>
      <c r="AG71" s="232">
        <f>HYPERLINK("https://my.pitchbook.com?i=55961-83", "View Investor Online")</f>
      </c>
    </row>
    <row r="72">
      <c r="A72" s="69" t="inlineStr">
        <is>
          <t>15895-72F</t>
        </is>
      </c>
      <c r="B72" s="70" t="inlineStr">
        <is>
          <t>ESO Venture Fund III</t>
        </is>
      </c>
      <c r="C72" s="71" t="inlineStr">
        <is>
          <t/>
        </is>
      </c>
      <c r="D72" s="72" t="inlineStr">
        <is>
          <t>Venture Capital</t>
        </is>
      </c>
      <c r="E72" s="73" t="n">
        <v>100.0</v>
      </c>
      <c r="F72" s="74" t="inlineStr">
        <is>
          <t>San Mateo, CA</t>
        </is>
      </c>
      <c r="G72" s="75" t="inlineStr">
        <is>
          <t/>
        </is>
      </c>
      <c r="H72" s="76" t="n">
        <v>2017.0</v>
      </c>
      <c r="I72" s="77" t="n">
        <v>19.878048780487806</v>
      </c>
      <c r="J72" s="78" t="n">
        <v>19.878048780487806</v>
      </c>
      <c r="K72" s="79" t="n">
        <v>32.47538461538461</v>
      </c>
      <c r="L72" s="80" t="n">
        <v>0.13414634146341464</v>
      </c>
      <c r="M72" s="81" t="inlineStr">
        <is>
          <t/>
        </is>
      </c>
      <c r="N72" s="82" t="inlineStr">
        <is>
          <t/>
        </is>
      </c>
      <c r="O72" s="83" t="inlineStr">
        <is>
          <t/>
        </is>
      </c>
      <c r="P72" s="84" t="inlineStr">
        <is>
          <t/>
        </is>
      </c>
      <c r="Q72" s="85" t="n">
        <v>0.01</v>
      </c>
      <c r="R72" s="86" t="n">
        <v>0.0</v>
      </c>
      <c r="S72" s="87" t="n">
        <v>1.62</v>
      </c>
      <c r="T72" s="88" t="n">
        <v>0.405</v>
      </c>
      <c r="U72" s="89" t="n">
        <v>1.6300000000000001</v>
      </c>
      <c r="V72" s="90" t="n">
        <v>0.13000000000000012</v>
      </c>
      <c r="W72" s="91" t="inlineStr">
        <is>
          <t/>
        </is>
      </c>
      <c r="X72" s="92" t="inlineStr">
        <is>
          <t>GP Self Reporting</t>
        </is>
      </c>
      <c r="Y72" s="93" t="inlineStr">
        <is>
          <t>2017 Y</t>
        </is>
      </c>
      <c r="Z72" s="94" t="inlineStr">
        <is>
          <t>100M - 249M</t>
        </is>
      </c>
      <c r="AA72" s="95" t="inlineStr">
        <is>
          <t>ESO Fund</t>
        </is>
      </c>
      <c r="AB72" s="96" t="inlineStr">
        <is>
          <t>San Mateo, CA</t>
        </is>
      </c>
      <c r="AC72" s="97" t="inlineStr">
        <is>
          <t/>
        </is>
      </c>
      <c r="AD72" s="98" t="inlineStr">
        <is>
          <t>Seed Round, Early Stage VC, Later Stage VC</t>
        </is>
      </c>
      <c r="AE72" s="99" t="inlineStr">
        <is>
          <t/>
        </is>
      </c>
      <c r="AF72" s="100" t="inlineStr">
        <is>
          <t>ESO</t>
        </is>
      </c>
      <c r="AG72" s="233">
        <f>HYPERLINK("https://my.pitchbook.com?i=54960-49", "View Investor Online")</f>
      </c>
    </row>
    <row r="73">
      <c r="A73" s="36" t="inlineStr">
        <is>
          <t>11673-28F</t>
        </is>
      </c>
      <c r="B73" s="37" t="inlineStr">
        <is>
          <t>Newfund 1</t>
        </is>
      </c>
      <c r="C73" s="38" t="inlineStr">
        <is>
          <t/>
        </is>
      </c>
      <c r="D73" s="39" t="inlineStr">
        <is>
          <t>Venture Capital</t>
        </is>
      </c>
      <c r="E73" s="40" t="n">
        <v>79.75</v>
      </c>
      <c r="F73" s="41" t="inlineStr">
        <is>
          <t>Paris, France</t>
        </is>
      </c>
      <c r="G73" s="42" t="inlineStr">
        <is>
          <t/>
        </is>
      </c>
      <c r="H73" s="43" t="n">
        <v>2009.0</v>
      </c>
      <c r="I73" s="44" t="n">
        <v>77.5</v>
      </c>
      <c r="J73" s="45" t="n">
        <v>61.80625</v>
      </c>
      <c r="K73" s="46" t="n">
        <v>0.22631922073937724</v>
      </c>
      <c r="L73" s="47" t="n">
        <v>40.1740625</v>
      </c>
      <c r="M73" s="48" t="n">
        <v>100.74</v>
      </c>
      <c r="N73" s="49" t="inlineStr">
        <is>
          <t/>
        </is>
      </c>
      <c r="O73" s="50" t="inlineStr">
        <is>
          <t/>
        </is>
      </c>
      <c r="P73" s="51" t="inlineStr">
        <is>
          <t/>
        </is>
      </c>
      <c r="Q73" s="52" t="n">
        <v>0.65</v>
      </c>
      <c r="R73" s="53" t="n">
        <v>-0.125</v>
      </c>
      <c r="S73" s="54" t="n">
        <v>0.98</v>
      </c>
      <c r="T73" s="55" t="n">
        <v>0.27464999999999995</v>
      </c>
      <c r="U73" s="56" t="n">
        <v>1.63</v>
      </c>
      <c r="V73" s="57" t="n">
        <v>0.014999999999999902</v>
      </c>
      <c r="W73" s="58" t="inlineStr">
        <is>
          <t/>
        </is>
      </c>
      <c r="X73" s="59" t="inlineStr">
        <is>
          <t>GP Self Reporting</t>
        </is>
      </c>
      <c r="Y73" s="60" t="inlineStr">
        <is>
          <t>2016 Y</t>
        </is>
      </c>
      <c r="Z73" s="61" t="inlineStr">
        <is>
          <t>0 - 99M</t>
        </is>
      </c>
      <c r="AA73" s="62" t="inlineStr">
        <is>
          <t>Newfund Management</t>
        </is>
      </c>
      <c r="AB73" s="63" t="inlineStr">
        <is>
          <t>Paris, France</t>
        </is>
      </c>
      <c r="AC73" s="64" t="inlineStr">
        <is>
          <t>Software</t>
        </is>
      </c>
      <c r="AD73" s="65" t="inlineStr">
        <is>
          <t>Seed Round, Early Stage VC, Later Stage VC</t>
        </is>
      </c>
      <c r="AE73" s="66" t="inlineStr">
        <is>
          <t>Europe</t>
        </is>
      </c>
      <c r="AF73" s="67" t="inlineStr">
        <is>
          <t>Newfund</t>
        </is>
      </c>
      <c r="AG73" s="232">
        <f>HYPERLINK("https://my.pitchbook.com?i=14194-54", "View Investor Online")</f>
      </c>
    </row>
    <row r="74">
      <c r="A74" s="69" t="inlineStr">
        <is>
          <t>13943-80F</t>
        </is>
      </c>
      <c r="B74" s="70" t="inlineStr">
        <is>
          <t>Cendana Investments</t>
        </is>
      </c>
      <c r="C74" s="71" t="inlineStr">
        <is>
          <t/>
        </is>
      </c>
      <c r="D74" s="72" t="inlineStr">
        <is>
          <t>Venture Capital</t>
        </is>
      </c>
      <c r="E74" s="73" t="n">
        <v>18.956</v>
      </c>
      <c r="F74" s="74" t="inlineStr">
        <is>
          <t>San Francisco, CA</t>
        </is>
      </c>
      <c r="G74" s="75" t="n">
        <v>1.0</v>
      </c>
      <c r="H74" s="76" t="n">
        <v>2015.0</v>
      </c>
      <c r="I74" s="77" t="inlineStr">
        <is>
          <t/>
        </is>
      </c>
      <c r="J74" s="78" t="inlineStr">
        <is>
          <t/>
        </is>
      </c>
      <c r="K74" s="79" t="n">
        <v>0.8300897117990447</v>
      </c>
      <c r="L74" s="80" t="inlineStr">
        <is>
          <t/>
        </is>
      </c>
      <c r="M74" s="81" t="inlineStr">
        <is>
          <t/>
        </is>
      </c>
      <c r="N74" s="82" t="n">
        <v>100.31</v>
      </c>
      <c r="O74" s="83" t="inlineStr">
        <is>
          <t/>
        </is>
      </c>
      <c r="P74" s="84" t="n">
        <v>85.31</v>
      </c>
      <c r="Q74" s="85" t="n">
        <v>0.71</v>
      </c>
      <c r="R74" s="86" t="n">
        <v>0.59</v>
      </c>
      <c r="S74" s="87" t="n">
        <v>0.89</v>
      </c>
      <c r="T74" s="88" t="n">
        <v>-0.2256999999999999</v>
      </c>
      <c r="U74" s="89" t="n">
        <v>1.6</v>
      </c>
      <c r="V74" s="90" t="n">
        <v>0.3900000000000001</v>
      </c>
      <c r="W74" s="91" t="inlineStr">
        <is>
          <t/>
        </is>
      </c>
      <c r="X74" s="92" t="inlineStr">
        <is>
          <t>GP Self Reporting</t>
        </is>
      </c>
      <c r="Y74" s="93" t="inlineStr">
        <is>
          <t>2015 Y</t>
        </is>
      </c>
      <c r="Z74" s="94" t="inlineStr">
        <is>
          <t>0 - 99M</t>
        </is>
      </c>
      <c r="AA74" s="95" t="inlineStr">
        <is>
          <t>Cendana Capital</t>
        </is>
      </c>
      <c r="AB74" s="96" t="inlineStr">
        <is>
          <t>San Francisco, CA</t>
        </is>
      </c>
      <c r="AC74" s="97" t="inlineStr">
        <is>
          <t>Software</t>
        </is>
      </c>
      <c r="AD74" s="98" t="inlineStr">
        <is>
          <t>Seed Round, Early Stage VC, Later Stage VC</t>
        </is>
      </c>
      <c r="AE74" s="99" t="inlineStr">
        <is>
          <t/>
        </is>
      </c>
      <c r="AF74" s="100" t="inlineStr">
        <is>
          <t>Cendana Capital</t>
        </is>
      </c>
      <c r="AG74" s="233">
        <f>HYPERLINK("https://my.pitchbook.com?i=42361-84", "View Investor Online")</f>
      </c>
    </row>
    <row r="75">
      <c r="A75" s="36" t="inlineStr">
        <is>
          <t>13012-03F</t>
        </is>
      </c>
      <c r="B75" s="37" t="inlineStr">
        <is>
          <t>eCapital III</t>
        </is>
      </c>
      <c r="C75" s="38" t="inlineStr">
        <is>
          <t/>
        </is>
      </c>
      <c r="D75" s="39" t="inlineStr">
        <is>
          <t>Venture Capital</t>
        </is>
      </c>
      <c r="E75" s="40" t="n">
        <v>68.71582</v>
      </c>
      <c r="F75" s="41" t="inlineStr">
        <is>
          <t>Münster, Germany</t>
        </is>
      </c>
      <c r="G75" s="42" t="inlineStr">
        <is>
          <t/>
        </is>
      </c>
      <c r="H75" s="43" t="n">
        <v>2009.0</v>
      </c>
      <c r="I75" s="44" t="n">
        <v>99.86530690783144</v>
      </c>
      <c r="J75" s="45" t="n">
        <v>68.6232596268693</v>
      </c>
      <c r="K75" s="46" t="n">
        <v>0.0</v>
      </c>
      <c r="L75" s="47" t="n">
        <v>71.53214539139941</v>
      </c>
      <c r="M75" s="48" t="n">
        <v>38.476625339920936</v>
      </c>
      <c r="N75" s="49" t="inlineStr">
        <is>
          <t/>
        </is>
      </c>
      <c r="O75" s="50" t="inlineStr">
        <is>
          <t/>
        </is>
      </c>
      <c r="P75" s="51" t="inlineStr">
        <is>
          <t/>
        </is>
      </c>
      <c r="Q75" s="52" t="n">
        <v>1.04238921</v>
      </c>
      <c r="R75" s="53" t="n">
        <v>0.26738921000000004</v>
      </c>
      <c r="S75" s="54" t="n">
        <v>0.560693642</v>
      </c>
      <c r="T75" s="55" t="n">
        <v>-0.14465635799999998</v>
      </c>
      <c r="U75" s="56" t="n">
        <v>1.6</v>
      </c>
      <c r="V75" s="57" t="n">
        <v>-0.014999999999999902</v>
      </c>
      <c r="W75" s="58" t="inlineStr">
        <is>
          <t/>
        </is>
      </c>
      <c r="X75" s="59" t="inlineStr">
        <is>
          <t>GP Self Reporting</t>
        </is>
      </c>
      <c r="Y75" s="60" t="inlineStr">
        <is>
          <t>2019 Y</t>
        </is>
      </c>
      <c r="Z75" s="61" t="inlineStr">
        <is>
          <t>0 - 99M</t>
        </is>
      </c>
      <c r="AA75" s="62" t="inlineStr">
        <is>
          <t>eCAPITAL entrepreneurial Partners</t>
        </is>
      </c>
      <c r="AB75" s="63" t="inlineStr">
        <is>
          <t>Münster, Germany</t>
        </is>
      </c>
      <c r="AC75" s="64" t="inlineStr">
        <is>
          <t/>
        </is>
      </c>
      <c r="AD75" s="65" t="inlineStr">
        <is>
          <t>Seed Round, Early Stage VC, Later Stage VC</t>
        </is>
      </c>
      <c r="AE75" s="66" t="inlineStr">
        <is>
          <t/>
        </is>
      </c>
      <c r="AF75" s="67" t="inlineStr">
        <is>
          <t>eCAPITAL</t>
        </is>
      </c>
      <c r="AG75" s="232">
        <f>HYPERLINK("https://my.pitchbook.com?i=11169-28", "View Investor Online")</f>
      </c>
    </row>
    <row r="76">
      <c r="A76" s="69" t="inlineStr">
        <is>
          <t>12968-29F</t>
        </is>
      </c>
      <c r="B76" s="70" t="inlineStr">
        <is>
          <t>Merus Capital II</t>
        </is>
      </c>
      <c r="C76" s="71" t="inlineStr">
        <is>
          <t/>
        </is>
      </c>
      <c r="D76" s="72" t="inlineStr">
        <is>
          <t>Venture Capital</t>
        </is>
      </c>
      <c r="E76" s="73" t="n">
        <v>43.0</v>
      </c>
      <c r="F76" s="74" t="inlineStr">
        <is>
          <t>Palo Alto, CA</t>
        </is>
      </c>
      <c r="G76" s="75" t="n">
        <v>1.0</v>
      </c>
      <c r="H76" s="76" t="n">
        <v>2014.0</v>
      </c>
      <c r="I76" s="77" t="n">
        <v>82.56569767441862</v>
      </c>
      <c r="J76" s="78" t="n">
        <v>35.50325</v>
      </c>
      <c r="K76" s="79" t="n">
        <v>0.8637922586967174</v>
      </c>
      <c r="L76" s="80" t="n">
        <v>0.0</v>
      </c>
      <c r="M76" s="81" t="n">
        <v>56.892349</v>
      </c>
      <c r="N76" s="82" t="n">
        <v>37.9</v>
      </c>
      <c r="O76" s="83" t="inlineStr">
        <is>
          <t/>
        </is>
      </c>
      <c r="P76" s="84" t="n">
        <v>23.939999999999998</v>
      </c>
      <c r="Q76" s="85" t="n">
        <v>0.0</v>
      </c>
      <c r="R76" s="86" t="n">
        <v>-0.02</v>
      </c>
      <c r="S76" s="87" t="n">
        <v>1.602454677</v>
      </c>
      <c r="T76" s="88" t="n">
        <v>0.42245467700000017</v>
      </c>
      <c r="U76" s="89" t="n">
        <v>1.6</v>
      </c>
      <c r="V76" s="90" t="n">
        <v>0.10000000000000009</v>
      </c>
      <c r="W76" s="91" t="inlineStr">
        <is>
          <t/>
        </is>
      </c>
      <c r="X76" s="92" t="inlineStr">
        <is>
          <t>GP Self Reporting</t>
        </is>
      </c>
      <c r="Y76" s="93" t="inlineStr">
        <is>
          <t>2015 Y</t>
        </is>
      </c>
      <c r="Z76" s="94" t="inlineStr">
        <is>
          <t>0 - 99M</t>
        </is>
      </c>
      <c r="AA76" s="95" t="inlineStr">
        <is>
          <t>Merus Capital</t>
        </is>
      </c>
      <c r="AB76" s="96" t="inlineStr">
        <is>
          <t>Palo Alto, CA</t>
        </is>
      </c>
      <c r="AC76" s="97" t="inlineStr">
        <is>
          <t>Software</t>
        </is>
      </c>
      <c r="AD76" s="98" t="inlineStr">
        <is>
          <t>Seed Round, Early Stage VC, Later Stage VC</t>
        </is>
      </c>
      <c r="AE76" s="99" t="inlineStr">
        <is>
          <t>Bay Area</t>
        </is>
      </c>
      <c r="AF76" s="100" t="inlineStr">
        <is>
          <t>Merus</t>
        </is>
      </c>
      <c r="AG76" s="233">
        <f>HYPERLINK("https://my.pitchbook.com?i=51472-45", "View Investor Online")</f>
      </c>
    </row>
    <row r="77">
      <c r="A77" s="36" t="inlineStr">
        <is>
          <t>11431-99F</t>
        </is>
      </c>
      <c r="B77" s="37" t="inlineStr">
        <is>
          <t>Tribeca Venture Fund I</t>
        </is>
      </c>
      <c r="C77" s="38" t="inlineStr">
        <is>
          <t>Greenhill SAVP</t>
        </is>
      </c>
      <c r="D77" s="39" t="inlineStr">
        <is>
          <t>Venture Capital - Early Stage</t>
        </is>
      </c>
      <c r="E77" s="40" t="n">
        <v>64.5</v>
      </c>
      <c r="F77" s="41" t="inlineStr">
        <is>
          <t>New York, NY</t>
        </is>
      </c>
      <c r="G77" s="42" t="n">
        <v>3.0</v>
      </c>
      <c r="H77" s="43" t="n">
        <v>2011.0</v>
      </c>
      <c r="I77" s="44" t="n">
        <v>100.0</v>
      </c>
      <c r="J77" s="45" t="n">
        <v>65.73777435</v>
      </c>
      <c r="K77" s="46" t="n">
        <v>0.0</v>
      </c>
      <c r="L77" s="47" t="n">
        <v>0.6489538499999999</v>
      </c>
      <c r="M77" s="48" t="n">
        <v>95.9866167</v>
      </c>
      <c r="N77" s="49" t="n">
        <v>7.5</v>
      </c>
      <c r="O77" s="50" t="inlineStr">
        <is>
          <t/>
        </is>
      </c>
      <c r="P77" s="51" t="n">
        <v>-5.07</v>
      </c>
      <c r="Q77" s="52" t="n">
        <v>0.01</v>
      </c>
      <c r="R77" s="53" t="n">
        <v>-0.2652</v>
      </c>
      <c r="S77" s="54" t="n">
        <v>1.46</v>
      </c>
      <c r="T77" s="55" t="n">
        <v>0.0</v>
      </c>
      <c r="U77" s="56" t="n">
        <v>1.6</v>
      </c>
      <c r="V77" s="57" t="n">
        <v>-0.20999999999999996</v>
      </c>
      <c r="W77" s="58" t="inlineStr">
        <is>
          <t/>
        </is>
      </c>
      <c r="X77" s="59" t="inlineStr">
        <is>
          <t>GP Self Reporting, LP Original Commitments</t>
        </is>
      </c>
      <c r="Y77" s="60" t="inlineStr">
        <is>
          <t>2019 Y</t>
        </is>
      </c>
      <c r="Z77" s="61" t="inlineStr">
        <is>
          <t>0 - 99M</t>
        </is>
      </c>
      <c r="AA77" s="62" t="inlineStr">
        <is>
          <t>Tribeca Venture Partners</t>
        </is>
      </c>
      <c r="AB77" s="63" t="inlineStr">
        <is>
          <t>New York, NY</t>
        </is>
      </c>
      <c r="AC77" s="64" t="inlineStr">
        <is>
          <t>Software</t>
        </is>
      </c>
      <c r="AD77" s="65" t="inlineStr">
        <is>
          <t>Seed Round, Angel (individual), Early Stage VC, Later Stage VC</t>
        </is>
      </c>
      <c r="AE77" s="66" t="inlineStr">
        <is>
          <t>United States, United States</t>
        </is>
      </c>
      <c r="AF77" s="67" t="inlineStr">
        <is>
          <t>NYSCRF, TVP</t>
        </is>
      </c>
      <c r="AG77" s="232">
        <f>HYPERLINK("https://my.pitchbook.com?i=11877-94", "View Investor Online")</f>
      </c>
    </row>
    <row r="78">
      <c r="A78" s="69" t="inlineStr">
        <is>
          <t>12969-37F</t>
        </is>
      </c>
      <c r="B78" s="70" t="inlineStr">
        <is>
          <t>Bullpen Capital Fund I</t>
        </is>
      </c>
      <c r="C78" s="71" t="inlineStr">
        <is>
          <t/>
        </is>
      </c>
      <c r="D78" s="72" t="inlineStr">
        <is>
          <t>Venture Capital</t>
        </is>
      </c>
      <c r="E78" s="73" t="n">
        <v>25.0</v>
      </c>
      <c r="F78" s="74" t="inlineStr">
        <is>
          <t>San Francisco, CA</t>
        </is>
      </c>
      <c r="G78" s="75" t="n">
        <v>1.0</v>
      </c>
      <c r="H78" s="76" t="n">
        <v>2010.0</v>
      </c>
      <c r="I78" s="77" t="inlineStr">
        <is>
          <t/>
        </is>
      </c>
      <c r="J78" s="78" t="inlineStr">
        <is>
          <t/>
        </is>
      </c>
      <c r="K78" s="79" t="n">
        <v>0.6288966666666667</v>
      </c>
      <c r="L78" s="80" t="inlineStr">
        <is>
          <t/>
        </is>
      </c>
      <c r="M78" s="81" t="inlineStr">
        <is>
          <t/>
        </is>
      </c>
      <c r="N78" s="82" t="n">
        <v>53.0</v>
      </c>
      <c r="O78" s="83" t="inlineStr">
        <is>
          <t/>
        </is>
      </c>
      <c r="P78" s="84" t="n">
        <v>31.5</v>
      </c>
      <c r="Q78" s="85" t="inlineStr">
        <is>
          <t/>
        </is>
      </c>
      <c r="R78" s="86" t="inlineStr">
        <is>
          <t/>
        </is>
      </c>
      <c r="S78" s="87" t="inlineStr">
        <is>
          <t/>
        </is>
      </c>
      <c r="T78" s="88" t="inlineStr">
        <is>
          <t/>
        </is>
      </c>
      <c r="U78" s="89" t="n">
        <v>1.58</v>
      </c>
      <c r="V78" s="90" t="n">
        <v>0.28</v>
      </c>
      <c r="W78" s="91" t="inlineStr">
        <is>
          <t/>
        </is>
      </c>
      <c r="X78" s="92" t="inlineStr">
        <is>
          <t>GP Self Reporting</t>
        </is>
      </c>
      <c r="Y78" s="93" t="inlineStr">
        <is>
          <t>2014 Y</t>
        </is>
      </c>
      <c r="Z78" s="94" t="inlineStr">
        <is>
          <t>0 - 99M</t>
        </is>
      </c>
      <c r="AA78" s="95" t="inlineStr">
        <is>
          <t>Bullpen Capital</t>
        </is>
      </c>
      <c r="AB78" s="96" t="inlineStr">
        <is>
          <t>San Francisco, CA</t>
        </is>
      </c>
      <c r="AC78" s="97" t="inlineStr">
        <is>
          <t>Software</t>
        </is>
      </c>
      <c r="AD78" s="98" t="inlineStr">
        <is>
          <t>Later Stage VC, Early Stage VC</t>
        </is>
      </c>
      <c r="AE78" s="99" t="inlineStr">
        <is>
          <t>United States</t>
        </is>
      </c>
      <c r="AF78" s="100" t="inlineStr">
        <is>
          <t>Bullpen</t>
        </is>
      </c>
      <c r="AG78" s="233">
        <f>HYPERLINK("https://my.pitchbook.com?i=51468-67", "View Investor Online")</f>
      </c>
    </row>
    <row r="79">
      <c r="A79" s="36" t="inlineStr">
        <is>
          <t>13286-08F</t>
        </is>
      </c>
      <c r="B79" s="37" t="inlineStr">
        <is>
          <t>Point Judith Venture Fund III</t>
        </is>
      </c>
      <c r="C79" s="38" t="inlineStr">
        <is>
          <t/>
        </is>
      </c>
      <c r="D79" s="39" t="inlineStr">
        <is>
          <t>Venture Capital</t>
        </is>
      </c>
      <c r="E79" s="40" t="n">
        <v>48.8</v>
      </c>
      <c r="F79" s="41" t="inlineStr">
        <is>
          <t>Boston, MA</t>
        </is>
      </c>
      <c r="G79" s="42" t="n">
        <v>3.0</v>
      </c>
      <c r="H79" s="43" t="n">
        <v>2011.0</v>
      </c>
      <c r="I79" s="44" t="n">
        <v>100.0</v>
      </c>
      <c r="J79" s="45" t="n">
        <v>48.8</v>
      </c>
      <c r="K79" s="46" t="n">
        <v>0.0</v>
      </c>
      <c r="L79" s="47" t="n">
        <v>17.8</v>
      </c>
      <c r="M79" s="48" t="n">
        <v>58.8</v>
      </c>
      <c r="N79" s="49" t="n">
        <v>10.93</v>
      </c>
      <c r="O79" s="50" t="inlineStr">
        <is>
          <t/>
        </is>
      </c>
      <c r="P79" s="51" t="n">
        <v>-0.16999999999999993</v>
      </c>
      <c r="Q79" s="52" t="n">
        <v>0.364754098</v>
      </c>
      <c r="R79" s="53" t="n">
        <v>0.17475409800000002</v>
      </c>
      <c r="S79" s="54" t="n">
        <v>1.204918033</v>
      </c>
      <c r="T79" s="55" t="n">
        <v>0.04581803299999998</v>
      </c>
      <c r="U79" s="56" t="n">
        <v>1.56</v>
      </c>
      <c r="V79" s="57" t="n">
        <v>0.030000000000000027</v>
      </c>
      <c r="W79" s="58" t="inlineStr">
        <is>
          <t/>
        </is>
      </c>
      <c r="X79" s="59" t="inlineStr">
        <is>
          <t>GP Self Reporting</t>
        </is>
      </c>
      <c r="Y79" s="60" t="inlineStr">
        <is>
          <t>2018 Y</t>
        </is>
      </c>
      <c r="Z79" s="61" t="inlineStr">
        <is>
          <t>0 - 99M</t>
        </is>
      </c>
      <c r="AA79" s="62" t="inlineStr">
        <is>
          <t>PJC</t>
        </is>
      </c>
      <c r="AB79" s="63" t="inlineStr">
        <is>
          <t>Boston, MA</t>
        </is>
      </c>
      <c r="AC79" s="64" t="inlineStr">
        <is>
          <t>Software</t>
        </is>
      </c>
      <c r="AD79" s="65" t="inlineStr">
        <is>
          <t>Seed Round, Early Stage VC, Later Stage VC</t>
        </is>
      </c>
      <c r="AE79" s="66" t="inlineStr">
        <is>
          <t>United States</t>
        </is>
      </c>
      <c r="AF79" s="67" t="inlineStr">
        <is>
          <t>PJC</t>
        </is>
      </c>
      <c r="AG79" s="232">
        <f>HYPERLINK("https://my.pitchbook.com?i=11273-95", "View Investor Online")</f>
      </c>
    </row>
    <row r="80">
      <c r="A80" s="69" t="inlineStr">
        <is>
          <t>15842-44F</t>
        </is>
      </c>
      <c r="B80" s="70" t="inlineStr">
        <is>
          <t>ff Graphite (V) Venture Capital Fund</t>
        </is>
      </c>
      <c r="C80" s="71" t="inlineStr">
        <is>
          <t/>
        </is>
      </c>
      <c r="D80" s="72" t="inlineStr">
        <is>
          <t>Venture Capital - Early Stage</t>
        </is>
      </c>
      <c r="E80" s="73" t="n">
        <v>32.5</v>
      </c>
      <c r="F80" s="74" t="inlineStr">
        <is>
          <t>New York, NY</t>
        </is>
      </c>
      <c r="G80" s="75" t="inlineStr">
        <is>
          <t/>
        </is>
      </c>
      <c r="H80" s="76" t="n">
        <v>2019.0</v>
      </c>
      <c r="I80" s="77" t="inlineStr">
        <is>
          <t/>
        </is>
      </c>
      <c r="J80" s="78" t="inlineStr">
        <is>
          <t/>
        </is>
      </c>
      <c r="K80" s="79" t="n">
        <v>21.743243506475856</v>
      </c>
      <c r="L80" s="80" t="inlineStr">
        <is>
          <t/>
        </is>
      </c>
      <c r="M80" s="81" t="inlineStr">
        <is>
          <t/>
        </is>
      </c>
      <c r="N80" s="82" t="inlineStr">
        <is>
          <t/>
        </is>
      </c>
      <c r="O80" s="83" t="inlineStr">
        <is>
          <t/>
        </is>
      </c>
      <c r="P80" s="84" t="inlineStr">
        <is>
          <t/>
        </is>
      </c>
      <c r="Q80" s="85" t="n">
        <v>0.04</v>
      </c>
      <c r="R80" s="86" t="inlineStr">
        <is>
          <t/>
        </is>
      </c>
      <c r="S80" s="87" t="n">
        <v>1.5</v>
      </c>
      <c r="T80" s="88" t="inlineStr">
        <is>
          <t/>
        </is>
      </c>
      <c r="U80" s="89" t="n">
        <v>1.54</v>
      </c>
      <c r="V80" s="90" t="inlineStr">
        <is>
          <t/>
        </is>
      </c>
      <c r="W80" s="91" t="inlineStr">
        <is>
          <t/>
        </is>
      </c>
      <c r="X80" s="92" t="inlineStr">
        <is>
          <t>GP Self Reporting</t>
        </is>
      </c>
      <c r="Y80" s="93" t="inlineStr">
        <is>
          <t>2019 Y</t>
        </is>
      </c>
      <c r="Z80" s="94" t="inlineStr">
        <is>
          <t>0 - 99M</t>
        </is>
      </c>
      <c r="AA80" s="95" t="inlineStr">
        <is>
          <t>ff Venture Capital</t>
        </is>
      </c>
      <c r="AB80" s="96" t="inlineStr">
        <is>
          <t>New York, NY</t>
        </is>
      </c>
      <c r="AC80" s="97" t="inlineStr">
        <is>
          <t>Software</t>
        </is>
      </c>
      <c r="AD80" s="98" t="inlineStr">
        <is>
          <t>Seed Round, Early Stage VC</t>
        </is>
      </c>
      <c r="AE80" s="99" t="inlineStr">
        <is>
          <t/>
        </is>
      </c>
      <c r="AF80" s="100" t="inlineStr">
        <is>
          <t>ff</t>
        </is>
      </c>
      <c r="AG80" s="233">
        <f>HYPERLINK("https://my.pitchbook.com?i=51089-77", "View Investor Online")</f>
      </c>
    </row>
    <row r="81">
      <c r="A81" s="36" t="inlineStr">
        <is>
          <t>15427-45F</t>
        </is>
      </c>
      <c r="B81" s="37" t="inlineStr">
        <is>
          <t>SoftTech VC Plus</t>
        </is>
      </c>
      <c r="C81" s="38" t="inlineStr">
        <is>
          <t>SoftTech VC Breakout Fund I, L.P.</t>
        </is>
      </c>
      <c r="D81" s="39" t="inlineStr">
        <is>
          <t>Venture Capital</t>
        </is>
      </c>
      <c r="E81" s="40" t="n">
        <v>50.0</v>
      </c>
      <c r="F81" s="41" t="inlineStr">
        <is>
          <t>Palo Alto, CA</t>
        </is>
      </c>
      <c r="G81" s="42" t="n">
        <v>2.0</v>
      </c>
      <c r="H81" s="43" t="n">
        <v>2016.0</v>
      </c>
      <c r="I81" s="44" t="n">
        <v>100.0</v>
      </c>
      <c r="J81" s="45" t="n">
        <v>50.028324999999995</v>
      </c>
      <c r="K81" s="46" t="n">
        <v>3.9994291087379947</v>
      </c>
      <c r="L81" s="47" t="n">
        <v>16.887875</v>
      </c>
      <c r="M81" s="48" t="n">
        <v>60.1413</v>
      </c>
      <c r="N81" s="49" t="n">
        <v>25.3</v>
      </c>
      <c r="O81" s="50" t="inlineStr">
        <is>
          <t/>
        </is>
      </c>
      <c r="P81" s="51" t="n">
        <v>4.780000000000001</v>
      </c>
      <c r="Q81" s="52" t="n">
        <v>0.34</v>
      </c>
      <c r="R81" s="53" t="n">
        <v>0.27980000000000005</v>
      </c>
      <c r="S81" s="54" t="n">
        <v>1.2</v>
      </c>
      <c r="T81" s="55" t="n">
        <v>0.030000000000000027</v>
      </c>
      <c r="U81" s="56" t="n">
        <v>1.54</v>
      </c>
      <c r="V81" s="57" t="n">
        <v>0.28</v>
      </c>
      <c r="W81" s="58" t="inlineStr">
        <is>
          <t/>
        </is>
      </c>
      <c r="X81" s="59" t="inlineStr">
        <is>
          <t>LP Original Commitments</t>
        </is>
      </c>
      <c r="Y81" s="60" t="inlineStr">
        <is>
          <t>2019 Y</t>
        </is>
      </c>
      <c r="Z81" s="61" t="inlineStr">
        <is>
          <t>0 - 99M</t>
        </is>
      </c>
      <c r="AA81" s="62" t="inlineStr">
        <is>
          <t>Uncork Capital</t>
        </is>
      </c>
      <c r="AB81" s="63" t="inlineStr">
        <is>
          <t>Palo Alto, CA</t>
        </is>
      </c>
      <c r="AC81" s="64" t="inlineStr">
        <is>
          <t>Software</t>
        </is>
      </c>
      <c r="AD81" s="65" t="inlineStr">
        <is>
          <t>Later Stage VC, Early Stage VC</t>
        </is>
      </c>
      <c r="AE81" s="66" t="inlineStr">
        <is>
          <t/>
        </is>
      </c>
      <c r="AF81" s="67" t="inlineStr">
        <is>
          <t>SDCERS</t>
        </is>
      </c>
      <c r="AG81" s="232">
        <f>HYPERLINK("https://my.pitchbook.com?i=48176-38", "View Investor Online")</f>
      </c>
    </row>
    <row r="82">
      <c r="A82" s="69" t="inlineStr">
        <is>
          <t>15166-54F</t>
        </is>
      </c>
      <c r="B82" s="70" t="inlineStr">
        <is>
          <t>Phoenix Venture Partners II</t>
        </is>
      </c>
      <c r="C82" s="71" t="inlineStr">
        <is>
          <t/>
        </is>
      </c>
      <c r="D82" s="72" t="inlineStr">
        <is>
          <t>Venture Capital</t>
        </is>
      </c>
      <c r="E82" s="73" t="n">
        <v>63.5</v>
      </c>
      <c r="F82" s="74" t="inlineStr">
        <is>
          <t>San Mateo, CA</t>
        </is>
      </c>
      <c r="G82" s="75" t="n">
        <v>3.0</v>
      </c>
      <c r="H82" s="76" t="n">
        <v>2017.0</v>
      </c>
      <c r="I82" s="77" t="inlineStr">
        <is>
          <t/>
        </is>
      </c>
      <c r="J82" s="78" t="inlineStr">
        <is>
          <t/>
        </is>
      </c>
      <c r="K82" s="79" t="n">
        <v>31.27375050321873</v>
      </c>
      <c r="L82" s="80" t="inlineStr">
        <is>
          <t/>
        </is>
      </c>
      <c r="M82" s="81" t="inlineStr">
        <is>
          <t/>
        </is>
      </c>
      <c r="N82" s="82" t="n">
        <v>27.9</v>
      </c>
      <c r="O82" s="83" t="inlineStr">
        <is>
          <t/>
        </is>
      </c>
      <c r="P82" s="84" t="n">
        <v>-2.5500000000000007</v>
      </c>
      <c r="Q82" s="85" t="inlineStr">
        <is>
          <t/>
        </is>
      </c>
      <c r="R82" s="86" t="inlineStr">
        <is>
          <t/>
        </is>
      </c>
      <c r="S82" s="87" t="inlineStr">
        <is>
          <t/>
        </is>
      </c>
      <c r="T82" s="88" t="inlineStr">
        <is>
          <t/>
        </is>
      </c>
      <c r="U82" s="89" t="n">
        <v>1.53</v>
      </c>
      <c r="V82" s="90" t="n">
        <v>0.2550000000000001</v>
      </c>
      <c r="W82" s="91" t="inlineStr">
        <is>
          <t/>
        </is>
      </c>
      <c r="X82" s="92" t="inlineStr">
        <is>
          <t>LP Original Commitments</t>
        </is>
      </c>
      <c r="Y82" s="93" t="inlineStr">
        <is>
          <t>2019 Y</t>
        </is>
      </c>
      <c r="Z82" s="94" t="inlineStr">
        <is>
          <t>0 - 99M</t>
        </is>
      </c>
      <c r="AA82" s="95" t="inlineStr">
        <is>
          <t>Phoenix Venture Partners</t>
        </is>
      </c>
      <c r="AB82" s="96" t="inlineStr">
        <is>
          <t>San Mateo, CA</t>
        </is>
      </c>
      <c r="AC82" s="97" t="inlineStr">
        <is>
          <t>Healthcare Devices and Supplies, Materials and Resources, Business Products and Services (B2B), Consumer Products and Services (B2C), Energy, Healthcare, Information Technology</t>
        </is>
      </c>
      <c r="AD82" s="98" t="inlineStr">
        <is>
          <t>Early Stage VC</t>
        </is>
      </c>
      <c r="AE82" s="99" t="inlineStr">
        <is>
          <t/>
        </is>
      </c>
      <c r="AF82" s="100" t="inlineStr">
        <is>
          <t>New Mexico SIC</t>
        </is>
      </c>
      <c r="AG82" s="233">
        <f>HYPERLINK("https://my.pitchbook.com?i=53618-59", "View Investor Online")</f>
      </c>
    </row>
    <row r="83">
      <c r="A83" s="36" t="inlineStr">
        <is>
          <t>12037-33F</t>
        </is>
      </c>
      <c r="B83" s="37" t="inlineStr">
        <is>
          <t>SSM Partners IV</t>
        </is>
      </c>
      <c r="C83" s="38" t="inlineStr">
        <is>
          <t/>
        </is>
      </c>
      <c r="D83" s="39" t="inlineStr">
        <is>
          <t>Venture Capital</t>
        </is>
      </c>
      <c r="E83" s="40" t="n">
        <v>59.236</v>
      </c>
      <c r="F83" s="41" t="inlineStr">
        <is>
          <t>Memphis, TN</t>
        </is>
      </c>
      <c r="G83" s="42" t="n">
        <v>3.0</v>
      </c>
      <c r="H83" s="43" t="n">
        <v>2010.0</v>
      </c>
      <c r="I83" s="44" t="n">
        <v>95.0</v>
      </c>
      <c r="J83" s="45" t="n">
        <v>56.27419999999999</v>
      </c>
      <c r="K83" s="46" t="n">
        <v>1.4901329178666665</v>
      </c>
      <c r="L83" s="47" t="n">
        <v>46.351044516</v>
      </c>
      <c r="M83" s="48" t="n">
        <v>39.6546990488</v>
      </c>
      <c r="N83" s="49" t="n">
        <v>10.8</v>
      </c>
      <c r="O83" s="50" t="inlineStr">
        <is>
          <t/>
        </is>
      </c>
      <c r="P83" s="51" t="n">
        <v>-10.7</v>
      </c>
      <c r="Q83" s="52" t="n">
        <v>0.82</v>
      </c>
      <c r="R83" s="53" t="n">
        <v>0.0</v>
      </c>
      <c r="S83" s="54" t="n">
        <v>0.7</v>
      </c>
      <c r="T83" s="55" t="n">
        <v>0.026370000000000005</v>
      </c>
      <c r="U83" s="56" t="n">
        <v>1.52</v>
      </c>
      <c r="V83" s="57" t="n">
        <v>0.21999999999999997</v>
      </c>
      <c r="W83" s="58" t="inlineStr">
        <is>
          <t/>
        </is>
      </c>
      <c r="X83" s="59" t="inlineStr">
        <is>
          <t>LP Original Commitments</t>
        </is>
      </c>
      <c r="Y83" s="60" t="inlineStr">
        <is>
          <t>2017 Y</t>
        </is>
      </c>
      <c r="Z83" s="61" t="inlineStr">
        <is>
          <t>0 - 99M</t>
        </is>
      </c>
      <c r="AA83" s="62" t="inlineStr">
        <is>
          <t>SSM Partners</t>
        </is>
      </c>
      <c r="AB83" s="63" t="inlineStr">
        <is>
          <t>Memphis, TN</t>
        </is>
      </c>
      <c r="AC83" s="64" t="inlineStr">
        <is>
          <t>Software</t>
        </is>
      </c>
      <c r="AD83" s="65" t="inlineStr">
        <is>
          <t>Angel (individual), Early Stage VC, Later Stage VC</t>
        </is>
      </c>
      <c r="AE83" s="66" t="inlineStr">
        <is>
          <t>United States, United States</t>
        </is>
      </c>
      <c r="AF83" s="67" t="inlineStr">
        <is>
          <t>SCRS</t>
        </is>
      </c>
      <c r="AG83" s="232">
        <f>HYPERLINK("https://my.pitchbook.com?i=11304-64", "View Investor Online")</f>
      </c>
    </row>
    <row r="84">
      <c r="A84" s="69" t="inlineStr">
        <is>
          <t>14801-77F</t>
        </is>
      </c>
      <c r="B84" s="70" t="inlineStr">
        <is>
          <t>RSCM Fund II</t>
        </is>
      </c>
      <c r="C84" s="71" t="inlineStr">
        <is>
          <t/>
        </is>
      </c>
      <c r="D84" s="72" t="inlineStr">
        <is>
          <t>Venture Capital - Early Stage</t>
        </is>
      </c>
      <c r="E84" s="73" t="n">
        <v>17.095</v>
      </c>
      <c r="F84" s="74" t="inlineStr">
        <is>
          <t>San Francisco, CA</t>
        </is>
      </c>
      <c r="G84" s="75" t="n">
        <v>4.0</v>
      </c>
      <c r="H84" s="76" t="n">
        <v>2015.0</v>
      </c>
      <c r="I84" s="77" t="n">
        <v>100.0</v>
      </c>
      <c r="J84" s="78" t="n">
        <v>17.095</v>
      </c>
      <c r="K84" s="79" t="n">
        <v>0.0</v>
      </c>
      <c r="L84" s="80" t="n">
        <v>0.812013</v>
      </c>
      <c r="M84" s="81" t="n">
        <v>24.981247</v>
      </c>
      <c r="N84" s="82" t="n">
        <v>11.3</v>
      </c>
      <c r="O84" s="83" t="inlineStr">
        <is>
          <t/>
        </is>
      </c>
      <c r="P84" s="84" t="n">
        <v>-6.099999999999998</v>
      </c>
      <c r="Q84" s="85" t="n">
        <v>0.05</v>
      </c>
      <c r="R84" s="86" t="n">
        <v>0.04</v>
      </c>
      <c r="S84" s="87" t="n">
        <v>1.46</v>
      </c>
      <c r="T84" s="88" t="n">
        <v>0.15999999999999992</v>
      </c>
      <c r="U84" s="89" t="n">
        <v>1.51</v>
      </c>
      <c r="V84" s="90" t="n">
        <v>-0.014999999999999902</v>
      </c>
      <c r="W84" s="91" t="inlineStr">
        <is>
          <t/>
        </is>
      </c>
      <c r="X84" s="92" t="inlineStr">
        <is>
          <t>GP Self Reporting</t>
        </is>
      </c>
      <c r="Y84" s="93" t="inlineStr">
        <is>
          <t>2020 Y</t>
        </is>
      </c>
      <c r="Z84" s="94" t="inlineStr">
        <is>
          <t>0 - 99M</t>
        </is>
      </c>
      <c r="AA84" s="95" t="inlineStr">
        <is>
          <t>Right Side Capital Management</t>
        </is>
      </c>
      <c r="AB84" s="96" t="inlineStr">
        <is>
          <t>San Francisco, CA</t>
        </is>
      </c>
      <c r="AC84" s="97" t="inlineStr">
        <is>
          <t>Software</t>
        </is>
      </c>
      <c r="AD84" s="98" t="inlineStr">
        <is>
          <t>Seed Round, Early Stage VC</t>
        </is>
      </c>
      <c r="AE84" s="99" t="inlineStr">
        <is>
          <t>United States</t>
        </is>
      </c>
      <c r="AF84" s="100" t="inlineStr">
        <is>
          <t>RSCM</t>
        </is>
      </c>
      <c r="AG84" s="233">
        <f>HYPERLINK("https://my.pitchbook.com?i=55261-00", "View Investor Online")</f>
      </c>
    </row>
    <row r="85">
      <c r="A85" s="36" t="inlineStr">
        <is>
          <t>16025-05F</t>
        </is>
      </c>
      <c r="B85" s="37" t="inlineStr">
        <is>
          <t>BABEL Fund I</t>
        </is>
      </c>
      <c r="C85" s="38" t="inlineStr">
        <is>
          <t/>
        </is>
      </c>
      <c r="D85" s="39" t="inlineStr">
        <is>
          <t>Venture Capital</t>
        </is>
      </c>
      <c r="E85" s="40" t="n">
        <v>26.0</v>
      </c>
      <c r="F85" s="41" t="inlineStr">
        <is>
          <t>San Francisco, CA</t>
        </is>
      </c>
      <c r="G85" s="42" t="n">
        <v>1.0</v>
      </c>
      <c r="H85" s="43" t="n">
        <v>2017.0</v>
      </c>
      <c r="I85" s="44" t="n">
        <v>15.365384615384615</v>
      </c>
      <c r="J85" s="45" t="n">
        <v>3.995</v>
      </c>
      <c r="K85" s="46" t="n">
        <v>12.805000206042314</v>
      </c>
      <c r="L85" s="47" t="n">
        <v>0.0</v>
      </c>
      <c r="M85" s="48" t="n">
        <v>6.0</v>
      </c>
      <c r="N85" s="49" t="n">
        <v>92.0</v>
      </c>
      <c r="O85" s="50" t="inlineStr">
        <is>
          <t/>
        </is>
      </c>
      <c r="P85" s="51" t="n">
        <v>61.55</v>
      </c>
      <c r="Q85" s="52" t="n">
        <v>0.0</v>
      </c>
      <c r="R85" s="53" t="n">
        <v>0.0</v>
      </c>
      <c r="S85" s="54" t="n">
        <v>1.501877347</v>
      </c>
      <c r="T85" s="55" t="n">
        <v>0.361257347</v>
      </c>
      <c r="U85" s="56" t="n">
        <v>1.5</v>
      </c>
      <c r="V85" s="57" t="n">
        <v>0.2250000000000001</v>
      </c>
      <c r="W85" s="58" t="inlineStr">
        <is>
          <t/>
        </is>
      </c>
      <c r="X85" s="59" t="inlineStr">
        <is>
          <t>GP Self Reporting</t>
        </is>
      </c>
      <c r="Y85" s="60" t="inlineStr">
        <is>
          <t>2018 Y</t>
        </is>
      </c>
      <c r="Z85" s="61" t="inlineStr">
        <is>
          <t>0 - 99M</t>
        </is>
      </c>
      <c r="AA85" s="62" t="inlineStr">
        <is>
          <t>BABEL Ventures</t>
        </is>
      </c>
      <c r="AB85" s="63" t="inlineStr">
        <is>
          <t>San Francisco, CA</t>
        </is>
      </c>
      <c r="AC85" s="64" t="inlineStr">
        <is>
          <t>Consumer Non-Durables</t>
        </is>
      </c>
      <c r="AD85" s="65" t="inlineStr">
        <is>
          <t>Seed Round, Early Stage VC</t>
        </is>
      </c>
      <c r="AE85" s="66" t="inlineStr">
        <is>
          <t/>
        </is>
      </c>
      <c r="AF85" s="67" t="inlineStr">
        <is>
          <t>BABEL</t>
        </is>
      </c>
      <c r="AG85" s="232">
        <f>HYPERLINK("https://my.pitchbook.com?i=182465-02", "View Investor Online")</f>
      </c>
    </row>
    <row r="86">
      <c r="A86" s="69" t="inlineStr">
        <is>
          <t>16161-76F</t>
        </is>
      </c>
      <c r="B86" s="70" t="inlineStr">
        <is>
          <t>New Science Ventures 2011</t>
        </is>
      </c>
      <c r="C86" s="71" t="inlineStr">
        <is>
          <t/>
        </is>
      </c>
      <c r="D86" s="72" t="inlineStr">
        <is>
          <t>Venture Capital</t>
        </is>
      </c>
      <c r="E86" s="73" t="n">
        <v>23.0</v>
      </c>
      <c r="F86" s="74" t="inlineStr">
        <is>
          <t>New York, NY</t>
        </is>
      </c>
      <c r="G86" s="75" t="n">
        <v>3.0</v>
      </c>
      <c r="H86" s="76" t="n">
        <v>2011.0</v>
      </c>
      <c r="I86" s="77" t="n">
        <v>99.99999882288834</v>
      </c>
      <c r="J86" s="78" t="n">
        <v>22.999999729264317</v>
      </c>
      <c r="K86" s="79" t="n">
        <v>0.0</v>
      </c>
      <c r="L86" s="80" t="n">
        <v>0.0</v>
      </c>
      <c r="M86" s="81" t="n">
        <v>34.415657331633476</v>
      </c>
      <c r="N86" s="82" t="n">
        <v>5.913282931</v>
      </c>
      <c r="O86" s="83" t="inlineStr">
        <is>
          <t/>
        </is>
      </c>
      <c r="P86" s="84" t="n">
        <v>-5.186717068999999</v>
      </c>
      <c r="Q86" s="85" t="n">
        <v>0.0</v>
      </c>
      <c r="R86" s="86" t="n">
        <v>-0.19</v>
      </c>
      <c r="S86" s="87" t="n">
        <v>1.496332945</v>
      </c>
      <c r="T86" s="88" t="n">
        <v>0.337232945</v>
      </c>
      <c r="U86" s="89" t="n">
        <v>1.5</v>
      </c>
      <c r="V86" s="90" t="n">
        <v>-0.030000000000000027</v>
      </c>
      <c r="W86" s="91" t="inlineStr">
        <is>
          <t/>
        </is>
      </c>
      <c r="X86" s="92" t="inlineStr">
        <is>
          <t>GP Self Reporting</t>
        </is>
      </c>
      <c r="Y86" s="93" t="inlineStr">
        <is>
          <t>2018 Y</t>
        </is>
      </c>
      <c r="Z86" s="94" t="inlineStr">
        <is>
          <t>0 - 99M</t>
        </is>
      </c>
      <c r="AA86" s="95" t="inlineStr">
        <is>
          <t>New Science Ventures</t>
        </is>
      </c>
      <c r="AB86" s="96" t="inlineStr">
        <is>
          <t>New York, NY</t>
        </is>
      </c>
      <c r="AC86" s="97" t="inlineStr">
        <is>
          <t/>
        </is>
      </c>
      <c r="AD86" s="98" t="inlineStr">
        <is>
          <t>Seed Round, Early Stage VC, Later Stage VC</t>
        </is>
      </c>
      <c r="AE86" s="99" t="inlineStr">
        <is>
          <t/>
        </is>
      </c>
      <c r="AF86" s="100" t="inlineStr">
        <is>
          <t>NSV</t>
        </is>
      </c>
      <c r="AG86" s="233">
        <f>HYPERLINK("https://my.pitchbook.com?i=11252-98", "View Investor Online")</f>
      </c>
    </row>
    <row r="87">
      <c r="A87" s="36" t="inlineStr">
        <is>
          <t>14425-57F</t>
        </is>
      </c>
      <c r="B87" s="37" t="inlineStr">
        <is>
          <t>PTV IV</t>
        </is>
      </c>
      <c r="C87" s="38" t="inlineStr">
        <is>
          <t/>
        </is>
      </c>
      <c r="D87" s="39" t="inlineStr">
        <is>
          <t>Venture Capital</t>
        </is>
      </c>
      <c r="E87" s="40" t="n">
        <v>96.63</v>
      </c>
      <c r="F87" s="41" t="inlineStr">
        <is>
          <t>Austin, TX</t>
        </is>
      </c>
      <c r="G87" s="42" t="n">
        <v>2.0</v>
      </c>
      <c r="H87" s="43" t="n">
        <v>2014.0</v>
      </c>
      <c r="I87" s="44" t="n">
        <v>27.051640277346582</v>
      </c>
      <c r="J87" s="45" t="n">
        <v>26.14</v>
      </c>
      <c r="K87" s="46" t="n">
        <v>1.9411219990200883</v>
      </c>
      <c r="L87" s="47" t="n">
        <v>0.0</v>
      </c>
      <c r="M87" s="48" t="n">
        <v>39.3</v>
      </c>
      <c r="N87" s="49" t="n">
        <v>20.7</v>
      </c>
      <c r="O87" s="50" t="inlineStr">
        <is>
          <t/>
        </is>
      </c>
      <c r="P87" s="51" t="n">
        <v>6.739999999999998</v>
      </c>
      <c r="Q87" s="52" t="n">
        <v>0.0</v>
      </c>
      <c r="R87" s="53" t="n">
        <v>-0.02</v>
      </c>
      <c r="S87" s="54" t="n">
        <v>1.5</v>
      </c>
      <c r="T87" s="55" t="n">
        <v>0.32000000000000006</v>
      </c>
      <c r="U87" s="56" t="n">
        <v>1.5</v>
      </c>
      <c r="V87" s="57" t="n">
        <v>0.0</v>
      </c>
      <c r="W87" s="58" t="inlineStr">
        <is>
          <t/>
        </is>
      </c>
      <c r="X87" s="59" t="inlineStr">
        <is>
          <t>GP Self Reporting, LP Original Commitments</t>
        </is>
      </c>
      <c r="Y87" s="60" t="inlineStr">
        <is>
          <t>2016 Y</t>
        </is>
      </c>
      <c r="Z87" s="61" t="inlineStr">
        <is>
          <t>0 - 99M</t>
        </is>
      </c>
      <c r="AA87" s="62" t="inlineStr">
        <is>
          <t>PTV Healthcare Capital</t>
        </is>
      </c>
      <c r="AB87" s="63" t="inlineStr">
        <is>
          <t>Austin, TX</t>
        </is>
      </c>
      <c r="AC87" s="64" t="inlineStr">
        <is>
          <t>Healthcare Devices and Supplies</t>
        </is>
      </c>
      <c r="AD87" s="65" t="inlineStr">
        <is>
          <t>Seed Round, Early Stage VC, Later Stage VC</t>
        </is>
      </c>
      <c r="AE87" s="66" t="inlineStr">
        <is>
          <t/>
        </is>
      </c>
      <c r="AF87" s="67" t="inlineStr">
        <is>
          <t>AGCF, PTV</t>
        </is>
      </c>
      <c r="AG87" s="232">
        <f>HYPERLINK("https://my.pitchbook.com?i=11278-18", "View Investor Online")</f>
      </c>
    </row>
    <row r="88">
      <c r="A88" s="69" t="inlineStr">
        <is>
          <t>15054-58F</t>
        </is>
      </c>
      <c r="B88" s="70" t="inlineStr">
        <is>
          <t>Mission Bay Capital II</t>
        </is>
      </c>
      <c r="C88" s="71" t="inlineStr">
        <is>
          <t/>
        </is>
      </c>
      <c r="D88" s="72" t="inlineStr">
        <is>
          <t>Venture Capital</t>
        </is>
      </c>
      <c r="E88" s="73" t="n">
        <v>25.0</v>
      </c>
      <c r="F88" s="74" t="inlineStr">
        <is>
          <t>San Francisco, CA</t>
        </is>
      </c>
      <c r="G88" s="75" t="n">
        <v>2.0</v>
      </c>
      <c r="H88" s="76" t="n">
        <v>2015.0</v>
      </c>
      <c r="I88" s="77" t="n">
        <v>100.0</v>
      </c>
      <c r="J88" s="78" t="n">
        <v>25.0</v>
      </c>
      <c r="K88" s="79" t="n">
        <v>1.0947585352909959</v>
      </c>
      <c r="L88" s="80" t="n">
        <v>3.0000000000000004</v>
      </c>
      <c r="M88" s="81" t="n">
        <v>33.973282051282055</v>
      </c>
      <c r="N88" s="82" t="n">
        <v>17.8</v>
      </c>
      <c r="O88" s="83" t="inlineStr">
        <is>
          <t/>
        </is>
      </c>
      <c r="P88" s="84" t="n">
        <v>2.8000000000000007</v>
      </c>
      <c r="Q88" s="85" t="n">
        <v>0.12</v>
      </c>
      <c r="R88" s="86" t="n">
        <v>0.0</v>
      </c>
      <c r="S88" s="87" t="n">
        <v>1.36</v>
      </c>
      <c r="T88" s="88" t="n">
        <v>0.24430000000000018</v>
      </c>
      <c r="U88" s="89" t="n">
        <v>1.48</v>
      </c>
      <c r="V88" s="90" t="n">
        <v>0.27</v>
      </c>
      <c r="W88" s="91" t="inlineStr">
        <is>
          <t/>
        </is>
      </c>
      <c r="X88" s="92" t="inlineStr">
        <is>
          <t>LP Original Commitments</t>
        </is>
      </c>
      <c r="Y88" s="93" t="inlineStr">
        <is>
          <t>2019 Y</t>
        </is>
      </c>
      <c r="Z88" s="94" t="inlineStr">
        <is>
          <t>0 - 99M</t>
        </is>
      </c>
      <c r="AA88" s="95" t="inlineStr">
        <is>
          <t>Mission Bay Capital</t>
        </is>
      </c>
      <c r="AB88" s="96" t="inlineStr">
        <is>
          <t>San Francisco, CA</t>
        </is>
      </c>
      <c r="AC88" s="97" t="inlineStr">
        <is>
          <t>Pharmaceuticals and Biotechnology</t>
        </is>
      </c>
      <c r="AD88" s="98" t="inlineStr">
        <is>
          <t>Seed Round, Early Stage VC, Later Stage VC</t>
        </is>
      </c>
      <c r="AE88" s="99" t="inlineStr">
        <is>
          <t>California, Bay Area</t>
        </is>
      </c>
      <c r="AF88" s="100" t="inlineStr">
        <is>
          <t>UC Regents</t>
        </is>
      </c>
      <c r="AG88" s="233">
        <f>HYPERLINK("https://my.pitchbook.com?i=42254-83", "View Investor Online")</f>
      </c>
    </row>
    <row r="89">
      <c r="A89" s="36" t="inlineStr">
        <is>
          <t>16435-90F</t>
        </is>
      </c>
      <c r="B89" s="37" t="inlineStr">
        <is>
          <t>RSCM Fund III</t>
        </is>
      </c>
      <c r="C89" s="38" t="inlineStr">
        <is>
          <t/>
        </is>
      </c>
      <c r="D89" s="39" t="inlineStr">
        <is>
          <t>Venture Capital - Early Stage</t>
        </is>
      </c>
      <c r="E89" s="40" t="n">
        <v>16.04</v>
      </c>
      <c r="F89" s="41" t="inlineStr">
        <is>
          <t>San Francisco, CA</t>
        </is>
      </c>
      <c r="G89" s="42" t="inlineStr">
        <is>
          <t/>
        </is>
      </c>
      <c r="H89" s="43" t="n">
        <v>2017.0</v>
      </c>
      <c r="I89" s="44" t="n">
        <v>100.0</v>
      </c>
      <c r="J89" s="45" t="n">
        <v>16.045228</v>
      </c>
      <c r="K89" s="46" t="n">
        <v>0.0</v>
      </c>
      <c r="L89" s="47" t="n">
        <v>0.0</v>
      </c>
      <c r="M89" s="48" t="n">
        <v>23.771816</v>
      </c>
      <c r="N89" s="49" t="n">
        <v>21.5</v>
      </c>
      <c r="O89" s="50" t="inlineStr">
        <is>
          <t/>
        </is>
      </c>
      <c r="P89" s="51" t="inlineStr">
        <is>
          <t/>
        </is>
      </c>
      <c r="Q89" s="52" t="n">
        <v>0.0</v>
      </c>
      <c r="R89" s="53" t="n">
        <v>0.0</v>
      </c>
      <c r="S89" s="54" t="n">
        <v>1.48</v>
      </c>
      <c r="T89" s="55" t="n">
        <v>0.52083</v>
      </c>
      <c r="U89" s="56" t="n">
        <v>1.48</v>
      </c>
      <c r="V89" s="57" t="n">
        <v>0.47</v>
      </c>
      <c r="W89" s="58" t="inlineStr">
        <is>
          <t/>
        </is>
      </c>
      <c r="X89" s="59" t="inlineStr">
        <is>
          <t>GP Self Reporting</t>
        </is>
      </c>
      <c r="Y89" s="60" t="inlineStr">
        <is>
          <t>2020 Y</t>
        </is>
      </c>
      <c r="Z89" s="61" t="inlineStr">
        <is>
          <t>0 - 99M</t>
        </is>
      </c>
      <c r="AA89" s="62" t="inlineStr">
        <is>
          <t>Right Side Capital Management</t>
        </is>
      </c>
      <c r="AB89" s="63" t="inlineStr">
        <is>
          <t>San Francisco, CA</t>
        </is>
      </c>
      <c r="AC89" s="64" t="inlineStr">
        <is>
          <t>Information Technology</t>
        </is>
      </c>
      <c r="AD89" s="65" t="inlineStr">
        <is>
          <t>Seed Round, Early Stage VC</t>
        </is>
      </c>
      <c r="AE89" s="66" t="inlineStr">
        <is>
          <t>United States</t>
        </is>
      </c>
      <c r="AF89" s="67" t="inlineStr">
        <is>
          <t>RSCM</t>
        </is>
      </c>
      <c r="AG89" s="232">
        <f>HYPERLINK("https://my.pitchbook.com?i=55261-00", "View Investor Online")</f>
      </c>
    </row>
    <row r="90">
      <c r="A90" s="69" t="inlineStr">
        <is>
          <t>16118-92F</t>
        </is>
      </c>
      <c r="B90" s="70" t="inlineStr">
        <is>
          <t>Forerunner Builders I</t>
        </is>
      </c>
      <c r="C90" s="71" t="inlineStr">
        <is>
          <t/>
        </is>
      </c>
      <c r="D90" s="72" t="inlineStr">
        <is>
          <t>Venture Capital</t>
        </is>
      </c>
      <c r="E90" s="73" t="n">
        <v>59.0</v>
      </c>
      <c r="F90" s="74" t="inlineStr">
        <is>
          <t>San Francisco, CA</t>
        </is>
      </c>
      <c r="G90" s="75" t="n">
        <v>2.0</v>
      </c>
      <c r="H90" s="76" t="n">
        <v>2017.0</v>
      </c>
      <c r="I90" s="77" t="n">
        <v>93.05000000000001</v>
      </c>
      <c r="J90" s="78" t="n">
        <v>54.8995</v>
      </c>
      <c r="K90" s="79" t="n">
        <v>4.1005</v>
      </c>
      <c r="L90" s="80" t="n">
        <v>0.0</v>
      </c>
      <c r="M90" s="81" t="n">
        <v>80.590444</v>
      </c>
      <c r="N90" s="82" t="n">
        <v>34.21</v>
      </c>
      <c r="O90" s="83" t="inlineStr">
        <is>
          <t/>
        </is>
      </c>
      <c r="P90" s="84" t="n">
        <v>3.7600000000000016</v>
      </c>
      <c r="Q90" s="85" t="n">
        <v>0.0</v>
      </c>
      <c r="R90" s="86" t="n">
        <v>0.0</v>
      </c>
      <c r="S90" s="87" t="n">
        <v>1.47</v>
      </c>
      <c r="T90" s="88" t="n">
        <v>0.32938</v>
      </c>
      <c r="U90" s="89" t="n">
        <v>1.47</v>
      </c>
      <c r="V90" s="90" t="n">
        <v>0.19500000000000006</v>
      </c>
      <c r="W90" s="91" t="inlineStr">
        <is>
          <t/>
        </is>
      </c>
      <c r="X90" s="92" t="inlineStr">
        <is>
          <t>GP Self Reporting, LP Original Commitments</t>
        </is>
      </c>
      <c r="Y90" s="93" t="inlineStr">
        <is>
          <t>2019 Y</t>
        </is>
      </c>
      <c r="Z90" s="94" t="inlineStr">
        <is>
          <t>0 - 99M</t>
        </is>
      </c>
      <c r="AA90" s="95" t="inlineStr">
        <is>
          <t>Forerunner Ventures</t>
        </is>
      </c>
      <c r="AB90" s="96" t="inlineStr">
        <is>
          <t>San Francisco, CA</t>
        </is>
      </c>
      <c r="AC90" s="97" t="inlineStr">
        <is>
          <t>Software, Consumer Products and Services (B2C)</t>
        </is>
      </c>
      <c r="AD90" s="98" t="inlineStr">
        <is>
          <t>Early Stage VC, Later Stage VC</t>
        </is>
      </c>
      <c r="AE90" s="99" t="inlineStr">
        <is>
          <t/>
        </is>
      </c>
      <c r="AF90" s="100" t="inlineStr">
        <is>
          <t>Forerunner, UTIMCO</t>
        </is>
      </c>
      <c r="AG90" s="233">
        <f>HYPERLINK("https://my.pitchbook.com?i=52507-90", "View Investor Online")</f>
      </c>
    </row>
    <row r="91">
      <c r="A91" s="36" t="inlineStr">
        <is>
          <t>15666-76F</t>
        </is>
      </c>
      <c r="B91" s="37" t="inlineStr">
        <is>
          <t>Benhamou Global Ventures III</t>
        </is>
      </c>
      <c r="C91" s="38" t="inlineStr">
        <is>
          <t/>
        </is>
      </c>
      <c r="D91" s="39" t="inlineStr">
        <is>
          <t>Venture Capital</t>
        </is>
      </c>
      <c r="E91" s="40" t="n">
        <v>80.0</v>
      </c>
      <c r="F91" s="41" t="inlineStr">
        <is>
          <t>Palo Alto, CA</t>
        </is>
      </c>
      <c r="G91" s="42" t="n">
        <v>4.0</v>
      </c>
      <c r="H91" s="43" t="n">
        <v>2017.0</v>
      </c>
      <c r="I91" s="44" t="n">
        <v>77.5</v>
      </c>
      <c r="J91" s="45" t="n">
        <v>62.0</v>
      </c>
      <c r="K91" s="46" t="n">
        <v>18.0</v>
      </c>
      <c r="L91" s="47" t="n">
        <v>0.0</v>
      </c>
      <c r="M91" s="48" t="n">
        <v>88.8</v>
      </c>
      <c r="N91" s="49" t="n">
        <v>9.0</v>
      </c>
      <c r="O91" s="50" t="inlineStr">
        <is>
          <t/>
        </is>
      </c>
      <c r="P91" s="51" t="n">
        <v>-21.45</v>
      </c>
      <c r="Q91" s="52" t="n">
        <v>0.0</v>
      </c>
      <c r="R91" s="53" t="n">
        <v>0.0</v>
      </c>
      <c r="S91" s="54" t="n">
        <v>1.43</v>
      </c>
      <c r="T91" s="55" t="n">
        <v>0.28937999999999997</v>
      </c>
      <c r="U91" s="56" t="n">
        <v>1.43</v>
      </c>
      <c r="V91" s="57" t="n">
        <v>0.15500000000000003</v>
      </c>
      <c r="W91" s="58" t="inlineStr">
        <is>
          <t/>
        </is>
      </c>
      <c r="X91" s="59" t="inlineStr">
        <is>
          <t>GP Self Reporting</t>
        </is>
      </c>
      <c r="Y91" s="60" t="inlineStr">
        <is>
          <t>2020 Y</t>
        </is>
      </c>
      <c r="Z91" s="61" t="inlineStr">
        <is>
          <t>0 - 99M</t>
        </is>
      </c>
      <c r="AA91" s="62" t="inlineStr">
        <is>
          <t>Benhamou Global Ventures</t>
        </is>
      </c>
      <c r="AB91" s="63" t="inlineStr">
        <is>
          <t>Palo Alto, CA</t>
        </is>
      </c>
      <c r="AC91" s="64" t="inlineStr">
        <is>
          <t>Information Technology</t>
        </is>
      </c>
      <c r="AD91" s="65" t="inlineStr">
        <is>
          <t>Early Stage VC</t>
        </is>
      </c>
      <c r="AE91" s="66" t="inlineStr">
        <is>
          <t>Israel, Europe, Asia</t>
        </is>
      </c>
      <c r="AF91" s="67" t="inlineStr">
        <is>
          <t>BGV</t>
        </is>
      </c>
      <c r="AG91" s="232">
        <f>HYPERLINK("https://my.pitchbook.com?i=51586-39", "View Investor Online")</f>
      </c>
    </row>
    <row r="92">
      <c r="A92" s="69" t="inlineStr">
        <is>
          <t>13818-52F</t>
        </is>
      </c>
      <c r="B92" s="70" t="inlineStr">
        <is>
          <t>Episode 1 Investments</t>
        </is>
      </c>
      <c r="C92" s="71" t="inlineStr">
        <is>
          <t/>
        </is>
      </c>
      <c r="D92" s="72" t="inlineStr">
        <is>
          <t>Venture Capital</t>
        </is>
      </c>
      <c r="E92" s="73" t="n">
        <v>59.52844</v>
      </c>
      <c r="F92" s="74" t="inlineStr">
        <is>
          <t>London, United Kingdom</t>
        </is>
      </c>
      <c r="G92" s="75" t="inlineStr">
        <is>
          <t/>
        </is>
      </c>
      <c r="H92" s="76" t="n">
        <v>2013.0</v>
      </c>
      <c r="I92" s="77" t="n">
        <v>98.10666666666667</v>
      </c>
      <c r="J92" s="78" t="n">
        <v>58.401367725426255</v>
      </c>
      <c r="K92" s="79" t="n">
        <v>1.1270717973333333</v>
      </c>
      <c r="L92" s="80" t="n">
        <v>12.969262688685308</v>
      </c>
      <c r="M92" s="81" t="n">
        <v>70.81503164531844</v>
      </c>
      <c r="N92" s="82" t="inlineStr">
        <is>
          <t/>
        </is>
      </c>
      <c r="O92" s="83" t="inlineStr">
        <is>
          <t/>
        </is>
      </c>
      <c r="P92" s="84" t="inlineStr">
        <is>
          <t/>
        </is>
      </c>
      <c r="Q92" s="85" t="n">
        <v>0.222</v>
      </c>
      <c r="R92" s="86" t="n">
        <v>0.14328000000000002</v>
      </c>
      <c r="S92" s="87" t="n">
        <v>1.213</v>
      </c>
      <c r="T92" s="88" t="n">
        <v>-0.0020799999999998597</v>
      </c>
      <c r="U92" s="89" t="n">
        <v>1.43</v>
      </c>
      <c r="V92" s="90" t="n">
        <v>0.10499999999999998</v>
      </c>
      <c r="W92" s="91" t="inlineStr">
        <is>
          <t/>
        </is>
      </c>
      <c r="X92" s="92" t="inlineStr">
        <is>
          <t>GP Self Reporting</t>
        </is>
      </c>
      <c r="Y92" s="93" t="inlineStr">
        <is>
          <t>2020 Y</t>
        </is>
      </c>
      <c r="Z92" s="94" t="inlineStr">
        <is>
          <t>0 - 99M</t>
        </is>
      </c>
      <c r="AA92" s="95" t="inlineStr">
        <is>
          <t>Episode 1 Ventures</t>
        </is>
      </c>
      <c r="AB92" s="96" t="inlineStr">
        <is>
          <t>London, United Kingdom</t>
        </is>
      </c>
      <c r="AC92" s="97" t="inlineStr">
        <is>
          <t>Software</t>
        </is>
      </c>
      <c r="AD92" s="98" t="inlineStr">
        <is>
          <t>Early Stage VC</t>
        </is>
      </c>
      <c r="AE92" s="99" t="inlineStr">
        <is>
          <t>United Kingdom</t>
        </is>
      </c>
      <c r="AF92" s="100" t="inlineStr">
        <is>
          <t>Episode 1</t>
        </is>
      </c>
      <c r="AG92" s="233">
        <f>HYPERLINK("https://my.pitchbook.com?i=59900-77", "View Investor Online")</f>
      </c>
    </row>
    <row r="93">
      <c r="A93" s="36" t="inlineStr">
        <is>
          <t>15048-91F</t>
        </is>
      </c>
      <c r="B93" s="37" t="inlineStr">
        <is>
          <t>Rembrandt Venture Partners Opportunities Fund II</t>
        </is>
      </c>
      <c r="C93" s="38" t="inlineStr">
        <is>
          <t/>
        </is>
      </c>
      <c r="D93" s="39" t="inlineStr">
        <is>
          <t>Venture Capital</t>
        </is>
      </c>
      <c r="E93" s="40" t="n">
        <v>30.0</v>
      </c>
      <c r="F93" s="41" t="inlineStr">
        <is>
          <t>San Francisco, CA</t>
        </is>
      </c>
      <c r="G93" s="42" t="n">
        <v>1.0</v>
      </c>
      <c r="H93" s="43" t="n">
        <v>2015.0</v>
      </c>
      <c r="I93" s="44" t="n">
        <v>69.89749666666667</v>
      </c>
      <c r="J93" s="45" t="n">
        <v>20.969249</v>
      </c>
      <c r="K93" s="46" t="n">
        <v>1.313710242349195</v>
      </c>
      <c r="L93" s="47" t="n">
        <v>5.52</v>
      </c>
      <c r="M93" s="48" t="n">
        <v>23.845219</v>
      </c>
      <c r="N93" s="49" t="n">
        <v>26.2</v>
      </c>
      <c r="O93" s="50" t="inlineStr">
        <is>
          <t/>
        </is>
      </c>
      <c r="P93" s="51" t="n">
        <v>11.2</v>
      </c>
      <c r="Q93" s="52" t="n">
        <v>0.263242618</v>
      </c>
      <c r="R93" s="53" t="n">
        <v>0.143242618</v>
      </c>
      <c r="S93" s="54" t="n">
        <v>1.137151788</v>
      </c>
      <c r="T93" s="55" t="n">
        <v>0.021451788000000027</v>
      </c>
      <c r="U93" s="56" t="n">
        <v>1.4</v>
      </c>
      <c r="V93" s="57" t="n">
        <v>0.18999999999999995</v>
      </c>
      <c r="W93" s="58" t="inlineStr">
        <is>
          <t/>
        </is>
      </c>
      <c r="X93" s="59" t="inlineStr">
        <is>
          <t>GP Self Reporting</t>
        </is>
      </c>
      <c r="Y93" s="60" t="inlineStr">
        <is>
          <t>2017 Y</t>
        </is>
      </c>
      <c r="Z93" s="61" t="inlineStr">
        <is>
          <t>0 - 99M</t>
        </is>
      </c>
      <c r="AA93" s="62" t="inlineStr">
        <is>
          <t>Rembrandt Venture Partners</t>
        </is>
      </c>
      <c r="AB93" s="63" t="inlineStr">
        <is>
          <t>San Francisco, CA</t>
        </is>
      </c>
      <c r="AC93" s="64" t="inlineStr">
        <is>
          <t>Software</t>
        </is>
      </c>
      <c r="AD93" s="65" t="inlineStr">
        <is>
          <t>Seed Round, Early Stage VC, Later Stage VC</t>
        </is>
      </c>
      <c r="AE93" s="66" t="inlineStr">
        <is>
          <t/>
        </is>
      </c>
      <c r="AF93" s="67" t="inlineStr">
        <is>
          <t>Rembrandt, RVP</t>
        </is>
      </c>
      <c r="AG93" s="232">
        <f>HYPERLINK("https://my.pitchbook.com?i=11282-32", "View Investor Online")</f>
      </c>
    </row>
    <row r="94">
      <c r="A94" s="69" t="inlineStr">
        <is>
          <t>16098-49F</t>
        </is>
      </c>
      <c r="B94" s="70" t="inlineStr">
        <is>
          <t>Sixth Sense India Opportunities II</t>
        </is>
      </c>
      <c r="C94" s="71" t="inlineStr">
        <is>
          <t/>
        </is>
      </c>
      <c r="D94" s="72" t="inlineStr">
        <is>
          <t>Venture Capital</t>
        </is>
      </c>
      <c r="E94" s="73" t="n">
        <v>72.56213</v>
      </c>
      <c r="F94" s="74" t="inlineStr">
        <is>
          <t>Mumbai, India</t>
        </is>
      </c>
      <c r="G94" s="75" t="inlineStr">
        <is>
          <t/>
        </is>
      </c>
      <c r="H94" s="76" t="n">
        <v>2018.0</v>
      </c>
      <c r="I94" s="77" t="inlineStr">
        <is>
          <t/>
        </is>
      </c>
      <c r="J94" s="78" t="inlineStr">
        <is>
          <t/>
        </is>
      </c>
      <c r="K94" s="79" t="n">
        <v>46.076952549999994</v>
      </c>
      <c r="L94" s="80" t="inlineStr">
        <is>
          <t/>
        </is>
      </c>
      <c r="M94" s="81" t="inlineStr">
        <is>
          <t/>
        </is>
      </c>
      <c r="N94" s="82" t="inlineStr">
        <is>
          <t/>
        </is>
      </c>
      <c r="O94" s="83" t="inlineStr">
        <is>
          <t/>
        </is>
      </c>
      <c r="P94" s="84" t="inlineStr">
        <is>
          <t/>
        </is>
      </c>
      <c r="Q94" s="85" t="inlineStr">
        <is>
          <t/>
        </is>
      </c>
      <c r="R94" s="86" t="inlineStr">
        <is>
          <t/>
        </is>
      </c>
      <c r="S94" s="87" t="inlineStr">
        <is>
          <t/>
        </is>
      </c>
      <c r="T94" s="88" t="inlineStr">
        <is>
          <t/>
        </is>
      </c>
      <c r="U94" s="89" t="n">
        <v>1.4</v>
      </c>
      <c r="V94" s="90" t="inlineStr">
        <is>
          <t/>
        </is>
      </c>
      <c r="W94" s="91" t="inlineStr">
        <is>
          <t/>
        </is>
      </c>
      <c r="X94" s="92" t="inlineStr">
        <is>
          <t>GP Self Reporting</t>
        </is>
      </c>
      <c r="Y94" s="93" t="inlineStr">
        <is>
          <t>2020 Y</t>
        </is>
      </c>
      <c r="Z94" s="94" t="inlineStr">
        <is>
          <t>0 - 99M</t>
        </is>
      </c>
      <c r="AA94" s="95" t="inlineStr">
        <is>
          <t>Sixth Sense Ventures</t>
        </is>
      </c>
      <c r="AB94" s="96" t="inlineStr">
        <is>
          <t>Mumbai, India</t>
        </is>
      </c>
      <c r="AC94" s="97" t="inlineStr">
        <is>
          <t>Consumer Non-Durables, Commercial Products, Commercial Services, Software</t>
        </is>
      </c>
      <c r="AD94" s="98" t="inlineStr">
        <is>
          <t>Seed Round, Early Stage VC, Later Stage VC</t>
        </is>
      </c>
      <c r="AE94" s="99" t="inlineStr">
        <is>
          <t>India</t>
        </is>
      </c>
      <c r="AF94" s="100" t="inlineStr">
        <is>
          <t>Sixth Sense</t>
        </is>
      </c>
      <c r="AG94" s="233">
        <f>HYPERLINK("https://my.pitchbook.com?i=61401-88", "View Investor Online")</f>
      </c>
    </row>
    <row r="95">
      <c r="A95" s="36" t="inlineStr">
        <is>
          <t>12730-06F</t>
        </is>
      </c>
      <c r="B95" s="37" t="inlineStr">
        <is>
          <t>Mutual Capital Partners Fund II</t>
        </is>
      </c>
      <c r="C95" s="38" t="inlineStr">
        <is>
          <t/>
        </is>
      </c>
      <c r="D95" s="39" t="inlineStr">
        <is>
          <t>Venture Capital - Early Stage</t>
        </is>
      </c>
      <c r="E95" s="40" t="n">
        <v>26.348</v>
      </c>
      <c r="F95" s="41" t="inlineStr">
        <is>
          <t>Westlake, OH</t>
        </is>
      </c>
      <c r="G95" s="42" t="inlineStr">
        <is>
          <t/>
        </is>
      </c>
      <c r="H95" s="43" t="n">
        <v>2012.0</v>
      </c>
      <c r="I95" s="44" t="n">
        <v>100.0</v>
      </c>
      <c r="J95" s="45" t="n">
        <v>26.348</v>
      </c>
      <c r="K95" s="46" t="n">
        <v>0.43474199999999996</v>
      </c>
      <c r="L95" s="47" t="n">
        <v>5.000000000000001</v>
      </c>
      <c r="M95" s="48" t="n">
        <v>31.689</v>
      </c>
      <c r="N95" s="49" t="inlineStr">
        <is>
          <t/>
        </is>
      </c>
      <c r="O95" s="50" t="inlineStr">
        <is>
          <t/>
        </is>
      </c>
      <c r="P95" s="51" t="inlineStr">
        <is>
          <t/>
        </is>
      </c>
      <c r="Q95" s="52" t="n">
        <v>0.189767724</v>
      </c>
      <c r="R95" s="53" t="inlineStr">
        <is>
          <t/>
        </is>
      </c>
      <c r="S95" s="54" t="n">
        <v>1.202709883</v>
      </c>
      <c r="T95" s="55" t="inlineStr">
        <is>
          <t/>
        </is>
      </c>
      <c r="U95" s="56" t="n">
        <v>1.39</v>
      </c>
      <c r="V95" s="57" t="inlineStr">
        <is>
          <t/>
        </is>
      </c>
      <c r="W95" s="58" t="inlineStr">
        <is>
          <t/>
        </is>
      </c>
      <c r="X95" s="59" t="inlineStr">
        <is>
          <t>GP Self Reporting</t>
        </is>
      </c>
      <c r="Y95" s="60" t="inlineStr">
        <is>
          <t>2018 Y</t>
        </is>
      </c>
      <c r="Z95" s="61" t="inlineStr">
        <is>
          <t>0 - 99M</t>
        </is>
      </c>
      <c r="AA95" s="62" t="inlineStr">
        <is>
          <t>Mutual Capital Partners</t>
        </is>
      </c>
      <c r="AB95" s="63" t="inlineStr">
        <is>
          <t>Westlake, OH</t>
        </is>
      </c>
      <c r="AC95" s="64" t="inlineStr">
        <is>
          <t>Software</t>
        </is>
      </c>
      <c r="AD95" s="65" t="inlineStr">
        <is>
          <t>Seed Round, Early Stage VC</t>
        </is>
      </c>
      <c r="AE95" s="66" t="inlineStr">
        <is>
          <t>Midwest</t>
        </is>
      </c>
      <c r="AF95" s="67" t="inlineStr">
        <is>
          <t>MCP</t>
        </is>
      </c>
      <c r="AG95" s="232">
        <f>HYPERLINK("https://my.pitchbook.com?i=42976-72", "View Investor Online")</f>
      </c>
    </row>
    <row r="96">
      <c r="A96" s="69" t="inlineStr">
        <is>
          <t>14719-96F</t>
        </is>
      </c>
      <c r="B96" s="70" t="inlineStr">
        <is>
          <t>Capital Partners I</t>
        </is>
      </c>
      <c r="C96" s="71" t="inlineStr">
        <is>
          <t/>
        </is>
      </c>
      <c r="D96" s="72" t="inlineStr">
        <is>
          <t>Venture Capital - Early Stage</t>
        </is>
      </c>
      <c r="E96" s="73" t="n">
        <v>51.0</v>
      </c>
      <c r="F96" s="74" t="inlineStr">
        <is>
          <t>San Francisco, CA</t>
        </is>
      </c>
      <c r="G96" s="75" t="n">
        <v>3.0</v>
      </c>
      <c r="H96" s="76" t="n">
        <v>2014.0</v>
      </c>
      <c r="I96" s="77" t="n">
        <v>100.0</v>
      </c>
      <c r="J96" s="78" t="n">
        <v>51.0</v>
      </c>
      <c r="K96" s="79" t="n">
        <v>0.0</v>
      </c>
      <c r="L96" s="80" t="n">
        <v>69.7415888</v>
      </c>
      <c r="M96" s="81" t="n">
        <v>0.0</v>
      </c>
      <c r="N96" s="82" t="n">
        <v>11.6</v>
      </c>
      <c r="O96" s="83" t="inlineStr">
        <is>
          <t/>
        </is>
      </c>
      <c r="P96" s="84" t="n">
        <v>-3.1500000000000004</v>
      </c>
      <c r="Q96" s="85" t="n">
        <v>1.37</v>
      </c>
      <c r="R96" s="86" t="n">
        <v>1.25</v>
      </c>
      <c r="S96" s="87" t="n">
        <v>0.0</v>
      </c>
      <c r="T96" s="88" t="n">
        <v>-1.205</v>
      </c>
      <c r="U96" s="89" t="n">
        <v>1.37</v>
      </c>
      <c r="V96" s="90" t="n">
        <v>-0.2699999999999998</v>
      </c>
      <c r="W96" s="91" t="inlineStr">
        <is>
          <t/>
        </is>
      </c>
      <c r="X96" s="92" t="inlineStr">
        <is>
          <t>LP Original Commitments</t>
        </is>
      </c>
      <c r="Y96" s="93" t="inlineStr">
        <is>
          <t>2016 Y</t>
        </is>
      </c>
      <c r="Z96" s="94" t="inlineStr">
        <is>
          <t>0 - 99M</t>
        </is>
      </c>
      <c r="AA96" s="95" t="inlineStr">
        <is>
          <t>a_capital</t>
        </is>
      </c>
      <c r="AB96" s="96" t="inlineStr">
        <is>
          <t>San Francisco, CA</t>
        </is>
      </c>
      <c r="AC96" s="97" t="inlineStr">
        <is>
          <t>Software</t>
        </is>
      </c>
      <c r="AD96" s="98" t="inlineStr">
        <is>
          <t>Seed Round, Early Stage VC</t>
        </is>
      </c>
      <c r="AE96" s="99" t="inlineStr">
        <is>
          <t/>
        </is>
      </c>
      <c r="AF96" s="100" t="inlineStr">
        <is>
          <t>MPERS</t>
        </is>
      </c>
      <c r="AG96" s="233">
        <f>HYPERLINK("https://my.pitchbook.com?i=118725-85", "View Investor Online")</f>
      </c>
    </row>
    <row r="97">
      <c r="A97" s="36" t="inlineStr">
        <is>
          <t>15542-83F</t>
        </is>
      </c>
      <c r="B97" s="37" t="inlineStr">
        <is>
          <t>LionBird II</t>
        </is>
      </c>
      <c r="C97" s="38" t="inlineStr">
        <is>
          <t/>
        </is>
      </c>
      <c r="D97" s="39" t="inlineStr">
        <is>
          <t>Venture Capital</t>
        </is>
      </c>
      <c r="E97" s="40" t="n">
        <v>35.295</v>
      </c>
      <c r="F97" s="41" t="inlineStr">
        <is>
          <t>Tel Aviv, Israel</t>
        </is>
      </c>
      <c r="G97" s="42" t="inlineStr">
        <is>
          <t/>
        </is>
      </c>
      <c r="H97" s="43" t="n">
        <v>2016.0</v>
      </c>
      <c r="I97" s="44" t="n">
        <v>75.08145629692591</v>
      </c>
      <c r="J97" s="45" t="n">
        <v>26.5</v>
      </c>
      <c r="K97" s="46" t="n">
        <v>8.795</v>
      </c>
      <c r="L97" s="47" t="n">
        <v>0.0</v>
      </c>
      <c r="M97" s="48" t="n">
        <v>36.4</v>
      </c>
      <c r="N97" s="49" t="n">
        <v>16.0</v>
      </c>
      <c r="O97" s="50" t="inlineStr">
        <is>
          <t/>
        </is>
      </c>
      <c r="P97" s="51" t="inlineStr">
        <is>
          <t/>
        </is>
      </c>
      <c r="Q97" s="52" t="n">
        <v>0.0</v>
      </c>
      <c r="R97" s="53" t="inlineStr">
        <is>
          <t/>
        </is>
      </c>
      <c r="S97" s="54" t="n">
        <v>1.374</v>
      </c>
      <c r="T97" s="55" t="inlineStr">
        <is>
          <t/>
        </is>
      </c>
      <c r="U97" s="56" t="n">
        <v>1.37</v>
      </c>
      <c r="V97" s="57" t="inlineStr">
        <is>
          <t/>
        </is>
      </c>
      <c r="W97" s="58" t="inlineStr">
        <is>
          <t/>
        </is>
      </c>
      <c r="X97" s="59" t="inlineStr">
        <is>
          <t>GP Self Reporting</t>
        </is>
      </c>
      <c r="Y97" s="60" t="inlineStr">
        <is>
          <t>2020 Y</t>
        </is>
      </c>
      <c r="Z97" s="61" t="inlineStr">
        <is>
          <t>0 - 99M</t>
        </is>
      </c>
      <c r="AA97" s="62" t="inlineStr">
        <is>
          <t>LionBird</t>
        </is>
      </c>
      <c r="AB97" s="63" t="inlineStr">
        <is>
          <t>Tel Aviv, Israel</t>
        </is>
      </c>
      <c r="AC97" s="64" t="inlineStr">
        <is>
          <t>Healthcare Devices and Supplies</t>
        </is>
      </c>
      <c r="AD97" s="65" t="inlineStr">
        <is>
          <t>Seed Round, Early Stage VC, Later Stage VC</t>
        </is>
      </c>
      <c r="AE97" s="66" t="inlineStr">
        <is>
          <t>Israel, United States</t>
        </is>
      </c>
      <c r="AF97" s="67" t="inlineStr">
        <is>
          <t>LionBird</t>
        </is>
      </c>
      <c r="AG97" s="232">
        <f>HYPERLINK("https://my.pitchbook.com?i=55891-00", "View Investor Online")</f>
      </c>
    </row>
    <row r="98">
      <c r="A98" s="69" t="inlineStr">
        <is>
          <t>14744-26F</t>
        </is>
      </c>
      <c r="B98" s="70" t="inlineStr">
        <is>
          <t>ff Sapphire (IV) Venture Capital Fund</t>
        </is>
      </c>
      <c r="C98" s="71" t="inlineStr">
        <is>
          <t/>
        </is>
      </c>
      <c r="D98" s="72" t="inlineStr">
        <is>
          <t>Venture Capital - Early Stage</t>
        </is>
      </c>
      <c r="E98" s="73" t="n">
        <v>53.9</v>
      </c>
      <c r="F98" s="74" t="inlineStr">
        <is>
          <t>New York, NY</t>
        </is>
      </c>
      <c r="G98" s="75" t="inlineStr">
        <is>
          <t/>
        </is>
      </c>
      <c r="H98" s="76" t="n">
        <v>2016.0</v>
      </c>
      <c r="I98" s="77" t="inlineStr">
        <is>
          <t/>
        </is>
      </c>
      <c r="J98" s="78" t="inlineStr">
        <is>
          <t/>
        </is>
      </c>
      <c r="K98" s="79" t="n">
        <v>10.376733576642334</v>
      </c>
      <c r="L98" s="80" t="inlineStr">
        <is>
          <t/>
        </is>
      </c>
      <c r="M98" s="81" t="inlineStr">
        <is>
          <t/>
        </is>
      </c>
      <c r="N98" s="82" t="inlineStr">
        <is>
          <t/>
        </is>
      </c>
      <c r="O98" s="83" t="inlineStr">
        <is>
          <t/>
        </is>
      </c>
      <c r="P98" s="84" t="inlineStr">
        <is>
          <t/>
        </is>
      </c>
      <c r="Q98" s="85" t="n">
        <v>0.15</v>
      </c>
      <c r="R98" s="86" t="n">
        <v>0.15</v>
      </c>
      <c r="S98" s="87" t="n">
        <v>1.19</v>
      </c>
      <c r="T98" s="88" t="n">
        <v>0.014999999999999902</v>
      </c>
      <c r="U98" s="89" t="n">
        <v>1.3399999999999999</v>
      </c>
      <c r="V98" s="90" t="n">
        <v>0.1649999999999998</v>
      </c>
      <c r="W98" s="91" t="inlineStr">
        <is>
          <t/>
        </is>
      </c>
      <c r="X98" s="92" t="inlineStr">
        <is>
          <t>GP Self Reporting</t>
        </is>
      </c>
      <c r="Y98" s="93" t="inlineStr">
        <is>
          <t>2019 Y</t>
        </is>
      </c>
      <c r="Z98" s="94" t="inlineStr">
        <is>
          <t>0 - 99M</t>
        </is>
      </c>
      <c r="AA98" s="95" t="inlineStr">
        <is>
          <t>ff Venture Capital</t>
        </is>
      </c>
      <c r="AB98" s="96" t="inlineStr">
        <is>
          <t>New York, NY</t>
        </is>
      </c>
      <c r="AC98" s="97" t="inlineStr">
        <is>
          <t>Software</t>
        </is>
      </c>
      <c r="AD98" s="98" t="inlineStr">
        <is>
          <t>Seed Round, Early Stage VC</t>
        </is>
      </c>
      <c r="AE98" s="99" t="inlineStr">
        <is>
          <t/>
        </is>
      </c>
      <c r="AF98" s="100" t="inlineStr">
        <is>
          <t>ff</t>
        </is>
      </c>
      <c r="AG98" s="233">
        <f>HYPERLINK("https://my.pitchbook.com?i=51089-77", "View Investor Online")</f>
      </c>
    </row>
    <row r="99">
      <c r="A99" s="36" t="inlineStr">
        <is>
          <t>10931-50F</t>
        </is>
      </c>
      <c r="B99" s="37" t="inlineStr">
        <is>
          <t>GrandBanks Capital Venture Fund II</t>
        </is>
      </c>
      <c r="C99" s="38" t="inlineStr">
        <is>
          <t/>
        </is>
      </c>
      <c r="D99" s="39" t="inlineStr">
        <is>
          <t>Venture Capital</t>
        </is>
      </c>
      <c r="E99" s="40" t="n">
        <v>86.0</v>
      </c>
      <c r="F99" s="41" t="inlineStr">
        <is>
          <t>Newton, MA</t>
        </is>
      </c>
      <c r="G99" s="42" t="inlineStr">
        <is>
          <t/>
        </is>
      </c>
      <c r="H99" s="43" t="n">
        <v>2009.0</v>
      </c>
      <c r="I99" s="44" t="n">
        <v>100.0</v>
      </c>
      <c r="J99" s="45" t="n">
        <v>88.838</v>
      </c>
      <c r="K99" s="46" t="n">
        <v>0.0</v>
      </c>
      <c r="L99" s="47" t="n">
        <v>39.13</v>
      </c>
      <c r="M99" s="48" t="n">
        <v>78.00200000000001</v>
      </c>
      <c r="N99" s="49" t="inlineStr">
        <is>
          <t/>
        </is>
      </c>
      <c r="O99" s="50" t="inlineStr">
        <is>
          <t/>
        </is>
      </c>
      <c r="P99" s="51" t="inlineStr">
        <is>
          <t/>
        </is>
      </c>
      <c r="Q99" s="52" t="n">
        <v>0.44</v>
      </c>
      <c r="R99" s="53" t="n">
        <v>-0.42</v>
      </c>
      <c r="S99" s="54" t="n">
        <v>0.88</v>
      </c>
      <c r="T99" s="55" t="n">
        <v>0.40187</v>
      </c>
      <c r="U99" s="56" t="n">
        <v>1.32</v>
      </c>
      <c r="V99" s="57" t="n">
        <v>-0.17999999999999994</v>
      </c>
      <c r="W99" s="58" t="inlineStr">
        <is>
          <t/>
        </is>
      </c>
      <c r="X99" s="59" t="inlineStr">
        <is>
          <t>LP Original Commitments</t>
        </is>
      </c>
      <c r="Y99" s="60" t="inlineStr">
        <is>
          <t>2020 Y</t>
        </is>
      </c>
      <c r="Z99" s="61" t="inlineStr">
        <is>
          <t>0 - 99M</t>
        </is>
      </c>
      <c r="AA99" s="62" t="inlineStr">
        <is>
          <t>GrandBanks Capital</t>
        </is>
      </c>
      <c r="AB99" s="63" t="inlineStr">
        <is>
          <t>Needham, MA</t>
        </is>
      </c>
      <c r="AC99" s="64" t="inlineStr">
        <is>
          <t>Software</t>
        </is>
      </c>
      <c r="AD99" s="65" t="inlineStr">
        <is>
          <t>Later Stage VC, Early Stage VC</t>
        </is>
      </c>
      <c r="AE99" s="66" t="inlineStr">
        <is>
          <t>United States</t>
        </is>
      </c>
      <c r="AF99" s="67" t="inlineStr">
        <is>
          <t>Haverhill Retirement System</t>
        </is>
      </c>
      <c r="AG99" s="232">
        <f>HYPERLINK("https://my.pitchbook.com?i=11203-30", "View Investor Online")</f>
      </c>
    </row>
    <row r="100">
      <c r="A100" s="69" t="inlineStr">
        <is>
          <t>15349-60F</t>
        </is>
      </c>
      <c r="B100" s="70" t="inlineStr">
        <is>
          <t>Maven Ventures Fund II</t>
        </is>
      </c>
      <c r="C100" s="71" t="inlineStr">
        <is>
          <t/>
        </is>
      </c>
      <c r="D100" s="72" t="inlineStr">
        <is>
          <t>Venture Capital</t>
        </is>
      </c>
      <c r="E100" s="73" t="n">
        <v>18.0</v>
      </c>
      <c r="F100" s="74" t="inlineStr">
        <is>
          <t>Palo Alto, CA</t>
        </is>
      </c>
      <c r="G100" s="75" t="n">
        <v>1.0</v>
      </c>
      <c r="H100" s="76" t="n">
        <v>2017.0</v>
      </c>
      <c r="I100" s="77" t="n">
        <v>65.0</v>
      </c>
      <c r="J100" s="78" t="n">
        <v>11.7</v>
      </c>
      <c r="K100" s="79" t="n">
        <v>8.865000142644679</v>
      </c>
      <c r="L100" s="80" t="n">
        <v>0.0</v>
      </c>
      <c r="M100" s="81" t="n">
        <v>15.432941</v>
      </c>
      <c r="N100" s="82" t="n">
        <v>40.64</v>
      </c>
      <c r="O100" s="83" t="inlineStr">
        <is>
          <t/>
        </is>
      </c>
      <c r="P100" s="84" t="n">
        <v>10.190000000000001</v>
      </c>
      <c r="Q100" s="85" t="n">
        <v>0.0</v>
      </c>
      <c r="R100" s="86" t="n">
        <v>0.0</v>
      </c>
      <c r="S100" s="87" t="n">
        <v>1.319054786</v>
      </c>
      <c r="T100" s="88" t="n">
        <v>0.17843478599999996</v>
      </c>
      <c r="U100" s="89" t="n">
        <v>1.32</v>
      </c>
      <c r="V100" s="90" t="n">
        <v>0.04500000000000015</v>
      </c>
      <c r="W100" s="91" t="inlineStr">
        <is>
          <t/>
        </is>
      </c>
      <c r="X100" s="92" t="inlineStr">
        <is>
          <t>GP Self Reporting</t>
        </is>
      </c>
      <c r="Y100" s="93" t="inlineStr">
        <is>
          <t>2018 Y</t>
        </is>
      </c>
      <c r="Z100" s="94" t="inlineStr">
        <is>
          <t>0 - 99M</t>
        </is>
      </c>
      <c r="AA100" s="95" t="inlineStr">
        <is>
          <t>Maven Ventures</t>
        </is>
      </c>
      <c r="AB100" s="96" t="inlineStr">
        <is>
          <t>Palo Alto, CA</t>
        </is>
      </c>
      <c r="AC100" s="97" t="inlineStr">
        <is>
          <t>Software</t>
        </is>
      </c>
      <c r="AD100" s="98" t="inlineStr">
        <is>
          <t>Seed Round, Early Stage VC, Later Stage VC</t>
        </is>
      </c>
      <c r="AE100" s="99" t="inlineStr">
        <is>
          <t/>
        </is>
      </c>
      <c r="AF100" s="100" t="inlineStr">
        <is>
          <t>Maven, Maven Ventures Growth Labs</t>
        </is>
      </c>
      <c r="AG100" s="233">
        <f>HYPERLINK("https://my.pitchbook.com?i=56192-41", "View Investor Online")</f>
      </c>
    </row>
    <row r="101">
      <c r="A101" s="36" t="inlineStr">
        <is>
          <t>15359-14F</t>
        </is>
      </c>
      <c r="B101" s="37" t="inlineStr">
        <is>
          <t>ARCH Venture Fund VIII Overage</t>
        </is>
      </c>
      <c r="C101" s="38" t="inlineStr">
        <is>
          <t/>
        </is>
      </c>
      <c r="D101" s="39" t="inlineStr">
        <is>
          <t>Venture Capital - Early Stage</t>
        </is>
      </c>
      <c r="E101" s="40" t="n">
        <v>40.0</v>
      </c>
      <c r="F101" s="41" t="inlineStr">
        <is>
          <t>Chicago, IL</t>
        </is>
      </c>
      <c r="G101" s="42" t="n">
        <v>4.0</v>
      </c>
      <c r="H101" s="43" t="n">
        <v>2015.0</v>
      </c>
      <c r="I101" s="44" t="n">
        <v>98.5</v>
      </c>
      <c r="J101" s="45" t="n">
        <v>39.4</v>
      </c>
      <c r="K101" s="46" t="n">
        <v>6.8</v>
      </c>
      <c r="L101" s="47" t="n">
        <v>0.33949952</v>
      </c>
      <c r="M101" s="48" t="n">
        <v>51.075575</v>
      </c>
      <c r="N101" s="49" t="n">
        <v>9.33</v>
      </c>
      <c r="O101" s="50" t="inlineStr">
        <is>
          <t/>
        </is>
      </c>
      <c r="P101" s="51" t="n">
        <v>-8.069999999999999</v>
      </c>
      <c r="Q101" s="52" t="n">
        <v>0.01</v>
      </c>
      <c r="R101" s="53" t="n">
        <v>0.0</v>
      </c>
      <c r="S101" s="54" t="n">
        <v>1.3</v>
      </c>
      <c r="T101" s="55" t="n">
        <v>0.0</v>
      </c>
      <c r="U101" s="56" t="n">
        <v>1.31</v>
      </c>
      <c r="V101" s="57" t="n">
        <v>-0.21499999999999986</v>
      </c>
      <c r="W101" s="58" t="inlineStr">
        <is>
          <t/>
        </is>
      </c>
      <c r="X101" s="59" t="inlineStr">
        <is>
          <t>LP Original Commitments</t>
        </is>
      </c>
      <c r="Y101" s="60" t="inlineStr">
        <is>
          <t>2019 Y</t>
        </is>
      </c>
      <c r="Z101" s="61" t="inlineStr">
        <is>
          <t>0 - 99M</t>
        </is>
      </c>
      <c r="AA101" s="62" t="inlineStr">
        <is>
          <t>ARCH Venture Partners</t>
        </is>
      </c>
      <c r="AB101" s="63" t="inlineStr">
        <is>
          <t>Chicago, IL</t>
        </is>
      </c>
      <c r="AC101" s="64" t="inlineStr">
        <is>
          <t>Pharmaceuticals and Biotechnology</t>
        </is>
      </c>
      <c r="AD101" s="65" t="inlineStr">
        <is>
          <t>Seed Round, Early Stage VC</t>
        </is>
      </c>
      <c r="AE101" s="66" t="inlineStr">
        <is>
          <t/>
        </is>
      </c>
      <c r="AF101" s="67" t="inlineStr">
        <is>
          <t>UTIMCO</t>
        </is>
      </c>
      <c r="AG101" s="232">
        <f>HYPERLINK("https://my.pitchbook.com?i=11111-68", "View Investor Online")</f>
      </c>
    </row>
    <row r="102">
      <c r="A102" s="69" t="inlineStr">
        <is>
          <t>15508-45F</t>
        </is>
      </c>
      <c r="B102" s="70" t="inlineStr">
        <is>
          <t>Pear Ventures II</t>
        </is>
      </c>
      <c r="C102" s="71" t="inlineStr">
        <is>
          <t/>
        </is>
      </c>
      <c r="D102" s="72" t="inlineStr">
        <is>
          <t>Venture Capital</t>
        </is>
      </c>
      <c r="E102" s="73" t="n">
        <v>75.0</v>
      </c>
      <c r="F102" s="74" t="inlineStr">
        <is>
          <t>Palo Alto, CA</t>
        </is>
      </c>
      <c r="G102" s="75" t="n">
        <v>4.0</v>
      </c>
      <c r="H102" s="76" t="n">
        <v>2016.0</v>
      </c>
      <c r="I102" s="77" t="n">
        <v>67.46666666666667</v>
      </c>
      <c r="J102" s="78" t="n">
        <v>50.6</v>
      </c>
      <c r="K102" s="79" t="n">
        <v>24.4</v>
      </c>
      <c r="L102" s="80" t="n">
        <v>0.0</v>
      </c>
      <c r="M102" s="81" t="n">
        <v>66.4</v>
      </c>
      <c r="N102" s="82" t="n">
        <v>12.83</v>
      </c>
      <c r="O102" s="83" t="inlineStr">
        <is>
          <t/>
        </is>
      </c>
      <c r="P102" s="84" t="n">
        <v>-7.6899999999999995</v>
      </c>
      <c r="Q102" s="85" t="n">
        <v>0.0</v>
      </c>
      <c r="R102" s="86" t="n">
        <v>-0.0602</v>
      </c>
      <c r="S102" s="87" t="n">
        <v>1.312</v>
      </c>
      <c r="T102" s="88" t="n">
        <v>0.14200000000000013</v>
      </c>
      <c r="U102" s="89" t="n">
        <v>1.31</v>
      </c>
      <c r="V102" s="90" t="n">
        <v>0.050000000000000044</v>
      </c>
      <c r="W102" s="91" t="inlineStr">
        <is>
          <t/>
        </is>
      </c>
      <c r="X102" s="92" t="inlineStr">
        <is>
          <t>GP Self Reporting</t>
        </is>
      </c>
      <c r="Y102" s="93" t="inlineStr">
        <is>
          <t>2020 Y</t>
        </is>
      </c>
      <c r="Z102" s="94" t="inlineStr">
        <is>
          <t>0 - 99M</t>
        </is>
      </c>
      <c r="AA102" s="95" t="inlineStr">
        <is>
          <t>Pear</t>
        </is>
      </c>
      <c r="AB102" s="96" t="inlineStr">
        <is>
          <t>Palo Alto, CA</t>
        </is>
      </c>
      <c r="AC102" s="97" t="inlineStr">
        <is>
          <t>Software</t>
        </is>
      </c>
      <c r="AD102" s="98" t="inlineStr">
        <is>
          <t>Seed Round</t>
        </is>
      </c>
      <c r="AE102" s="99" t="inlineStr">
        <is>
          <t/>
        </is>
      </c>
      <c r="AF102" s="100" t="inlineStr">
        <is>
          <t>Pear</t>
        </is>
      </c>
      <c r="AG102" s="233">
        <f>HYPERLINK("https://my.pitchbook.com?i=58373-20", "View Investor Online")</f>
      </c>
    </row>
    <row r="103">
      <c r="A103" s="36" t="inlineStr">
        <is>
          <t>12685-78F</t>
        </is>
      </c>
      <c r="B103" s="37" t="inlineStr">
        <is>
          <t>Alerion Investment Partners II</t>
        </is>
      </c>
      <c r="C103" s="38" t="inlineStr">
        <is>
          <t/>
        </is>
      </c>
      <c r="D103" s="39" t="inlineStr">
        <is>
          <t>Venture Capital</t>
        </is>
      </c>
      <c r="E103" s="40" t="n">
        <v>70.7</v>
      </c>
      <c r="F103" s="41" t="inlineStr">
        <is>
          <t>Darien, CT</t>
        </is>
      </c>
      <c r="G103" s="42" t="inlineStr">
        <is>
          <t/>
        </is>
      </c>
      <c r="H103" s="43" t="n">
        <v>2010.0</v>
      </c>
      <c r="I103" s="44" t="n">
        <v>100.0</v>
      </c>
      <c r="J103" s="45" t="n">
        <v>78.22313515333333</v>
      </c>
      <c r="K103" s="46" t="n">
        <v>0.0</v>
      </c>
      <c r="L103" s="47" t="n">
        <v>0.020130646666666665</v>
      </c>
      <c r="M103" s="48" t="n">
        <v>101.74355930666667</v>
      </c>
      <c r="N103" s="49" t="inlineStr">
        <is>
          <t/>
        </is>
      </c>
      <c r="O103" s="50" t="inlineStr">
        <is>
          <t/>
        </is>
      </c>
      <c r="P103" s="51" t="inlineStr">
        <is>
          <t/>
        </is>
      </c>
      <c r="Q103" s="52" t="n">
        <v>0.0</v>
      </c>
      <c r="R103" s="53" t="n">
        <v>-0.82</v>
      </c>
      <c r="S103" s="54" t="n">
        <v>1.3</v>
      </c>
      <c r="T103" s="55" t="n">
        <v>0.6263700000000001</v>
      </c>
      <c r="U103" s="56" t="n">
        <v>1.3</v>
      </c>
      <c r="V103" s="57" t="n">
        <v>0.0</v>
      </c>
      <c r="W103" s="58" t="inlineStr">
        <is>
          <t/>
        </is>
      </c>
      <c r="X103" s="59" t="inlineStr">
        <is>
          <t>LP Original Commitments</t>
        </is>
      </c>
      <c r="Y103" s="60" t="inlineStr">
        <is>
          <t>2013 Y</t>
        </is>
      </c>
      <c r="Z103" s="61" t="inlineStr">
        <is>
          <t>0 - 99M</t>
        </is>
      </c>
      <c r="AA103" s="62" t="inlineStr">
        <is>
          <t>Alerion Partners</t>
        </is>
      </c>
      <c r="AB103" s="63" t="inlineStr">
        <is>
          <t>Darien, CT</t>
        </is>
      </c>
      <c r="AC103" s="64" t="inlineStr">
        <is>
          <t>Services (Non-Financial), Consumer Durables, Consumer Products and Services (B2C)</t>
        </is>
      </c>
      <c r="AD103" s="65" t="inlineStr">
        <is>
          <t>Later Stage VC</t>
        </is>
      </c>
      <c r="AE103" s="66" t="inlineStr">
        <is>
          <t>United States</t>
        </is>
      </c>
      <c r="AF103" s="67" t="inlineStr">
        <is>
          <t>MassMutual</t>
        </is>
      </c>
      <c r="AG103" s="232">
        <f>HYPERLINK("https://my.pitchbook.com?i=11106-91", "View Investor Online")</f>
      </c>
    </row>
    <row r="104">
      <c r="A104" s="69" t="inlineStr">
        <is>
          <t>15645-25F</t>
        </is>
      </c>
      <c r="B104" s="70" t="inlineStr">
        <is>
          <t>WaterBridge Ventures Fund - I</t>
        </is>
      </c>
      <c r="C104" s="71" t="inlineStr">
        <is>
          <t/>
        </is>
      </c>
      <c r="D104" s="72" t="inlineStr">
        <is>
          <t>Venture Capital</t>
        </is>
      </c>
      <c r="E104" s="73" t="n">
        <v>30.0</v>
      </c>
      <c r="F104" s="74" t="inlineStr">
        <is>
          <t>New Delhi, India</t>
        </is>
      </c>
      <c r="G104" s="75" t="inlineStr">
        <is>
          <t/>
        </is>
      </c>
      <c r="H104" s="76" t="n">
        <v>2018.0</v>
      </c>
      <c r="I104" s="77" t="inlineStr">
        <is>
          <t/>
        </is>
      </c>
      <c r="J104" s="78" t="inlineStr">
        <is>
          <t/>
        </is>
      </c>
      <c r="K104" s="79" t="n">
        <v>19.05</v>
      </c>
      <c r="L104" s="80" t="inlineStr">
        <is>
          <t/>
        </is>
      </c>
      <c r="M104" s="81" t="inlineStr">
        <is>
          <t/>
        </is>
      </c>
      <c r="N104" s="82" t="inlineStr">
        <is>
          <t/>
        </is>
      </c>
      <c r="O104" s="83" t="inlineStr">
        <is>
          <t/>
        </is>
      </c>
      <c r="P104" s="84" t="inlineStr">
        <is>
          <t/>
        </is>
      </c>
      <c r="Q104" s="85" t="inlineStr">
        <is>
          <t/>
        </is>
      </c>
      <c r="R104" s="86" t="inlineStr">
        <is>
          <t/>
        </is>
      </c>
      <c r="S104" s="87" t="inlineStr">
        <is>
          <t/>
        </is>
      </c>
      <c r="T104" s="88" t="inlineStr">
        <is>
          <t/>
        </is>
      </c>
      <c r="U104" s="89" t="n">
        <v>1.3</v>
      </c>
      <c r="V104" s="90" t="inlineStr">
        <is>
          <t/>
        </is>
      </c>
      <c r="W104" s="91" t="inlineStr">
        <is>
          <t/>
        </is>
      </c>
      <c r="X104" s="92" t="inlineStr">
        <is>
          <t>GP Self Reporting</t>
        </is>
      </c>
      <c r="Y104" s="93" t="inlineStr">
        <is>
          <t>2018 Y</t>
        </is>
      </c>
      <c r="Z104" s="94" t="inlineStr">
        <is>
          <t>0 - 99M</t>
        </is>
      </c>
      <c r="AA104" s="95" t="inlineStr">
        <is>
          <t>WaterBridge Ventures</t>
        </is>
      </c>
      <c r="AB104" s="96" t="inlineStr">
        <is>
          <t>New Delhi, India</t>
        </is>
      </c>
      <c r="AC104" s="97" t="inlineStr">
        <is>
          <t>Information Technology</t>
        </is>
      </c>
      <c r="AD104" s="98" t="inlineStr">
        <is>
          <t>Early Stage VC, Seed Round</t>
        </is>
      </c>
      <c r="AE104" s="99" t="inlineStr">
        <is>
          <t>India</t>
        </is>
      </c>
      <c r="AF104" s="100" t="inlineStr">
        <is>
          <t>WaterBridge Ventures</t>
        </is>
      </c>
      <c r="AG104" s="233">
        <f>HYPERLINK("https://my.pitchbook.com?i=161800-93", "View Investor Online")</f>
      </c>
    </row>
    <row r="105">
      <c r="A105" s="36" t="inlineStr">
        <is>
          <t>13403-53F</t>
        </is>
      </c>
      <c r="B105" s="37" t="inlineStr">
        <is>
          <t>Adams Street 2012 Direct Fund</t>
        </is>
      </c>
      <c r="C105" s="38" t="inlineStr">
        <is>
          <t/>
        </is>
      </c>
      <c r="D105" s="39" t="inlineStr">
        <is>
          <t>Venture Capital</t>
        </is>
      </c>
      <c r="E105" s="40" t="n">
        <v>87.19794</v>
      </c>
      <c r="F105" s="41" t="inlineStr">
        <is>
          <t>Chicago, IL</t>
        </is>
      </c>
      <c r="G105" s="42" t="n">
        <v>2.0</v>
      </c>
      <c r="H105" s="43" t="n">
        <v>2012.0</v>
      </c>
      <c r="I105" s="44" t="n">
        <v>86.88757365641743</v>
      </c>
      <c r="J105" s="45" t="n">
        <v>75.76417</v>
      </c>
      <c r="K105" s="46" t="n">
        <v>0.0</v>
      </c>
      <c r="L105" s="47" t="n">
        <v>26.549999999999997</v>
      </c>
      <c r="M105" s="48" t="n">
        <v>71.111493</v>
      </c>
      <c r="N105" s="49" t="n">
        <v>6.982170172</v>
      </c>
      <c r="O105" s="50" t="inlineStr">
        <is>
          <t/>
        </is>
      </c>
      <c r="P105" s="51" t="n">
        <v>1.720000000204891E-7</v>
      </c>
      <c r="Q105" s="52" t="n">
        <v>0.350429497</v>
      </c>
      <c r="R105" s="53" t="n">
        <v>-0.13149050300000004</v>
      </c>
      <c r="S105" s="54" t="n">
        <v>0.938590009</v>
      </c>
      <c r="T105" s="55" t="n">
        <v>-0.1915099910000001</v>
      </c>
      <c r="U105" s="56" t="n">
        <v>1.29</v>
      </c>
      <c r="V105" s="57" t="n">
        <v>0.0</v>
      </c>
      <c r="W105" s="58" t="inlineStr">
        <is>
          <t/>
        </is>
      </c>
      <c r="X105" s="59" t="inlineStr">
        <is>
          <t>GP Self Reporting</t>
        </is>
      </c>
      <c r="Y105" s="60" t="inlineStr">
        <is>
          <t>2018 Y</t>
        </is>
      </c>
      <c r="Z105" s="61" t="inlineStr">
        <is>
          <t>0 - 99M</t>
        </is>
      </c>
      <c r="AA105" s="62" t="inlineStr">
        <is>
          <t>Adams Street Partners</t>
        </is>
      </c>
      <c r="AB105" s="63" t="inlineStr">
        <is>
          <t>Chicago, IL</t>
        </is>
      </c>
      <c r="AC105" s="64" t="inlineStr">
        <is>
          <t>Software</t>
        </is>
      </c>
      <c r="AD105" s="65" t="inlineStr">
        <is>
          <t>Seed Round, Early Stage VC, Later Stage VC</t>
        </is>
      </c>
      <c r="AE105" s="66" t="inlineStr">
        <is>
          <t/>
        </is>
      </c>
      <c r="AF105" s="67" t="inlineStr">
        <is>
          <t>Adams Street</t>
        </is>
      </c>
      <c r="AG105" s="232">
        <f>HYPERLINK("https://my.pitchbook.com?i=11105-47", "View Investor Online")</f>
      </c>
    </row>
    <row r="106">
      <c r="A106" s="69" t="inlineStr">
        <is>
          <t>13872-34F</t>
        </is>
      </c>
      <c r="B106" s="70" t="inlineStr">
        <is>
          <t>FA Private Equity Fund V</t>
        </is>
      </c>
      <c r="C106" s="71" t="inlineStr">
        <is>
          <t/>
        </is>
      </c>
      <c r="D106" s="72" t="inlineStr">
        <is>
          <t>Venture Capital</t>
        </is>
      </c>
      <c r="E106" s="73" t="n">
        <v>96.535</v>
      </c>
      <c r="F106" s="74" t="inlineStr">
        <is>
          <t>Chicago, IL</t>
        </is>
      </c>
      <c r="G106" s="75" t="n">
        <v>2.0</v>
      </c>
      <c r="H106" s="76" t="n">
        <v>2013.0</v>
      </c>
      <c r="I106" s="77" t="n">
        <v>66.96706028589186</v>
      </c>
      <c r="J106" s="78" t="n">
        <v>64.6466516469857</v>
      </c>
      <c r="K106" s="79" t="n">
        <v>2.6586688524590163</v>
      </c>
      <c r="L106" s="80" t="n">
        <v>7.836594106070021</v>
      </c>
      <c r="M106" s="81" t="n">
        <v>75.65108167598922</v>
      </c>
      <c r="N106" s="82" t="n">
        <v>15.3</v>
      </c>
      <c r="O106" s="83" t="inlineStr">
        <is>
          <t/>
        </is>
      </c>
      <c r="P106" s="84" t="n">
        <v>7.140000000000001</v>
      </c>
      <c r="Q106" s="85" t="n">
        <v>0.12</v>
      </c>
      <c r="R106" s="86" t="n">
        <v>0.03535999999999999</v>
      </c>
      <c r="S106" s="87" t="n">
        <v>1.17</v>
      </c>
      <c r="T106" s="88" t="n">
        <v>0.10773999999999995</v>
      </c>
      <c r="U106" s="89" t="n">
        <v>1.29</v>
      </c>
      <c r="V106" s="90" t="n">
        <v>0.04499999999999993</v>
      </c>
      <c r="W106" s="91" t="inlineStr">
        <is>
          <t/>
        </is>
      </c>
      <c r="X106" s="92" t="inlineStr">
        <is>
          <t>GP Self Reporting</t>
        </is>
      </c>
      <c r="Y106" s="93" t="inlineStr">
        <is>
          <t>2016 Y</t>
        </is>
      </c>
      <c r="Z106" s="94" t="inlineStr">
        <is>
          <t>0 - 99M</t>
        </is>
      </c>
      <c r="AA106" s="95" t="inlineStr">
        <is>
          <t>First Analysis</t>
        </is>
      </c>
      <c r="AB106" s="96" t="inlineStr">
        <is>
          <t>Chicago, IL</t>
        </is>
      </c>
      <c r="AC106" s="97" t="inlineStr">
        <is>
          <t>Software</t>
        </is>
      </c>
      <c r="AD106" s="98" t="inlineStr">
        <is>
          <t>Seed Round, Early Stage VC, Later Stage VC</t>
        </is>
      </c>
      <c r="AE106" s="99" t="inlineStr">
        <is>
          <t/>
        </is>
      </c>
      <c r="AF106" s="100" t="inlineStr">
        <is>
          <t>FASC</t>
        </is>
      </c>
      <c r="AG106" s="233">
        <f>HYPERLINK("https://my.pitchbook.com?i=10458-73", "View Investor Online")</f>
      </c>
    </row>
    <row r="107">
      <c r="A107" s="36" t="inlineStr">
        <is>
          <t>16967-35F</t>
        </is>
      </c>
      <c r="B107" s="37" t="inlineStr">
        <is>
          <t>3one4 Capital Rising I</t>
        </is>
      </c>
      <c r="C107" s="38" t="inlineStr">
        <is>
          <t/>
        </is>
      </c>
      <c r="D107" s="39" t="inlineStr">
        <is>
          <t>Venture Capital - Early Stage</t>
        </is>
      </c>
      <c r="E107" s="40" t="n">
        <v>62.83908</v>
      </c>
      <c r="F107" s="41" t="inlineStr">
        <is>
          <t>Bangalore, India</t>
        </is>
      </c>
      <c r="G107" s="42" t="inlineStr">
        <is>
          <t/>
        </is>
      </c>
      <c r="H107" s="43" t="n">
        <v>2018.0</v>
      </c>
      <c r="I107" s="44" t="inlineStr">
        <is>
          <t/>
        </is>
      </c>
      <c r="J107" s="45" t="inlineStr">
        <is>
          <t/>
        </is>
      </c>
      <c r="K107" s="46" t="inlineStr">
        <is>
          <t/>
        </is>
      </c>
      <c r="L107" s="47" t="inlineStr">
        <is>
          <t/>
        </is>
      </c>
      <c r="M107" s="48" t="inlineStr">
        <is>
          <t/>
        </is>
      </c>
      <c r="N107" s="49" t="n">
        <v>40.04</v>
      </c>
      <c r="O107" s="50" t="inlineStr">
        <is>
          <t/>
        </is>
      </c>
      <c r="P107" s="51" t="inlineStr">
        <is>
          <t/>
        </is>
      </c>
      <c r="Q107" s="52" t="n">
        <v>0.0</v>
      </c>
      <c r="R107" s="53" t="inlineStr">
        <is>
          <t/>
        </is>
      </c>
      <c r="S107" s="54" t="n">
        <v>1.28</v>
      </c>
      <c r="T107" s="55" t="inlineStr">
        <is>
          <t/>
        </is>
      </c>
      <c r="U107" s="56" t="n">
        <v>1.28</v>
      </c>
      <c r="V107" s="57" t="inlineStr">
        <is>
          <t/>
        </is>
      </c>
      <c r="W107" s="58" t="inlineStr">
        <is>
          <t/>
        </is>
      </c>
      <c r="X107" s="59" t="inlineStr">
        <is>
          <t>GP Self Reporting</t>
        </is>
      </c>
      <c r="Y107" s="60" t="inlineStr">
        <is>
          <t>2019 Y</t>
        </is>
      </c>
      <c r="Z107" s="61" t="inlineStr">
        <is>
          <t>0 - 99M</t>
        </is>
      </c>
      <c r="AA107" s="62" t="inlineStr">
        <is>
          <t>3one4 Capital</t>
        </is>
      </c>
      <c r="AB107" s="63" t="inlineStr">
        <is>
          <t>Bangalore, India</t>
        </is>
      </c>
      <c r="AC107" s="64" t="inlineStr">
        <is>
          <t>Information Technology</t>
        </is>
      </c>
      <c r="AD107" s="65" t="inlineStr">
        <is>
          <t>Seed Round, Early Stage VC</t>
        </is>
      </c>
      <c r="AE107" s="66" t="inlineStr">
        <is>
          <t/>
        </is>
      </c>
      <c r="AF107" s="67" t="inlineStr">
        <is>
          <t>3one4</t>
        </is>
      </c>
      <c r="AG107" s="232">
        <f>HYPERLINK("https://my.pitchbook.com?i=154351-72", "View Investor Online")</f>
      </c>
    </row>
    <row r="108">
      <c r="A108" s="69" t="inlineStr">
        <is>
          <t>16279-03F</t>
        </is>
      </c>
      <c r="B108" s="70" t="inlineStr">
        <is>
          <t>Kirenaga Partners</t>
        </is>
      </c>
      <c r="C108" s="71" t="inlineStr">
        <is>
          <t/>
        </is>
      </c>
      <c r="D108" s="72" t="inlineStr">
        <is>
          <t>Venture Capital - Early Stage</t>
        </is>
      </c>
      <c r="E108" s="73" t="n">
        <v>47.0</v>
      </c>
      <c r="F108" s="74" t="inlineStr">
        <is>
          <t>Bronxville, NY</t>
        </is>
      </c>
      <c r="G108" s="75" t="n">
        <v>2.0</v>
      </c>
      <c r="H108" s="76" t="n">
        <v>2014.0</v>
      </c>
      <c r="I108" s="77" t="n">
        <v>100.0</v>
      </c>
      <c r="J108" s="78" t="n">
        <v>129.66470588235293</v>
      </c>
      <c r="K108" s="79" t="n">
        <v>0.0</v>
      </c>
      <c r="L108" s="80" t="n">
        <v>15.48235294117647</v>
      </c>
      <c r="M108" s="81" t="n">
        <v>150.9529411764706</v>
      </c>
      <c r="N108" s="82" t="n">
        <v>17.9</v>
      </c>
      <c r="O108" s="83" t="inlineStr">
        <is>
          <t/>
        </is>
      </c>
      <c r="P108" s="84" t="n">
        <v>3.1499999999999986</v>
      </c>
      <c r="Q108" s="85" t="n">
        <v>0.12</v>
      </c>
      <c r="R108" s="86" t="n">
        <v>0.0</v>
      </c>
      <c r="S108" s="87" t="n">
        <v>1.16</v>
      </c>
      <c r="T108" s="88" t="n">
        <v>-0.04500000000000015</v>
      </c>
      <c r="U108" s="89" t="n">
        <v>1.2799999999999998</v>
      </c>
      <c r="V108" s="90" t="n">
        <v>-0.3600000000000001</v>
      </c>
      <c r="W108" s="91" t="inlineStr">
        <is>
          <t/>
        </is>
      </c>
      <c r="X108" s="92" t="inlineStr">
        <is>
          <t>GP Self Reporting</t>
        </is>
      </c>
      <c r="Y108" s="93" t="inlineStr">
        <is>
          <t>2020 Y</t>
        </is>
      </c>
      <c r="Z108" s="94" t="inlineStr">
        <is>
          <t>0 - 99M</t>
        </is>
      </c>
      <c r="AA108" s="95" t="inlineStr">
        <is>
          <t>Kirenaga Partners</t>
        </is>
      </c>
      <c r="AB108" s="96" t="inlineStr">
        <is>
          <t>Bronxville, NY</t>
        </is>
      </c>
      <c r="AC108" s="97" t="inlineStr">
        <is>
          <t/>
        </is>
      </c>
      <c r="AD108" s="98" t="inlineStr">
        <is>
          <t>Seed Round, Early Stage VC</t>
        </is>
      </c>
      <c r="AE108" s="99" t="inlineStr">
        <is>
          <t>United States</t>
        </is>
      </c>
      <c r="AF108" s="100" t="inlineStr">
        <is>
          <t>Kirenaga</t>
        </is>
      </c>
      <c r="AG108" s="233">
        <f>HYPERLINK("https://my.pitchbook.com?i=168603-76", "View Investor Online")</f>
      </c>
    </row>
    <row r="109">
      <c r="A109" s="36" t="inlineStr">
        <is>
          <t>16161-94F</t>
        </is>
      </c>
      <c r="B109" s="37" t="inlineStr">
        <is>
          <t>New Science Ventures 2013</t>
        </is>
      </c>
      <c r="C109" s="38" t="inlineStr">
        <is>
          <t/>
        </is>
      </c>
      <c r="D109" s="39" t="inlineStr">
        <is>
          <t>Venture Capital</t>
        </is>
      </c>
      <c r="E109" s="40" t="n">
        <v>18.0</v>
      </c>
      <c r="F109" s="41" t="inlineStr">
        <is>
          <t>New York, NY</t>
        </is>
      </c>
      <c r="G109" s="42" t="n">
        <v>4.0</v>
      </c>
      <c r="H109" s="43" t="n">
        <v>2013.0</v>
      </c>
      <c r="I109" s="44" t="n">
        <v>100.0</v>
      </c>
      <c r="J109" s="45" t="n">
        <v>19.011272531499234</v>
      </c>
      <c r="K109" s="46" t="n">
        <v>0.4957377049180329</v>
      </c>
      <c r="L109" s="47" t="n">
        <v>2.7976257986970436</v>
      </c>
      <c r="M109" s="48" t="n">
        <v>21.478009877759185</v>
      </c>
      <c r="N109" s="49" t="n">
        <v>5.664096177</v>
      </c>
      <c r="O109" s="50" t="inlineStr">
        <is>
          <t/>
        </is>
      </c>
      <c r="P109" s="51" t="n">
        <v>-2.495903823</v>
      </c>
      <c r="Q109" s="52" t="n">
        <v>0.147156157</v>
      </c>
      <c r="R109" s="53" t="n">
        <v>0.062516157</v>
      </c>
      <c r="S109" s="54" t="n">
        <v>1.129751301</v>
      </c>
      <c r="T109" s="55" t="n">
        <v>0.067491301</v>
      </c>
      <c r="U109" s="56" t="n">
        <v>1.2799999999999998</v>
      </c>
      <c r="V109" s="57" t="n">
        <v>0.0349999999999997</v>
      </c>
      <c r="W109" s="58" t="inlineStr">
        <is>
          <t/>
        </is>
      </c>
      <c r="X109" s="59" t="inlineStr">
        <is>
          <t>GP Self Reporting</t>
        </is>
      </c>
      <c r="Y109" s="60" t="inlineStr">
        <is>
          <t>2018 Y</t>
        </is>
      </c>
      <c r="Z109" s="61" t="inlineStr">
        <is>
          <t>0 - 99M</t>
        </is>
      </c>
      <c r="AA109" s="62" t="inlineStr">
        <is>
          <t>New Science Ventures</t>
        </is>
      </c>
      <c r="AB109" s="63" t="inlineStr">
        <is>
          <t>New York, NY</t>
        </is>
      </c>
      <c r="AC109" s="64" t="inlineStr">
        <is>
          <t/>
        </is>
      </c>
      <c r="AD109" s="65" t="inlineStr">
        <is>
          <t>Seed Round, Early Stage VC, Later Stage VC</t>
        </is>
      </c>
      <c r="AE109" s="66" t="inlineStr">
        <is>
          <t/>
        </is>
      </c>
      <c r="AF109" s="67" t="inlineStr">
        <is>
          <t>NSV</t>
        </is>
      </c>
      <c r="AG109" s="232">
        <f>HYPERLINK("https://my.pitchbook.com?i=11252-98", "View Investor Online")</f>
      </c>
    </row>
    <row r="110">
      <c r="A110" s="69" t="inlineStr">
        <is>
          <t>15403-87F</t>
        </is>
      </c>
      <c r="B110" s="70" t="inlineStr">
        <is>
          <t>Adams Street 2014 Direct Fund</t>
        </is>
      </c>
      <c r="C110" s="71" t="inlineStr">
        <is>
          <t/>
        </is>
      </c>
      <c r="D110" s="72" t="inlineStr">
        <is>
          <t>Venture Capital</t>
        </is>
      </c>
      <c r="E110" s="73" t="n">
        <v>89.71784</v>
      </c>
      <c r="F110" s="74" t="inlineStr">
        <is>
          <t>Chicago, IL</t>
        </is>
      </c>
      <c r="G110" s="75" t="n">
        <v>3.0</v>
      </c>
      <c r="H110" s="76" t="n">
        <v>2014.0</v>
      </c>
      <c r="I110" s="77" t="n">
        <v>85.21989127736225</v>
      </c>
      <c r="J110" s="78" t="n">
        <v>76.457444</v>
      </c>
      <c r="K110" s="79" t="n">
        <v>1.8022692013718769</v>
      </c>
      <c r="L110" s="80" t="n">
        <v>8.55</v>
      </c>
      <c r="M110" s="81" t="n">
        <v>88.163274</v>
      </c>
      <c r="N110" s="82" t="n">
        <v>9.772544115</v>
      </c>
      <c r="O110" s="83" t="inlineStr">
        <is>
          <t/>
        </is>
      </c>
      <c r="P110" s="84" t="n">
        <v>-4.187455885</v>
      </c>
      <c r="Q110" s="85" t="n">
        <v>0.111826914</v>
      </c>
      <c r="R110" s="86" t="n">
        <v>0.091826914</v>
      </c>
      <c r="S110" s="87" t="n">
        <v>1.153102555</v>
      </c>
      <c r="T110" s="88" t="n">
        <v>-0.02689744499999991</v>
      </c>
      <c r="U110" s="89" t="n">
        <v>1.26</v>
      </c>
      <c r="V110" s="90" t="n">
        <v>-0.24</v>
      </c>
      <c r="W110" s="91" t="inlineStr">
        <is>
          <t/>
        </is>
      </c>
      <c r="X110" s="92" t="inlineStr">
        <is>
          <t>GP Self Reporting</t>
        </is>
      </c>
      <c r="Y110" s="93" t="inlineStr">
        <is>
          <t>2018 Y</t>
        </is>
      </c>
      <c r="Z110" s="94" t="inlineStr">
        <is>
          <t>0 - 99M</t>
        </is>
      </c>
      <c r="AA110" s="95" t="inlineStr">
        <is>
          <t>Adams Street Partners</t>
        </is>
      </c>
      <c r="AB110" s="96" t="inlineStr">
        <is>
          <t>Chicago, IL</t>
        </is>
      </c>
      <c r="AC110" s="97" t="inlineStr">
        <is>
          <t>Commercial Services, Restaurants, Hotels and Leisure, Software</t>
        </is>
      </c>
      <c r="AD110" s="98" t="inlineStr">
        <is>
          <t>Seed Round, Early Stage VC, Later Stage VC</t>
        </is>
      </c>
      <c r="AE110" s="99" t="inlineStr">
        <is>
          <t/>
        </is>
      </c>
      <c r="AF110" s="100" t="inlineStr">
        <is>
          <t>Adams Street</t>
        </is>
      </c>
      <c r="AG110" s="233">
        <f>HYPERLINK("https://my.pitchbook.com?i=11105-47", "View Investor Online")</f>
      </c>
    </row>
    <row r="111">
      <c r="A111" s="36" t="inlineStr">
        <is>
          <t>13255-84F</t>
        </is>
      </c>
      <c r="B111" s="37" t="inlineStr">
        <is>
          <t>Kinetic IX</t>
        </is>
      </c>
      <c r="C111" s="38" t="inlineStr">
        <is>
          <t/>
        </is>
      </c>
      <c r="D111" s="39" t="inlineStr">
        <is>
          <t>Venture Capital</t>
        </is>
      </c>
      <c r="E111" s="40" t="n">
        <v>56.0</v>
      </c>
      <c r="F111" s="41" t="inlineStr">
        <is>
          <t>Chevy Chase, MD</t>
        </is>
      </c>
      <c r="G111" s="42" t="n">
        <v>2.0</v>
      </c>
      <c r="H111" s="43" t="n">
        <v>2013.0</v>
      </c>
      <c r="I111" s="44" t="n">
        <v>66.268</v>
      </c>
      <c r="J111" s="45" t="n">
        <v>37.11008</v>
      </c>
      <c r="K111" s="46" t="n">
        <v>1.5422950819672132</v>
      </c>
      <c r="L111" s="47" t="n">
        <v>8.921528</v>
      </c>
      <c r="M111" s="48" t="n">
        <v>37.748088</v>
      </c>
      <c r="N111" s="49" t="n">
        <v>8.52</v>
      </c>
      <c r="O111" s="50" t="inlineStr">
        <is>
          <t/>
        </is>
      </c>
      <c r="P111" s="51" t="n">
        <v>0.35999999999999943</v>
      </c>
      <c r="Q111" s="52" t="n">
        <v>0.24</v>
      </c>
      <c r="R111" s="53" t="n">
        <v>0.15536</v>
      </c>
      <c r="S111" s="54" t="n">
        <v>1.02</v>
      </c>
      <c r="T111" s="55" t="n">
        <v>-0.042259999999999964</v>
      </c>
      <c r="U111" s="56" t="n">
        <v>1.26</v>
      </c>
      <c r="V111" s="57" t="n">
        <v>0.014999999999999902</v>
      </c>
      <c r="W111" s="58" t="inlineStr">
        <is>
          <t/>
        </is>
      </c>
      <c r="X111" s="59" t="inlineStr">
        <is>
          <t>LP Original Commitments</t>
        </is>
      </c>
      <c r="Y111" s="60" t="inlineStr">
        <is>
          <t>2018 Y</t>
        </is>
      </c>
      <c r="Z111" s="61" t="inlineStr">
        <is>
          <t>0 - 99M</t>
        </is>
      </c>
      <c r="AA111" s="62" t="inlineStr">
        <is>
          <t>Kinetic Ventures</t>
        </is>
      </c>
      <c r="AB111" s="63" t="inlineStr">
        <is>
          <t>Atlanta, GA</t>
        </is>
      </c>
      <c r="AC111" s="64" t="inlineStr">
        <is>
          <t>Software</t>
        </is>
      </c>
      <c r="AD111" s="65" t="inlineStr">
        <is>
          <t>Seed Round, Early Stage VC, Later Stage VC</t>
        </is>
      </c>
      <c r="AE111" s="66" t="inlineStr">
        <is>
          <t/>
        </is>
      </c>
      <c r="AF111" s="67" t="inlineStr">
        <is>
          <t>Prince George's County Fire Service Pension Plan, Prince George's County Police Pension Plan, Prince George's County Retirement System</t>
        </is>
      </c>
      <c r="AG111" s="232">
        <f>HYPERLINK("https://my.pitchbook.com?i=11112-31", "View Investor Online")</f>
      </c>
    </row>
    <row r="112">
      <c r="A112" s="69" t="inlineStr">
        <is>
          <t>14159-98F</t>
        </is>
      </c>
      <c r="B112" s="70" t="inlineStr">
        <is>
          <t>Seedfund Fund II</t>
        </is>
      </c>
      <c r="C112" s="71" t="inlineStr">
        <is>
          <t/>
        </is>
      </c>
      <c r="D112" s="72" t="inlineStr">
        <is>
          <t>Venture Capital - Early Stage</t>
        </is>
      </c>
      <c r="E112" s="73" t="n">
        <v>54.0</v>
      </c>
      <c r="F112" s="74" t="inlineStr">
        <is>
          <t>Mumbai, India</t>
        </is>
      </c>
      <c r="G112" s="75" t="inlineStr">
        <is>
          <t/>
        </is>
      </c>
      <c r="H112" s="76" t="n">
        <v>2010.0</v>
      </c>
      <c r="I112" s="77" t="n">
        <v>96.29629629629629</v>
      </c>
      <c r="J112" s="78" t="n">
        <v>52.0</v>
      </c>
      <c r="K112" s="79" t="n">
        <v>4.153846153846154</v>
      </c>
      <c r="L112" s="80" t="n">
        <v>12.939439989999999</v>
      </c>
      <c r="M112" s="81" t="n">
        <v>52.1</v>
      </c>
      <c r="N112" s="82" t="n">
        <v>8.43</v>
      </c>
      <c r="O112" s="83" t="inlineStr">
        <is>
          <t/>
        </is>
      </c>
      <c r="P112" s="84" t="inlineStr">
        <is>
          <t/>
        </is>
      </c>
      <c r="Q112" s="85" t="n">
        <v>0.25</v>
      </c>
      <c r="R112" s="86" t="inlineStr">
        <is>
          <t/>
        </is>
      </c>
      <c r="S112" s="87" t="n">
        <v>1.0</v>
      </c>
      <c r="T112" s="88" t="inlineStr">
        <is>
          <t/>
        </is>
      </c>
      <c r="U112" s="89" t="n">
        <v>1.25</v>
      </c>
      <c r="V112" s="90" t="inlineStr">
        <is>
          <t/>
        </is>
      </c>
      <c r="W112" s="91" t="inlineStr">
        <is>
          <t/>
        </is>
      </c>
      <c r="X112" s="92" t="inlineStr">
        <is>
          <t>GP Self Reporting, LP Original Commitments</t>
        </is>
      </c>
      <c r="Y112" s="93" t="inlineStr">
        <is>
          <t>2016 Y</t>
        </is>
      </c>
      <c r="Z112" s="94" t="inlineStr">
        <is>
          <t>0 - 99M</t>
        </is>
      </c>
      <c r="AA112" s="95" t="inlineStr">
        <is>
          <t>Seedfund</t>
        </is>
      </c>
      <c r="AB112" s="96" t="inlineStr">
        <is>
          <t>Mumbai, India</t>
        </is>
      </c>
      <c r="AC112" s="97" t="inlineStr">
        <is>
          <t>Software</t>
        </is>
      </c>
      <c r="AD112" s="98" t="inlineStr">
        <is>
          <t>Seed Round, Early Stage VC</t>
        </is>
      </c>
      <c r="AE112" s="99" t="inlineStr">
        <is>
          <t>India</t>
        </is>
      </c>
      <c r="AF112" s="100" t="inlineStr">
        <is>
          <t>CDC, CDC Investment Works, Industriens Pensionsforsikring, Seedfund</t>
        </is>
      </c>
      <c r="AG112" s="233">
        <f>HYPERLINK("https://my.pitchbook.com?i=51121-09", "View Investor Online")</f>
      </c>
    </row>
    <row r="113">
      <c r="A113" s="36" t="inlineStr">
        <is>
          <t>16341-04F</t>
        </is>
      </c>
      <c r="B113" s="37" t="inlineStr">
        <is>
          <t>NSV 2018 Opportunities Fund</t>
        </is>
      </c>
      <c r="C113" s="38" t="inlineStr">
        <is>
          <t/>
        </is>
      </c>
      <c r="D113" s="39" t="inlineStr">
        <is>
          <t>Venture Capital</t>
        </is>
      </c>
      <c r="E113" s="40" t="n">
        <v>32.0</v>
      </c>
      <c r="F113" s="41" t="inlineStr">
        <is>
          <t>New York, NY</t>
        </is>
      </c>
      <c r="G113" s="42" t="inlineStr">
        <is>
          <t/>
        </is>
      </c>
      <c r="H113" s="43" t="n">
        <v>2018.0</v>
      </c>
      <c r="I113" s="44" t="n">
        <v>88.16022424242423</v>
      </c>
      <c r="J113" s="45" t="n">
        <v>28.211271757575755</v>
      </c>
      <c r="K113" s="46" t="n">
        <v>18.048675462654916</v>
      </c>
      <c r="L113" s="47" t="n">
        <v>0.019393939393939394</v>
      </c>
      <c r="M113" s="48" t="n">
        <v>34.99748915393939</v>
      </c>
      <c r="N113" s="49" t="inlineStr">
        <is>
          <t/>
        </is>
      </c>
      <c r="O113" s="50" t="inlineStr">
        <is>
          <t/>
        </is>
      </c>
      <c r="P113" s="51" t="inlineStr">
        <is>
          <t/>
        </is>
      </c>
      <c r="Q113" s="52" t="n">
        <v>6.87454E-4</v>
      </c>
      <c r="R113" s="53" t="n">
        <v>6.87454E-4</v>
      </c>
      <c r="S113" s="54" t="n">
        <v>1.240549857</v>
      </c>
      <c r="T113" s="55" t="n">
        <v>0.22905985699999998</v>
      </c>
      <c r="U113" s="56" t="n">
        <v>1.24</v>
      </c>
      <c r="V113" s="57" t="n">
        <v>0.1399999999999999</v>
      </c>
      <c r="W113" s="58" t="inlineStr">
        <is>
          <t/>
        </is>
      </c>
      <c r="X113" s="59" t="inlineStr">
        <is>
          <t>GP Self Reporting</t>
        </is>
      </c>
      <c r="Y113" s="60" t="inlineStr">
        <is>
          <t>2018 Y</t>
        </is>
      </c>
      <c r="Z113" s="61" t="inlineStr">
        <is>
          <t>0 - 99M</t>
        </is>
      </c>
      <c r="AA113" s="62" t="inlineStr">
        <is>
          <t>New Science Ventures</t>
        </is>
      </c>
      <c r="AB113" s="63" t="inlineStr">
        <is>
          <t>New York, NY</t>
        </is>
      </c>
      <c r="AC113" s="64" t="inlineStr">
        <is>
          <t/>
        </is>
      </c>
      <c r="AD113" s="65" t="inlineStr">
        <is>
          <t>Seed Round, Early Stage VC, Later Stage VC</t>
        </is>
      </c>
      <c r="AE113" s="66" t="inlineStr">
        <is>
          <t/>
        </is>
      </c>
      <c r="AF113" s="67" t="inlineStr">
        <is>
          <t>NSV</t>
        </is>
      </c>
      <c r="AG113" s="232">
        <f>HYPERLINK("https://my.pitchbook.com?i=11252-98", "View Investor Online")</f>
      </c>
    </row>
    <row r="114">
      <c r="A114" s="69" t="inlineStr">
        <is>
          <t>12570-49F</t>
        </is>
      </c>
      <c r="B114" s="70" t="inlineStr">
        <is>
          <t>DFJ Esprit III</t>
        </is>
      </c>
      <c r="C114" s="71" t="inlineStr">
        <is>
          <t/>
        </is>
      </c>
      <c r="D114" s="72" t="inlineStr">
        <is>
          <t>Venture Capital</t>
        </is>
      </c>
      <c r="E114" s="73" t="n">
        <v>100.0</v>
      </c>
      <c r="F114" s="74" t="inlineStr">
        <is>
          <t>London, United Kingdom</t>
        </is>
      </c>
      <c r="G114" s="75" t="inlineStr">
        <is>
          <t/>
        </is>
      </c>
      <c r="H114" s="76" t="n">
        <v>2010.0</v>
      </c>
      <c r="I114" s="77" t="n">
        <v>84.10344</v>
      </c>
      <c r="J114" s="78" t="n">
        <v>84.10344</v>
      </c>
      <c r="K114" s="79" t="n">
        <v>0.0</v>
      </c>
      <c r="L114" s="80" t="n">
        <v>3.09176</v>
      </c>
      <c r="M114" s="81" t="n">
        <v>102.06350499999999</v>
      </c>
      <c r="N114" s="82" t="inlineStr">
        <is>
          <t/>
        </is>
      </c>
      <c r="O114" s="83" t="inlineStr">
        <is>
          <t/>
        </is>
      </c>
      <c r="P114" s="84" t="inlineStr">
        <is>
          <t/>
        </is>
      </c>
      <c r="Q114" s="85" t="n">
        <v>0.04</v>
      </c>
      <c r="R114" s="86" t="n">
        <v>0.0022900000000000004</v>
      </c>
      <c r="S114" s="87" t="n">
        <v>1.19</v>
      </c>
      <c r="T114" s="88" t="inlineStr">
        <is>
          <t/>
        </is>
      </c>
      <c r="U114" s="89" t="n">
        <v>1.23</v>
      </c>
      <c r="V114" s="90" t="inlineStr">
        <is>
          <t/>
        </is>
      </c>
      <c r="W114" s="91" t="inlineStr">
        <is>
          <t/>
        </is>
      </c>
      <c r="X114" s="92" t="inlineStr">
        <is>
          <t>LP Original Commitments</t>
        </is>
      </c>
      <c r="Y114" s="93" t="inlineStr">
        <is>
          <t>2013 Y</t>
        </is>
      </c>
      <c r="Z114" s="94" t="inlineStr">
        <is>
          <t>100M - 249M</t>
        </is>
      </c>
      <c r="AA114" s="95" t="inlineStr">
        <is>
          <t>Draper Esprit</t>
        </is>
      </c>
      <c r="AB114" s="96" t="inlineStr">
        <is>
          <t>London, United Kingdom</t>
        </is>
      </c>
      <c r="AC114" s="97" t="inlineStr">
        <is>
          <t>Software</t>
        </is>
      </c>
      <c r="AD114" s="98" t="inlineStr">
        <is>
          <t>Later Stage VC</t>
        </is>
      </c>
      <c r="AE114" s="99" t="inlineStr">
        <is>
          <t>United Kingdom, United States</t>
        </is>
      </c>
      <c r="AF114" s="100" t="inlineStr">
        <is>
          <t>Dorinco, ISIF, JPEL</t>
        </is>
      </c>
      <c r="AG114" s="233">
        <f>HYPERLINK("https://my.pitchbook.com?i=11275-75", "View Investor Online")</f>
      </c>
    </row>
    <row r="115">
      <c r="A115" s="36" t="inlineStr">
        <is>
          <t>16162-12F</t>
        </is>
      </c>
      <c r="B115" s="37" t="inlineStr">
        <is>
          <t>New Science Ventures 2017</t>
        </is>
      </c>
      <c r="C115" s="38" t="inlineStr">
        <is>
          <t/>
        </is>
      </c>
      <c r="D115" s="39" t="inlineStr">
        <is>
          <t>Venture Capital</t>
        </is>
      </c>
      <c r="E115" s="40" t="n">
        <v>47.0</v>
      </c>
      <c r="F115" s="41" t="inlineStr">
        <is>
          <t>New York, NY</t>
        </is>
      </c>
      <c r="G115" s="42" t="n">
        <v>3.0</v>
      </c>
      <c r="H115" s="43" t="n">
        <v>2017.0</v>
      </c>
      <c r="I115" s="44" t="n">
        <v>100.0</v>
      </c>
      <c r="J115" s="45" t="n">
        <v>47.0</v>
      </c>
      <c r="K115" s="46" t="n">
        <v>23.147500372461103</v>
      </c>
      <c r="L115" s="47" t="n">
        <v>0.0</v>
      </c>
      <c r="M115" s="48" t="n">
        <v>57.9753970579235</v>
      </c>
      <c r="N115" s="49" t="n">
        <v>17.34741747</v>
      </c>
      <c r="O115" s="50" t="inlineStr">
        <is>
          <t/>
        </is>
      </c>
      <c r="P115" s="51" t="n">
        <v>-13.10258253</v>
      </c>
      <c r="Q115" s="52" t="n">
        <v>0.0</v>
      </c>
      <c r="R115" s="53" t="n">
        <v>0.0</v>
      </c>
      <c r="S115" s="54" t="n">
        <v>1.233519086</v>
      </c>
      <c r="T115" s="55" t="n">
        <v>0.09289908600000008</v>
      </c>
      <c r="U115" s="56" t="n">
        <v>1.23</v>
      </c>
      <c r="V115" s="57" t="n">
        <v>-0.04499999999999993</v>
      </c>
      <c r="W115" s="58" t="inlineStr">
        <is>
          <t/>
        </is>
      </c>
      <c r="X115" s="59" t="inlineStr">
        <is>
          <t>GP Self Reporting</t>
        </is>
      </c>
      <c r="Y115" s="60" t="inlineStr">
        <is>
          <t>2018 Y</t>
        </is>
      </c>
      <c r="Z115" s="61" t="inlineStr">
        <is>
          <t>0 - 99M</t>
        </is>
      </c>
      <c r="AA115" s="62" t="inlineStr">
        <is>
          <t>New Science Ventures</t>
        </is>
      </c>
      <c r="AB115" s="63" t="inlineStr">
        <is>
          <t>New York, NY</t>
        </is>
      </c>
      <c r="AC115" s="64" t="inlineStr">
        <is>
          <t>Pharmaceuticals and Biotechnology</t>
        </is>
      </c>
      <c r="AD115" s="65" t="inlineStr">
        <is>
          <t>Seed Round, Early Stage VC, Later Stage VC</t>
        </is>
      </c>
      <c r="AE115" s="66" t="inlineStr">
        <is>
          <t/>
        </is>
      </c>
      <c r="AF115" s="67" t="inlineStr">
        <is>
          <t>NSV</t>
        </is>
      </c>
      <c r="AG115" s="232">
        <f>HYPERLINK("https://my.pitchbook.com?i=11252-98", "View Investor Online")</f>
      </c>
    </row>
    <row r="116">
      <c r="A116" s="69" t="inlineStr">
        <is>
          <t>12925-63F</t>
        </is>
      </c>
      <c r="B116" s="70" t="inlineStr">
        <is>
          <t>SJF Ventures III</t>
        </is>
      </c>
      <c r="C116" s="71" t="inlineStr">
        <is>
          <t/>
        </is>
      </c>
      <c r="D116" s="72" t="inlineStr">
        <is>
          <t>Venture Capital</t>
        </is>
      </c>
      <c r="E116" s="73" t="n">
        <v>90.0</v>
      </c>
      <c r="F116" s="74" t="inlineStr">
        <is>
          <t>Durham, NC</t>
        </is>
      </c>
      <c r="G116" s="75" t="n">
        <v>2.0</v>
      </c>
      <c r="H116" s="76" t="n">
        <v>2013.0</v>
      </c>
      <c r="I116" s="77" t="n">
        <v>66.85824777777778</v>
      </c>
      <c r="J116" s="78" t="n">
        <v>60.172423</v>
      </c>
      <c r="K116" s="79" t="n">
        <v>2.478688524590164</v>
      </c>
      <c r="L116" s="80" t="n">
        <v>18.918783</v>
      </c>
      <c r="M116" s="81" t="n">
        <v>61.480564</v>
      </c>
      <c r="N116" s="82" t="n">
        <v>17.0</v>
      </c>
      <c r="O116" s="83" t="inlineStr">
        <is>
          <t/>
        </is>
      </c>
      <c r="P116" s="84" t="n">
        <v>8.84</v>
      </c>
      <c r="Q116" s="85" t="n">
        <v>0.2102087</v>
      </c>
      <c r="R116" s="86" t="n">
        <v>0.12556869999999998</v>
      </c>
      <c r="S116" s="87" t="n">
        <v>1.02</v>
      </c>
      <c r="T116" s="88" t="n">
        <v>-0.042259999999999964</v>
      </c>
      <c r="U116" s="89" t="n">
        <v>1.23</v>
      </c>
      <c r="V116" s="90" t="n">
        <v>-0.015000000000000124</v>
      </c>
      <c r="W116" s="91" t="inlineStr">
        <is>
          <t/>
        </is>
      </c>
      <c r="X116" s="92" t="inlineStr">
        <is>
          <t>GP Self Reporting, LP Original Commitments</t>
        </is>
      </c>
      <c r="Y116" s="93" t="inlineStr">
        <is>
          <t>2016 Y</t>
        </is>
      </c>
      <c r="Z116" s="94" t="inlineStr">
        <is>
          <t>0 - 99M</t>
        </is>
      </c>
      <c r="AA116" s="95" t="inlineStr">
        <is>
          <t>SJF Ventures</t>
        </is>
      </c>
      <c r="AB116" s="96" t="inlineStr">
        <is>
          <t>Durham, NC</t>
        </is>
      </c>
      <c r="AC116" s="97" t="inlineStr">
        <is>
          <t>Software</t>
        </is>
      </c>
      <c r="AD116" s="98" t="inlineStr">
        <is>
          <t>Early Stage VC, Later Stage VC, Seed Round</t>
        </is>
      </c>
      <c r="AE116" s="99" t="inlineStr">
        <is>
          <t>United States</t>
        </is>
      </c>
      <c r="AF116" s="100" t="inlineStr">
        <is>
          <t>AECF, Jessie Smith Noyes Foundation, SJF</t>
        </is>
      </c>
      <c r="AG116" s="233">
        <f>HYPERLINK("https://my.pitchbook.com?i=10215-73", "View Investor Online")</f>
      </c>
    </row>
    <row r="117">
      <c r="A117" s="36" t="inlineStr">
        <is>
          <t>13777-57F</t>
        </is>
      </c>
      <c r="B117" s="37" t="inlineStr">
        <is>
          <t>IP Venture Fund II</t>
        </is>
      </c>
      <c r="C117" s="38" t="inlineStr">
        <is>
          <t/>
        </is>
      </c>
      <c r="D117" s="39" t="inlineStr">
        <is>
          <t>Venture Capital</t>
        </is>
      </c>
      <c r="E117" s="40" t="n">
        <v>46.20548</v>
      </c>
      <c r="F117" s="41" t="inlineStr">
        <is>
          <t>London, United Kingdom</t>
        </is>
      </c>
      <c r="G117" s="42" t="inlineStr">
        <is>
          <t/>
        </is>
      </c>
      <c r="H117" s="43" t="n">
        <v>2013.0</v>
      </c>
      <c r="I117" s="44" t="n">
        <v>65.48783</v>
      </c>
      <c r="J117" s="45" t="n">
        <v>30.25896476113565</v>
      </c>
      <c r="K117" s="46" t="n">
        <v>0.8748237546666666</v>
      </c>
      <c r="L117" s="47" t="n">
        <v>0.0</v>
      </c>
      <c r="M117" s="48" t="n">
        <v>36.829970515771215</v>
      </c>
      <c r="N117" s="49" t="n">
        <v>8.7</v>
      </c>
      <c r="O117" s="50" t="inlineStr">
        <is>
          <t/>
        </is>
      </c>
      <c r="P117" s="51" t="inlineStr">
        <is>
          <t/>
        </is>
      </c>
      <c r="Q117" s="52" t="n">
        <v>0.0</v>
      </c>
      <c r="R117" s="53" t="n">
        <v>-0.07872</v>
      </c>
      <c r="S117" s="54" t="n">
        <v>1.217158974</v>
      </c>
      <c r="T117" s="55" t="n">
        <v>0.002078974000000011</v>
      </c>
      <c r="U117" s="56" t="n">
        <v>1.22</v>
      </c>
      <c r="V117" s="57" t="n">
        <v>-0.10499999999999998</v>
      </c>
      <c r="W117" s="58" t="inlineStr">
        <is>
          <t/>
        </is>
      </c>
      <c r="X117" s="59" t="inlineStr">
        <is>
          <t>GP Self Reporting</t>
        </is>
      </c>
      <c r="Y117" s="60" t="inlineStr">
        <is>
          <t>2018 Y</t>
        </is>
      </c>
      <c r="Z117" s="61" t="inlineStr">
        <is>
          <t>0 - 99M</t>
        </is>
      </c>
      <c r="AA117" s="62" t="inlineStr">
        <is>
          <t>IP Group, Top Technology Ventures</t>
        </is>
      </c>
      <c r="AB117" s="63" t="inlineStr">
        <is>
          <t>London, United Kingdom</t>
        </is>
      </c>
      <c r="AC117" s="64" t="inlineStr">
        <is>
          <t>Healthcare, Information Technology</t>
        </is>
      </c>
      <c r="AD117" s="65" t="inlineStr">
        <is>
          <t>Seed Round, Early Stage VC, Later Stage VC</t>
        </is>
      </c>
      <c r="AE117" s="66" t="inlineStr">
        <is>
          <t/>
        </is>
      </c>
      <c r="AF117" s="67" t="inlineStr">
        <is>
          <t>IP Group</t>
        </is>
      </c>
      <c r="AG117" s="232">
        <f>HYPERLINK("https://my.pitchbook.com?i=10416-88", "View Investor Online")</f>
      </c>
    </row>
    <row r="118">
      <c r="A118" s="69" t="inlineStr">
        <is>
          <t>13848-94F</t>
        </is>
      </c>
      <c r="B118" s="70" t="inlineStr">
        <is>
          <t>SSM Partners V</t>
        </is>
      </c>
      <c r="C118" s="71" t="inlineStr">
        <is>
          <t/>
        </is>
      </c>
      <c r="D118" s="72" t="inlineStr">
        <is>
          <t>Venture Capital</t>
        </is>
      </c>
      <c r="E118" s="73" t="n">
        <v>81.39386</v>
      </c>
      <c r="F118" s="74" t="inlineStr">
        <is>
          <t>Memphis, TN</t>
        </is>
      </c>
      <c r="G118" s="75" t="n">
        <v>3.0</v>
      </c>
      <c r="H118" s="76" t="n">
        <v>2015.0</v>
      </c>
      <c r="I118" s="77" t="n">
        <v>32.000008023470656</v>
      </c>
      <c r="J118" s="78" t="n">
        <v>26.046042370612636</v>
      </c>
      <c r="K118" s="79" t="n">
        <v>3.5642649182112156</v>
      </c>
      <c r="L118" s="80" t="n">
        <v>0.0</v>
      </c>
      <c r="M118" s="81" t="n">
        <v>31.616042702999952</v>
      </c>
      <c r="N118" s="82" t="n">
        <v>10.17</v>
      </c>
      <c r="O118" s="83" t="inlineStr">
        <is>
          <t/>
        </is>
      </c>
      <c r="P118" s="84" t="n">
        <v>-4.83</v>
      </c>
      <c r="Q118" s="85" t="n">
        <v>0.0</v>
      </c>
      <c r="R118" s="86" t="n">
        <v>-0.12</v>
      </c>
      <c r="S118" s="87" t="n">
        <v>1.21</v>
      </c>
      <c r="T118" s="88" t="n">
        <v>0.09430000000000005</v>
      </c>
      <c r="U118" s="89" t="n">
        <v>1.21</v>
      </c>
      <c r="V118" s="90" t="n">
        <v>0.0</v>
      </c>
      <c r="W118" s="91" t="inlineStr">
        <is>
          <t/>
        </is>
      </c>
      <c r="X118" s="92" t="inlineStr">
        <is>
          <t>LP Original Commitments</t>
        </is>
      </c>
      <c r="Y118" s="93" t="inlineStr">
        <is>
          <t>2017 Y</t>
        </is>
      </c>
      <c r="Z118" s="94" t="inlineStr">
        <is>
          <t>0 - 99M</t>
        </is>
      </c>
      <c r="AA118" s="95" t="inlineStr">
        <is>
          <t>SSM Partners</t>
        </is>
      </c>
      <c r="AB118" s="96" t="inlineStr">
        <is>
          <t>Memphis, TN</t>
        </is>
      </c>
      <c r="AC118" s="97" t="inlineStr">
        <is>
          <t>Software</t>
        </is>
      </c>
      <c r="AD118" s="98" t="inlineStr">
        <is>
          <t>Seed Round, Early Stage VC, Later Stage VC</t>
        </is>
      </c>
      <c r="AE118" s="99" t="inlineStr">
        <is>
          <t/>
        </is>
      </c>
      <c r="AF118" s="100" t="inlineStr">
        <is>
          <t>SCRS</t>
        </is>
      </c>
      <c r="AG118" s="233">
        <f>HYPERLINK("https://my.pitchbook.com?i=11304-64", "View Investor Online")</f>
      </c>
    </row>
    <row r="119">
      <c r="A119" s="36" t="inlineStr">
        <is>
          <t>15212-44F</t>
        </is>
      </c>
      <c r="B119" s="37" t="inlineStr">
        <is>
          <t>Point Judith Venture Fund IV</t>
        </is>
      </c>
      <c r="C119" s="38" t="inlineStr">
        <is>
          <t/>
        </is>
      </c>
      <c r="D119" s="39" t="inlineStr">
        <is>
          <t>Venture Capital</t>
        </is>
      </c>
      <c r="E119" s="40" t="n">
        <v>62.9</v>
      </c>
      <c r="F119" s="41" t="inlineStr">
        <is>
          <t>Boston, MA</t>
        </is>
      </c>
      <c r="G119" s="42" t="n">
        <v>2.0</v>
      </c>
      <c r="H119" s="43" t="n">
        <v>2015.0</v>
      </c>
      <c r="I119" s="44" t="n">
        <v>44.19713831478538</v>
      </c>
      <c r="J119" s="45" t="n">
        <v>27.800000000000004</v>
      </c>
      <c r="K119" s="46" t="n">
        <v>2.7544124747921455</v>
      </c>
      <c r="L119" s="47" t="n">
        <v>5.1</v>
      </c>
      <c r="M119" s="48" t="n">
        <v>28.4</v>
      </c>
      <c r="N119" s="49" t="n">
        <v>15.48</v>
      </c>
      <c r="O119" s="50" t="inlineStr">
        <is>
          <t/>
        </is>
      </c>
      <c r="P119" s="51" t="n">
        <v>0.4800000000000004</v>
      </c>
      <c r="Q119" s="52" t="n">
        <v>0.183453237</v>
      </c>
      <c r="R119" s="53" t="n">
        <v>0.063453237</v>
      </c>
      <c r="S119" s="54" t="n">
        <v>1.021582734</v>
      </c>
      <c r="T119" s="55" t="n">
        <v>-0.09411726599999981</v>
      </c>
      <c r="U119" s="56" t="n">
        <v>1.2</v>
      </c>
      <c r="V119" s="57" t="n">
        <v>-0.010000000000000009</v>
      </c>
      <c r="W119" s="58" t="inlineStr">
        <is>
          <t/>
        </is>
      </c>
      <c r="X119" s="59" t="inlineStr">
        <is>
          <t>GP Self Reporting</t>
        </is>
      </c>
      <c r="Y119" s="60" t="inlineStr">
        <is>
          <t>2018 Y</t>
        </is>
      </c>
      <c r="Z119" s="61" t="inlineStr">
        <is>
          <t>0 - 99M</t>
        </is>
      </c>
      <c r="AA119" s="62" t="inlineStr">
        <is>
          <t>PJC</t>
        </is>
      </c>
      <c r="AB119" s="63" t="inlineStr">
        <is>
          <t>Boston, MA</t>
        </is>
      </c>
      <c r="AC119" s="64" t="inlineStr">
        <is>
          <t>Software</t>
        </is>
      </c>
      <c r="AD119" s="65" t="inlineStr">
        <is>
          <t>Seed Round, Early Stage VC, Later Stage VC</t>
        </is>
      </c>
      <c r="AE119" s="66" t="inlineStr">
        <is>
          <t>United States</t>
        </is>
      </c>
      <c r="AF119" s="67" t="inlineStr">
        <is>
          <t>PJC</t>
        </is>
      </c>
      <c r="AG119" s="232">
        <f>HYPERLINK("https://my.pitchbook.com?i=11273-95", "View Investor Online")</f>
      </c>
    </row>
    <row r="120">
      <c r="A120" s="69" t="inlineStr">
        <is>
          <t>11594-26F</t>
        </is>
      </c>
      <c r="B120" s="70" t="inlineStr">
        <is>
          <t>Ysios BioFund I</t>
        </is>
      </c>
      <c r="C120" s="71" t="inlineStr">
        <is>
          <t/>
        </is>
      </c>
      <c r="D120" s="72" t="inlineStr">
        <is>
          <t>Venture Capital</t>
        </is>
      </c>
      <c r="E120" s="73" t="n">
        <v>92.61276</v>
      </c>
      <c r="F120" s="74" t="inlineStr">
        <is>
          <t>Barcelona, Spain</t>
        </is>
      </c>
      <c r="G120" s="75" t="n">
        <v>4.0</v>
      </c>
      <c r="H120" s="76" t="n">
        <v>2009.0</v>
      </c>
      <c r="I120" s="77" t="n">
        <v>99.43242828654701</v>
      </c>
      <c r="J120" s="78" t="n">
        <v>92.0871186004046</v>
      </c>
      <c r="K120" s="79" t="n">
        <v>0.26282191440404973</v>
      </c>
      <c r="L120" s="80" t="n">
        <v>82.56870307089656</v>
      </c>
      <c r="M120" s="81" t="n">
        <v>27.574991854888204</v>
      </c>
      <c r="N120" s="82" t="n">
        <v>4.8</v>
      </c>
      <c r="O120" s="83" t="inlineStr">
        <is>
          <t/>
        </is>
      </c>
      <c r="P120" s="84" t="n">
        <v>-13.099999999999998</v>
      </c>
      <c r="Q120" s="85" t="n">
        <v>0.9</v>
      </c>
      <c r="R120" s="86" t="n">
        <v>0.125</v>
      </c>
      <c r="S120" s="87" t="n">
        <v>0.3</v>
      </c>
      <c r="T120" s="88" t="n">
        <v>-0.40535000000000004</v>
      </c>
      <c r="U120" s="89" t="n">
        <v>1.2</v>
      </c>
      <c r="V120" s="90" t="n">
        <v>-0.41500000000000004</v>
      </c>
      <c r="W120" s="91" t="inlineStr">
        <is>
          <t/>
        </is>
      </c>
      <c r="X120" s="92" t="inlineStr">
        <is>
          <t>GP Self Reporting</t>
        </is>
      </c>
      <c r="Y120" s="93" t="inlineStr">
        <is>
          <t>2019 Y</t>
        </is>
      </c>
      <c r="Z120" s="94" t="inlineStr">
        <is>
          <t>0 - 99M</t>
        </is>
      </c>
      <c r="AA120" s="95" t="inlineStr">
        <is>
          <t>Ysios Capital</t>
        </is>
      </c>
      <c r="AB120" s="96" t="inlineStr">
        <is>
          <t>San Sebastián, Spain</t>
        </is>
      </c>
      <c r="AC120" s="97" t="inlineStr">
        <is>
          <t>Healthcare Devices and Supplies, Pharmaceuticals and Biotechnology</t>
        </is>
      </c>
      <c r="AD120" s="98" t="inlineStr">
        <is>
          <t>Later Stage VC</t>
        </is>
      </c>
      <c r="AE120" s="99" t="inlineStr">
        <is>
          <t>Europe, United States</t>
        </is>
      </c>
      <c r="AF120" s="100" t="inlineStr">
        <is>
          <t>Ysios</t>
        </is>
      </c>
      <c r="AG120" s="233">
        <f>HYPERLINK("https://my.pitchbook.com?i=11921-95", "View Investor Online")</f>
      </c>
    </row>
    <row r="121">
      <c r="A121" s="36" t="inlineStr">
        <is>
          <t>15403-78F</t>
        </is>
      </c>
      <c r="B121" s="37" t="inlineStr">
        <is>
          <t>Adams Street 2013 Direct Fund</t>
        </is>
      </c>
      <c r="C121" s="38" t="inlineStr">
        <is>
          <t/>
        </is>
      </c>
      <c r="D121" s="39" t="inlineStr">
        <is>
          <t>Venture Capital</t>
        </is>
      </c>
      <c r="E121" s="40" t="n">
        <v>65.96063</v>
      </c>
      <c r="F121" s="41" t="inlineStr">
        <is>
          <t>Chicago, IL</t>
        </is>
      </c>
      <c r="G121" s="42" t="n">
        <v>4.0</v>
      </c>
      <c r="H121" s="43" t="n">
        <v>2013.0</v>
      </c>
      <c r="I121" s="44" t="n">
        <v>93.55000096269548</v>
      </c>
      <c r="J121" s="45" t="n">
        <v>61.70617</v>
      </c>
      <c r="K121" s="46" t="n">
        <v>1.8166206295081968</v>
      </c>
      <c r="L121" s="47" t="n">
        <v>8.28</v>
      </c>
      <c r="M121" s="48" t="n">
        <v>65.687583</v>
      </c>
      <c r="N121" s="49" t="n">
        <v>5.63470623</v>
      </c>
      <c r="O121" s="50" t="inlineStr">
        <is>
          <t/>
        </is>
      </c>
      <c r="P121" s="51" t="n">
        <v>-2.52529377</v>
      </c>
      <c r="Q121" s="52" t="n">
        <v>0.134184313</v>
      </c>
      <c r="R121" s="53" t="n">
        <v>0.04954431299999999</v>
      </c>
      <c r="S121" s="54" t="n">
        <v>1.064522122</v>
      </c>
      <c r="T121" s="55" t="n">
        <v>0.0022621220000000886</v>
      </c>
      <c r="U121" s="56" t="n">
        <v>1.19</v>
      </c>
      <c r="V121" s="57" t="n">
        <v>-0.05500000000000016</v>
      </c>
      <c r="W121" s="58" t="inlineStr">
        <is>
          <t/>
        </is>
      </c>
      <c r="X121" s="59" t="inlineStr">
        <is>
          <t>GP Self Reporting</t>
        </is>
      </c>
      <c r="Y121" s="60" t="inlineStr">
        <is>
          <t>2018 Y</t>
        </is>
      </c>
      <c r="Z121" s="61" t="inlineStr">
        <is>
          <t>0 - 99M</t>
        </is>
      </c>
      <c r="AA121" s="62" t="inlineStr">
        <is>
          <t>Adams Street Partners</t>
        </is>
      </c>
      <c r="AB121" s="63" t="inlineStr">
        <is>
          <t>Chicago, IL</t>
        </is>
      </c>
      <c r="AC121" s="64" t="inlineStr">
        <is>
          <t>Software</t>
        </is>
      </c>
      <c r="AD121" s="65" t="inlineStr">
        <is>
          <t>Seed Round, Early Stage VC, Later Stage VC</t>
        </is>
      </c>
      <c r="AE121" s="66" t="inlineStr">
        <is>
          <t/>
        </is>
      </c>
      <c r="AF121" s="67" t="inlineStr">
        <is>
          <t>Adams Street</t>
        </is>
      </c>
      <c r="AG121" s="232">
        <f>HYPERLINK("https://my.pitchbook.com?i=11105-47", "View Investor Online")</f>
      </c>
    </row>
    <row r="122">
      <c r="A122" s="69" t="inlineStr">
        <is>
          <t>15250-42F</t>
        </is>
      </c>
      <c r="B122" s="70" t="inlineStr">
        <is>
          <t>Asset Management Ventures IV</t>
        </is>
      </c>
      <c r="C122" s="71" t="inlineStr">
        <is>
          <t/>
        </is>
      </c>
      <c r="D122" s="72" t="inlineStr">
        <is>
          <t>Venture Capital</t>
        </is>
      </c>
      <c r="E122" s="73" t="n">
        <v>25.86</v>
      </c>
      <c r="F122" s="74" t="inlineStr">
        <is>
          <t>Palo Alto, CA</t>
        </is>
      </c>
      <c r="G122" s="75" t="n">
        <v>4.0</v>
      </c>
      <c r="H122" s="76" t="n">
        <v>2015.0</v>
      </c>
      <c r="I122" s="77" t="n">
        <v>69.0</v>
      </c>
      <c r="J122" s="78" t="n">
        <v>17.8434</v>
      </c>
      <c r="K122" s="79" t="n">
        <v>8.0166</v>
      </c>
      <c r="L122" s="80" t="n">
        <v>0.423448</v>
      </c>
      <c r="M122" s="81" t="n">
        <v>20.72756</v>
      </c>
      <c r="N122" s="82" t="n">
        <v>5.9</v>
      </c>
      <c r="O122" s="83" t="inlineStr">
        <is>
          <t/>
        </is>
      </c>
      <c r="P122" s="84" t="n">
        <v>-9.1</v>
      </c>
      <c r="Q122" s="85" t="n">
        <v>0.023731352</v>
      </c>
      <c r="R122" s="86" t="n">
        <v>-0.096268648</v>
      </c>
      <c r="S122" s="87" t="n">
        <v>1.161637356</v>
      </c>
      <c r="T122" s="88" t="n">
        <v>0.04593735600000004</v>
      </c>
      <c r="U122" s="89" t="n">
        <v>1.18</v>
      </c>
      <c r="V122" s="90" t="n">
        <v>-0.030000000000000027</v>
      </c>
      <c r="W122" s="91" t="inlineStr">
        <is>
          <t/>
        </is>
      </c>
      <c r="X122" s="92" t="inlineStr">
        <is>
          <t>GP Self Reporting</t>
        </is>
      </c>
      <c r="Y122" s="93" t="inlineStr">
        <is>
          <t>2020 Y</t>
        </is>
      </c>
      <c r="Z122" s="94" t="inlineStr">
        <is>
          <t>0 - 99M</t>
        </is>
      </c>
      <c r="AA122" s="95" t="inlineStr">
        <is>
          <t>Asset Management Ventures</t>
        </is>
      </c>
      <c r="AB122" s="96" t="inlineStr">
        <is>
          <t>Palo Alto, CA</t>
        </is>
      </c>
      <c r="AC122" s="97" t="inlineStr">
        <is>
          <t>Pharmaceuticals and Biotechnology</t>
        </is>
      </c>
      <c r="AD122" s="98" t="inlineStr">
        <is>
          <t>Seed Round, Early Stage VC, Later Stage VC</t>
        </is>
      </c>
      <c r="AE122" s="99" t="inlineStr">
        <is>
          <t/>
        </is>
      </c>
      <c r="AF122" s="100" t="inlineStr">
        <is>
          <t>AMV</t>
        </is>
      </c>
      <c r="AG122" s="233">
        <f>HYPERLINK("https://my.pitchbook.com?i=11115-28", "View Investor Online")</f>
      </c>
    </row>
    <row r="123">
      <c r="A123" s="36" t="inlineStr">
        <is>
          <t>14460-67F</t>
        </is>
      </c>
      <c r="B123" s="37" t="inlineStr">
        <is>
          <t>CASEIF III</t>
        </is>
      </c>
      <c r="C123" s="38" t="inlineStr">
        <is>
          <t/>
        </is>
      </c>
      <c r="D123" s="39" t="inlineStr">
        <is>
          <t>Venture Capital</t>
        </is>
      </c>
      <c r="E123" s="40" t="n">
        <v>41.67</v>
      </c>
      <c r="F123" s="41" t="inlineStr">
        <is>
          <t>Managua, Nicaragua</t>
        </is>
      </c>
      <c r="G123" s="42" t="inlineStr">
        <is>
          <t/>
        </is>
      </c>
      <c r="H123" s="43" t="n">
        <v>2016.0</v>
      </c>
      <c r="I123" s="44" t="n">
        <v>49.17206623470122</v>
      </c>
      <c r="J123" s="45" t="n">
        <v>20.49</v>
      </c>
      <c r="K123" s="46" t="n">
        <v>21.18</v>
      </c>
      <c r="L123" s="47" t="n">
        <v>1.34</v>
      </c>
      <c r="M123" s="48" t="n">
        <v>22.76</v>
      </c>
      <c r="N123" s="49" t="n">
        <v>13.0</v>
      </c>
      <c r="O123" s="50" t="inlineStr">
        <is>
          <t/>
        </is>
      </c>
      <c r="P123" s="51" t="inlineStr">
        <is>
          <t/>
        </is>
      </c>
      <c r="Q123" s="52" t="n">
        <v>0.065397755</v>
      </c>
      <c r="R123" s="53" t="inlineStr">
        <is>
          <t/>
        </is>
      </c>
      <c r="S123" s="54" t="n">
        <v>1.110785749</v>
      </c>
      <c r="T123" s="55" t="inlineStr">
        <is>
          <t/>
        </is>
      </c>
      <c r="U123" s="56" t="n">
        <v>1.1800000000000002</v>
      </c>
      <c r="V123" s="57" t="inlineStr">
        <is>
          <t/>
        </is>
      </c>
      <c r="W123" s="58" t="inlineStr">
        <is>
          <t/>
        </is>
      </c>
      <c r="X123" s="59" t="inlineStr">
        <is>
          <t>GP Self Reporting, LP Original Commitments</t>
        </is>
      </c>
      <c r="Y123" s="60" t="inlineStr">
        <is>
          <t>2017 Y</t>
        </is>
      </c>
      <c r="Z123" s="61" t="inlineStr">
        <is>
          <t>0 - 99M</t>
        </is>
      </c>
      <c r="AA123" s="62" t="inlineStr">
        <is>
          <t>Lafise Investment Management</t>
        </is>
      </c>
      <c r="AB123" s="63" t="inlineStr">
        <is>
          <t>Managua, Nicaragua</t>
        </is>
      </c>
      <c r="AC123" s="64" t="inlineStr">
        <is>
          <t>Energy Services, Healthcare Services, Software, Agriculture</t>
        </is>
      </c>
      <c r="AD123" s="65" t="inlineStr">
        <is>
          <t>Seed Round, Early Stage VC, Later Stage VC</t>
        </is>
      </c>
      <c r="AE123" s="66" t="inlineStr">
        <is>
          <t>Central America</t>
        </is>
      </c>
      <c r="AF123" s="67" t="inlineStr">
        <is>
          <t>LIM, SIFEM</t>
        </is>
      </c>
      <c r="AG123" s="232">
        <f>HYPERLINK("https://my.pitchbook.com?i=61460-65", "View Investor Online")</f>
      </c>
    </row>
    <row r="124">
      <c r="A124" s="69" t="inlineStr">
        <is>
          <t>14223-34F</t>
        </is>
      </c>
      <c r="B124" s="70" t="inlineStr">
        <is>
          <t>Contour Venture Partners III</t>
        </is>
      </c>
      <c r="C124" s="71" t="inlineStr">
        <is>
          <t/>
        </is>
      </c>
      <c r="D124" s="72" t="inlineStr">
        <is>
          <t>Venture Capital - Early Stage</t>
        </is>
      </c>
      <c r="E124" s="73" t="n">
        <v>56.0</v>
      </c>
      <c r="F124" s="74" t="inlineStr">
        <is>
          <t>New York, NY</t>
        </is>
      </c>
      <c r="G124" s="75" t="inlineStr">
        <is>
          <t/>
        </is>
      </c>
      <c r="H124" s="76" t="n">
        <v>2016.0</v>
      </c>
      <c r="I124" s="77" t="n">
        <v>49.0</v>
      </c>
      <c r="J124" s="78" t="n">
        <v>27.439999999999998</v>
      </c>
      <c r="K124" s="79" t="n">
        <v>10.78102189781022</v>
      </c>
      <c r="L124" s="80" t="n">
        <v>0.0</v>
      </c>
      <c r="M124" s="81" t="n">
        <v>32.244941866666665</v>
      </c>
      <c r="N124" s="82" t="inlineStr">
        <is>
          <t/>
        </is>
      </c>
      <c r="O124" s="83" t="inlineStr">
        <is>
          <t/>
        </is>
      </c>
      <c r="P124" s="84" t="inlineStr">
        <is>
          <t/>
        </is>
      </c>
      <c r="Q124" s="85" t="n">
        <v>0.0</v>
      </c>
      <c r="R124" s="86" t="n">
        <v>0.0</v>
      </c>
      <c r="S124" s="87" t="n">
        <v>1.18</v>
      </c>
      <c r="T124" s="88" t="n">
        <v>0.004999999999999893</v>
      </c>
      <c r="U124" s="89" t="n">
        <v>1.18</v>
      </c>
      <c r="V124" s="90" t="n">
        <v>0.004999999999999893</v>
      </c>
      <c r="W124" s="91" t="inlineStr">
        <is>
          <t/>
        </is>
      </c>
      <c r="X124" s="92" t="inlineStr">
        <is>
          <t>LP Original Commitments</t>
        </is>
      </c>
      <c r="Y124" s="93" t="inlineStr">
        <is>
          <t>2019 Y</t>
        </is>
      </c>
      <c r="Z124" s="94" t="inlineStr">
        <is>
          <t>0 - 99M</t>
        </is>
      </c>
      <c r="AA124" s="95" t="inlineStr">
        <is>
          <t>Contour Venture Partners</t>
        </is>
      </c>
      <c r="AB124" s="96" t="inlineStr">
        <is>
          <t>New York, NY</t>
        </is>
      </c>
      <c r="AC124" s="97" t="inlineStr">
        <is>
          <t>Software</t>
        </is>
      </c>
      <c r="AD124" s="98" t="inlineStr">
        <is>
          <t>Early Stage VC</t>
        </is>
      </c>
      <c r="AE124" s="99" t="inlineStr">
        <is>
          <t>New York</t>
        </is>
      </c>
      <c r="AF124" s="100" t="inlineStr">
        <is>
          <t>NYSCRF</t>
        </is>
      </c>
      <c r="AG124" s="233">
        <f>HYPERLINK("https://my.pitchbook.com?i=11156-14", "View Investor Online")</f>
      </c>
    </row>
    <row r="125">
      <c r="A125" s="36" t="inlineStr">
        <is>
          <t>15263-29F</t>
        </is>
      </c>
      <c r="B125" s="37" t="inlineStr">
        <is>
          <t>Adams Street 2015 Direct Venture/Growth Fund</t>
        </is>
      </c>
      <c r="C125" s="38" t="inlineStr">
        <is>
          <t/>
        </is>
      </c>
      <c r="D125" s="39" t="inlineStr">
        <is>
          <t>Venture Capital</t>
        </is>
      </c>
      <c r="E125" s="40" t="n">
        <v>68.86858</v>
      </c>
      <c r="F125" s="41" t="inlineStr">
        <is>
          <t>Chicago, IL</t>
        </is>
      </c>
      <c r="G125" s="42" t="n">
        <v>3.0</v>
      </c>
      <c r="H125" s="43" t="n">
        <v>2015.0</v>
      </c>
      <c r="I125" s="44" t="n">
        <v>79.03999999999999</v>
      </c>
      <c r="J125" s="45" t="n">
        <v>54.4337240512</v>
      </c>
      <c r="K125" s="46" t="n">
        <v>3.0157786307348307</v>
      </c>
      <c r="L125" s="47" t="n">
        <v>0.0</v>
      </c>
      <c r="M125" s="48" t="n">
        <v>63.7435023886804</v>
      </c>
      <c r="N125" s="49" t="n">
        <v>8.49</v>
      </c>
      <c r="O125" s="50" t="inlineStr">
        <is>
          <t/>
        </is>
      </c>
      <c r="P125" s="51" t="n">
        <v>-6.51</v>
      </c>
      <c r="Q125" s="52" t="n">
        <v>0.0</v>
      </c>
      <c r="R125" s="53" t="n">
        <v>-0.12</v>
      </c>
      <c r="S125" s="54" t="n">
        <v>1.17</v>
      </c>
      <c r="T125" s="55" t="n">
        <v>0.054300000000000015</v>
      </c>
      <c r="U125" s="56" t="n">
        <v>1.17</v>
      </c>
      <c r="V125" s="57" t="n">
        <v>-0.040000000000000036</v>
      </c>
      <c r="W125" s="58" t="inlineStr">
        <is>
          <t/>
        </is>
      </c>
      <c r="X125" s="59" t="inlineStr">
        <is>
          <t>LP Original Commitments</t>
        </is>
      </c>
      <c r="Y125" s="60" t="inlineStr">
        <is>
          <t>2019 Y</t>
        </is>
      </c>
      <c r="Z125" s="61" t="inlineStr">
        <is>
          <t>0 - 99M</t>
        </is>
      </c>
      <c r="AA125" s="62" t="inlineStr">
        <is>
          <t>Adams Street Partners</t>
        </is>
      </c>
      <c r="AB125" s="63" t="inlineStr">
        <is>
          <t>Chicago, IL</t>
        </is>
      </c>
      <c r="AC125" s="64" t="inlineStr">
        <is>
          <t>Pharmaceuticals and Biotechnology, Software, Healthcare Technology Systems</t>
        </is>
      </c>
      <c r="AD125" s="65" t="inlineStr">
        <is>
          <t>Seed Round, Early Stage VC, Later Stage VC</t>
        </is>
      </c>
      <c r="AE125" s="66" t="inlineStr">
        <is>
          <t/>
        </is>
      </c>
      <c r="AF125" s="67" t="inlineStr">
        <is>
          <t>CTPF, OCERS</t>
        </is>
      </c>
      <c r="AG125" s="232">
        <f>HYPERLINK("https://my.pitchbook.com?i=11105-47", "View Investor Online")</f>
      </c>
    </row>
    <row r="126">
      <c r="A126" s="69" t="inlineStr">
        <is>
          <t>16005-16F</t>
        </is>
      </c>
      <c r="B126" s="70" t="inlineStr">
        <is>
          <t>Adams Street 2016 Direct Venture/Growth Fund</t>
        </is>
      </c>
      <c r="C126" s="71" t="inlineStr">
        <is>
          <t/>
        </is>
      </c>
      <c r="D126" s="72" t="inlineStr">
        <is>
          <t>Venture Capital</t>
        </is>
      </c>
      <c r="E126" s="73" t="n">
        <v>66.80378</v>
      </c>
      <c r="F126" s="74" t="inlineStr">
        <is>
          <t>Chicago, IL</t>
        </is>
      </c>
      <c r="G126" s="75" t="n">
        <v>3.0</v>
      </c>
      <c r="H126" s="76" t="n">
        <v>2016.0</v>
      </c>
      <c r="I126" s="77" t="n">
        <v>45.55</v>
      </c>
      <c r="J126" s="78" t="n">
        <v>30.42912179</v>
      </c>
      <c r="K126" s="79" t="n">
        <v>5.343539646114582</v>
      </c>
      <c r="L126" s="80" t="n">
        <v>0.0</v>
      </c>
      <c r="M126" s="81" t="n">
        <v>35.686579275999996</v>
      </c>
      <c r="N126" s="82" t="n">
        <v>18.94</v>
      </c>
      <c r="O126" s="83" t="inlineStr">
        <is>
          <t/>
        </is>
      </c>
      <c r="P126" s="84" t="n">
        <v>-1.5799999999999983</v>
      </c>
      <c r="Q126" s="85" t="n">
        <v>0.0</v>
      </c>
      <c r="R126" s="86" t="n">
        <v>-0.0602</v>
      </c>
      <c r="S126" s="87" t="n">
        <v>1.17</v>
      </c>
      <c r="T126" s="88" t="n">
        <v>0.0</v>
      </c>
      <c r="U126" s="89" t="n">
        <v>1.17</v>
      </c>
      <c r="V126" s="90" t="n">
        <v>-0.09000000000000008</v>
      </c>
      <c r="W126" s="91" t="inlineStr">
        <is>
          <t/>
        </is>
      </c>
      <c r="X126" s="92" t="inlineStr">
        <is>
          <t>LP Original Commitments</t>
        </is>
      </c>
      <c r="Y126" s="93" t="inlineStr">
        <is>
          <t>2019 Y</t>
        </is>
      </c>
      <c r="Z126" s="94" t="inlineStr">
        <is>
          <t>0 - 99M</t>
        </is>
      </c>
      <c r="AA126" s="95" t="inlineStr">
        <is>
          <t>Adams Street Partners</t>
        </is>
      </c>
      <c r="AB126" s="96" t="inlineStr">
        <is>
          <t>Chicago, IL</t>
        </is>
      </c>
      <c r="AC126" s="97" t="inlineStr">
        <is>
          <t>Software, Healthcare Technology Systems, Pharmaceuticals and Biotechnology</t>
        </is>
      </c>
      <c r="AD126" s="98" t="inlineStr">
        <is>
          <t>Seed Round, Early Stage VC, Later Stage VC</t>
        </is>
      </c>
      <c r="AE126" s="99" t="inlineStr">
        <is>
          <t/>
        </is>
      </c>
      <c r="AF126" s="100" t="inlineStr">
        <is>
          <t>CTPF</t>
        </is>
      </c>
      <c r="AG126" s="233">
        <f>HYPERLINK("https://my.pitchbook.com?i=11105-47", "View Investor Online")</f>
      </c>
    </row>
    <row r="127">
      <c r="A127" s="36" t="inlineStr">
        <is>
          <t>16644-43F</t>
        </is>
      </c>
      <c r="B127" s="37" t="inlineStr">
        <is>
          <t>Camden Partners Nexus Fund II</t>
        </is>
      </c>
      <c r="C127" s="38" t="inlineStr">
        <is>
          <t/>
        </is>
      </c>
      <c r="D127" s="39" t="inlineStr">
        <is>
          <t>Venture Capital</t>
        </is>
      </c>
      <c r="E127" s="40" t="n">
        <v>33.05</v>
      </c>
      <c r="F127" s="41" t="inlineStr">
        <is>
          <t>Baltimore, MD</t>
        </is>
      </c>
      <c r="G127" s="42" t="inlineStr">
        <is>
          <t/>
        </is>
      </c>
      <c r="H127" s="43" t="n">
        <v>2019.0</v>
      </c>
      <c r="I127" s="44" t="n">
        <v>5.497730711043873</v>
      </c>
      <c r="J127" s="45" t="n">
        <v>1.817</v>
      </c>
      <c r="K127" s="46" t="n">
        <v>31.233</v>
      </c>
      <c r="L127" s="47" t="n">
        <v>0.0</v>
      </c>
      <c r="M127" s="48" t="n">
        <v>2.124</v>
      </c>
      <c r="N127" s="49" t="n">
        <v>7.9</v>
      </c>
      <c r="O127" s="50" t="inlineStr">
        <is>
          <t/>
        </is>
      </c>
      <c r="P127" s="51" t="inlineStr">
        <is>
          <t/>
        </is>
      </c>
      <c r="Q127" s="52" t="n">
        <v>0.0</v>
      </c>
      <c r="R127" s="53" t="n">
        <v>0.0</v>
      </c>
      <c r="S127" s="54" t="n">
        <v>1.168959824</v>
      </c>
      <c r="T127" s="55" t="n">
        <v>0.3189598240000001</v>
      </c>
      <c r="U127" s="56" t="n">
        <v>1.17</v>
      </c>
      <c r="V127" s="57" t="n">
        <v>0.2699999999999999</v>
      </c>
      <c r="W127" s="58" t="inlineStr">
        <is>
          <t/>
        </is>
      </c>
      <c r="X127" s="59" t="inlineStr">
        <is>
          <t>GP Self Reporting</t>
        </is>
      </c>
      <c r="Y127" s="60" t="inlineStr">
        <is>
          <t>2019 Y</t>
        </is>
      </c>
      <c r="Z127" s="61" t="inlineStr">
        <is>
          <t>0 - 99M</t>
        </is>
      </c>
      <c r="AA127" s="62" t="inlineStr">
        <is>
          <t>Camden Partners</t>
        </is>
      </c>
      <c r="AB127" s="63" t="inlineStr">
        <is>
          <t>Baltimore, MD</t>
        </is>
      </c>
      <c r="AC127" s="64" t="inlineStr">
        <is>
          <t/>
        </is>
      </c>
      <c r="AD127" s="65" t="inlineStr">
        <is>
          <t>Early Stage VC</t>
        </is>
      </c>
      <c r="AE127" s="66" t="inlineStr">
        <is>
          <t/>
        </is>
      </c>
      <c r="AF127" s="67" t="inlineStr">
        <is>
          <t>Camden, Camden Partners Holdings, Limited Liability Company</t>
        </is>
      </c>
      <c r="AG127" s="232">
        <f>HYPERLINK("https://my.pitchbook.com?i=10065-16", "View Investor Online")</f>
      </c>
    </row>
    <row r="128">
      <c r="A128" s="69" t="inlineStr">
        <is>
          <t>13932-91F</t>
        </is>
      </c>
      <c r="B128" s="70" t="inlineStr">
        <is>
          <t>Epic Venture Fund V</t>
        </is>
      </c>
      <c r="C128" s="71" t="inlineStr">
        <is>
          <t/>
        </is>
      </c>
      <c r="D128" s="72" t="inlineStr">
        <is>
          <t>Venture Capital - Early Stage</t>
        </is>
      </c>
      <c r="E128" s="73" t="n">
        <v>51.55</v>
      </c>
      <c r="F128" s="74" t="inlineStr">
        <is>
          <t>Salt Lake City, UT</t>
        </is>
      </c>
      <c r="G128" s="75" t="n">
        <v>4.0</v>
      </c>
      <c r="H128" s="76" t="n">
        <v>2016.0</v>
      </c>
      <c r="I128" s="77" t="n">
        <v>63.10168</v>
      </c>
      <c r="J128" s="78" t="n">
        <v>32.52891604</v>
      </c>
      <c r="K128" s="79" t="n">
        <v>19.02108396</v>
      </c>
      <c r="L128" s="80" t="n">
        <v>0.15981788749999998</v>
      </c>
      <c r="M128" s="81" t="n">
        <v>38.00873259</v>
      </c>
      <c r="N128" s="82" t="n">
        <v>8.89</v>
      </c>
      <c r="O128" s="83" t="inlineStr">
        <is>
          <t/>
        </is>
      </c>
      <c r="P128" s="84" t="n">
        <v>-6.51</v>
      </c>
      <c r="Q128" s="85" t="n">
        <v>0.0</v>
      </c>
      <c r="R128" s="86" t="n">
        <v>0.0</v>
      </c>
      <c r="S128" s="87" t="n">
        <v>1.17</v>
      </c>
      <c r="T128" s="88" t="n">
        <v>-0.0050000000000001155</v>
      </c>
      <c r="U128" s="89" t="n">
        <v>1.17</v>
      </c>
      <c r="V128" s="90" t="n">
        <v>-0.0050000000000001155</v>
      </c>
      <c r="W128" s="91" t="inlineStr">
        <is>
          <t/>
        </is>
      </c>
      <c r="X128" s="92" t="inlineStr">
        <is>
          <t>LP Original Commitments</t>
        </is>
      </c>
      <c r="Y128" s="93" t="inlineStr">
        <is>
          <t>2020 Y</t>
        </is>
      </c>
      <c r="Z128" s="94" t="inlineStr">
        <is>
          <t>0 - 99M</t>
        </is>
      </c>
      <c r="AA128" s="95" t="inlineStr">
        <is>
          <t>EPIC Ventures</t>
        </is>
      </c>
      <c r="AB128" s="96" t="inlineStr">
        <is>
          <t>Salt Lake City, UT</t>
        </is>
      </c>
      <c r="AC128" s="97" t="inlineStr">
        <is>
          <t>Software</t>
        </is>
      </c>
      <c r="AD128" s="98" t="inlineStr">
        <is>
          <t>Early Stage VC</t>
        </is>
      </c>
      <c r="AE128" s="99" t="inlineStr">
        <is>
          <t>Mountain</t>
        </is>
      </c>
      <c r="AF128" s="100" t="inlineStr">
        <is>
          <t>PERSI</t>
        </is>
      </c>
      <c r="AG128" s="233">
        <f>HYPERLINK("https://my.pitchbook.com?i=11331-91", "View Investor Online")</f>
      </c>
    </row>
    <row r="129">
      <c r="A129" s="36" t="inlineStr">
        <is>
          <t>16191-10F</t>
        </is>
      </c>
      <c r="B129" s="37" t="inlineStr">
        <is>
          <t>Social Leverage Capital Fund III</t>
        </is>
      </c>
      <c r="C129" s="38" t="inlineStr">
        <is>
          <t/>
        </is>
      </c>
      <c r="D129" s="39" t="inlineStr">
        <is>
          <t>Venture Capital</t>
        </is>
      </c>
      <c r="E129" s="40" t="n">
        <v>43.0</v>
      </c>
      <c r="F129" s="41" t="inlineStr">
        <is>
          <t>Phoenix, AZ</t>
        </is>
      </c>
      <c r="G129" s="42" t="n">
        <v>3.0</v>
      </c>
      <c r="H129" s="43" t="n">
        <v>2018.0</v>
      </c>
      <c r="I129" s="44" t="n">
        <v>45.348837209302324</v>
      </c>
      <c r="J129" s="45" t="n">
        <v>19.5</v>
      </c>
      <c r="K129" s="46" t="n">
        <v>24.252907652942543</v>
      </c>
      <c r="L129" s="47" t="n">
        <v>0.0</v>
      </c>
      <c r="M129" s="48" t="n">
        <v>22.75</v>
      </c>
      <c r="N129" s="49" t="n">
        <v>11.9</v>
      </c>
      <c r="O129" s="50" t="inlineStr">
        <is>
          <t/>
        </is>
      </c>
      <c r="P129" s="51" t="n">
        <v>-1.2899999999999991</v>
      </c>
      <c r="Q129" s="52" t="n">
        <v>0.0</v>
      </c>
      <c r="R129" s="53" t="n">
        <v>0.0</v>
      </c>
      <c r="S129" s="54" t="n">
        <v>1.166666667</v>
      </c>
      <c r="T129" s="55" t="n">
        <v>0.1551766670000001</v>
      </c>
      <c r="U129" s="56" t="n">
        <v>1.17</v>
      </c>
      <c r="V129" s="57" t="n">
        <v>0.06999999999999984</v>
      </c>
      <c r="W129" s="58" t="inlineStr">
        <is>
          <t/>
        </is>
      </c>
      <c r="X129" s="59" t="inlineStr">
        <is>
          <t>GP Self Reporting</t>
        </is>
      </c>
      <c r="Y129" s="60" t="inlineStr">
        <is>
          <t>2019 Y</t>
        </is>
      </c>
      <c r="Z129" s="61" t="inlineStr">
        <is>
          <t>0 - 99M</t>
        </is>
      </c>
      <c r="AA129" s="62" t="inlineStr">
        <is>
          <t>Social Leverage</t>
        </is>
      </c>
      <c r="AB129" s="63" t="inlineStr">
        <is>
          <t>Phoenix, AZ</t>
        </is>
      </c>
      <c r="AC129" s="64" t="inlineStr">
        <is>
          <t>Media, Software</t>
        </is>
      </c>
      <c r="AD129" s="65" t="inlineStr">
        <is>
          <t>Seed Round, Early Stage VC, Later Stage VC</t>
        </is>
      </c>
      <c r="AE129" s="66" t="inlineStr">
        <is>
          <t>North America</t>
        </is>
      </c>
      <c r="AF129" s="67" t="inlineStr">
        <is>
          <t>SLC, SL</t>
        </is>
      </c>
      <c r="AG129" s="232">
        <f>HYPERLINK("https://my.pitchbook.com?i=51468-94", "View Investor Online")</f>
      </c>
    </row>
    <row r="130">
      <c r="A130" s="69" t="inlineStr">
        <is>
          <t>12843-64F</t>
        </is>
      </c>
      <c r="B130" s="70" t="inlineStr">
        <is>
          <t>InCube Ventures II</t>
        </is>
      </c>
      <c r="C130" s="71" t="inlineStr">
        <is>
          <t/>
        </is>
      </c>
      <c r="D130" s="72" t="inlineStr">
        <is>
          <t>Venture Capital</t>
        </is>
      </c>
      <c r="E130" s="73" t="n">
        <v>50.0</v>
      </c>
      <c r="F130" s="74" t="inlineStr">
        <is>
          <t>San Jose, CA</t>
        </is>
      </c>
      <c r="G130" s="75" t="inlineStr">
        <is>
          <t/>
        </is>
      </c>
      <c r="H130" s="76" t="n">
        <v>2010.0</v>
      </c>
      <c r="I130" s="77" t="n">
        <v>100.0</v>
      </c>
      <c r="J130" s="78" t="n">
        <v>137.5</v>
      </c>
      <c r="K130" s="79" t="n">
        <v>0.0</v>
      </c>
      <c r="L130" s="80" t="n">
        <v>23.26635</v>
      </c>
      <c r="M130" s="81" t="n">
        <v>136.45350000000002</v>
      </c>
      <c r="N130" s="82" t="inlineStr">
        <is>
          <t/>
        </is>
      </c>
      <c r="O130" s="83" t="inlineStr">
        <is>
          <t/>
        </is>
      </c>
      <c r="P130" s="84" t="inlineStr">
        <is>
          <t/>
        </is>
      </c>
      <c r="Q130" s="85" t="n">
        <v>0.17</v>
      </c>
      <c r="R130" s="86" t="n">
        <v>-0.6499999999999999</v>
      </c>
      <c r="S130" s="87" t="n">
        <v>0.99</v>
      </c>
      <c r="T130" s="88" t="n">
        <v>0.31637000000000004</v>
      </c>
      <c r="U130" s="89" t="n">
        <v>1.16</v>
      </c>
      <c r="V130" s="90" t="n">
        <v>-0.14000000000000012</v>
      </c>
      <c r="W130" s="91" t="inlineStr">
        <is>
          <t/>
        </is>
      </c>
      <c r="X130" s="92" t="inlineStr">
        <is>
          <t>LP Original Commitments</t>
        </is>
      </c>
      <c r="Y130" s="93" t="inlineStr">
        <is>
          <t>2013 Y</t>
        </is>
      </c>
      <c r="Z130" s="94" t="inlineStr">
        <is>
          <t>0 - 99M</t>
        </is>
      </c>
      <c r="AA130" s="95" t="inlineStr">
        <is>
          <t>InCube Ventures</t>
        </is>
      </c>
      <c r="AB130" s="96" t="inlineStr">
        <is>
          <t>San Jose, CA</t>
        </is>
      </c>
      <c r="AC130" s="97" t="inlineStr">
        <is>
          <t>Pharmaceuticals and Biotechnology</t>
        </is>
      </c>
      <c r="AD130" s="98" t="inlineStr">
        <is>
          <t>Seed Round, Early Stage VC, Later Stage VC</t>
        </is>
      </c>
      <c r="AE130" s="99" t="inlineStr">
        <is>
          <t/>
        </is>
      </c>
      <c r="AF130" s="100" t="inlineStr">
        <is>
          <t>USAA-CIC</t>
        </is>
      </c>
      <c r="AG130" s="233">
        <f>HYPERLINK("https://my.pitchbook.com?i=14156-92", "View Investor Online")</f>
      </c>
    </row>
    <row r="131">
      <c r="A131" s="36" t="inlineStr">
        <is>
          <t>16142-23F</t>
        </is>
      </c>
      <c r="B131" s="37" t="inlineStr">
        <is>
          <t>Maryland Innovation Opportunity Fund I</t>
        </is>
      </c>
      <c r="C131" s="38" t="inlineStr">
        <is>
          <t/>
        </is>
      </c>
      <c r="D131" s="39" t="inlineStr">
        <is>
          <t>Venture Capital</t>
        </is>
      </c>
      <c r="E131" s="40" t="n">
        <v>25.0</v>
      </c>
      <c r="F131" s="41" t="inlineStr">
        <is>
          <t>Columbia, MD</t>
        </is>
      </c>
      <c r="G131" s="42" t="n">
        <v>3.0</v>
      </c>
      <c r="H131" s="43" t="n">
        <v>2017.0</v>
      </c>
      <c r="I131" s="44" t="n">
        <v>56.073484</v>
      </c>
      <c r="J131" s="45" t="n">
        <v>14.018371</v>
      </c>
      <c r="K131" s="46" t="n">
        <v>12.31250019811761</v>
      </c>
      <c r="L131" s="47" t="n">
        <v>2.332758</v>
      </c>
      <c r="M131" s="48" t="n">
        <v>13.854197</v>
      </c>
      <c r="N131" s="49" t="n">
        <v>18.6</v>
      </c>
      <c r="O131" s="50" t="inlineStr">
        <is>
          <t/>
        </is>
      </c>
      <c r="P131" s="51" t="n">
        <v>-11.849999999999998</v>
      </c>
      <c r="Q131" s="52" t="n">
        <v>0.17</v>
      </c>
      <c r="R131" s="53" t="n">
        <v>0.17</v>
      </c>
      <c r="S131" s="54" t="n">
        <v>0.99</v>
      </c>
      <c r="T131" s="55" t="n">
        <v>-0.15061999999999998</v>
      </c>
      <c r="U131" s="56" t="n">
        <v>1.16</v>
      </c>
      <c r="V131" s="57" t="n">
        <v>-0.11499999999999999</v>
      </c>
      <c r="W131" s="58" t="inlineStr">
        <is>
          <t/>
        </is>
      </c>
      <c r="X131" s="59" t="inlineStr">
        <is>
          <t>LP Original Commitments</t>
        </is>
      </c>
      <c r="Y131" s="60" t="inlineStr">
        <is>
          <t>2019 Y</t>
        </is>
      </c>
      <c r="Z131" s="61" t="inlineStr">
        <is>
          <t>0 - 99M</t>
        </is>
      </c>
      <c r="AA131" s="62" t="inlineStr">
        <is>
          <t>Maryland Venture Fund</t>
        </is>
      </c>
      <c r="AB131" s="63" t="inlineStr">
        <is>
          <t>Columbia, MD</t>
        </is>
      </c>
      <c r="AC131" s="64" t="inlineStr">
        <is>
          <t>Software</t>
        </is>
      </c>
      <c r="AD131" s="65" t="inlineStr">
        <is>
          <t>Seed Round, Early Stage VC, Later Stage VC</t>
        </is>
      </c>
      <c r="AE131" s="66" t="inlineStr">
        <is>
          <t/>
        </is>
      </c>
      <c r="AF131" s="67" t="inlineStr">
        <is>
          <t>Maryland SRPS</t>
        </is>
      </c>
      <c r="AG131" s="232">
        <f>HYPERLINK("https://my.pitchbook.com?i=53324-20", "View Investor Online")</f>
      </c>
    </row>
    <row r="132">
      <c r="A132" s="69" t="inlineStr">
        <is>
          <t>13129-93F</t>
        </is>
      </c>
      <c r="B132" s="70" t="inlineStr">
        <is>
          <t>Adams Street 2011 Direct Fund</t>
        </is>
      </c>
      <c r="C132" s="71" t="inlineStr">
        <is>
          <t/>
        </is>
      </c>
      <c r="D132" s="72" t="inlineStr">
        <is>
          <t>Venture Capital</t>
        </is>
      </c>
      <c r="E132" s="73" t="n">
        <v>84.69826</v>
      </c>
      <c r="F132" s="74" t="inlineStr">
        <is>
          <t>Chicago, IL</t>
        </is>
      </c>
      <c r="G132" s="75" t="n">
        <v>2.0</v>
      </c>
      <c r="H132" s="76" t="n">
        <v>2011.0</v>
      </c>
      <c r="I132" s="77" t="n">
        <v>92.235</v>
      </c>
      <c r="J132" s="78" t="n">
        <v>78.12143918864999</v>
      </c>
      <c r="K132" s="79" t="n">
        <v>6.576819888999999</v>
      </c>
      <c r="L132" s="80" t="n">
        <v>82.62353279666549</v>
      </c>
      <c r="M132" s="81" t="n">
        <v>7.3179295776</v>
      </c>
      <c r="N132" s="82" t="n">
        <v>13.47</v>
      </c>
      <c r="O132" s="83" t="inlineStr">
        <is>
          <t/>
        </is>
      </c>
      <c r="P132" s="84" t="n">
        <v>2.370000000000001</v>
      </c>
      <c r="Q132" s="85" t="n">
        <v>1.06</v>
      </c>
      <c r="R132" s="86" t="n">
        <v>0.8700000000000001</v>
      </c>
      <c r="S132" s="87" t="n">
        <v>0.09</v>
      </c>
      <c r="T132" s="88" t="n">
        <v>-1.0691</v>
      </c>
      <c r="U132" s="89" t="n">
        <v>1.1500000000000001</v>
      </c>
      <c r="V132" s="90" t="n">
        <v>-0.3799999999999999</v>
      </c>
      <c r="W132" s="91" t="inlineStr">
        <is>
          <t/>
        </is>
      </c>
      <c r="X132" s="92" t="inlineStr">
        <is>
          <t>LP Original Commitments</t>
        </is>
      </c>
      <c r="Y132" s="93" t="inlineStr">
        <is>
          <t>2020 Y</t>
        </is>
      </c>
      <c r="Z132" s="94" t="inlineStr">
        <is>
          <t>0 - 99M</t>
        </is>
      </c>
      <c r="AA132" s="95" t="inlineStr">
        <is>
          <t>Adams Street Partners</t>
        </is>
      </c>
      <c r="AB132" s="96" t="inlineStr">
        <is>
          <t>Chicago, IL</t>
        </is>
      </c>
      <c r="AC132" s="97" t="inlineStr">
        <is>
          <t>Software</t>
        </is>
      </c>
      <c r="AD132" s="98" t="inlineStr">
        <is>
          <t>Seed Round, Early Stage VC, Later Stage VC</t>
        </is>
      </c>
      <c r="AE132" s="99" t="inlineStr">
        <is>
          <t/>
        </is>
      </c>
      <c r="AF132" s="100" t="inlineStr">
        <is>
          <t>LCC Pensions Fund</t>
        </is>
      </c>
      <c r="AG132" s="233">
        <f>HYPERLINK("https://my.pitchbook.com?i=11105-47", "View Investor Online")</f>
      </c>
    </row>
    <row r="133">
      <c r="A133" s="36" t="inlineStr">
        <is>
          <t>12742-12F</t>
        </is>
      </c>
      <c r="B133" s="37" t="inlineStr">
        <is>
          <t>Alta Ventures Mexico Fund I</t>
        </is>
      </c>
      <c r="C133" s="38" t="inlineStr">
        <is>
          <t/>
        </is>
      </c>
      <c r="D133" s="39" t="inlineStr">
        <is>
          <t>Venture Capital</t>
        </is>
      </c>
      <c r="E133" s="40" t="n">
        <v>69.5</v>
      </c>
      <c r="F133" s="41" t="inlineStr">
        <is>
          <t>Monterrey, Mexico</t>
        </is>
      </c>
      <c r="G133" s="42" t="inlineStr">
        <is>
          <t/>
        </is>
      </c>
      <c r="H133" s="43" t="n">
        <v>2011.0</v>
      </c>
      <c r="I133" s="44" t="n">
        <v>83.16546762589928</v>
      </c>
      <c r="J133" s="45" t="n">
        <v>57.8</v>
      </c>
      <c r="K133" s="46" t="n">
        <v>0.9</v>
      </c>
      <c r="L133" s="47" t="n">
        <v>5.59</v>
      </c>
      <c r="M133" s="48" t="n">
        <v>60.900000000000006</v>
      </c>
      <c r="N133" s="49" t="inlineStr">
        <is>
          <t/>
        </is>
      </c>
      <c r="O133" s="50" t="inlineStr">
        <is>
          <t/>
        </is>
      </c>
      <c r="P133" s="51" t="inlineStr">
        <is>
          <t/>
        </is>
      </c>
      <c r="Q133" s="52" t="n">
        <v>0.096712803</v>
      </c>
      <c r="R133" s="53" t="inlineStr">
        <is>
          <t/>
        </is>
      </c>
      <c r="S133" s="54" t="n">
        <v>1.053633218</v>
      </c>
      <c r="T133" s="55" t="inlineStr">
        <is>
          <t/>
        </is>
      </c>
      <c r="U133" s="56" t="n">
        <v>1.1500000000000001</v>
      </c>
      <c r="V133" s="57" t="inlineStr">
        <is>
          <t/>
        </is>
      </c>
      <c r="W133" s="58" t="inlineStr">
        <is>
          <t/>
        </is>
      </c>
      <c r="X133" s="59" t="inlineStr">
        <is>
          <t>GP Self Reporting</t>
        </is>
      </c>
      <c r="Y133" s="60" t="inlineStr">
        <is>
          <t>2017 Y</t>
        </is>
      </c>
      <c r="Z133" s="61" t="inlineStr">
        <is>
          <t>0 - 99M</t>
        </is>
      </c>
      <c r="AA133" s="62" t="inlineStr">
        <is>
          <t>Alta Ventures Mexico</t>
        </is>
      </c>
      <c r="AB133" s="63" t="inlineStr">
        <is>
          <t>Monterrey, Mexico</t>
        </is>
      </c>
      <c r="AC133" s="64" t="inlineStr">
        <is>
          <t>Electronic Equipment and Instruments, Educational Software, Network Management Software, Financial Software, Rail, Application Software, Other Commercial Products, Road, Personal Products, Social Content, Educational and Training Services (B2C), Other Software, Media and Information Services (B2B), Social/Platform Software, Storage (IT), Internet Software, Business/Productivity Software, Database Software, Other Information Technology, Recreational Goods, Other Media, Software Development Applications, Internet Retail</t>
        </is>
      </c>
      <c r="AD133" s="65" t="inlineStr">
        <is>
          <t>Seed Round, Early Stage VC, Later Stage VC</t>
        </is>
      </c>
      <c r="AE133" s="66" t="inlineStr">
        <is>
          <t>Bolivia, Honduras, Mexico, Uruguay, Chile, Ecuador, Peru, Venezuela, Nicaragua, United States, Colombia, Argentina, Panama</t>
        </is>
      </c>
      <c r="AF133" s="67" t="inlineStr">
        <is>
          <t>Alta Ventures, Alta</t>
        </is>
      </c>
      <c r="AG133" s="232">
        <f>HYPERLINK("https://my.pitchbook.com?i=43085-53", "View Investor Online")</f>
      </c>
    </row>
    <row r="134">
      <c r="A134" s="69" t="inlineStr">
        <is>
          <t>14616-28F</t>
        </is>
      </c>
      <c r="B134" s="70" t="inlineStr">
        <is>
          <t>Ascent Venture Partners VI</t>
        </is>
      </c>
      <c r="C134" s="71" t="inlineStr">
        <is>
          <t/>
        </is>
      </c>
      <c r="D134" s="72" t="inlineStr">
        <is>
          <t>Venture Capital - Early Stage</t>
        </is>
      </c>
      <c r="E134" s="73" t="n">
        <v>71.05</v>
      </c>
      <c r="F134" s="74" t="inlineStr">
        <is>
          <t>Boston, MA</t>
        </is>
      </c>
      <c r="G134" s="75" t="inlineStr">
        <is>
          <t/>
        </is>
      </c>
      <c r="H134" s="76" t="n">
        <v>2015.0</v>
      </c>
      <c r="I134" s="77" t="n">
        <v>79.0</v>
      </c>
      <c r="J134" s="78" t="n">
        <v>56.1295</v>
      </c>
      <c r="K134" s="79" t="n">
        <v>14.920499999999999</v>
      </c>
      <c r="L134" s="80" t="n">
        <v>0.0</v>
      </c>
      <c r="M134" s="81" t="n">
        <v>64.56820323333334</v>
      </c>
      <c r="N134" s="82" t="inlineStr">
        <is>
          <t/>
        </is>
      </c>
      <c r="O134" s="83" t="inlineStr">
        <is>
          <t/>
        </is>
      </c>
      <c r="P134" s="84" t="inlineStr">
        <is>
          <t/>
        </is>
      </c>
      <c r="Q134" s="85" t="n">
        <v>0.0</v>
      </c>
      <c r="R134" s="86" t="n">
        <v>-0.01</v>
      </c>
      <c r="S134" s="87" t="n">
        <v>1.15</v>
      </c>
      <c r="T134" s="88" t="n">
        <v>-0.15000000000000013</v>
      </c>
      <c r="U134" s="89" t="n">
        <v>1.15</v>
      </c>
      <c r="V134" s="90" t="n">
        <v>-0.375</v>
      </c>
      <c r="W134" s="91" t="inlineStr">
        <is>
          <t/>
        </is>
      </c>
      <c r="X134" s="92" t="inlineStr">
        <is>
          <t>LP Original Commitments</t>
        </is>
      </c>
      <c r="Y134" s="93" t="inlineStr">
        <is>
          <t>2020 Y</t>
        </is>
      </c>
      <c r="Z134" s="94" t="inlineStr">
        <is>
          <t>0 - 99M</t>
        </is>
      </c>
      <c r="AA134" s="95" t="inlineStr">
        <is>
          <t>Ascent Venture Partners</t>
        </is>
      </c>
      <c r="AB134" s="96" t="inlineStr">
        <is>
          <t>Boston, MA</t>
        </is>
      </c>
      <c r="AC134" s="97" t="inlineStr">
        <is>
          <t>Software, Commercial Services</t>
        </is>
      </c>
      <c r="AD134" s="98" t="inlineStr">
        <is>
          <t>Seed Round, Early Stage VC</t>
        </is>
      </c>
      <c r="AE134" s="99" t="inlineStr">
        <is>
          <t/>
        </is>
      </c>
      <c r="AF134" s="100" t="inlineStr">
        <is>
          <t>MassHousing Finance Agency Retirement System, MWRAERS</t>
        </is>
      </c>
      <c r="AG134" s="233">
        <f>HYPERLINK("https://my.pitchbook.com?i=11272-78", "View Investor Online")</f>
      </c>
    </row>
    <row r="135">
      <c r="A135" s="36" t="inlineStr">
        <is>
          <t>12073-87F</t>
        </is>
      </c>
      <c r="B135" s="37" t="inlineStr">
        <is>
          <t>Memphis Biomed Ventures III</t>
        </is>
      </c>
      <c r="C135" s="38" t="inlineStr">
        <is>
          <t/>
        </is>
      </c>
      <c r="D135" s="39" t="inlineStr">
        <is>
          <t>Venture Capital</t>
        </is>
      </c>
      <c r="E135" s="40" t="n">
        <v>22.0</v>
      </c>
      <c r="F135" s="41" t="inlineStr">
        <is>
          <t>Memphis, TN</t>
        </is>
      </c>
      <c r="G135" s="42" t="n">
        <v>3.0</v>
      </c>
      <c r="H135" s="43" t="n">
        <v>2011.0</v>
      </c>
      <c r="I135" s="44" t="n">
        <v>71.0</v>
      </c>
      <c r="J135" s="45" t="n">
        <v>15.62</v>
      </c>
      <c r="K135" s="46" t="n">
        <v>0.0</v>
      </c>
      <c r="L135" s="47" t="n">
        <v>0.7239936</v>
      </c>
      <c r="M135" s="48" t="n">
        <v>17.132075399999998</v>
      </c>
      <c r="N135" s="49" t="n">
        <v>4.99</v>
      </c>
      <c r="O135" s="50" t="inlineStr">
        <is>
          <t/>
        </is>
      </c>
      <c r="P135" s="51" t="n">
        <v>-6.109999999999999</v>
      </c>
      <c r="Q135" s="52" t="n">
        <v>0.05</v>
      </c>
      <c r="R135" s="53" t="n">
        <v>-0.14</v>
      </c>
      <c r="S135" s="54" t="n">
        <v>1.1</v>
      </c>
      <c r="T135" s="55" t="n">
        <v>-0.05909999999999993</v>
      </c>
      <c r="U135" s="56" t="n">
        <v>1.1500000000000001</v>
      </c>
      <c r="V135" s="57" t="n">
        <v>-0.3799999999999999</v>
      </c>
      <c r="W135" s="58" t="inlineStr">
        <is>
          <t/>
        </is>
      </c>
      <c r="X135" s="59" t="inlineStr">
        <is>
          <t>LP Original Commitments</t>
        </is>
      </c>
      <c r="Y135" s="60" t="inlineStr">
        <is>
          <t>2017 Y</t>
        </is>
      </c>
      <c r="Z135" s="61" t="inlineStr">
        <is>
          <t>0 - 99M</t>
        </is>
      </c>
      <c r="AA135" s="62" t="inlineStr">
        <is>
          <t>MB Venture Partners</t>
        </is>
      </c>
      <c r="AB135" s="63" t="inlineStr">
        <is>
          <t>Memphis, TN</t>
        </is>
      </c>
      <c r="AC135" s="64" t="inlineStr">
        <is>
          <t>Healthcare Devices and Supplies</t>
        </is>
      </c>
      <c r="AD135" s="65" t="inlineStr">
        <is>
          <t>Later Stage VC</t>
        </is>
      </c>
      <c r="AE135" s="66" t="inlineStr">
        <is>
          <t>United States</t>
        </is>
      </c>
      <c r="AF135" s="67" t="inlineStr">
        <is>
          <t>SCRS</t>
        </is>
      </c>
      <c r="AG135" s="232">
        <f>HYPERLINK("https://my.pitchbook.com?i=11238-49", "View Investor Online")</f>
      </c>
    </row>
    <row r="136">
      <c r="A136" s="69" t="inlineStr">
        <is>
          <t>15078-79F</t>
        </is>
      </c>
      <c r="B136" s="70" t="inlineStr">
        <is>
          <t>Constitution Fund V - Series B</t>
        </is>
      </c>
      <c r="C136" s="71" t="inlineStr">
        <is>
          <t/>
        </is>
      </c>
      <c r="D136" s="72" t="inlineStr">
        <is>
          <t>Venture Capital - Early Stage</t>
        </is>
      </c>
      <c r="E136" s="73" t="n">
        <v>20.1</v>
      </c>
      <c r="F136" s="74" t="inlineStr">
        <is>
          <t>West Hartford, CT</t>
        </is>
      </c>
      <c r="G136" s="75" t="n">
        <v>3.0</v>
      </c>
      <c r="H136" s="76" t="n">
        <v>2016.0</v>
      </c>
      <c r="I136" s="77" t="n">
        <v>74.0</v>
      </c>
      <c r="J136" s="78" t="n">
        <v>14.874</v>
      </c>
      <c r="K136" s="79" t="n">
        <v>5.226</v>
      </c>
      <c r="L136" s="80" t="n">
        <v>0.0</v>
      </c>
      <c r="M136" s="81" t="n">
        <v>16.9845</v>
      </c>
      <c r="N136" s="82" t="n">
        <v>8.9</v>
      </c>
      <c r="O136" s="83" t="inlineStr">
        <is>
          <t/>
        </is>
      </c>
      <c r="P136" s="84" t="n">
        <v>-6.5</v>
      </c>
      <c r="Q136" s="85" t="n">
        <v>0.0</v>
      </c>
      <c r="R136" s="86" t="n">
        <v>0.0</v>
      </c>
      <c r="S136" s="87" t="n">
        <v>1.14</v>
      </c>
      <c r="T136" s="88" t="n">
        <v>-0.03500000000000014</v>
      </c>
      <c r="U136" s="89" t="n">
        <v>1.14</v>
      </c>
      <c r="V136" s="90" t="n">
        <v>-0.03500000000000014</v>
      </c>
      <c r="W136" s="91" t="inlineStr">
        <is>
          <t/>
        </is>
      </c>
      <c r="X136" s="92" t="inlineStr">
        <is>
          <t>LP Original Commitments</t>
        </is>
      </c>
      <c r="Y136" s="93" t="inlineStr">
        <is>
          <t>2019 Y</t>
        </is>
      </c>
      <c r="Z136" s="94" t="inlineStr">
        <is>
          <t>0 - 99M</t>
        </is>
      </c>
      <c r="AA136" s="95" t="inlineStr">
        <is>
          <t>Fairview Capital Partners</t>
        </is>
      </c>
      <c r="AB136" s="96" t="inlineStr">
        <is>
          <t>West Hartford, CT</t>
        </is>
      </c>
      <c r="AC136" s="97" t="inlineStr">
        <is>
          <t/>
        </is>
      </c>
      <c r="AD136" s="98" t="inlineStr">
        <is>
          <t>Seed Round, Early Stage VC</t>
        </is>
      </c>
      <c r="AE136" s="99" t="inlineStr">
        <is>
          <t>Connecticut</t>
        </is>
      </c>
      <c r="AF136" s="100" t="inlineStr">
        <is>
          <t>Connecticut State Employees Retirement System</t>
        </is>
      </c>
      <c r="AG136" s="233">
        <f>HYPERLINK("https://my.pitchbook.com?i=11018-53", "View Investor Online")</f>
      </c>
    </row>
    <row r="137">
      <c r="A137" s="36" t="inlineStr">
        <is>
          <t>13843-63F</t>
        </is>
      </c>
      <c r="B137" s="37" t="inlineStr">
        <is>
          <t>Inveready First Capital II</t>
        </is>
      </c>
      <c r="C137" s="38" t="inlineStr">
        <is>
          <t/>
        </is>
      </c>
      <c r="D137" s="39" t="inlineStr">
        <is>
          <t>Venture Capital</t>
        </is>
      </c>
      <c r="E137" s="40" t="n">
        <v>23.5749</v>
      </c>
      <c r="F137" s="41" t="inlineStr">
        <is>
          <t>Barcelona, Spain</t>
        </is>
      </c>
      <c r="G137" s="42" t="inlineStr">
        <is>
          <t/>
        </is>
      </c>
      <c r="H137" s="43" t="n">
        <v>2014.0</v>
      </c>
      <c r="I137" s="44" t="n">
        <v>100.0</v>
      </c>
      <c r="J137" s="45" t="n">
        <v>22.14493639420644</v>
      </c>
      <c r="K137" s="46" t="n">
        <v>0.0</v>
      </c>
      <c r="L137" s="47" t="n">
        <v>6.089857508406771</v>
      </c>
      <c r="M137" s="48" t="n">
        <v>19.122152576397262</v>
      </c>
      <c r="N137" s="49" t="n">
        <v>3.6</v>
      </c>
      <c r="O137" s="50" t="inlineStr">
        <is>
          <t/>
        </is>
      </c>
      <c r="P137" s="51" t="inlineStr">
        <is>
          <t/>
        </is>
      </c>
      <c r="Q137" s="52" t="n">
        <v>0.275</v>
      </c>
      <c r="R137" s="53" t="n">
        <v>0.27221</v>
      </c>
      <c r="S137" s="54" t="n">
        <v>0.8635</v>
      </c>
      <c r="T137" s="55" t="n">
        <v>-0.21236</v>
      </c>
      <c r="U137" s="56" t="n">
        <v>1.1400000000000001</v>
      </c>
      <c r="V137" s="57" t="n">
        <v>0.030000000000000027</v>
      </c>
      <c r="W137" s="58" t="inlineStr">
        <is>
          <t/>
        </is>
      </c>
      <c r="X137" s="59" t="inlineStr">
        <is>
          <t>GP Self Reporting</t>
        </is>
      </c>
      <c r="Y137" s="60" t="inlineStr">
        <is>
          <t>2020 Y</t>
        </is>
      </c>
      <c r="Z137" s="61" t="inlineStr">
        <is>
          <t>0 - 99M</t>
        </is>
      </c>
      <c r="AA137" s="62" t="inlineStr">
        <is>
          <t>Inveready Technology Investment Group</t>
        </is>
      </c>
      <c r="AB137" s="63" t="inlineStr">
        <is>
          <t>Barcelona, Spain</t>
        </is>
      </c>
      <c r="AC137" s="64" t="inlineStr">
        <is>
          <t>Software</t>
        </is>
      </c>
      <c r="AD137" s="65" t="inlineStr">
        <is>
          <t>Early Stage VC</t>
        </is>
      </c>
      <c r="AE137" s="66" t="inlineStr">
        <is>
          <t>Spain</t>
        </is>
      </c>
      <c r="AF137" s="67" t="inlineStr">
        <is>
          <t>Inveready</t>
        </is>
      </c>
      <c r="AG137" s="232">
        <f>HYPERLINK("https://my.pitchbook.com?i=54589-15", "View Investor Online")</f>
      </c>
    </row>
    <row r="138">
      <c r="A138" s="69" t="inlineStr">
        <is>
          <t>13666-60F</t>
        </is>
      </c>
      <c r="B138" s="70" t="inlineStr">
        <is>
          <t>Softbank Capital Technology New York Fund II</t>
        </is>
      </c>
      <c r="C138" s="71" t="inlineStr">
        <is>
          <t/>
        </is>
      </c>
      <c r="D138" s="72" t="inlineStr">
        <is>
          <t>Venture Capital</t>
        </is>
      </c>
      <c r="E138" s="73" t="n">
        <v>54.02</v>
      </c>
      <c r="F138" s="74" t="inlineStr">
        <is>
          <t>Buffalo, NY</t>
        </is>
      </c>
      <c r="G138" s="75" t="inlineStr">
        <is>
          <t/>
        </is>
      </c>
      <c r="H138" s="76" t="n">
        <v>2013.0</v>
      </c>
      <c r="I138" s="77" t="n">
        <v>100.0</v>
      </c>
      <c r="J138" s="78" t="n">
        <v>57.846236600000005</v>
      </c>
      <c r="K138" s="79" t="n">
        <v>0.0</v>
      </c>
      <c r="L138" s="80" t="n">
        <v>4.314670314400001</v>
      </c>
      <c r="M138" s="81" t="n">
        <v>61.5260509096</v>
      </c>
      <c r="N138" s="82" t="inlineStr">
        <is>
          <t/>
        </is>
      </c>
      <c r="O138" s="83" t="inlineStr">
        <is>
          <t/>
        </is>
      </c>
      <c r="P138" s="84" t="inlineStr">
        <is>
          <t/>
        </is>
      </c>
      <c r="Q138" s="85" t="n">
        <v>0.07</v>
      </c>
      <c r="R138" s="86" t="n">
        <v>-0.01464</v>
      </c>
      <c r="S138" s="87" t="n">
        <v>1.06</v>
      </c>
      <c r="T138" s="88" t="n">
        <v>-0.0022599999999999287</v>
      </c>
      <c r="U138" s="89" t="n">
        <v>1.1300000000000001</v>
      </c>
      <c r="V138" s="90" t="n">
        <v>-0.11499999999999999</v>
      </c>
      <c r="W138" s="91" t="inlineStr">
        <is>
          <t/>
        </is>
      </c>
      <c r="X138" s="92" t="inlineStr">
        <is>
          <t>LP Original Commitments</t>
        </is>
      </c>
      <c r="Y138" s="93" t="inlineStr">
        <is>
          <t>2019 Y</t>
        </is>
      </c>
      <c r="Z138" s="94" t="inlineStr">
        <is>
          <t>0 - 99M</t>
        </is>
      </c>
      <c r="AA138" s="95" t="inlineStr">
        <is>
          <t>SoftBank Capital</t>
        </is>
      </c>
      <c r="AB138" s="96" t="inlineStr">
        <is>
          <t>New York, NY</t>
        </is>
      </c>
      <c r="AC138" s="97" t="inlineStr">
        <is>
          <t>Software</t>
        </is>
      </c>
      <c r="AD138" s="98" t="inlineStr">
        <is>
          <t>Seed Round, Early Stage VC, Later Stage VC</t>
        </is>
      </c>
      <c r="AE138" s="99" t="inlineStr">
        <is>
          <t>New York Metro, New York</t>
        </is>
      </c>
      <c r="AF138" s="100" t="inlineStr">
        <is>
          <t>NYSCRF</t>
        </is>
      </c>
      <c r="AG138" s="233">
        <f>HYPERLINK("https://my.pitchbook.com?i=11300-50", "View Investor Online")</f>
      </c>
    </row>
    <row r="139">
      <c r="A139" s="36" t="inlineStr">
        <is>
          <t>15434-83F</t>
        </is>
      </c>
      <c r="B139" s="37" t="inlineStr">
        <is>
          <t>Underscore VC Fund I</t>
        </is>
      </c>
      <c r="C139" s="38" t="inlineStr">
        <is>
          <t>Assemble.VC Fund I</t>
        </is>
      </c>
      <c r="D139" s="39" t="inlineStr">
        <is>
          <t>Venture Capital</t>
        </is>
      </c>
      <c r="E139" s="40" t="n">
        <v>85.0</v>
      </c>
      <c r="F139" s="41" t="inlineStr">
        <is>
          <t>Boston, MA</t>
        </is>
      </c>
      <c r="G139" s="42" t="n">
        <v>4.0</v>
      </c>
      <c r="H139" s="43" t="n">
        <v>2016.0</v>
      </c>
      <c r="I139" s="44" t="n">
        <v>71.5</v>
      </c>
      <c r="J139" s="45" t="n">
        <v>60.775000000000006</v>
      </c>
      <c r="K139" s="46" t="n">
        <v>6.799029484854591</v>
      </c>
      <c r="L139" s="47" t="n">
        <v>0.0</v>
      </c>
      <c r="M139" s="48" t="n">
        <v>68.23627315789474</v>
      </c>
      <c r="N139" s="49" t="n">
        <v>5.26</v>
      </c>
      <c r="O139" s="50" t="inlineStr">
        <is>
          <t/>
        </is>
      </c>
      <c r="P139" s="51" t="n">
        <v>-15.26</v>
      </c>
      <c r="Q139" s="52" t="n">
        <v>0.0</v>
      </c>
      <c r="R139" s="53" t="n">
        <v>-0.0602</v>
      </c>
      <c r="S139" s="54" t="n">
        <v>1.12</v>
      </c>
      <c r="T139" s="55" t="n">
        <v>-0.04999999999999982</v>
      </c>
      <c r="U139" s="56" t="n">
        <v>1.12</v>
      </c>
      <c r="V139" s="57" t="n">
        <v>-0.1399999999999999</v>
      </c>
      <c r="W139" s="58" t="inlineStr">
        <is>
          <t/>
        </is>
      </c>
      <c r="X139" s="59" t="inlineStr">
        <is>
          <t>LP Original Commitments</t>
        </is>
      </c>
      <c r="Y139" s="60" t="inlineStr">
        <is>
          <t>2019 Y</t>
        </is>
      </c>
      <c r="Z139" s="61" t="inlineStr">
        <is>
          <t>0 - 99M</t>
        </is>
      </c>
      <c r="AA139" s="62" t="inlineStr">
        <is>
          <t>Underscore VC</t>
        </is>
      </c>
      <c r="AB139" s="63" t="inlineStr">
        <is>
          <t>Boston, MA</t>
        </is>
      </c>
      <c r="AC139" s="64" t="inlineStr">
        <is>
          <t>Software</t>
        </is>
      </c>
      <c r="AD139" s="65" t="inlineStr">
        <is>
          <t>Early Stage VC, Seed Round</t>
        </is>
      </c>
      <c r="AE139" s="66" t="inlineStr">
        <is>
          <t/>
        </is>
      </c>
      <c r="AF139" s="67" t="inlineStr">
        <is>
          <t>UTIMCO</t>
        </is>
      </c>
      <c r="AG139" s="232">
        <f>HYPERLINK("https://my.pitchbook.com?i=152407-00", "View Investor Online")</f>
      </c>
    </row>
    <row r="140">
      <c r="A140" s="69" t="inlineStr">
        <is>
          <t>16437-43F</t>
        </is>
      </c>
      <c r="B140" s="70" t="inlineStr">
        <is>
          <t>BRV Aster Opportunity Fund I</t>
        </is>
      </c>
      <c r="C140" s="71" t="inlineStr">
        <is>
          <t/>
        </is>
      </c>
      <c r="D140" s="72" t="inlineStr">
        <is>
          <t>Venture Capital</t>
        </is>
      </c>
      <c r="E140" s="73" t="n">
        <v>80.0</v>
      </c>
      <c r="F140" s="74" t="inlineStr">
        <is>
          <t>Menlo Park, CA</t>
        </is>
      </c>
      <c r="G140" s="75" t="n">
        <v>2.0</v>
      </c>
      <c r="H140" s="76" t="n">
        <v>2018.0</v>
      </c>
      <c r="I140" s="77" t="n">
        <v>67.0</v>
      </c>
      <c r="J140" s="78" t="n">
        <v>53.6</v>
      </c>
      <c r="K140" s="79" t="n">
        <v>45.12168865663729</v>
      </c>
      <c r="L140" s="80" t="n">
        <v>0.0</v>
      </c>
      <c r="M140" s="81" t="n">
        <v>59.705206399999994</v>
      </c>
      <c r="N140" s="82" t="n">
        <v>13.19</v>
      </c>
      <c r="O140" s="83" t="inlineStr">
        <is>
          <t/>
        </is>
      </c>
      <c r="P140" s="84" t="n">
        <v>0.0</v>
      </c>
      <c r="Q140" s="85" t="n">
        <v>0.0</v>
      </c>
      <c r="R140" s="86" t="n">
        <v>0.0</v>
      </c>
      <c r="S140" s="87" t="n">
        <v>1.11</v>
      </c>
      <c r="T140" s="88" t="n">
        <v>0.0985100000000001</v>
      </c>
      <c r="U140" s="89" t="n">
        <v>1.11</v>
      </c>
      <c r="V140" s="90" t="n">
        <v>0.010000000000000009</v>
      </c>
      <c r="W140" s="91" t="inlineStr">
        <is>
          <t/>
        </is>
      </c>
      <c r="X140" s="92" t="inlineStr">
        <is>
          <t>LP Original Commitments</t>
        </is>
      </c>
      <c r="Y140" s="93" t="inlineStr">
        <is>
          <t>2019 Y</t>
        </is>
      </c>
      <c r="Z140" s="94" t="inlineStr">
        <is>
          <t>0 - 99M</t>
        </is>
      </c>
      <c r="AA140" s="95" t="inlineStr">
        <is>
          <t>BlueRun Ventures</t>
        </is>
      </c>
      <c r="AB140" s="96" t="inlineStr">
        <is>
          <t>Menlo Park, CA</t>
        </is>
      </c>
      <c r="AC140" s="97" t="inlineStr">
        <is>
          <t/>
        </is>
      </c>
      <c r="AD140" s="98" t="inlineStr">
        <is>
          <t>Seed Round, Early Stage VC, Later Stage VC</t>
        </is>
      </c>
      <c r="AE140" s="99" t="inlineStr">
        <is>
          <t/>
        </is>
      </c>
      <c r="AF140" s="100" t="inlineStr">
        <is>
          <t>TPSF</t>
        </is>
      </c>
      <c r="AG140" s="233">
        <f>HYPERLINK("https://my.pitchbook.com?i=11255-59", "View Investor Online")</f>
      </c>
    </row>
    <row r="141">
      <c r="A141" s="36" t="inlineStr">
        <is>
          <t>13510-09F</t>
        </is>
      </c>
      <c r="B141" s="37" t="inlineStr">
        <is>
          <t>Waste Resources Fund</t>
        </is>
      </c>
      <c r="C141" s="38" t="inlineStr">
        <is>
          <t/>
        </is>
      </c>
      <c r="D141" s="39" t="inlineStr">
        <is>
          <t>Venture Capital</t>
        </is>
      </c>
      <c r="E141" s="40" t="n">
        <v>50.0</v>
      </c>
      <c r="F141" s="41" t="inlineStr">
        <is>
          <t>London, United Kingdom</t>
        </is>
      </c>
      <c r="G141" s="42" t="inlineStr">
        <is>
          <t/>
        </is>
      </c>
      <c r="H141" s="43" t="n">
        <v>2010.0</v>
      </c>
      <c r="I141" s="44" t="n">
        <v>81.1284186795754</v>
      </c>
      <c r="J141" s="45" t="n">
        <v>40.5642093397877</v>
      </c>
      <c r="K141" s="46" t="n">
        <v>0.0</v>
      </c>
      <c r="L141" s="47" t="n">
        <v>5.978736238031939</v>
      </c>
      <c r="M141" s="48" t="n">
        <v>39.12833136917469</v>
      </c>
      <c r="N141" s="49" t="inlineStr">
        <is>
          <t/>
        </is>
      </c>
      <c r="O141" s="50" t="inlineStr">
        <is>
          <t/>
        </is>
      </c>
      <c r="P141" s="51" t="inlineStr">
        <is>
          <t/>
        </is>
      </c>
      <c r="Q141" s="52" t="n">
        <v>0.15</v>
      </c>
      <c r="R141" s="53" t="inlineStr">
        <is>
          <t/>
        </is>
      </c>
      <c r="S141" s="54" t="n">
        <v>0.96</v>
      </c>
      <c r="T141" s="55" t="inlineStr">
        <is>
          <t/>
        </is>
      </c>
      <c r="U141" s="56" t="n">
        <v>1.1099999999999999</v>
      </c>
      <c r="V141" s="57" t="inlineStr">
        <is>
          <t/>
        </is>
      </c>
      <c r="W141" s="58" t="inlineStr">
        <is>
          <t/>
        </is>
      </c>
      <c r="X141" s="59" t="inlineStr">
        <is>
          <t>LP Original Commitments</t>
        </is>
      </c>
      <c r="Y141" s="60" t="inlineStr">
        <is>
          <t>2019 Y</t>
        </is>
      </c>
      <c r="Z141" s="61" t="inlineStr">
        <is>
          <t>0 - 99M</t>
        </is>
      </c>
      <c r="AA141" s="62" t="inlineStr">
        <is>
          <t>FourWinds Capital Management</t>
        </is>
      </c>
      <c r="AB141" s="63" t="inlineStr">
        <is>
          <t>Boston, MA</t>
        </is>
      </c>
      <c r="AC141" s="64" t="inlineStr">
        <is>
          <t>Commercial Services</t>
        </is>
      </c>
      <c r="AD141" s="65" t="inlineStr">
        <is>
          <t>Seed Round, Early Stage VC, Later Stage VC</t>
        </is>
      </c>
      <c r="AE141" s="66" t="inlineStr">
        <is>
          <t/>
        </is>
      </c>
      <c r="AF141" s="67" t="inlineStr">
        <is>
          <t>MPF</t>
        </is>
      </c>
      <c r="AG141" s="232">
        <f>HYPERLINK("https://my.pitchbook.com?i=54569-08", "View Investor Online")</f>
      </c>
    </row>
    <row r="142">
      <c r="A142" s="69" t="inlineStr">
        <is>
          <t>16156-27F</t>
        </is>
      </c>
      <c r="B142" s="70" t="inlineStr">
        <is>
          <t>Episode 1 Investments 2</t>
        </is>
      </c>
      <c r="C142" s="71" t="inlineStr">
        <is>
          <t/>
        </is>
      </c>
      <c r="D142" s="72" t="inlineStr">
        <is>
          <t>Venture Capital</t>
        </is>
      </c>
      <c r="E142" s="73" t="n">
        <v>79.35784</v>
      </c>
      <c r="F142" s="74" t="inlineStr">
        <is>
          <t>London, United Kingdom</t>
        </is>
      </c>
      <c r="G142" s="75" t="inlineStr">
        <is>
          <t/>
        </is>
      </c>
      <c r="H142" s="76" t="n">
        <v>2017.0</v>
      </c>
      <c r="I142" s="77" t="n">
        <v>38.9</v>
      </c>
      <c r="J142" s="78" t="n">
        <v>30.870198354912056</v>
      </c>
      <c r="K142" s="79" t="n">
        <v>48.48764023999999</v>
      </c>
      <c r="L142" s="80" t="n">
        <v>2.751071661448889</v>
      </c>
      <c r="M142" s="81" t="n">
        <v>31.333119067175087</v>
      </c>
      <c r="N142" s="82" t="inlineStr">
        <is>
          <t/>
        </is>
      </c>
      <c r="O142" s="83" t="inlineStr">
        <is>
          <t/>
        </is>
      </c>
      <c r="P142" s="84" t="inlineStr">
        <is>
          <t/>
        </is>
      </c>
      <c r="Q142" s="85" t="n">
        <v>0.089</v>
      </c>
      <c r="R142" s="86" t="inlineStr">
        <is>
          <t/>
        </is>
      </c>
      <c r="S142" s="87" t="n">
        <v>1.015</v>
      </c>
      <c r="T142" s="88" t="inlineStr">
        <is>
          <t/>
        </is>
      </c>
      <c r="U142" s="89" t="n">
        <v>1.1</v>
      </c>
      <c r="V142" s="90" t="inlineStr">
        <is>
          <t/>
        </is>
      </c>
      <c r="W142" s="91" t="inlineStr">
        <is>
          <t/>
        </is>
      </c>
      <c r="X142" s="92" t="inlineStr">
        <is>
          <t>GP Self Reporting</t>
        </is>
      </c>
      <c r="Y142" s="93" t="inlineStr">
        <is>
          <t>2020 Y</t>
        </is>
      </c>
      <c r="Z142" s="94" t="inlineStr">
        <is>
          <t>0 - 99M</t>
        </is>
      </c>
      <c r="AA142" s="95" t="inlineStr">
        <is>
          <t>Episode 1 Ventures</t>
        </is>
      </c>
      <c r="AB142" s="96" t="inlineStr">
        <is>
          <t>London, United Kingdom</t>
        </is>
      </c>
      <c r="AC142" s="97" t="inlineStr">
        <is>
          <t>Software</t>
        </is>
      </c>
      <c r="AD142" s="98" t="inlineStr">
        <is>
          <t>Early Stage VC, Seed Round</t>
        </is>
      </c>
      <c r="AE142" s="99" t="inlineStr">
        <is>
          <t>United Kingdom</t>
        </is>
      </c>
      <c r="AF142" s="100" t="inlineStr">
        <is>
          <t>Episode 1</t>
        </is>
      </c>
      <c r="AG142" s="233">
        <f>HYPERLINK("https://my.pitchbook.com?i=59900-77", "View Investor Online")</f>
      </c>
    </row>
    <row r="143">
      <c r="A143" s="36" t="inlineStr">
        <is>
          <t>16501-24F</t>
        </is>
      </c>
      <c r="B143" s="37" t="inlineStr">
        <is>
          <t>Technology Impact Growth Fund</t>
        </is>
      </c>
      <c r="C143" s="38" t="inlineStr">
        <is>
          <t/>
        </is>
      </c>
      <c r="D143" s="39" t="inlineStr">
        <is>
          <t>Venture Capital</t>
        </is>
      </c>
      <c r="E143" s="40" t="n">
        <v>88.0</v>
      </c>
      <c r="F143" s="41" t="inlineStr">
        <is>
          <t>Palo Alto, CA</t>
        </is>
      </c>
      <c r="G143" s="42" t="inlineStr">
        <is>
          <t/>
        </is>
      </c>
      <c r="H143" s="43" t="n">
        <v>2018.0</v>
      </c>
      <c r="I143" s="44" t="n">
        <v>71.66</v>
      </c>
      <c r="J143" s="45" t="n">
        <v>63.06080000000001</v>
      </c>
      <c r="K143" s="46" t="n">
        <v>24.9392</v>
      </c>
      <c r="L143" s="47" t="n">
        <v>29.875999999999998</v>
      </c>
      <c r="M143" s="48" t="n">
        <v>39.1248</v>
      </c>
      <c r="N143" s="49" t="inlineStr">
        <is>
          <t/>
        </is>
      </c>
      <c r="O143" s="50" t="inlineStr">
        <is>
          <t/>
        </is>
      </c>
      <c r="P143" s="51" t="inlineStr">
        <is>
          <t/>
        </is>
      </c>
      <c r="Q143" s="52" t="n">
        <v>0.47</v>
      </c>
      <c r="R143" s="53" t="n">
        <v>0.47</v>
      </c>
      <c r="S143" s="54" t="n">
        <v>0.62</v>
      </c>
      <c r="T143" s="55" t="n">
        <v>-0.39149</v>
      </c>
      <c r="U143" s="56" t="n">
        <v>1.0899999999999999</v>
      </c>
      <c r="V143" s="57" t="n">
        <v>-0.010000000000000231</v>
      </c>
      <c r="W143" s="58" t="inlineStr">
        <is>
          <t/>
        </is>
      </c>
      <c r="X143" s="59" t="inlineStr">
        <is>
          <t>LP Original Commitments</t>
        </is>
      </c>
      <c r="Y143" s="60" t="inlineStr">
        <is>
          <t>2020 Y</t>
        </is>
      </c>
      <c r="Z143" s="61" t="inlineStr">
        <is>
          <t>0 - 99M</t>
        </is>
      </c>
      <c r="AA143" s="62" t="inlineStr">
        <is>
          <t>Capricorn Investment Group</t>
        </is>
      </c>
      <c r="AB143" s="63" t="inlineStr">
        <is>
          <t>Palo Alto, CA</t>
        </is>
      </c>
      <c r="AC143" s="64" t="inlineStr">
        <is>
          <t>Information Technology</t>
        </is>
      </c>
      <c r="AD143" s="65" t="inlineStr">
        <is>
          <t>Seed Round, Early Stage VC, Later Stage VC</t>
        </is>
      </c>
      <c r="AE143" s="66" t="inlineStr">
        <is>
          <t/>
        </is>
      </c>
      <c r="AF143" s="67" t="inlineStr">
        <is>
          <t>MainePERS</t>
        </is>
      </c>
      <c r="AG143" s="232">
        <f>HYPERLINK("https://my.pitchbook.com?i=10789-57", "View Investor Online")</f>
      </c>
    </row>
    <row r="144">
      <c r="A144" s="69" t="inlineStr">
        <is>
          <t>14774-68F</t>
        </is>
      </c>
      <c r="B144" s="70" t="inlineStr">
        <is>
          <t>Breega Capital Venture I</t>
        </is>
      </c>
      <c r="C144" s="71" t="inlineStr">
        <is>
          <t/>
        </is>
      </c>
      <c r="D144" s="72" t="inlineStr">
        <is>
          <t>Venture Capital</t>
        </is>
      </c>
      <c r="E144" s="73" t="n">
        <v>68.56225</v>
      </c>
      <c r="F144" s="74" t="inlineStr">
        <is>
          <t>Paris, France</t>
        </is>
      </c>
      <c r="G144" s="75" t="inlineStr">
        <is>
          <t/>
        </is>
      </c>
      <c r="H144" s="76" t="n">
        <v>2014.0</v>
      </c>
      <c r="I144" s="77" t="n">
        <v>58.0</v>
      </c>
      <c r="J144" s="78" t="n">
        <v>39.76610218608434</v>
      </c>
      <c r="K144" s="79" t="n">
        <v>0.0</v>
      </c>
      <c r="L144" s="80" t="n">
        <v>0.0</v>
      </c>
      <c r="M144" s="81" t="n">
        <v>42.78284097261487</v>
      </c>
      <c r="N144" s="82" t="inlineStr">
        <is>
          <t/>
        </is>
      </c>
      <c r="O144" s="83" t="inlineStr">
        <is>
          <t/>
        </is>
      </c>
      <c r="P144" s="84" t="inlineStr">
        <is>
          <t/>
        </is>
      </c>
      <c r="Q144" s="85" t="n">
        <v>0.0</v>
      </c>
      <c r="R144" s="86" t="n">
        <v>-0.00279</v>
      </c>
      <c r="S144" s="87" t="n">
        <v>1.075862069</v>
      </c>
      <c r="T144" s="88" t="n">
        <v>2.068999999993437E-6</v>
      </c>
      <c r="U144" s="89" t="n">
        <v>1.08</v>
      </c>
      <c r="V144" s="90" t="n">
        <v>-0.030000000000000027</v>
      </c>
      <c r="W144" s="91" t="inlineStr">
        <is>
          <t/>
        </is>
      </c>
      <c r="X144" s="92" t="inlineStr">
        <is>
          <t>GP Self Reporting</t>
        </is>
      </c>
      <c r="Y144" s="93" t="inlineStr">
        <is>
          <t>2017 Y</t>
        </is>
      </c>
      <c r="Z144" s="94" t="inlineStr">
        <is>
          <t>0 - 99M</t>
        </is>
      </c>
      <c r="AA144" s="95" t="inlineStr">
        <is>
          <t>Breega Capital</t>
        </is>
      </c>
      <c r="AB144" s="96" t="inlineStr">
        <is>
          <t>Paris, France</t>
        </is>
      </c>
      <c r="AC144" s="97" t="inlineStr">
        <is>
          <t>Software</t>
        </is>
      </c>
      <c r="AD144" s="98" t="inlineStr">
        <is>
          <t>Seed Round</t>
        </is>
      </c>
      <c r="AE144" s="99" t="inlineStr">
        <is>
          <t>France</t>
        </is>
      </c>
      <c r="AF144" s="100" t="inlineStr">
        <is>
          <t>Breega</t>
        </is>
      </c>
      <c r="AG144" s="233">
        <f>HYPERLINK("https://my.pitchbook.com?i=62981-92", "View Investor Online")</f>
      </c>
    </row>
    <row r="145">
      <c r="A145" s="36" t="inlineStr">
        <is>
          <t>12956-32F</t>
        </is>
      </c>
      <c r="B145" s="37" t="inlineStr">
        <is>
          <t>High Peaks Seed Ventures</t>
        </is>
      </c>
      <c r="C145" s="38" t="inlineStr">
        <is>
          <t/>
        </is>
      </c>
      <c r="D145" s="39" t="inlineStr">
        <is>
          <t>Venture Capital</t>
        </is>
      </c>
      <c r="E145" s="40" t="n">
        <v>25.0</v>
      </c>
      <c r="F145" s="41" t="inlineStr">
        <is>
          <t>New York, NY</t>
        </is>
      </c>
      <c r="G145" s="42" t="inlineStr">
        <is>
          <t/>
        </is>
      </c>
      <c r="H145" s="43" t="n">
        <v>2010.0</v>
      </c>
      <c r="I145" s="44" t="n">
        <v>97.48441333333334</v>
      </c>
      <c r="J145" s="45" t="n">
        <v>24.371103333333334</v>
      </c>
      <c r="K145" s="46" t="n">
        <v>0.6288966666666667</v>
      </c>
      <c r="L145" s="47" t="n">
        <v>10.528465</v>
      </c>
      <c r="M145" s="48" t="n">
        <v>15.893961666666666</v>
      </c>
      <c r="N145" s="49" t="inlineStr">
        <is>
          <t/>
        </is>
      </c>
      <c r="O145" s="50" t="inlineStr">
        <is>
          <t/>
        </is>
      </c>
      <c r="P145" s="51" t="inlineStr">
        <is>
          <t/>
        </is>
      </c>
      <c r="Q145" s="52" t="n">
        <v>0.43</v>
      </c>
      <c r="R145" s="53" t="n">
        <v>-0.38999999999999996</v>
      </c>
      <c r="S145" s="54" t="n">
        <v>0.65</v>
      </c>
      <c r="T145" s="55" t="n">
        <v>-0.02362999999999993</v>
      </c>
      <c r="U145" s="56" t="n">
        <v>1.08</v>
      </c>
      <c r="V145" s="57" t="n">
        <v>-0.21999999999999997</v>
      </c>
      <c r="W145" s="58" t="inlineStr">
        <is>
          <t/>
        </is>
      </c>
      <c r="X145" s="59" t="inlineStr">
        <is>
          <t>LP Original Commitments</t>
        </is>
      </c>
      <c r="Y145" s="60" t="inlineStr">
        <is>
          <t>2019 Y</t>
        </is>
      </c>
      <c r="Z145" s="61" t="inlineStr">
        <is>
          <t>0 - 99M</t>
        </is>
      </c>
      <c r="AA145" s="62" t="inlineStr">
        <is>
          <t>Primary Venture Partners</t>
        </is>
      </c>
      <c r="AB145" s="63" t="inlineStr">
        <is>
          <t>New York, NY</t>
        </is>
      </c>
      <c r="AC145" s="64" t="inlineStr">
        <is>
          <t>Software</t>
        </is>
      </c>
      <c r="AD145" s="65" t="inlineStr">
        <is>
          <t>Angel (individual), Seed Round, Early Stage VC</t>
        </is>
      </c>
      <c r="AE145" s="66" t="inlineStr">
        <is>
          <t>New York, United States</t>
        </is>
      </c>
      <c r="AF145" s="67" t="inlineStr">
        <is>
          <t>NYSCRF</t>
        </is>
      </c>
      <c r="AG145" s="232">
        <f>HYPERLINK("https://my.pitchbook.com?i=11209-51", "View Investor Online")</f>
      </c>
    </row>
    <row r="146">
      <c r="A146" s="69" t="inlineStr">
        <is>
          <t>15445-90F</t>
        </is>
      </c>
      <c r="B146" s="70" t="inlineStr">
        <is>
          <t>HBM Genomics</t>
        </is>
      </c>
      <c r="C146" s="71" t="inlineStr">
        <is>
          <t/>
        </is>
      </c>
      <c r="D146" s="72" t="inlineStr">
        <is>
          <t>Venture Capital - Early Stage</t>
        </is>
      </c>
      <c r="E146" s="73" t="n">
        <v>15.0</v>
      </c>
      <c r="F146" s="74" t="inlineStr">
        <is>
          <t>Zug, Switzerland</t>
        </is>
      </c>
      <c r="G146" s="75" t="inlineStr">
        <is>
          <t/>
        </is>
      </c>
      <c r="H146" s="76" t="n">
        <v>2014.0</v>
      </c>
      <c r="I146" s="77" t="n">
        <v>100.0</v>
      </c>
      <c r="J146" s="78" t="n">
        <v>15.0</v>
      </c>
      <c r="K146" s="79" t="n">
        <v>0.0</v>
      </c>
      <c r="L146" s="80" t="n">
        <v>0.0</v>
      </c>
      <c r="M146" s="81" t="n">
        <v>16.10091743119266</v>
      </c>
      <c r="N146" s="82" t="inlineStr">
        <is>
          <t/>
        </is>
      </c>
      <c r="O146" s="83" t="inlineStr">
        <is>
          <t/>
        </is>
      </c>
      <c r="P146" s="84" t="inlineStr">
        <is>
          <t/>
        </is>
      </c>
      <c r="Q146" s="85" t="n">
        <v>0.0</v>
      </c>
      <c r="R146" s="86" t="inlineStr">
        <is>
          <t/>
        </is>
      </c>
      <c r="S146" s="87" t="n">
        <v>1.07</v>
      </c>
      <c r="T146" s="88" t="inlineStr">
        <is>
          <t/>
        </is>
      </c>
      <c r="U146" s="89" t="n">
        <v>1.07</v>
      </c>
      <c r="V146" s="90" t="inlineStr">
        <is>
          <t/>
        </is>
      </c>
      <c r="W146" s="91" t="inlineStr">
        <is>
          <t/>
        </is>
      </c>
      <c r="X146" s="92" t="inlineStr">
        <is>
          <t>GP Self Reporting</t>
        </is>
      </c>
      <c r="Y146" s="93" t="inlineStr">
        <is>
          <t>2020 Y</t>
        </is>
      </c>
      <c r="Z146" s="94" t="inlineStr">
        <is>
          <t>0 - 99M</t>
        </is>
      </c>
      <c r="AA146" s="95" t="inlineStr">
        <is>
          <t>HBM Healthcare Investments</t>
        </is>
      </c>
      <c r="AB146" s="96" t="inlineStr">
        <is>
          <t>Zug, Switzerland</t>
        </is>
      </c>
      <c r="AC146" s="97" t="inlineStr">
        <is>
          <t>Pharmaceuticals and Biotechnology</t>
        </is>
      </c>
      <c r="AD146" s="98" t="inlineStr">
        <is>
          <t>Seed Round, Early Stage VC</t>
        </is>
      </c>
      <c r="AE146" s="99" t="inlineStr">
        <is>
          <t/>
        </is>
      </c>
      <c r="AF146" s="100" t="inlineStr">
        <is>
          <t>HBM</t>
        </is>
      </c>
      <c r="AG146" s="233">
        <f>HYPERLINK("https://my.pitchbook.com?i=10367-47", "View Investor Online")</f>
      </c>
    </row>
    <row r="147">
      <c r="A147" s="36" t="inlineStr">
        <is>
          <t>13172-23F</t>
        </is>
      </c>
      <c r="B147" s="37" t="inlineStr">
        <is>
          <t>Renaissance Technologies 3</t>
        </is>
      </c>
      <c r="C147" s="38" t="inlineStr">
        <is>
          <t/>
        </is>
      </c>
      <c r="D147" s="39" t="inlineStr">
        <is>
          <t>Venture Capital</t>
        </is>
      </c>
      <c r="E147" s="40" t="n">
        <v>75.86715</v>
      </c>
      <c r="F147" s="41" t="inlineStr">
        <is>
          <t>Lausanne, Switzerland</t>
        </is>
      </c>
      <c r="G147" s="42" t="inlineStr">
        <is>
          <t/>
        </is>
      </c>
      <c r="H147" s="43" t="n">
        <v>2009.0</v>
      </c>
      <c r="I147" s="44" t="inlineStr">
        <is>
          <t/>
        </is>
      </c>
      <c r="J147" s="45" t="inlineStr">
        <is>
          <t/>
        </is>
      </c>
      <c r="K147" s="46" t="n">
        <v>0.0</v>
      </c>
      <c r="L147" s="47" t="inlineStr">
        <is>
          <t/>
        </is>
      </c>
      <c r="M147" s="48" t="inlineStr">
        <is>
          <t/>
        </is>
      </c>
      <c r="N147" s="49" t="inlineStr">
        <is>
          <t/>
        </is>
      </c>
      <c r="O147" s="50" t="inlineStr">
        <is>
          <t/>
        </is>
      </c>
      <c r="P147" s="51" t="inlineStr">
        <is>
          <t/>
        </is>
      </c>
      <c r="Q147" s="52" t="n">
        <v>0.21</v>
      </c>
      <c r="R147" s="53" t="n">
        <v>-0.5650000000000001</v>
      </c>
      <c r="S147" s="54" t="n">
        <v>0.85</v>
      </c>
      <c r="T147" s="55" t="n">
        <v>0.14464999999999995</v>
      </c>
      <c r="U147" s="56" t="n">
        <v>1.06</v>
      </c>
      <c r="V147" s="57" t="n">
        <v>-0.5549999999999999</v>
      </c>
      <c r="W147" s="58" t="inlineStr">
        <is>
          <t/>
        </is>
      </c>
      <c r="X147" s="59" t="inlineStr">
        <is>
          <t>GP Self Reporting</t>
        </is>
      </c>
      <c r="Y147" s="60" t="inlineStr">
        <is>
          <t>2016 Y</t>
        </is>
      </c>
      <c r="Z147" s="61" t="inlineStr">
        <is>
          <t>0 - 99M</t>
        </is>
      </c>
      <c r="AA147" s="62" t="inlineStr">
        <is>
          <t>Renaissance KMU Schweizerische Anlagestiftung, Vinci Capital (Switzerland)</t>
        </is>
      </c>
      <c r="AB147" s="63" t="inlineStr">
        <is>
          <t>Lausanne, Switzerland</t>
        </is>
      </c>
      <c r="AC147" s="64" t="inlineStr">
        <is>
          <t>Business Products and Services (B2B), Healthcare</t>
        </is>
      </c>
      <c r="AD147" s="65" t="inlineStr">
        <is>
          <t>Seed Round, Early Stage VC, Later Stage VC</t>
        </is>
      </c>
      <c r="AE147" s="66" t="inlineStr">
        <is>
          <t/>
        </is>
      </c>
      <c r="AF147" s="67" t="inlineStr">
        <is>
          <t>Renaissance</t>
        </is>
      </c>
      <c r="AG147" s="232">
        <f>HYPERLINK("https://my.pitchbook.com?i=96629-77", "View Investor Online")</f>
      </c>
    </row>
    <row r="148">
      <c r="A148" s="69" t="inlineStr">
        <is>
          <t>16001-65F</t>
        </is>
      </c>
      <c r="B148" s="70" t="inlineStr">
        <is>
          <t>ACE Late-Stage Tech</t>
        </is>
      </c>
      <c r="C148" s="71" t="inlineStr">
        <is>
          <t/>
        </is>
      </c>
      <c r="D148" s="72" t="inlineStr">
        <is>
          <t>Venture Capital</t>
        </is>
      </c>
      <c r="E148" s="73" t="n">
        <v>15.3</v>
      </c>
      <c r="F148" s="74" t="inlineStr">
        <is>
          <t>Geneva, Switzerland</t>
        </is>
      </c>
      <c r="G148" s="75" t="inlineStr">
        <is>
          <t/>
        </is>
      </c>
      <c r="H148" s="76" t="n">
        <v>2015.0</v>
      </c>
      <c r="I148" s="77" t="n">
        <v>100.0</v>
      </c>
      <c r="J148" s="78" t="n">
        <v>15.3</v>
      </c>
      <c r="K148" s="79" t="n">
        <v>7.2675</v>
      </c>
      <c r="L148" s="80" t="n">
        <v>1.9</v>
      </c>
      <c r="M148" s="81" t="n">
        <v>14.0</v>
      </c>
      <c r="N148" s="82" t="n">
        <v>1.05</v>
      </c>
      <c r="O148" s="83" t="inlineStr">
        <is>
          <t/>
        </is>
      </c>
      <c r="P148" s="84" t="inlineStr">
        <is>
          <t/>
        </is>
      </c>
      <c r="Q148" s="85" t="n">
        <v>0.124183007</v>
      </c>
      <c r="R148" s="86" t="inlineStr">
        <is>
          <t/>
        </is>
      </c>
      <c r="S148" s="87" t="n">
        <v>0.91503268</v>
      </c>
      <c r="T148" s="88" t="n">
        <v>-0.004977319999999952</v>
      </c>
      <c r="U148" s="89" t="n">
        <v>1.04</v>
      </c>
      <c r="V148" s="90" t="inlineStr">
        <is>
          <t/>
        </is>
      </c>
      <c r="W148" s="91" t="inlineStr">
        <is>
          <t/>
        </is>
      </c>
      <c r="X148" s="92" t="inlineStr">
        <is>
          <t>GP Self Reporting</t>
        </is>
      </c>
      <c r="Y148" s="93" t="inlineStr">
        <is>
          <t>2019 Y</t>
        </is>
      </c>
      <c r="Z148" s="94" t="inlineStr">
        <is>
          <t>0 - 99M</t>
        </is>
      </c>
      <c r="AA148" s="95" t="inlineStr">
        <is>
          <t>ACE &amp; Company</t>
        </is>
      </c>
      <c r="AB148" s="96" t="inlineStr">
        <is>
          <t>Geneva, Switzerland</t>
        </is>
      </c>
      <c r="AC148" s="97" t="inlineStr">
        <is>
          <t/>
        </is>
      </c>
      <c r="AD148" s="98" t="inlineStr">
        <is>
          <t>Seed Round, Early Stage VC, Later Stage VC</t>
        </is>
      </c>
      <c r="AE148" s="99" t="inlineStr">
        <is>
          <t/>
        </is>
      </c>
      <c r="AF148" s="100" t="inlineStr">
        <is>
          <t>ACE</t>
        </is>
      </c>
      <c r="AG148" s="233">
        <f>HYPERLINK("https://my.pitchbook.com?i=56092-96", "View Investor Online")</f>
      </c>
    </row>
    <row r="149">
      <c r="A149" s="36" t="inlineStr">
        <is>
          <t>15891-67F</t>
        </is>
      </c>
      <c r="B149" s="37" t="inlineStr">
        <is>
          <t>Bay City Capital GF Xinde International Life Sciences USD Fund</t>
        </is>
      </c>
      <c r="C149" s="38" t="inlineStr">
        <is>
          <t/>
        </is>
      </c>
      <c r="D149" s="39" t="inlineStr">
        <is>
          <t>Venture Capital</t>
        </is>
      </c>
      <c r="E149" s="40" t="n">
        <v>98.0</v>
      </c>
      <c r="F149" s="41" t="inlineStr">
        <is>
          <t>San Francisco, CA</t>
        </is>
      </c>
      <c r="G149" s="42" t="n">
        <v>4.0</v>
      </c>
      <c r="H149" s="43" t="n">
        <v>2016.0</v>
      </c>
      <c r="I149" s="44" t="n">
        <v>97.85714285714286</v>
      </c>
      <c r="J149" s="45" t="n">
        <v>95.9</v>
      </c>
      <c r="K149" s="46" t="n">
        <v>2.1</v>
      </c>
      <c r="L149" s="47" t="n">
        <v>44.2</v>
      </c>
      <c r="M149" s="48" t="n">
        <v>55.2</v>
      </c>
      <c r="N149" s="49" t="n">
        <v>1.14</v>
      </c>
      <c r="O149" s="50" t="inlineStr">
        <is>
          <t/>
        </is>
      </c>
      <c r="P149" s="51" t="n">
        <v>-19.38</v>
      </c>
      <c r="Q149" s="52" t="n">
        <v>0.460896767</v>
      </c>
      <c r="R149" s="53" t="n">
        <v>0.400696767</v>
      </c>
      <c r="S149" s="54" t="n">
        <v>0.575599583</v>
      </c>
      <c r="T149" s="55" t="n">
        <v>-0.5944004169999999</v>
      </c>
      <c r="U149" s="56" t="n">
        <v>1.04</v>
      </c>
      <c r="V149" s="57" t="n">
        <v>-0.21999999999999997</v>
      </c>
      <c r="W149" s="58" t="inlineStr">
        <is>
          <t/>
        </is>
      </c>
      <c r="X149" s="59" t="inlineStr">
        <is>
          <t>GP Self Reporting</t>
        </is>
      </c>
      <c r="Y149" s="60" t="inlineStr">
        <is>
          <t>2020 Y</t>
        </is>
      </c>
      <c r="Z149" s="61" t="inlineStr">
        <is>
          <t>0 - 99M</t>
        </is>
      </c>
      <c r="AA149" s="62" t="inlineStr">
        <is>
          <t>Bay City Capital, GF Xinde Investment Management</t>
        </is>
      </c>
      <c r="AB149" s="63" t="inlineStr">
        <is>
          <t>San Francisco, CA</t>
        </is>
      </c>
      <c r="AC149" s="64" t="inlineStr">
        <is>
          <t>Healthcare</t>
        </is>
      </c>
      <c r="AD149" s="65" t="inlineStr">
        <is>
          <t>Seed Round, Early Stage VC, Later Stage VC</t>
        </is>
      </c>
      <c r="AE149" s="66" t="inlineStr">
        <is>
          <t>North America, Asia, Europe</t>
        </is>
      </c>
      <c r="AF149" s="67" t="inlineStr">
        <is>
          <t>Bay City</t>
        </is>
      </c>
      <c r="AG149" s="232">
        <f>HYPERLINK("https://my.pitchbook.com?i=11128-42", "View Investor Online")</f>
      </c>
    </row>
    <row r="150">
      <c r="A150" s="69" t="inlineStr">
        <is>
          <t>15586-84F</t>
        </is>
      </c>
      <c r="B150" s="70" t="inlineStr">
        <is>
          <t>Kickstart Seed Fund IV</t>
        </is>
      </c>
      <c r="C150" s="71" t="inlineStr">
        <is>
          <t/>
        </is>
      </c>
      <c r="D150" s="72" t="inlineStr">
        <is>
          <t>Venture Capital - Early Stage</t>
        </is>
      </c>
      <c r="E150" s="73" t="n">
        <v>74.0</v>
      </c>
      <c r="F150" s="74" t="inlineStr">
        <is>
          <t>Cottonwood Heights, UT</t>
        </is>
      </c>
      <c r="G150" s="75" t="n">
        <v>3.0</v>
      </c>
      <c r="H150" s="76" t="n">
        <v>2018.0</v>
      </c>
      <c r="I150" s="77" t="n">
        <v>66.5</v>
      </c>
      <c r="J150" s="78" t="n">
        <v>49.21</v>
      </c>
      <c r="K150" s="79" t="n">
        <v>27.963133640552996</v>
      </c>
      <c r="L150" s="80" t="n">
        <v>0.0</v>
      </c>
      <c r="M150" s="81" t="n">
        <v>50.65545186666667</v>
      </c>
      <c r="N150" s="82" t="n">
        <v>3.0999999999999996</v>
      </c>
      <c r="O150" s="83" t="inlineStr">
        <is>
          <t/>
        </is>
      </c>
      <c r="P150" s="84" t="n">
        <v>-3.0700000000000003</v>
      </c>
      <c r="Q150" s="85" t="n">
        <v>0.0</v>
      </c>
      <c r="R150" s="86" t="n">
        <v>0.0</v>
      </c>
      <c r="S150" s="87" t="n">
        <v>1.03</v>
      </c>
      <c r="T150" s="88" t="n">
        <v>0.025000000000000133</v>
      </c>
      <c r="U150" s="89" t="n">
        <v>1.03</v>
      </c>
      <c r="V150" s="90" t="n">
        <v>0.050000000000000044</v>
      </c>
      <c r="W150" s="91" t="inlineStr">
        <is>
          <t/>
        </is>
      </c>
      <c r="X150" s="92" t="inlineStr">
        <is>
          <t>LP Original Commitments</t>
        </is>
      </c>
      <c r="Y150" s="93" t="inlineStr">
        <is>
          <t>2019 Y</t>
        </is>
      </c>
      <c r="Z150" s="94" t="inlineStr">
        <is>
          <t>0 - 99M</t>
        </is>
      </c>
      <c r="AA150" s="95" t="inlineStr">
        <is>
          <t>Kickstart Seed Fund</t>
        </is>
      </c>
      <c r="AB150" s="96" t="inlineStr">
        <is>
          <t>Cottonwood Heights, UT</t>
        </is>
      </c>
      <c r="AC150" s="97" t="inlineStr">
        <is>
          <t>Software</t>
        </is>
      </c>
      <c r="AD150" s="98" t="inlineStr">
        <is>
          <t>Early Stage VC, Seed Round</t>
        </is>
      </c>
      <c r="AE150" s="99" t="inlineStr">
        <is>
          <t>Utah</t>
        </is>
      </c>
      <c r="AF150" s="100" t="inlineStr">
        <is>
          <t>New Mexico SIC, SITFO</t>
        </is>
      </c>
      <c r="AG150" s="233">
        <f>HYPERLINK("https://my.pitchbook.com?i=42788-17", "View Investor Online")</f>
      </c>
    </row>
    <row r="151">
      <c r="A151" s="36" t="inlineStr">
        <is>
          <t>15315-85F</t>
        </is>
      </c>
      <c r="B151" s="37" t="inlineStr">
        <is>
          <t>Booster 1</t>
        </is>
      </c>
      <c r="C151" s="38" t="inlineStr">
        <is>
          <t/>
        </is>
      </c>
      <c r="D151" s="39" t="inlineStr">
        <is>
          <t>Venture Capital</t>
        </is>
      </c>
      <c r="E151" s="40" t="n">
        <v>31.33</v>
      </c>
      <c r="F151" s="41" t="inlineStr">
        <is>
          <t>Paris, France</t>
        </is>
      </c>
      <c r="G151" s="42" t="inlineStr">
        <is>
          <t/>
        </is>
      </c>
      <c r="H151" s="43" t="n">
        <v>2014.0</v>
      </c>
      <c r="I151" s="44" t="n">
        <v>50.0</v>
      </c>
      <c r="J151" s="45" t="n">
        <v>15.665</v>
      </c>
      <c r="K151" s="46" t="n">
        <v>0.0</v>
      </c>
      <c r="L151" s="47" t="n">
        <v>0.0</v>
      </c>
      <c r="M151" s="48" t="n">
        <v>15.9783</v>
      </c>
      <c r="N151" s="49" t="inlineStr">
        <is>
          <t/>
        </is>
      </c>
      <c r="O151" s="50" t="inlineStr">
        <is>
          <t/>
        </is>
      </c>
      <c r="P151" s="51" t="inlineStr">
        <is>
          <t/>
        </is>
      </c>
      <c r="Q151" s="52" t="n">
        <v>0.0</v>
      </c>
      <c r="R151" s="53" t="n">
        <v>-0.00279</v>
      </c>
      <c r="S151" s="54" t="n">
        <v>1.02</v>
      </c>
      <c r="T151" s="55" t="n">
        <v>-0.05586000000000002</v>
      </c>
      <c r="U151" s="56" t="n">
        <v>1.02</v>
      </c>
      <c r="V151" s="57" t="n">
        <v>-0.09000000000000008</v>
      </c>
      <c r="W151" s="58" t="inlineStr">
        <is>
          <t/>
        </is>
      </c>
      <c r="X151" s="59" t="inlineStr">
        <is>
          <t>GP Self Reporting</t>
        </is>
      </c>
      <c r="Y151" s="60" t="inlineStr">
        <is>
          <t>2016 Y</t>
        </is>
      </c>
      <c r="Z151" s="61" t="inlineStr">
        <is>
          <t>0 - 99M</t>
        </is>
      </c>
      <c r="AA151" s="62" t="inlineStr">
        <is>
          <t>Newfund Management</t>
        </is>
      </c>
      <c r="AB151" s="63" t="inlineStr">
        <is>
          <t>Paris, France</t>
        </is>
      </c>
      <c r="AC151" s="64" t="inlineStr">
        <is>
          <t>Software</t>
        </is>
      </c>
      <c r="AD151" s="65" t="inlineStr">
        <is>
          <t>Seed Round, Early Stage VC, Later Stage VC</t>
        </is>
      </c>
      <c r="AE151" s="66" t="inlineStr">
        <is>
          <t/>
        </is>
      </c>
      <c r="AF151" s="67" t="inlineStr">
        <is>
          <t>Newfund</t>
        </is>
      </c>
      <c r="AG151" s="232">
        <f>HYPERLINK("https://my.pitchbook.com?i=14194-54", "View Investor Online")</f>
      </c>
    </row>
    <row r="152">
      <c r="A152" s="69" t="inlineStr">
        <is>
          <t>12885-58F</t>
        </is>
      </c>
      <c r="B152" s="70" t="inlineStr">
        <is>
          <t>EDF Ventures III Healthcare Opportunity Fund</t>
        </is>
      </c>
      <c r="C152" s="71" t="inlineStr">
        <is>
          <t/>
        </is>
      </c>
      <c r="D152" s="72" t="inlineStr">
        <is>
          <t>Venture Capital</t>
        </is>
      </c>
      <c r="E152" s="73" t="n">
        <v>15.0</v>
      </c>
      <c r="F152" s="74" t="inlineStr">
        <is>
          <t>Ann Arbor, MI</t>
        </is>
      </c>
      <c r="G152" s="75" t="n">
        <v>3.0</v>
      </c>
      <c r="H152" s="76" t="n">
        <v>2009.0</v>
      </c>
      <c r="I152" s="77" t="n">
        <v>52.56347190668673</v>
      </c>
      <c r="J152" s="78" t="n">
        <v>7.8845207860030095</v>
      </c>
      <c r="K152" s="79" t="n">
        <v>0.030821917808219176</v>
      </c>
      <c r="L152" s="80" t="n">
        <v>0.0</v>
      </c>
      <c r="M152" s="81" t="n">
        <v>7.632880500000001</v>
      </c>
      <c r="N152" s="82" t="n">
        <v>1.31</v>
      </c>
      <c r="O152" s="83" t="inlineStr">
        <is>
          <t/>
        </is>
      </c>
      <c r="P152" s="84" t="n">
        <v>-7.74452</v>
      </c>
      <c r="Q152" s="85" t="n">
        <v>0.0</v>
      </c>
      <c r="R152" s="86" t="n">
        <v>-0.86</v>
      </c>
      <c r="S152" s="87" t="n">
        <v>1.02</v>
      </c>
      <c r="T152" s="88" t="n">
        <v>0.5418700000000001</v>
      </c>
      <c r="U152" s="89" t="n">
        <v>1.02</v>
      </c>
      <c r="V152" s="90" t="n">
        <v>-0.48</v>
      </c>
      <c r="W152" s="91" t="inlineStr">
        <is>
          <t/>
        </is>
      </c>
      <c r="X152" s="92" t="inlineStr">
        <is>
          <t>LP Original Commitments</t>
        </is>
      </c>
      <c r="Y152" s="93" t="inlineStr">
        <is>
          <t>2007 Y</t>
        </is>
      </c>
      <c r="Z152" s="94" t="inlineStr">
        <is>
          <t>0 - 99M</t>
        </is>
      </c>
      <c r="AA152" s="95" t="inlineStr">
        <is>
          <t>EDF Ventures</t>
        </is>
      </c>
      <c r="AB152" s="96" t="inlineStr">
        <is>
          <t>Ann Arbor, MI</t>
        </is>
      </c>
      <c r="AC152" s="97" t="inlineStr">
        <is>
          <t>Healthcare Devices and Supplies, Pharmaceuticals and Biotechnology</t>
        </is>
      </c>
      <c r="AD152" s="98" t="inlineStr">
        <is>
          <t>Later Stage VC, Early Stage VC</t>
        </is>
      </c>
      <c r="AE152" s="99" t="inlineStr">
        <is>
          <t>France, United States</t>
        </is>
      </c>
      <c r="AF152" s="100" t="inlineStr">
        <is>
          <t>Michigan Department of Treasury, Ohio BWC</t>
        </is>
      </c>
      <c r="AG152" s="233">
        <f>HYPERLINK("https://my.pitchbook.com?i=11177-11", "View Investor Online")</f>
      </c>
    </row>
    <row r="153">
      <c r="A153" s="36" t="inlineStr">
        <is>
          <t>13347-10F</t>
        </is>
      </c>
      <c r="B153" s="37" t="inlineStr">
        <is>
          <t>Osage Venture Partners III</t>
        </is>
      </c>
      <c r="C153" s="38" t="inlineStr">
        <is>
          <t/>
        </is>
      </c>
      <c r="D153" s="39" t="inlineStr">
        <is>
          <t>Venture Capital</t>
        </is>
      </c>
      <c r="E153" s="40" t="n">
        <v>66.0</v>
      </c>
      <c r="F153" s="41" t="inlineStr">
        <is>
          <t>Bala Cynwyd, PA</t>
        </is>
      </c>
      <c r="G153" s="42" t="inlineStr">
        <is>
          <t/>
        </is>
      </c>
      <c r="H153" s="43" t="n">
        <v>2011.0</v>
      </c>
      <c r="I153" s="44" t="n">
        <v>100.0</v>
      </c>
      <c r="J153" s="45" t="n">
        <v>66.0</v>
      </c>
      <c r="K153" s="46" t="n">
        <v>0.0</v>
      </c>
      <c r="L153" s="47" t="n">
        <v>35.37628911704312</v>
      </c>
      <c r="M153" s="48" t="n">
        <v>31.748665297741272</v>
      </c>
      <c r="N153" s="49" t="inlineStr">
        <is>
          <t/>
        </is>
      </c>
      <c r="O153" s="50" t="inlineStr">
        <is>
          <t/>
        </is>
      </c>
      <c r="P153" s="51" t="inlineStr">
        <is>
          <t/>
        </is>
      </c>
      <c r="Q153" s="52" t="n">
        <v>0.54</v>
      </c>
      <c r="R153" s="53" t="n">
        <v>0.35000000000000003</v>
      </c>
      <c r="S153" s="54" t="n">
        <v>0.48</v>
      </c>
      <c r="T153" s="55" t="n">
        <v>-0.6791</v>
      </c>
      <c r="U153" s="56" t="n">
        <v>1.02</v>
      </c>
      <c r="V153" s="57" t="n">
        <v>-0.51</v>
      </c>
      <c r="W153" s="58" t="inlineStr">
        <is>
          <t/>
        </is>
      </c>
      <c r="X153" s="59" t="inlineStr">
        <is>
          <t>LP Original Commitments</t>
        </is>
      </c>
      <c r="Y153" s="60" t="inlineStr">
        <is>
          <t>2020 Y</t>
        </is>
      </c>
      <c r="Z153" s="61" t="inlineStr">
        <is>
          <t>0 - 99M</t>
        </is>
      </c>
      <c r="AA153" s="62" t="inlineStr">
        <is>
          <t>Osage Venture Partners</t>
        </is>
      </c>
      <c r="AB153" s="63" t="inlineStr">
        <is>
          <t>Bala Cynwyd, PA</t>
        </is>
      </c>
      <c r="AC153" s="64" t="inlineStr">
        <is>
          <t>Software</t>
        </is>
      </c>
      <c r="AD153" s="65" t="inlineStr">
        <is>
          <t>Early Stage VC</t>
        </is>
      </c>
      <c r="AE153" s="66" t="inlineStr">
        <is>
          <t>Mid Atlantic</t>
        </is>
      </c>
      <c r="AF153" s="67" t="inlineStr">
        <is>
          <t>NJEDA</t>
        </is>
      </c>
      <c r="AG153" s="232">
        <f>HYPERLINK("https://my.pitchbook.com?i=51625-09", "View Investor Online")</f>
      </c>
    </row>
    <row r="154">
      <c r="A154" s="69" t="inlineStr">
        <is>
          <t>16427-26F</t>
        </is>
      </c>
      <c r="B154" s="70" t="inlineStr">
        <is>
          <t>Boulder Ventures VII</t>
        </is>
      </c>
      <c r="C154" s="71" t="inlineStr">
        <is>
          <t/>
        </is>
      </c>
      <c r="D154" s="72" t="inlineStr">
        <is>
          <t>Venture Capital</t>
        </is>
      </c>
      <c r="E154" s="73" t="n">
        <v>37.75</v>
      </c>
      <c r="F154" s="74" t="inlineStr">
        <is>
          <t>Boulder, CO</t>
        </is>
      </c>
      <c r="G154" s="75" t="n">
        <v>3.0</v>
      </c>
      <c r="H154" s="76" t="n">
        <v>2018.0</v>
      </c>
      <c r="I154" s="77" t="n">
        <v>23.04635761589404</v>
      </c>
      <c r="J154" s="78" t="n">
        <v>8.7</v>
      </c>
      <c r="K154" s="79" t="n">
        <v>21.29179683485072</v>
      </c>
      <c r="L154" s="80" t="n">
        <v>0.0</v>
      </c>
      <c r="M154" s="81" t="n">
        <v>8.8</v>
      </c>
      <c r="N154" s="82" t="n">
        <v>2.8</v>
      </c>
      <c r="O154" s="83" t="inlineStr">
        <is>
          <t/>
        </is>
      </c>
      <c r="P154" s="84" t="n">
        <v>-10.39</v>
      </c>
      <c r="Q154" s="85" t="n">
        <v>0.0</v>
      </c>
      <c r="R154" s="86" t="n">
        <v>0.0</v>
      </c>
      <c r="S154" s="87" t="n">
        <v>1.011494253</v>
      </c>
      <c r="T154" s="88" t="n">
        <v>4.252999999954099E-6</v>
      </c>
      <c r="U154" s="89" t="n">
        <v>1.01</v>
      </c>
      <c r="V154" s="90" t="n">
        <v>-0.09000000000000008</v>
      </c>
      <c r="W154" s="91" t="inlineStr">
        <is>
          <t/>
        </is>
      </c>
      <c r="X154" s="92" t="inlineStr">
        <is>
          <t>GP Self Reporting</t>
        </is>
      </c>
      <c r="Y154" s="93" t="inlineStr">
        <is>
          <t>2019 Y</t>
        </is>
      </c>
      <c r="Z154" s="94" t="inlineStr">
        <is>
          <t>0 - 99M</t>
        </is>
      </c>
      <c r="AA154" s="95" t="inlineStr">
        <is>
          <t>Boulder Ventures</t>
        </is>
      </c>
      <c r="AB154" s="96" t="inlineStr">
        <is>
          <t>Boulder, CO</t>
        </is>
      </c>
      <c r="AC154" s="97" t="inlineStr">
        <is>
          <t>Software</t>
        </is>
      </c>
      <c r="AD154" s="98" t="inlineStr">
        <is>
          <t>Seed Round, Early Stage VC, Later Stage VC</t>
        </is>
      </c>
      <c r="AE154" s="99" t="inlineStr">
        <is>
          <t>United States</t>
        </is>
      </c>
      <c r="AF154" s="100" t="inlineStr">
        <is>
          <t>Boulder Ventures</t>
        </is>
      </c>
      <c r="AG154" s="233">
        <f>HYPERLINK("https://my.pitchbook.com?i=11128-06", "View Investor Online")</f>
      </c>
    </row>
    <row r="155">
      <c r="A155" s="36" t="inlineStr">
        <is>
          <t>14991-85F</t>
        </is>
      </c>
      <c r="B155" s="37" t="inlineStr">
        <is>
          <t>Hatcher 1</t>
        </is>
      </c>
      <c r="C155" s="38" t="inlineStr">
        <is>
          <t/>
        </is>
      </c>
      <c r="D155" s="39" t="inlineStr">
        <is>
          <t>Venture Capital</t>
        </is>
      </c>
      <c r="E155" s="40" t="n">
        <v>20.0</v>
      </c>
      <c r="F155" s="41" t="inlineStr">
        <is>
          <t>Singapore, Singapore</t>
        </is>
      </c>
      <c r="G155" s="42" t="inlineStr">
        <is>
          <t/>
        </is>
      </c>
      <c r="H155" s="43" t="n">
        <v>2013.0</v>
      </c>
      <c r="I155" s="44" t="inlineStr">
        <is>
          <t/>
        </is>
      </c>
      <c r="J155" s="45" t="inlineStr">
        <is>
          <t/>
        </is>
      </c>
      <c r="K155" s="46" t="n">
        <v>0.0</v>
      </c>
      <c r="L155" s="47" t="inlineStr">
        <is>
          <t/>
        </is>
      </c>
      <c r="M155" s="48" t="inlineStr">
        <is>
          <t/>
        </is>
      </c>
      <c r="N155" s="49" t="inlineStr">
        <is>
          <t/>
        </is>
      </c>
      <c r="O155" s="50" t="inlineStr">
        <is>
          <t/>
        </is>
      </c>
      <c r="P155" s="51" t="inlineStr">
        <is>
          <t/>
        </is>
      </c>
      <c r="Q155" s="52" t="n">
        <v>0.417074302</v>
      </c>
      <c r="R155" s="53" t="inlineStr">
        <is>
          <t/>
        </is>
      </c>
      <c r="S155" s="54" t="n">
        <v>0.592247354</v>
      </c>
      <c r="T155" s="55" t="inlineStr">
        <is>
          <t/>
        </is>
      </c>
      <c r="U155" s="56" t="n">
        <v>1.01</v>
      </c>
      <c r="V155" s="57" t="inlineStr">
        <is>
          <t/>
        </is>
      </c>
      <c r="W155" s="58" t="inlineStr">
        <is>
          <t/>
        </is>
      </c>
      <c r="X155" s="59" t="inlineStr">
        <is>
          <t>GP Self Reporting</t>
        </is>
      </c>
      <c r="Y155" s="60" t="inlineStr">
        <is>
          <t>2019 Y</t>
        </is>
      </c>
      <c r="Z155" s="61" t="inlineStr">
        <is>
          <t>0 - 99M</t>
        </is>
      </c>
      <c r="AA155" s="62" t="inlineStr">
        <is>
          <t>Hatcher Plus</t>
        </is>
      </c>
      <c r="AB155" s="63" t="inlineStr">
        <is>
          <t>Singapore, Singapore</t>
        </is>
      </c>
      <c r="AC155" s="64" t="inlineStr">
        <is>
          <t>Business Products and Services (B2B)</t>
        </is>
      </c>
      <c r="AD155" s="65" t="inlineStr">
        <is>
          <t>Seed Round, Early Stage VC, Later Stage VC</t>
        </is>
      </c>
      <c r="AE155" s="66" t="inlineStr">
        <is>
          <t/>
        </is>
      </c>
      <c r="AF155" s="67" t="inlineStr">
        <is>
          <t>Hatcher Plus</t>
        </is>
      </c>
      <c r="AG155" s="232">
        <f>HYPERLINK("https://my.pitchbook.com?i=101670-94", "View Investor Online")</f>
      </c>
    </row>
    <row r="156">
      <c r="A156" s="69" t="inlineStr">
        <is>
          <t>13594-06F</t>
        </is>
      </c>
      <c r="B156" s="70" t="inlineStr">
        <is>
          <t>Longwall Ventures Enterprise Capital Fund</t>
        </is>
      </c>
      <c r="C156" s="71" t="inlineStr">
        <is>
          <t/>
        </is>
      </c>
      <c r="D156" s="72" t="inlineStr">
        <is>
          <t>Venture Capital</t>
        </is>
      </c>
      <c r="E156" s="73" t="n">
        <v>63.9123</v>
      </c>
      <c r="F156" s="74" t="inlineStr">
        <is>
          <t>Oxford, United Kingdom</t>
        </is>
      </c>
      <c r="G156" s="75" t="inlineStr">
        <is>
          <t/>
        </is>
      </c>
      <c r="H156" s="76" t="n">
        <v>2012.0</v>
      </c>
      <c r="I156" s="77" t="n">
        <v>80.10249999999999</v>
      </c>
      <c r="J156" s="78" t="n">
        <v>51.19534633273912</v>
      </c>
      <c r="K156" s="79" t="n">
        <v>12.716949892500002</v>
      </c>
      <c r="L156" s="80" t="n">
        <v>0.0</v>
      </c>
      <c r="M156" s="81" t="n">
        <v>51.618232686558656</v>
      </c>
      <c r="N156" s="82" t="inlineStr">
        <is>
          <t/>
        </is>
      </c>
      <c r="O156" s="83" t="inlineStr">
        <is>
          <t/>
        </is>
      </c>
      <c r="P156" s="84" t="inlineStr">
        <is>
          <t/>
        </is>
      </c>
      <c r="Q156" s="85" t="n">
        <v>0.0</v>
      </c>
      <c r="R156" s="86" t="n">
        <v>-0.11691</v>
      </c>
      <c r="S156" s="87" t="n">
        <v>1.01</v>
      </c>
      <c r="T156" s="88" t="n">
        <v>0.0</v>
      </c>
      <c r="U156" s="89" t="n">
        <v>1.01</v>
      </c>
      <c r="V156" s="90" t="n">
        <v>-0.4949999999999999</v>
      </c>
      <c r="W156" s="91" t="inlineStr">
        <is>
          <t/>
        </is>
      </c>
      <c r="X156" s="92" t="inlineStr">
        <is>
          <t>LP Original Commitments</t>
        </is>
      </c>
      <c r="Y156" s="93" t="inlineStr">
        <is>
          <t>2020 Y</t>
        </is>
      </c>
      <c r="Z156" s="94" t="inlineStr">
        <is>
          <t>0 - 99M</t>
        </is>
      </c>
      <c r="AA156" s="95" t="inlineStr">
        <is>
          <t>Longwall Ventures</t>
        </is>
      </c>
      <c r="AB156" s="96" t="inlineStr">
        <is>
          <t>Oxford, United Kingdom</t>
        </is>
      </c>
      <c r="AC156" s="97" t="inlineStr">
        <is>
          <t>Healthcare Devices and Supplies</t>
        </is>
      </c>
      <c r="AD156" s="98" t="inlineStr">
        <is>
          <t>Seed Round, Early Stage VC, Later Stage VC</t>
        </is>
      </c>
      <c r="AE156" s="99" t="inlineStr">
        <is>
          <t>United Kingdom</t>
        </is>
      </c>
      <c r="AF156" s="100" t="inlineStr">
        <is>
          <t>RBWM, SYPA</t>
        </is>
      </c>
      <c r="AG156" s="233">
        <f>HYPERLINK("https://my.pitchbook.com?i=55646-38", "View Investor Online")</f>
      </c>
    </row>
    <row r="157">
      <c r="A157" s="36" t="inlineStr">
        <is>
          <t>14896-36F</t>
        </is>
      </c>
      <c r="B157" s="37" t="inlineStr">
        <is>
          <t>StarVest Partners Opportunity Fund</t>
        </is>
      </c>
      <c r="C157" s="38" t="inlineStr">
        <is>
          <t/>
        </is>
      </c>
      <c r="D157" s="39" t="inlineStr">
        <is>
          <t>Venture Capital</t>
        </is>
      </c>
      <c r="E157" s="40" t="n">
        <v>19.0</v>
      </c>
      <c r="F157" s="41" t="inlineStr">
        <is>
          <t>New York, NY</t>
        </is>
      </c>
      <c r="G157" s="42" t="inlineStr">
        <is>
          <t/>
        </is>
      </c>
      <c r="H157" s="43" t="n">
        <v>2015.0</v>
      </c>
      <c r="I157" s="44" t="inlineStr">
        <is>
          <t/>
        </is>
      </c>
      <c r="J157" s="45" t="inlineStr">
        <is>
          <t/>
        </is>
      </c>
      <c r="K157" s="46" t="n">
        <v>0.8320164868211569</v>
      </c>
      <c r="L157" s="47" t="inlineStr">
        <is>
          <t/>
        </is>
      </c>
      <c r="M157" s="48" t="inlineStr">
        <is>
          <t/>
        </is>
      </c>
      <c r="N157" s="49" t="inlineStr">
        <is>
          <t/>
        </is>
      </c>
      <c r="O157" s="50" t="inlineStr">
        <is>
          <t/>
        </is>
      </c>
      <c r="P157" s="51" t="inlineStr">
        <is>
          <t/>
        </is>
      </c>
      <c r="Q157" s="52" t="inlineStr">
        <is>
          <t/>
        </is>
      </c>
      <c r="R157" s="53" t="inlineStr">
        <is>
          <t/>
        </is>
      </c>
      <c r="S157" s="54" t="inlineStr">
        <is>
          <t/>
        </is>
      </c>
      <c r="T157" s="55" t="inlineStr">
        <is>
          <t/>
        </is>
      </c>
      <c r="U157" s="56" t="n">
        <v>1.01</v>
      </c>
      <c r="V157" s="57" t="n">
        <v>-0.19999999999999996</v>
      </c>
      <c r="W157" s="58" t="inlineStr">
        <is>
          <t/>
        </is>
      </c>
      <c r="X157" s="59" t="inlineStr">
        <is>
          <t>GP Self Reporting</t>
        </is>
      </c>
      <c r="Y157" s="60" t="inlineStr">
        <is>
          <t>2015 Y</t>
        </is>
      </c>
      <c r="Z157" s="61" t="inlineStr">
        <is>
          <t>0 - 99M</t>
        </is>
      </c>
      <c r="AA157" s="62" t="inlineStr">
        <is>
          <t>StarVest Partners</t>
        </is>
      </c>
      <c r="AB157" s="63" t="inlineStr">
        <is>
          <t>New York, NY</t>
        </is>
      </c>
      <c r="AC157" s="64" t="inlineStr">
        <is>
          <t>Commercial Services, Software</t>
        </is>
      </c>
      <c r="AD157" s="65" t="inlineStr">
        <is>
          <t>Later Stage VC</t>
        </is>
      </c>
      <c r="AE157" s="66" t="inlineStr">
        <is>
          <t>United States</t>
        </is>
      </c>
      <c r="AF157" s="67" t="inlineStr">
        <is>
          <t>StarVest</t>
        </is>
      </c>
      <c r="AG157" s="232">
        <f>HYPERLINK("https://my.pitchbook.com?i=11305-45", "View Investor Online")</f>
      </c>
    </row>
    <row r="158">
      <c r="A158" s="69" t="inlineStr">
        <is>
          <t>14450-32F</t>
        </is>
      </c>
      <c r="B158" s="70" t="inlineStr">
        <is>
          <t>Bull City Venture Partners Fund III</t>
        </is>
      </c>
      <c r="C158" s="71" t="inlineStr">
        <is>
          <t/>
        </is>
      </c>
      <c r="D158" s="72" t="inlineStr">
        <is>
          <t>Venture Capital - Early Stage</t>
        </is>
      </c>
      <c r="E158" s="73" t="n">
        <v>26.0</v>
      </c>
      <c r="F158" s="74" t="inlineStr">
        <is>
          <t>Durham, NC</t>
        </is>
      </c>
      <c r="G158" s="75" t="inlineStr">
        <is>
          <t/>
        </is>
      </c>
      <c r="H158" s="76" t="n">
        <v>2014.0</v>
      </c>
      <c r="I158" s="77" t="n">
        <v>12.0</v>
      </c>
      <c r="J158" s="78" t="n">
        <v>3.12</v>
      </c>
      <c r="K158" s="79" t="n">
        <v>0.0</v>
      </c>
      <c r="L158" s="80" t="n">
        <v>0.0</v>
      </c>
      <c r="M158" s="81" t="n">
        <v>3.12</v>
      </c>
      <c r="N158" s="82" t="inlineStr">
        <is>
          <t/>
        </is>
      </c>
      <c r="O158" s="83" t="inlineStr">
        <is>
          <t/>
        </is>
      </c>
      <c r="P158" s="84" t="inlineStr">
        <is>
          <t/>
        </is>
      </c>
      <c r="Q158" s="85" t="n">
        <v>0.0</v>
      </c>
      <c r="R158" s="86" t="n">
        <v>-0.12</v>
      </c>
      <c r="S158" s="87" t="n">
        <v>1.0</v>
      </c>
      <c r="T158" s="88" t="n">
        <v>-0.20500000000000007</v>
      </c>
      <c r="U158" s="89" t="n">
        <v>1.0</v>
      </c>
      <c r="V158" s="90" t="n">
        <v>-0.6399999999999999</v>
      </c>
      <c r="W158" s="91" t="inlineStr">
        <is>
          <t/>
        </is>
      </c>
      <c r="X158" s="92" t="inlineStr">
        <is>
          <t>LP Original Commitments</t>
        </is>
      </c>
      <c r="Y158" s="93" t="inlineStr">
        <is>
          <t>2013 Y</t>
        </is>
      </c>
      <c r="Z158" s="94" t="inlineStr">
        <is>
          <t>0 - 99M</t>
        </is>
      </c>
      <c r="AA158" s="95" t="inlineStr">
        <is>
          <t>Bull City Venture Partners</t>
        </is>
      </c>
      <c r="AB158" s="96" t="inlineStr">
        <is>
          <t>Durham, NC</t>
        </is>
      </c>
      <c r="AC158" s="97" t="inlineStr">
        <is>
          <t>Software</t>
        </is>
      </c>
      <c r="AD158" s="98" t="inlineStr">
        <is>
          <t>Seed Round, Early Stage VC</t>
        </is>
      </c>
      <c r="AE158" s="99" t="inlineStr">
        <is>
          <t>North America</t>
        </is>
      </c>
      <c r="AF158" s="100" t="inlineStr">
        <is>
          <t>Blue Cross NC, Curi</t>
        </is>
      </c>
      <c r="AG158" s="233">
        <f>HYPERLINK("https://my.pitchbook.com?i=56978-02", "View Investor Online")</f>
      </c>
    </row>
    <row r="159">
      <c r="A159" s="36" t="inlineStr">
        <is>
          <t>13408-84F</t>
        </is>
      </c>
      <c r="B159" s="37" t="inlineStr">
        <is>
          <t>Excel Venture Fund II</t>
        </is>
      </c>
      <c r="C159" s="38" t="inlineStr">
        <is>
          <t/>
        </is>
      </c>
      <c r="D159" s="39" t="inlineStr">
        <is>
          <t>Venture Capital</t>
        </is>
      </c>
      <c r="E159" s="40" t="n">
        <v>90.0</v>
      </c>
      <c r="F159" s="41" t="inlineStr">
        <is>
          <t>Boston, MA</t>
        </is>
      </c>
      <c r="G159" s="42" t="inlineStr">
        <is>
          <t/>
        </is>
      </c>
      <c r="H159" s="43" t="n">
        <v>2013.0</v>
      </c>
      <c r="I159" s="44" t="n">
        <v>19.474449999999997</v>
      </c>
      <c r="J159" s="45" t="n">
        <v>17.527005</v>
      </c>
      <c r="K159" s="46" t="n">
        <v>2.478688524590164</v>
      </c>
      <c r="L159" s="47" t="n">
        <v>0.0</v>
      </c>
      <c r="M159" s="48" t="n">
        <v>17.527005</v>
      </c>
      <c r="N159" s="49" t="inlineStr">
        <is>
          <t/>
        </is>
      </c>
      <c r="O159" s="50" t="inlineStr">
        <is>
          <t/>
        </is>
      </c>
      <c r="P159" s="51" t="inlineStr">
        <is>
          <t/>
        </is>
      </c>
      <c r="Q159" s="52" t="n">
        <v>0.0</v>
      </c>
      <c r="R159" s="53" t="n">
        <v>-0.08464</v>
      </c>
      <c r="S159" s="54" t="n">
        <v>1.0</v>
      </c>
      <c r="T159" s="55" t="n">
        <v>-0.06225999999999998</v>
      </c>
      <c r="U159" s="56" t="n">
        <v>1.0</v>
      </c>
      <c r="V159" s="57" t="n">
        <v>-0.2450000000000001</v>
      </c>
      <c r="W159" s="58" t="inlineStr">
        <is>
          <t/>
        </is>
      </c>
      <c r="X159" s="59" t="inlineStr">
        <is>
          <t>LP Original Commitments</t>
        </is>
      </c>
      <c r="Y159" s="60" t="inlineStr">
        <is>
          <t>2013 Y</t>
        </is>
      </c>
      <c r="Z159" s="61" t="inlineStr">
        <is>
          <t>0 - 99M</t>
        </is>
      </c>
      <c r="AA159" s="62" t="inlineStr">
        <is>
          <t>Excel Venture Management</t>
        </is>
      </c>
      <c r="AB159" s="63" t="inlineStr">
        <is>
          <t>Boston, MA</t>
        </is>
      </c>
      <c r="AC159" s="64" t="inlineStr">
        <is>
          <t>Software, Healthcare Technology Systems</t>
        </is>
      </c>
      <c r="AD159" s="65" t="inlineStr">
        <is>
          <t>Seed Round, Early Stage VC, Later Stage VC</t>
        </is>
      </c>
      <c r="AE159" s="66" t="inlineStr">
        <is>
          <t>North America</t>
        </is>
      </c>
      <c r="AF159" s="67" t="inlineStr">
        <is>
          <t>Blue Cross NC</t>
        </is>
      </c>
      <c r="AG159" s="232">
        <f>HYPERLINK("https://my.pitchbook.com?i=41003-11", "View Investor Online")</f>
      </c>
    </row>
    <row r="160">
      <c r="A160" s="69" t="inlineStr">
        <is>
          <t>13355-74F</t>
        </is>
      </c>
      <c r="B160" s="70" t="inlineStr">
        <is>
          <t>JVP Opportunity Fund VI</t>
        </is>
      </c>
      <c r="C160" s="71" t="inlineStr">
        <is>
          <t/>
        </is>
      </c>
      <c r="D160" s="72" t="inlineStr">
        <is>
          <t>Venture Capital - Later Stage</t>
        </is>
      </c>
      <c r="E160" s="73" t="n">
        <v>80.0</v>
      </c>
      <c r="F160" s="74" t="inlineStr">
        <is>
          <t>Jerusalem, Israel</t>
        </is>
      </c>
      <c r="G160" s="75" t="inlineStr">
        <is>
          <t/>
        </is>
      </c>
      <c r="H160" s="76" t="n">
        <v>2011.0</v>
      </c>
      <c r="I160" s="77" t="n">
        <v>60.0</v>
      </c>
      <c r="J160" s="78" t="n">
        <v>48.0</v>
      </c>
      <c r="K160" s="79" t="n">
        <v>0.0</v>
      </c>
      <c r="L160" s="80" t="n">
        <v>0.0</v>
      </c>
      <c r="M160" s="81" t="n">
        <v>48.0</v>
      </c>
      <c r="N160" s="82" t="inlineStr">
        <is>
          <t/>
        </is>
      </c>
      <c r="O160" s="83" t="inlineStr">
        <is>
          <t/>
        </is>
      </c>
      <c r="P160" s="84" t="inlineStr">
        <is>
          <t/>
        </is>
      </c>
      <c r="Q160" s="85" t="n">
        <v>0.0</v>
      </c>
      <c r="R160" s="86" t="inlineStr">
        <is>
          <t/>
        </is>
      </c>
      <c r="S160" s="87" t="n">
        <v>1.0</v>
      </c>
      <c r="T160" s="88" t="inlineStr">
        <is>
          <t/>
        </is>
      </c>
      <c r="U160" s="89" t="n">
        <v>1.0</v>
      </c>
      <c r="V160" s="90" t="inlineStr">
        <is>
          <t/>
        </is>
      </c>
      <c r="W160" s="91" t="inlineStr">
        <is>
          <t/>
        </is>
      </c>
      <c r="X160" s="92" t="inlineStr">
        <is>
          <t>LP Original Commitments</t>
        </is>
      </c>
      <c r="Y160" s="93" t="inlineStr">
        <is>
          <t>2011 Y</t>
        </is>
      </c>
      <c r="Z160" s="94" t="inlineStr">
        <is>
          <t>0 - 99M</t>
        </is>
      </c>
      <c r="AA160" s="95" t="inlineStr">
        <is>
          <t>Jerusalem Venture Partners</t>
        </is>
      </c>
      <c r="AB160" s="96" t="inlineStr">
        <is>
          <t>Jerusalem, Israel</t>
        </is>
      </c>
      <c r="AC160" s="97" t="inlineStr">
        <is>
          <t>Software</t>
        </is>
      </c>
      <c r="AD160" s="98" t="inlineStr">
        <is>
          <t>Later Stage VC</t>
        </is>
      </c>
      <c r="AE160" s="99" t="inlineStr">
        <is>
          <t/>
        </is>
      </c>
      <c r="AF160" s="100" t="inlineStr">
        <is>
          <t>APFC, HarbourVest</t>
        </is>
      </c>
      <c r="AG160" s="233">
        <f>HYPERLINK("https://my.pitchbook.com?i=11224-18", "View Investor Online")</f>
      </c>
    </row>
    <row r="161">
      <c r="A161" s="36" t="inlineStr">
        <is>
          <t>17332-39F</t>
        </is>
      </c>
      <c r="B161" s="37" t="inlineStr">
        <is>
          <t>Maintrend RMB Fund 1</t>
        </is>
      </c>
      <c r="C161" s="38" t="inlineStr">
        <is>
          <t/>
        </is>
      </c>
      <c r="D161" s="39" t="inlineStr">
        <is>
          <t>Venture Capital - Early Stage</t>
        </is>
      </c>
      <c r="E161" s="40" t="n">
        <v>21.51213</v>
      </c>
      <c r="F161" s="41" t="inlineStr">
        <is>
          <t>Beijing, China</t>
        </is>
      </c>
      <c r="G161" s="42" t="inlineStr">
        <is>
          <t/>
        </is>
      </c>
      <c r="H161" s="43" t="n">
        <v>2017.0</v>
      </c>
      <c r="I161" s="44" t="n">
        <v>100.0</v>
      </c>
      <c r="J161" s="45" t="n">
        <v>41.3365876789411</v>
      </c>
      <c r="K161" s="46" t="inlineStr">
        <is>
          <t/>
        </is>
      </c>
      <c r="L161" s="47" t="n">
        <v>2.13809936270385</v>
      </c>
      <c r="M161" s="48" t="n">
        <v>39.198488316237245</v>
      </c>
      <c r="N161" s="49" t="n">
        <v>35.0</v>
      </c>
      <c r="O161" s="50" t="inlineStr">
        <is>
          <t/>
        </is>
      </c>
      <c r="P161" s="51" t="inlineStr">
        <is>
          <t/>
        </is>
      </c>
      <c r="Q161" s="52" t="n">
        <v>0.05</v>
      </c>
      <c r="R161" s="53" t="inlineStr">
        <is>
          <t/>
        </is>
      </c>
      <c r="S161" s="54" t="n">
        <v>0.95</v>
      </c>
      <c r="T161" s="55" t="inlineStr">
        <is>
          <t/>
        </is>
      </c>
      <c r="U161" s="56" t="n">
        <v>1.0</v>
      </c>
      <c r="V161" s="57" t="inlineStr">
        <is>
          <t/>
        </is>
      </c>
      <c r="W161" s="58" t="inlineStr">
        <is>
          <t/>
        </is>
      </c>
      <c r="X161" s="59" t="inlineStr">
        <is>
          <t>GP Self Reporting</t>
        </is>
      </c>
      <c r="Y161" s="60" t="inlineStr">
        <is>
          <t>2019 Y</t>
        </is>
      </c>
      <c r="Z161" s="61" t="inlineStr">
        <is>
          <t>0 - 99M</t>
        </is>
      </c>
      <c r="AA161" s="62" t="inlineStr">
        <is>
          <t>Maintrend Capital</t>
        </is>
      </c>
      <c r="AB161" s="63" t="inlineStr">
        <is>
          <t>Beijing, China</t>
        </is>
      </c>
      <c r="AC161" s="64" t="inlineStr">
        <is>
          <t>Consumer Products and Services (B2C), Logistics, Education and Training Services (B2B)</t>
        </is>
      </c>
      <c r="AD161" s="65" t="inlineStr">
        <is>
          <t>Early Stage VC, Seed Round</t>
        </is>
      </c>
      <c r="AE161" s="66" t="inlineStr">
        <is>
          <t>Mainland China</t>
        </is>
      </c>
      <c r="AF161" s="67" t="inlineStr">
        <is>
          <t>Mingchuan Capital, Shenzhen Maintrend Investment Management Co., Ltd.</t>
        </is>
      </c>
      <c r="AG161" s="232">
        <f>HYPERLINK("https://my.pitchbook.com?i=232377-67", "View Investor Online")</f>
      </c>
    </row>
    <row r="162">
      <c r="A162" s="69" t="inlineStr">
        <is>
          <t>14562-10F</t>
        </is>
      </c>
      <c r="B162" s="70" t="inlineStr">
        <is>
          <t>Milestone Venture Partners IV</t>
        </is>
      </c>
      <c r="C162" s="71" t="inlineStr">
        <is>
          <t/>
        </is>
      </c>
      <c r="D162" s="72" t="inlineStr">
        <is>
          <t>Venture Capital - Early Stage</t>
        </is>
      </c>
      <c r="E162" s="73" t="n">
        <v>32.0</v>
      </c>
      <c r="F162" s="74" t="inlineStr">
        <is>
          <t>New York, NY</t>
        </is>
      </c>
      <c r="G162" s="75" t="inlineStr">
        <is>
          <t/>
        </is>
      </c>
      <c r="H162" s="76" t="n">
        <v>2014.0</v>
      </c>
      <c r="I162" s="77" t="n">
        <v>82.25</v>
      </c>
      <c r="J162" s="78" t="n">
        <v>26.32</v>
      </c>
      <c r="K162" s="79" t="n">
        <v>5.68</v>
      </c>
      <c r="L162" s="80" t="n">
        <v>15.379347692307691</v>
      </c>
      <c r="M162" s="81" t="n">
        <v>10.940652307692307</v>
      </c>
      <c r="N162" s="82" t="inlineStr">
        <is>
          <t/>
        </is>
      </c>
      <c r="O162" s="83" t="inlineStr">
        <is>
          <t/>
        </is>
      </c>
      <c r="P162" s="84" t="inlineStr">
        <is>
          <t/>
        </is>
      </c>
      <c r="Q162" s="85" t="n">
        <v>0.58</v>
      </c>
      <c r="R162" s="86" t="n">
        <v>0.45999999999999996</v>
      </c>
      <c r="S162" s="87" t="n">
        <v>0.42</v>
      </c>
      <c r="T162" s="88" t="n">
        <v>-0.7850000000000001</v>
      </c>
      <c r="U162" s="89" t="n">
        <v>1.0</v>
      </c>
      <c r="V162" s="90" t="n">
        <v>-0.6399999999999999</v>
      </c>
      <c r="W162" s="91" t="inlineStr">
        <is>
          <t/>
        </is>
      </c>
      <c r="X162" s="92" t="inlineStr">
        <is>
          <t>LP Original Commitments</t>
        </is>
      </c>
      <c r="Y162" s="93" t="inlineStr">
        <is>
          <t>2020 Y</t>
        </is>
      </c>
      <c r="Z162" s="94" t="inlineStr">
        <is>
          <t>0 - 99M</t>
        </is>
      </c>
      <c r="AA162" s="95" t="inlineStr">
        <is>
          <t>Activate Venture Partners</t>
        </is>
      </c>
      <c r="AB162" s="96" t="inlineStr">
        <is>
          <t>New York, NY</t>
        </is>
      </c>
      <c r="AC162" s="97" t="inlineStr">
        <is>
          <t>Software</t>
        </is>
      </c>
      <c r="AD162" s="98" t="inlineStr">
        <is>
          <t>Seed Round, Early Stage VC</t>
        </is>
      </c>
      <c r="AE162" s="99" t="inlineStr">
        <is>
          <t/>
        </is>
      </c>
      <c r="AF162" s="100" t="inlineStr">
        <is>
          <t>NJEDA</t>
        </is>
      </c>
      <c r="AG162" s="233">
        <f>HYPERLINK("https://my.pitchbook.com?i=11852-02", "View Investor Online")</f>
      </c>
    </row>
    <row r="163">
      <c r="A163" s="36" t="inlineStr">
        <is>
          <t>13863-52F</t>
        </is>
      </c>
      <c r="B163" s="37" t="inlineStr">
        <is>
          <t>Rally Ventures Fund I</t>
        </is>
      </c>
      <c r="C163" s="38" t="inlineStr">
        <is>
          <t/>
        </is>
      </c>
      <c r="D163" s="39" t="inlineStr">
        <is>
          <t>Venture Capital - Early Stage</t>
        </is>
      </c>
      <c r="E163" s="40" t="n">
        <v>100.0</v>
      </c>
      <c r="F163" s="41" t="inlineStr">
        <is>
          <t>Menlo Park, CA</t>
        </is>
      </c>
      <c r="G163" s="42" t="inlineStr">
        <is>
          <t/>
        </is>
      </c>
      <c r="H163" s="43" t="n">
        <v>2012.0</v>
      </c>
      <c r="I163" s="44" t="n">
        <v>15.0</v>
      </c>
      <c r="J163" s="45" t="n">
        <v>15.0</v>
      </c>
      <c r="K163" s="46" t="n">
        <v>85.0</v>
      </c>
      <c r="L163" s="47" t="n">
        <v>0.0</v>
      </c>
      <c r="M163" s="48" t="n">
        <v>14.909209999999998</v>
      </c>
      <c r="N163" s="49" t="inlineStr">
        <is>
          <t/>
        </is>
      </c>
      <c r="O163" s="50" t="inlineStr">
        <is>
          <t/>
        </is>
      </c>
      <c r="P163" s="51" t="inlineStr">
        <is>
          <t/>
        </is>
      </c>
      <c r="Q163" s="52" t="n">
        <v>0.0</v>
      </c>
      <c r="R163" s="53" t="inlineStr">
        <is>
          <t/>
        </is>
      </c>
      <c r="S163" s="54" t="n">
        <v>0.99</v>
      </c>
      <c r="T163" s="55" t="inlineStr">
        <is>
          <t/>
        </is>
      </c>
      <c r="U163" s="56" t="n">
        <v>0.99</v>
      </c>
      <c r="V163" s="57" t="inlineStr">
        <is>
          <t/>
        </is>
      </c>
      <c r="W163" s="58" t="inlineStr">
        <is>
          <t/>
        </is>
      </c>
      <c r="X163" s="59" t="inlineStr">
        <is>
          <t>LP Original Commitments</t>
        </is>
      </c>
      <c r="Y163" s="60" t="inlineStr">
        <is>
          <t>2013 Y</t>
        </is>
      </c>
      <c r="Z163" s="61" t="inlineStr">
        <is>
          <t>100M - 249M</t>
        </is>
      </c>
      <c r="AA163" s="62" t="inlineStr">
        <is>
          <t>Rally Ventures</t>
        </is>
      </c>
      <c r="AB163" s="63" t="inlineStr">
        <is>
          <t>Menlo Park, CA</t>
        </is>
      </c>
      <c r="AC163" s="64" t="inlineStr">
        <is>
          <t>Software</t>
        </is>
      </c>
      <c r="AD163" s="65" t="inlineStr">
        <is>
          <t>Seed Round, Early Stage VC</t>
        </is>
      </c>
      <c r="AE163" s="66" t="inlineStr">
        <is>
          <t>United States</t>
        </is>
      </c>
      <c r="AF163" s="67" t="inlineStr">
        <is>
          <t>Mayo Pension Plan, St. Paul Fire and Marine Insurance Company</t>
        </is>
      </c>
      <c r="AG163" s="232">
        <f>HYPERLINK("https://my.pitchbook.com?i=58804-66", "View Investor Online")</f>
      </c>
    </row>
    <row r="164">
      <c r="A164" s="69" t="inlineStr">
        <is>
          <t>14036-68F</t>
        </is>
      </c>
      <c r="B164" s="70" t="inlineStr">
        <is>
          <t>LAUNCHub Fund</t>
        </is>
      </c>
      <c r="C164" s="71" t="inlineStr">
        <is>
          <t/>
        </is>
      </c>
      <c r="D164" s="72" t="inlineStr">
        <is>
          <t>Venture Capital</t>
        </is>
      </c>
      <c r="E164" s="73" t="n">
        <v>26.6542</v>
      </c>
      <c r="F164" s="74" t="inlineStr">
        <is>
          <t>Sofia, Bulgaria</t>
        </is>
      </c>
      <c r="G164" s="75" t="inlineStr">
        <is>
          <t/>
        </is>
      </c>
      <c r="H164" s="76" t="n">
        <v>2012.0</v>
      </c>
      <c r="I164" s="77" t="n">
        <v>63.84709231394876</v>
      </c>
      <c r="J164" s="78" t="n">
        <v>17.017930973682187</v>
      </c>
      <c r="K164" s="79" t="n">
        <v>3.7409403508771923</v>
      </c>
      <c r="L164" s="80" t="n">
        <v>0.216788929601047</v>
      </c>
      <c r="M164" s="81" t="n">
        <v>16.584353114480095</v>
      </c>
      <c r="N164" s="82" t="inlineStr">
        <is>
          <t/>
        </is>
      </c>
      <c r="O164" s="83" t="inlineStr">
        <is>
          <t/>
        </is>
      </c>
      <c r="P164" s="84" t="inlineStr">
        <is>
          <t/>
        </is>
      </c>
      <c r="Q164" s="85" t="n">
        <v>0.012738854</v>
      </c>
      <c r="R164" s="86" t="n">
        <v>-0.10417114599999999</v>
      </c>
      <c r="S164" s="87" t="n">
        <v>0.974522293</v>
      </c>
      <c r="T164" s="88" t="n">
        <v>-0.03547770699999997</v>
      </c>
      <c r="U164" s="89" t="n">
        <v>0.98</v>
      </c>
      <c r="V164" s="90" t="n">
        <v>-0.5249999999999999</v>
      </c>
      <c r="W164" s="91" t="inlineStr">
        <is>
          <t/>
        </is>
      </c>
      <c r="X164" s="92" t="inlineStr">
        <is>
          <t>GP Self Reporting</t>
        </is>
      </c>
      <c r="Y164" s="93" t="inlineStr">
        <is>
          <t>2017 Y</t>
        </is>
      </c>
      <c r="Z164" s="94" t="inlineStr">
        <is>
          <t>0 - 99M</t>
        </is>
      </c>
      <c r="AA164" s="95" t="inlineStr">
        <is>
          <t>LAUNCHub Ventures</t>
        </is>
      </c>
      <c r="AB164" s="96" t="inlineStr">
        <is>
          <t>Sofia, Bulgaria</t>
        </is>
      </c>
      <c r="AC164" s="97" t="inlineStr">
        <is>
          <t>Software</t>
        </is>
      </c>
      <c r="AD164" s="98" t="inlineStr">
        <is>
          <t>Early Stage VC</t>
        </is>
      </c>
      <c r="AE164" s="99" t="inlineStr">
        <is>
          <t>Bulgaria, Southern Europe</t>
        </is>
      </c>
      <c r="AF164" s="100" t="inlineStr">
        <is>
          <t>LAUNCHub</t>
        </is>
      </c>
      <c r="AG164" s="233">
        <f>HYPERLINK("https://my.pitchbook.com?i=57812-23", "View Investor Online")</f>
      </c>
    </row>
    <row r="165">
      <c r="A165" s="36" t="inlineStr">
        <is>
          <t>16131-79F</t>
        </is>
      </c>
      <c r="B165" s="37" t="inlineStr">
        <is>
          <t>Longwall Ventures 3 Enterprise Capital Fund</t>
        </is>
      </c>
      <c r="C165" s="38" t="inlineStr">
        <is>
          <t/>
        </is>
      </c>
      <c r="D165" s="39" t="inlineStr">
        <is>
          <t>Venture Capital</t>
        </is>
      </c>
      <c r="E165" s="40" t="n">
        <v>98.84996</v>
      </c>
      <c r="F165" s="41" t="inlineStr">
        <is>
          <t>Oxford, United Kingdom</t>
        </is>
      </c>
      <c r="G165" s="42" t="inlineStr">
        <is>
          <t/>
        </is>
      </c>
      <c r="H165" s="43" t="n">
        <v>2017.0</v>
      </c>
      <c r="I165" s="44" t="n">
        <v>29.17238125</v>
      </c>
      <c r="J165" s="45" t="n">
        <v>28.83688650421299</v>
      </c>
      <c r="K165" s="46" t="n">
        <v>70.01307280332749</v>
      </c>
      <c r="L165" s="47" t="n">
        <v>0.0</v>
      </c>
      <c r="M165" s="48" t="n">
        <v>27.953655954699485</v>
      </c>
      <c r="N165" s="49" t="inlineStr">
        <is>
          <t/>
        </is>
      </c>
      <c r="O165" s="50" t="inlineStr">
        <is>
          <t/>
        </is>
      </c>
      <c r="P165" s="51" t="inlineStr">
        <is>
          <t/>
        </is>
      </c>
      <c r="Q165" s="52" t="n">
        <v>0.0</v>
      </c>
      <c r="R165" s="53" t="inlineStr">
        <is>
          <t/>
        </is>
      </c>
      <c r="S165" s="54" t="n">
        <v>0.9750000000000001</v>
      </c>
      <c r="T165" s="55" t="inlineStr">
        <is>
          <t/>
        </is>
      </c>
      <c r="U165" s="56" t="n">
        <v>0.98</v>
      </c>
      <c r="V165" s="57" t="inlineStr">
        <is>
          <t/>
        </is>
      </c>
      <c r="W165" s="58" t="inlineStr">
        <is>
          <t/>
        </is>
      </c>
      <c r="X165" s="59" t="inlineStr">
        <is>
          <t>LP Original Commitments</t>
        </is>
      </c>
      <c r="Y165" s="60" t="inlineStr">
        <is>
          <t>2020 Y</t>
        </is>
      </c>
      <c r="Z165" s="61" t="inlineStr">
        <is>
          <t>0 - 99M</t>
        </is>
      </c>
      <c r="AA165" s="62" t="inlineStr">
        <is>
          <t>Longwall Ventures</t>
        </is>
      </c>
      <c r="AB165" s="63" t="inlineStr">
        <is>
          <t>Oxford, United Kingdom</t>
        </is>
      </c>
      <c r="AC165" s="64" t="inlineStr">
        <is>
          <t>Healthcare</t>
        </is>
      </c>
      <c r="AD165" s="65" t="inlineStr">
        <is>
          <t>Early Stage VC</t>
        </is>
      </c>
      <c r="AE165" s="66" t="inlineStr">
        <is>
          <t>United Kingdom</t>
        </is>
      </c>
      <c r="AF165" s="67" t="inlineStr">
        <is>
          <t>RBWM, SYPA</t>
        </is>
      </c>
      <c r="AG165" s="232">
        <f>HYPERLINK("https://my.pitchbook.com?i=55646-38", "View Investor Online")</f>
      </c>
    </row>
    <row r="166">
      <c r="A166" s="69" t="inlineStr">
        <is>
          <t>15314-32F</t>
        </is>
      </c>
      <c r="B166" s="70" t="inlineStr">
        <is>
          <t>Renaissance Technologies 4</t>
        </is>
      </c>
      <c r="C166" s="71" t="inlineStr">
        <is>
          <t/>
        </is>
      </c>
      <c r="D166" s="72" t="inlineStr">
        <is>
          <t>Venture Capital</t>
        </is>
      </c>
      <c r="E166" s="73" t="n">
        <v>94.12781</v>
      </c>
      <c r="F166" s="74" t="inlineStr">
        <is>
          <t>Lausanne, Switzerland</t>
        </is>
      </c>
      <c r="G166" s="75" t="inlineStr">
        <is>
          <t/>
        </is>
      </c>
      <c r="H166" s="76" t="n">
        <v>2015.0</v>
      </c>
      <c r="I166" s="77" t="inlineStr">
        <is>
          <t/>
        </is>
      </c>
      <c r="J166" s="78" t="inlineStr">
        <is>
          <t/>
        </is>
      </c>
      <c r="K166" s="79" t="n">
        <v>44.71070975</v>
      </c>
      <c r="L166" s="80" t="inlineStr">
        <is>
          <t/>
        </is>
      </c>
      <c r="M166" s="81" t="inlineStr">
        <is>
          <t/>
        </is>
      </c>
      <c r="N166" s="82" t="inlineStr">
        <is>
          <t/>
        </is>
      </c>
      <c r="O166" s="83" t="inlineStr">
        <is>
          <t/>
        </is>
      </c>
      <c r="P166" s="84" t="inlineStr">
        <is>
          <t/>
        </is>
      </c>
      <c r="Q166" s="85" t="n">
        <v>0.0</v>
      </c>
      <c r="R166" s="86" t="inlineStr">
        <is>
          <t/>
        </is>
      </c>
      <c r="S166" s="87" t="n">
        <v>0.98</v>
      </c>
      <c r="T166" s="88" t="n">
        <v>0.05998999999999999</v>
      </c>
      <c r="U166" s="89" t="n">
        <v>0.98</v>
      </c>
      <c r="V166" s="90" t="inlineStr">
        <is>
          <t/>
        </is>
      </c>
      <c r="W166" s="91" t="inlineStr">
        <is>
          <t/>
        </is>
      </c>
      <c r="X166" s="92" t="inlineStr">
        <is>
          <t>GP Self Reporting</t>
        </is>
      </c>
      <c r="Y166" s="93" t="inlineStr">
        <is>
          <t>2016 Y</t>
        </is>
      </c>
      <c r="Z166" s="94" t="inlineStr">
        <is>
          <t>0 - 99M</t>
        </is>
      </c>
      <c r="AA166" s="95" t="inlineStr">
        <is>
          <t>Renaissance KMU Schweizerische Anlagestiftung</t>
        </is>
      </c>
      <c r="AB166" s="96" t="inlineStr">
        <is>
          <t>Lausanne, Switzerland</t>
        </is>
      </c>
      <c r="AC166" s="97" t="inlineStr">
        <is>
          <t>IT Services, Information Technology</t>
        </is>
      </c>
      <c r="AD166" s="98" t="inlineStr">
        <is>
          <t>Seed Round, Early Stage VC, Later Stage VC</t>
        </is>
      </c>
      <c r="AE166" s="99" t="inlineStr">
        <is>
          <t>Switzerland</t>
        </is>
      </c>
      <c r="AF166" s="100" t="inlineStr">
        <is>
          <t>Renaissance</t>
        </is>
      </c>
      <c r="AG166" s="233">
        <f>HYPERLINK("https://my.pitchbook.com?i=96629-77", "View Investor Online")</f>
      </c>
    </row>
    <row r="167">
      <c r="A167" s="36" t="inlineStr">
        <is>
          <t>14785-66F</t>
        </is>
      </c>
      <c r="B167" s="37" t="inlineStr">
        <is>
          <t>Rittenhouse Ventures II</t>
        </is>
      </c>
      <c r="C167" s="38" t="inlineStr">
        <is>
          <t/>
        </is>
      </c>
      <c r="D167" s="39" t="inlineStr">
        <is>
          <t>Venture Capital</t>
        </is>
      </c>
      <c r="E167" s="40" t="n">
        <v>18.0</v>
      </c>
      <c r="F167" s="41" t="inlineStr">
        <is>
          <t>Philadelphia, PA</t>
        </is>
      </c>
      <c r="G167" s="42" t="inlineStr">
        <is>
          <t/>
        </is>
      </c>
      <c r="H167" s="43" t="n">
        <v>2016.0</v>
      </c>
      <c r="I167" s="44" t="n">
        <v>90.0</v>
      </c>
      <c r="J167" s="45" t="n">
        <v>16.2</v>
      </c>
      <c r="K167" s="46" t="n">
        <v>1.439794479145678</v>
      </c>
      <c r="L167" s="47" t="n">
        <v>0.9</v>
      </c>
      <c r="M167" s="48" t="n">
        <v>14.903616484440704</v>
      </c>
      <c r="N167" s="49" t="inlineStr">
        <is>
          <t/>
        </is>
      </c>
      <c r="O167" s="50" t="inlineStr">
        <is>
          <t/>
        </is>
      </c>
      <c r="P167" s="51" t="inlineStr">
        <is>
          <t/>
        </is>
      </c>
      <c r="Q167" s="52" t="n">
        <v>0.056</v>
      </c>
      <c r="R167" s="53" t="n">
        <v>-0.004199999999999995</v>
      </c>
      <c r="S167" s="54" t="n">
        <v>0.92</v>
      </c>
      <c r="T167" s="55" t="n">
        <v>-0.2499999999999999</v>
      </c>
      <c r="U167" s="56" t="n">
        <v>0.98</v>
      </c>
      <c r="V167" s="57" t="n">
        <v>-0.28</v>
      </c>
      <c r="W167" s="58" t="inlineStr">
        <is>
          <t/>
        </is>
      </c>
      <c r="X167" s="59" t="inlineStr">
        <is>
          <t>GP Self Reporting</t>
        </is>
      </c>
      <c r="Y167" s="60" t="inlineStr">
        <is>
          <t>2019 Y</t>
        </is>
      </c>
      <c r="Z167" s="61" t="inlineStr">
        <is>
          <t>0 - 99M</t>
        </is>
      </c>
      <c r="AA167" s="62" t="inlineStr">
        <is>
          <t>Rittenhouse Ventures</t>
        </is>
      </c>
      <c r="AB167" s="63" t="inlineStr">
        <is>
          <t>Philadelphia, PA</t>
        </is>
      </c>
      <c r="AC167" s="64" t="inlineStr">
        <is>
          <t>Software</t>
        </is>
      </c>
      <c r="AD167" s="65" t="inlineStr">
        <is>
          <t>Seed Round, Early Stage VC, Later Stage VC</t>
        </is>
      </c>
      <c r="AE167" s="66" t="inlineStr">
        <is>
          <t>Mid Atlantic</t>
        </is>
      </c>
      <c r="AF167" s="67" t="inlineStr">
        <is>
          <t>RV, Rittenhouse</t>
        </is>
      </c>
      <c r="AG167" s="232">
        <f>HYPERLINK("https://my.pitchbook.com?i=14144-86", "View Investor Online")</f>
      </c>
    </row>
    <row r="168">
      <c r="A168" s="69" t="inlineStr">
        <is>
          <t>16002-55F</t>
        </is>
      </c>
      <c r="B168" s="70" t="inlineStr">
        <is>
          <t>Seven Peaks Ventures Fund II</t>
        </is>
      </c>
      <c r="C168" s="71" t="inlineStr">
        <is>
          <t/>
        </is>
      </c>
      <c r="D168" s="72" t="inlineStr">
        <is>
          <t>Venture Capital - Early Stage</t>
        </is>
      </c>
      <c r="E168" s="73" t="n">
        <v>28.046</v>
      </c>
      <c r="F168" s="74" t="inlineStr">
        <is>
          <t>Bend, OR</t>
        </is>
      </c>
      <c r="G168" s="75" t="n">
        <v>4.0</v>
      </c>
      <c r="H168" s="76" t="n">
        <v>2018.0</v>
      </c>
      <c r="I168" s="77" t="n">
        <v>54.83847964059046</v>
      </c>
      <c r="J168" s="78" t="n">
        <v>15.38</v>
      </c>
      <c r="K168" s="79" t="n">
        <v>12.666000000000002</v>
      </c>
      <c r="L168" s="80" t="n">
        <v>0.0</v>
      </c>
      <c r="M168" s="81" t="n">
        <v>15.019999999999998</v>
      </c>
      <c r="N168" s="82" t="n">
        <v>-1.7</v>
      </c>
      <c r="O168" s="83" t="inlineStr">
        <is>
          <t/>
        </is>
      </c>
      <c r="P168" s="84" t="n">
        <v>-7.87</v>
      </c>
      <c r="Q168" s="85" t="n">
        <v>0.0</v>
      </c>
      <c r="R168" s="86" t="n">
        <v>0.0</v>
      </c>
      <c r="S168" s="87" t="n">
        <v>0.98</v>
      </c>
      <c r="T168" s="88" t="n">
        <v>-0.02499999999999991</v>
      </c>
      <c r="U168" s="89" t="n">
        <v>0.98</v>
      </c>
      <c r="V168" s="90" t="n">
        <v>0.0</v>
      </c>
      <c r="W168" s="91" t="inlineStr">
        <is>
          <t/>
        </is>
      </c>
      <c r="X168" s="92" t="inlineStr">
        <is>
          <t>GP Self Reporting</t>
        </is>
      </c>
      <c r="Y168" s="93" t="inlineStr">
        <is>
          <t>2020 Y</t>
        </is>
      </c>
      <c r="Z168" s="94" t="inlineStr">
        <is>
          <t>0 - 99M</t>
        </is>
      </c>
      <c r="AA168" s="95" t="inlineStr">
        <is>
          <t>Seven Peaks Ventures</t>
        </is>
      </c>
      <c r="AB168" s="96" t="inlineStr">
        <is>
          <t>Bend, OR</t>
        </is>
      </c>
      <c r="AC168" s="97" t="inlineStr">
        <is>
          <t>Software</t>
        </is>
      </c>
      <c r="AD168" s="98" t="inlineStr">
        <is>
          <t>Early Stage VC</t>
        </is>
      </c>
      <c r="AE168" s="99" t="inlineStr">
        <is>
          <t>West Coast, North America, Northwest</t>
        </is>
      </c>
      <c r="AF168" s="100" t="inlineStr">
        <is>
          <t>SPV</t>
        </is>
      </c>
      <c r="AG168" s="233">
        <f>HYPERLINK("https://my.pitchbook.com?i=57775-51", "View Investor Online")</f>
      </c>
    </row>
    <row r="169">
      <c r="A169" s="36" t="inlineStr">
        <is>
          <t>13967-11F</t>
        </is>
      </c>
      <c r="B169" s="37" t="inlineStr">
        <is>
          <t>Omnivore Partners</t>
        </is>
      </c>
      <c r="C169" s="38" t="inlineStr">
        <is>
          <t>Omnivore India Capital Trust</t>
        </is>
      </c>
      <c r="D169" s="39" t="inlineStr">
        <is>
          <t>Venture Capital</t>
        </is>
      </c>
      <c r="E169" s="40" t="n">
        <v>41.84101</v>
      </c>
      <c r="F169" s="41" t="inlineStr">
        <is>
          <t>Mumbai, India</t>
        </is>
      </c>
      <c r="G169" s="42" t="inlineStr">
        <is>
          <t/>
        </is>
      </c>
      <c r="H169" s="43" t="n">
        <v>2012.0</v>
      </c>
      <c r="I169" s="44" t="n">
        <v>63.41970538090647</v>
      </c>
      <c r="J169" s="45" t="n">
        <v>26.53544772039424</v>
      </c>
      <c r="K169" s="46" t="n">
        <v>0.0</v>
      </c>
      <c r="L169" s="47" t="n">
        <v>0.0</v>
      </c>
      <c r="M169" s="48" t="n">
        <v>25.822805084297286</v>
      </c>
      <c r="N169" s="49" t="inlineStr">
        <is>
          <t/>
        </is>
      </c>
      <c r="O169" s="50" t="inlineStr">
        <is>
          <t/>
        </is>
      </c>
      <c r="P169" s="51" t="inlineStr">
        <is>
          <t/>
        </is>
      </c>
      <c r="Q169" s="52" t="n">
        <v>0.0</v>
      </c>
      <c r="R169" s="53" t="inlineStr">
        <is>
          <t/>
        </is>
      </c>
      <c r="S169" s="54" t="n">
        <v>0.97</v>
      </c>
      <c r="T169" s="55" t="inlineStr">
        <is>
          <t/>
        </is>
      </c>
      <c r="U169" s="56" t="n">
        <v>0.97</v>
      </c>
      <c r="V169" s="57" t="inlineStr">
        <is>
          <t/>
        </is>
      </c>
      <c r="W169" s="58" t="inlineStr">
        <is>
          <t/>
        </is>
      </c>
      <c r="X169" s="59" t="inlineStr">
        <is>
          <t>GP Self Reporting</t>
        </is>
      </c>
      <c r="Y169" s="60" t="inlineStr">
        <is>
          <t>2015 Y</t>
        </is>
      </c>
      <c r="Z169" s="61" t="inlineStr">
        <is>
          <t>0 - 99M</t>
        </is>
      </c>
      <c r="AA169" s="62" t="inlineStr">
        <is>
          <t>Omnivore.</t>
        </is>
      </c>
      <c r="AB169" s="63" t="inlineStr">
        <is>
          <t>Mumbai, India</t>
        </is>
      </c>
      <c r="AC169" s="64" t="inlineStr">
        <is>
          <t>Software</t>
        </is>
      </c>
      <c r="AD169" s="65" t="inlineStr">
        <is>
          <t>Seed Round, Early Stage VC, Later Stage VC</t>
        </is>
      </c>
      <c r="AE169" s="66" t="inlineStr">
        <is>
          <t>India</t>
        </is>
      </c>
      <c r="AF169" s="67" t="inlineStr">
        <is>
          <t>Omnivore.</t>
        </is>
      </c>
      <c r="AG169" s="232">
        <f>HYPERLINK("https://my.pitchbook.com?i=60560-65", "View Investor Online")</f>
      </c>
    </row>
    <row r="170">
      <c r="A170" s="69" t="inlineStr">
        <is>
          <t>16514-92F</t>
        </is>
      </c>
      <c r="B170" s="70" t="inlineStr">
        <is>
          <t>Pear Ventures I Expansion</t>
        </is>
      </c>
      <c r="C170" s="71" t="inlineStr">
        <is>
          <t/>
        </is>
      </c>
      <c r="D170" s="72" t="inlineStr">
        <is>
          <t>Venture Capital</t>
        </is>
      </c>
      <c r="E170" s="73" t="n">
        <v>23.5</v>
      </c>
      <c r="F170" s="74" t="inlineStr">
        <is>
          <t>Palo Alto, CA</t>
        </is>
      </c>
      <c r="G170" s="75" t="n">
        <v>3.0</v>
      </c>
      <c r="H170" s="76" t="n">
        <v>2018.0</v>
      </c>
      <c r="I170" s="77" t="n">
        <v>37.446808510638306</v>
      </c>
      <c r="J170" s="78" t="n">
        <v>8.8</v>
      </c>
      <c r="K170" s="79" t="n">
        <v>14.7</v>
      </c>
      <c r="L170" s="80" t="n">
        <v>0.0</v>
      </c>
      <c r="M170" s="81" t="n">
        <v>8.4</v>
      </c>
      <c r="N170" s="82" t="n">
        <v>-3.5</v>
      </c>
      <c r="O170" s="83" t="inlineStr">
        <is>
          <t/>
        </is>
      </c>
      <c r="P170" s="84" t="n">
        <v>-16.689999999999998</v>
      </c>
      <c r="Q170" s="85" t="n">
        <v>0.0</v>
      </c>
      <c r="R170" s="86" t="n">
        <v>0.0</v>
      </c>
      <c r="S170" s="87" t="n">
        <v>0.955</v>
      </c>
      <c r="T170" s="88" t="n">
        <v>-0.05649000000000004</v>
      </c>
      <c r="U170" s="89" t="n">
        <v>0.96</v>
      </c>
      <c r="V170" s="90" t="n">
        <v>-0.14000000000000012</v>
      </c>
      <c r="W170" s="91" t="inlineStr">
        <is>
          <t/>
        </is>
      </c>
      <c r="X170" s="92" t="inlineStr">
        <is>
          <t>GP Self Reporting</t>
        </is>
      </c>
      <c r="Y170" s="93" t="inlineStr">
        <is>
          <t>2020 Y</t>
        </is>
      </c>
      <c r="Z170" s="94" t="inlineStr">
        <is>
          <t>0 - 99M</t>
        </is>
      </c>
      <c r="AA170" s="95" t="inlineStr">
        <is>
          <t>Pear</t>
        </is>
      </c>
      <c r="AB170" s="96" t="inlineStr">
        <is>
          <t>Palo Alto, CA</t>
        </is>
      </c>
      <c r="AC170" s="97" t="inlineStr">
        <is>
          <t>Software, Commercial Services</t>
        </is>
      </c>
      <c r="AD170" s="98" t="inlineStr">
        <is>
          <t>Seed Round</t>
        </is>
      </c>
      <c r="AE170" s="99" t="inlineStr">
        <is>
          <t/>
        </is>
      </c>
      <c r="AF170" s="100" t="inlineStr">
        <is>
          <t>Pear</t>
        </is>
      </c>
      <c r="AG170" s="233">
        <f>HYPERLINK("https://my.pitchbook.com?i=58373-20", "View Investor Online")</f>
      </c>
    </row>
    <row r="171">
      <c r="A171" s="36" t="inlineStr">
        <is>
          <t>16346-62F</t>
        </is>
      </c>
      <c r="B171" s="37" t="inlineStr">
        <is>
          <t>Arrowroot Capital IV</t>
        </is>
      </c>
      <c r="C171" s="38" t="inlineStr">
        <is>
          <t/>
        </is>
      </c>
      <c r="D171" s="39" t="inlineStr">
        <is>
          <t>Venture Capital</t>
        </is>
      </c>
      <c r="E171" s="40" t="n">
        <v>62.0</v>
      </c>
      <c r="F171" s="41" t="inlineStr">
        <is>
          <t>Santa Monica, CA</t>
        </is>
      </c>
      <c r="G171" s="42" t="n">
        <v>4.0</v>
      </c>
      <c r="H171" s="43" t="n">
        <v>2018.0</v>
      </c>
      <c r="I171" s="44" t="n">
        <v>74.17137</v>
      </c>
      <c r="J171" s="45" t="n">
        <v>45.986249400000005</v>
      </c>
      <c r="K171" s="46" t="n">
        <v>34.9693087088939</v>
      </c>
      <c r="L171" s="47" t="n">
        <v>0.0</v>
      </c>
      <c r="M171" s="48" t="n">
        <v>43.6153632</v>
      </c>
      <c r="N171" s="49" t="n">
        <v>-9.2</v>
      </c>
      <c r="O171" s="50" t="inlineStr">
        <is>
          <t/>
        </is>
      </c>
      <c r="P171" s="51" t="n">
        <v>-22.39</v>
      </c>
      <c r="Q171" s="52" t="n">
        <v>0.0</v>
      </c>
      <c r="R171" s="53" t="n">
        <v>0.0</v>
      </c>
      <c r="S171" s="54" t="n">
        <v>0.95</v>
      </c>
      <c r="T171" s="55" t="n">
        <v>-0.061490000000000045</v>
      </c>
      <c r="U171" s="56" t="n">
        <v>0.95</v>
      </c>
      <c r="V171" s="57" t="n">
        <v>-0.15000000000000013</v>
      </c>
      <c r="W171" s="58" t="inlineStr">
        <is>
          <t/>
        </is>
      </c>
      <c r="X171" s="59" t="inlineStr">
        <is>
          <t>LP Original Commitments</t>
        </is>
      </c>
      <c r="Y171" s="60" t="inlineStr">
        <is>
          <t>2019 Y</t>
        </is>
      </c>
      <c r="Z171" s="61" t="inlineStr">
        <is>
          <t>0 - 99M</t>
        </is>
      </c>
      <c r="AA171" s="62" t="inlineStr">
        <is>
          <t>Arrowroot Capital</t>
        </is>
      </c>
      <c r="AB171" s="63" t="inlineStr">
        <is>
          <t>Santa Monica, CA</t>
        </is>
      </c>
      <c r="AC171" s="64" t="inlineStr">
        <is>
          <t>Software, Business Products and Services (B2B)</t>
        </is>
      </c>
      <c r="AD171" s="65" t="inlineStr">
        <is>
          <t>Seed Round, Early Stage VC, Later Stage VC</t>
        </is>
      </c>
      <c r="AE171" s="66" t="inlineStr">
        <is>
          <t/>
        </is>
      </c>
      <c r="AF171" s="67" t="inlineStr">
        <is>
          <t>MPERS</t>
        </is>
      </c>
      <c r="AG171" s="232">
        <f>HYPERLINK("https://my.pitchbook.com?i=63987-22", "View Investor Online")</f>
      </c>
    </row>
    <row r="172">
      <c r="A172" s="69" t="inlineStr">
        <is>
          <t>16550-47F</t>
        </is>
      </c>
      <c r="B172" s="70" t="inlineStr">
        <is>
          <t>Connetic Ventures</t>
        </is>
      </c>
      <c r="C172" s="71" t="inlineStr">
        <is>
          <t/>
        </is>
      </c>
      <c r="D172" s="72" t="inlineStr">
        <is>
          <t>Venture Capital</t>
        </is>
      </c>
      <c r="E172" s="73" t="n">
        <v>25.0</v>
      </c>
      <c r="F172" s="74" t="inlineStr">
        <is>
          <t>Covington, KY</t>
        </is>
      </c>
      <c r="G172" s="75" t="n">
        <v>4.0</v>
      </c>
      <c r="H172" s="76" t="n">
        <v>2018.0</v>
      </c>
      <c r="I172" s="77" t="inlineStr">
        <is>
          <t/>
        </is>
      </c>
      <c r="J172" s="78" t="inlineStr">
        <is>
          <t/>
        </is>
      </c>
      <c r="K172" s="79" t="n">
        <v>14.100527705199154</v>
      </c>
      <c r="L172" s="80" t="inlineStr">
        <is>
          <t/>
        </is>
      </c>
      <c r="M172" s="81" t="inlineStr">
        <is>
          <t/>
        </is>
      </c>
      <c r="N172" s="82" t="n">
        <v>-10.02</v>
      </c>
      <c r="O172" s="83" t="inlineStr">
        <is>
          <t/>
        </is>
      </c>
      <c r="P172" s="84" t="n">
        <v>-23.21</v>
      </c>
      <c r="Q172" s="85" t="n">
        <v>0.0</v>
      </c>
      <c r="R172" s="86" t="n">
        <v>0.0</v>
      </c>
      <c r="S172" s="87" t="n">
        <v>0.95</v>
      </c>
      <c r="T172" s="88" t="n">
        <v>-0.061490000000000045</v>
      </c>
      <c r="U172" s="89" t="n">
        <v>0.95</v>
      </c>
      <c r="V172" s="90" t="n">
        <v>-0.15000000000000013</v>
      </c>
      <c r="W172" s="91" t="inlineStr">
        <is>
          <t/>
        </is>
      </c>
      <c r="X172" s="92" t="inlineStr">
        <is>
          <t>GP Self Reporting</t>
        </is>
      </c>
      <c r="Y172" s="93" t="inlineStr">
        <is>
          <t>2019 Y</t>
        </is>
      </c>
      <c r="Z172" s="94" t="inlineStr">
        <is>
          <t>0 - 99M</t>
        </is>
      </c>
      <c r="AA172" s="95" t="inlineStr">
        <is>
          <t>Connetic Ventures</t>
        </is>
      </c>
      <c r="AB172" s="96" t="inlineStr">
        <is>
          <t>Covington, KY</t>
        </is>
      </c>
      <c r="AC172" s="97" t="inlineStr">
        <is>
          <t>Software</t>
        </is>
      </c>
      <c r="AD172" s="98" t="inlineStr">
        <is>
          <t>Seed Round, Early Stage VC, Later Stage VC</t>
        </is>
      </c>
      <c r="AE172" s="99" t="inlineStr">
        <is>
          <t/>
        </is>
      </c>
      <c r="AF172" s="100" t="inlineStr">
        <is>
          <t>Connetic</t>
        </is>
      </c>
      <c r="AG172" s="233">
        <f>HYPERLINK("https://my.pitchbook.com?i=110765-62", "View Investor Online")</f>
      </c>
    </row>
    <row r="173">
      <c r="A173" s="36" t="inlineStr">
        <is>
          <t>15808-42F</t>
        </is>
      </c>
      <c r="B173" s="37" t="inlineStr">
        <is>
          <t>Archer Seed Fund</t>
        </is>
      </c>
      <c r="C173" s="38" t="inlineStr">
        <is>
          <t/>
        </is>
      </c>
      <c r="D173" s="39" t="inlineStr">
        <is>
          <t>Venture Capital - Early Stage</t>
        </is>
      </c>
      <c r="E173" s="40" t="n">
        <v>15.0</v>
      </c>
      <c r="F173" s="41" t="inlineStr">
        <is>
          <t>Saint Louis, MO</t>
        </is>
      </c>
      <c r="G173" s="42" t="inlineStr">
        <is>
          <t/>
        </is>
      </c>
      <c r="H173" s="43" t="n">
        <v>2016.0</v>
      </c>
      <c r="I173" s="44" t="n">
        <v>52.8</v>
      </c>
      <c r="J173" s="45" t="n">
        <v>7.92</v>
      </c>
      <c r="K173" s="46" t="n">
        <v>2.8877737226277373</v>
      </c>
      <c r="L173" s="47" t="n">
        <v>0.0</v>
      </c>
      <c r="M173" s="48" t="n">
        <v>7.42</v>
      </c>
      <c r="N173" s="49" t="inlineStr">
        <is>
          <t/>
        </is>
      </c>
      <c r="O173" s="50" t="inlineStr">
        <is>
          <t/>
        </is>
      </c>
      <c r="P173" s="51" t="inlineStr">
        <is>
          <t/>
        </is>
      </c>
      <c r="Q173" s="52" t="n">
        <v>0.0</v>
      </c>
      <c r="R173" s="53" t="n">
        <v>0.0</v>
      </c>
      <c r="S173" s="54" t="n">
        <v>0.936868687</v>
      </c>
      <c r="T173" s="55" t="n">
        <v>-0.238131313</v>
      </c>
      <c r="U173" s="56" t="n">
        <v>0.94</v>
      </c>
      <c r="V173" s="57" t="n">
        <v>-0.2350000000000001</v>
      </c>
      <c r="W173" s="58" t="inlineStr">
        <is>
          <t/>
        </is>
      </c>
      <c r="X173" s="59" t="inlineStr">
        <is>
          <t>GP Self Reporting</t>
        </is>
      </c>
      <c r="Y173" s="60" t="inlineStr">
        <is>
          <t>2018 Y</t>
        </is>
      </c>
      <c r="Z173" s="61" t="inlineStr">
        <is>
          <t>0 - 99M</t>
        </is>
      </c>
      <c r="AA173" s="62" t="inlineStr">
        <is>
          <t>RiverVest Venture Partners</t>
        </is>
      </c>
      <c r="AB173" s="63" t="inlineStr">
        <is>
          <t>Saint Louis, MO</t>
        </is>
      </c>
      <c r="AC173" s="64" t="inlineStr">
        <is>
          <t>Healthcare Services, Pharmaceuticals and Biotechnology</t>
        </is>
      </c>
      <c r="AD173" s="65" t="inlineStr">
        <is>
          <t>Seed Round</t>
        </is>
      </c>
      <c r="AE173" s="66" t="inlineStr">
        <is>
          <t/>
        </is>
      </c>
      <c r="AF173" s="67" t="inlineStr">
        <is>
          <t>RiverVest, RiverVest Venture Partners Limited Liability Company, RiverVest Venture Management Limited Liability Company</t>
        </is>
      </c>
      <c r="AG173" s="232">
        <f>HYPERLINK("https://my.pitchbook.com?i=11286-73", "View Investor Online")</f>
      </c>
    </row>
    <row r="174">
      <c r="A174" s="69" t="inlineStr">
        <is>
          <t>15731-47F</t>
        </is>
      </c>
      <c r="B174" s="70" t="inlineStr">
        <is>
          <t>KCRise Fund</t>
        </is>
      </c>
      <c r="C174" s="71" t="inlineStr">
        <is>
          <t/>
        </is>
      </c>
      <c r="D174" s="72" t="inlineStr">
        <is>
          <t>Venture Capital</t>
        </is>
      </c>
      <c r="E174" s="73" t="n">
        <v>19.0</v>
      </c>
      <c r="F174" s="74" t="inlineStr">
        <is>
          <t>Kansas City, MO</t>
        </is>
      </c>
      <c r="G174" s="75" t="inlineStr">
        <is>
          <t/>
        </is>
      </c>
      <c r="H174" s="76" t="n">
        <v>2017.0</v>
      </c>
      <c r="I174" s="77" t="n">
        <v>26.84210526315789</v>
      </c>
      <c r="J174" s="78" t="n">
        <v>5.1</v>
      </c>
      <c r="K174" s="79" t="n">
        <v>9.357500150569383</v>
      </c>
      <c r="L174" s="80" t="n">
        <v>0.0</v>
      </c>
      <c r="M174" s="81" t="n">
        <v>4.8</v>
      </c>
      <c r="N174" s="82" t="inlineStr">
        <is>
          <t/>
        </is>
      </c>
      <c r="O174" s="83" t="inlineStr">
        <is>
          <t/>
        </is>
      </c>
      <c r="P174" s="84" t="inlineStr">
        <is>
          <t/>
        </is>
      </c>
      <c r="Q174" s="85" t="n">
        <v>0.0</v>
      </c>
      <c r="R174" s="86" t="n">
        <v>0.0</v>
      </c>
      <c r="S174" s="87" t="n">
        <v>0.941176471</v>
      </c>
      <c r="T174" s="88" t="n">
        <v>-0.19944352899999995</v>
      </c>
      <c r="U174" s="89" t="n">
        <v>0.94</v>
      </c>
      <c r="V174" s="90" t="n">
        <v>-0.33499999999999996</v>
      </c>
      <c r="W174" s="91" t="inlineStr">
        <is>
          <t/>
        </is>
      </c>
      <c r="X174" s="92" t="inlineStr">
        <is>
          <t>GP Self Reporting</t>
        </is>
      </c>
      <c r="Y174" s="93" t="inlineStr">
        <is>
          <t>2017 Y</t>
        </is>
      </c>
      <c r="Z174" s="94" t="inlineStr">
        <is>
          <t>0 - 99M</t>
        </is>
      </c>
      <c r="AA174" s="95" t="inlineStr">
        <is>
          <t>KCRise Fund</t>
        </is>
      </c>
      <c r="AB174" s="96" t="inlineStr">
        <is>
          <t>Kansas City, MO</t>
        </is>
      </c>
      <c r="AC174" s="97" t="inlineStr">
        <is>
          <t>Software</t>
        </is>
      </c>
      <c r="AD174" s="98" t="inlineStr">
        <is>
          <t>Early Stage VC</t>
        </is>
      </c>
      <c r="AE174" s="99" t="inlineStr">
        <is>
          <t>Kansas, Missouri</t>
        </is>
      </c>
      <c r="AF174" s="100" t="inlineStr">
        <is>
          <t>KCRise Fund</t>
        </is>
      </c>
      <c r="AG174" s="233">
        <f>HYPERLINK("https://my.pitchbook.com?i=166604-32", "View Investor Online")</f>
      </c>
    </row>
    <row r="175">
      <c r="A175" s="36" t="inlineStr">
        <is>
          <t>16106-59F</t>
        </is>
      </c>
      <c r="B175" s="37" t="inlineStr">
        <is>
          <t>Reach II</t>
        </is>
      </c>
      <c r="C175" s="38" t="inlineStr">
        <is>
          <t/>
        </is>
      </c>
      <c r="D175" s="39" t="inlineStr">
        <is>
          <t>Venture Capital</t>
        </is>
      </c>
      <c r="E175" s="40" t="n">
        <v>82.0</v>
      </c>
      <c r="F175" s="41" t="inlineStr">
        <is>
          <t>San Francisco, CA</t>
        </is>
      </c>
      <c r="G175" s="42" t="n">
        <v>4.0</v>
      </c>
      <c r="H175" s="43" t="n">
        <v>2018.0</v>
      </c>
      <c r="I175" s="44" t="n">
        <v>22.0</v>
      </c>
      <c r="J175" s="45" t="n">
        <v>18.04</v>
      </c>
      <c r="K175" s="46" t="n">
        <v>46.249730873053224</v>
      </c>
      <c r="L175" s="47" t="n">
        <v>0.0</v>
      </c>
      <c r="M175" s="48" t="n">
        <v>16.913866666666667</v>
      </c>
      <c r="N175" s="49" t="n">
        <v>-18.7</v>
      </c>
      <c r="O175" s="50" t="inlineStr">
        <is>
          <t/>
        </is>
      </c>
      <c r="P175" s="51" t="n">
        <v>-31.89</v>
      </c>
      <c r="Q175" s="52" t="n">
        <v>0.0</v>
      </c>
      <c r="R175" s="53" t="n">
        <v>0.0</v>
      </c>
      <c r="S175" s="54" t="n">
        <v>0.94</v>
      </c>
      <c r="T175" s="55" t="n">
        <v>-0.07149000000000005</v>
      </c>
      <c r="U175" s="56" t="n">
        <v>0.94</v>
      </c>
      <c r="V175" s="57" t="n">
        <v>-0.16000000000000014</v>
      </c>
      <c r="W175" s="58" t="inlineStr">
        <is>
          <t/>
        </is>
      </c>
      <c r="X175" s="59" t="inlineStr">
        <is>
          <t>LP Original Commitments</t>
        </is>
      </c>
      <c r="Y175" s="60" t="inlineStr">
        <is>
          <t>2018 Y</t>
        </is>
      </c>
      <c r="Z175" s="61" t="inlineStr">
        <is>
          <t>0 - 99M</t>
        </is>
      </c>
      <c r="AA175" s="62" t="inlineStr">
        <is>
          <t>Reach Capital</t>
        </is>
      </c>
      <c r="AB175" s="63" t="inlineStr">
        <is>
          <t>San Francisco, CA</t>
        </is>
      </c>
      <c r="AC175" s="64" t="inlineStr">
        <is>
          <t>Information Technology, Educational and Training Services (B2C)</t>
        </is>
      </c>
      <c r="AD175" s="65" t="inlineStr">
        <is>
          <t>Seed Round, Early Stage VC, Later Stage VC</t>
        </is>
      </c>
      <c r="AE175" s="66" t="inlineStr">
        <is>
          <t/>
        </is>
      </c>
      <c r="AF175" s="67" t="inlineStr">
        <is>
          <t>LAFPP</t>
        </is>
      </c>
      <c r="AG175" s="232">
        <f>HYPERLINK("https://my.pitchbook.com?i=111506-59", "View Investor Online")</f>
      </c>
    </row>
    <row r="176">
      <c r="A176" s="69" t="inlineStr">
        <is>
          <t>16409-71F</t>
        </is>
      </c>
      <c r="B176" s="70" t="inlineStr">
        <is>
          <t>BioVeda China Fund IV</t>
        </is>
      </c>
      <c r="C176" s="71" t="inlineStr">
        <is>
          <t/>
        </is>
      </c>
      <c r="D176" s="72" t="inlineStr">
        <is>
          <t>Venture Capital</t>
        </is>
      </c>
      <c r="E176" s="73" t="n">
        <v>41.03</v>
      </c>
      <c r="F176" s="74" t="inlineStr">
        <is>
          <t>Shanghai, China</t>
        </is>
      </c>
      <c r="G176" s="75" t="inlineStr">
        <is>
          <t/>
        </is>
      </c>
      <c r="H176" s="76" t="n">
        <v>2018.0</v>
      </c>
      <c r="I176" s="77" t="n">
        <v>48.0</v>
      </c>
      <c r="J176" s="78" t="n">
        <v>19.694399999999998</v>
      </c>
      <c r="K176" s="79" t="n">
        <v>21.3356</v>
      </c>
      <c r="L176" s="80" t="n">
        <v>2.4617999999999998</v>
      </c>
      <c r="M176" s="81" t="n">
        <v>15.591399999999998</v>
      </c>
      <c r="N176" s="82" t="inlineStr">
        <is>
          <t/>
        </is>
      </c>
      <c r="O176" s="83" t="inlineStr">
        <is>
          <t/>
        </is>
      </c>
      <c r="P176" s="84" t="inlineStr">
        <is>
          <t/>
        </is>
      </c>
      <c r="Q176" s="85" t="n">
        <v>0.13</v>
      </c>
      <c r="R176" s="86" t="inlineStr">
        <is>
          <t/>
        </is>
      </c>
      <c r="S176" s="87" t="n">
        <v>0.79</v>
      </c>
      <c r="T176" s="88" t="inlineStr">
        <is>
          <t/>
        </is>
      </c>
      <c r="U176" s="89" t="n">
        <v>0.92</v>
      </c>
      <c r="V176" s="90" t="inlineStr">
        <is>
          <t/>
        </is>
      </c>
      <c r="W176" s="91" t="inlineStr">
        <is>
          <t/>
        </is>
      </c>
      <c r="X176" s="92" t="inlineStr">
        <is>
          <t>LP Original Commitments</t>
        </is>
      </c>
      <c r="Y176" s="93" t="inlineStr">
        <is>
          <t>2020 Y</t>
        </is>
      </c>
      <c r="Z176" s="94" t="inlineStr">
        <is>
          <t>0 - 99M</t>
        </is>
      </c>
      <c r="AA176" s="95" t="inlineStr">
        <is>
          <t>BVCF</t>
        </is>
      </c>
      <c r="AB176" s="96" t="inlineStr">
        <is>
          <t>Shanghai, China</t>
        </is>
      </c>
      <c r="AC176" s="97" t="inlineStr">
        <is>
          <t/>
        </is>
      </c>
      <c r="AD176" s="98" t="inlineStr">
        <is>
          <t>Seed Round, Early Stage VC, Later Stage VC</t>
        </is>
      </c>
      <c r="AE176" s="99" t="inlineStr">
        <is>
          <t/>
        </is>
      </c>
      <c r="AF176" s="100" t="inlineStr">
        <is>
          <t>HBM</t>
        </is>
      </c>
      <c r="AG176" s="233">
        <f>HYPERLINK("https://my.pitchbook.com?i=54624-97", "View Investor Online")</f>
      </c>
    </row>
    <row r="177">
      <c r="A177" s="36" t="inlineStr">
        <is>
          <t>15166-45F</t>
        </is>
      </c>
      <c r="B177" s="37" t="inlineStr">
        <is>
          <t>Newark Venture Partners Fund</t>
        </is>
      </c>
      <c r="C177" s="38" t="inlineStr">
        <is>
          <t/>
        </is>
      </c>
      <c r="D177" s="39" t="inlineStr">
        <is>
          <t>Venture Capital - Early Stage</t>
        </is>
      </c>
      <c r="E177" s="40" t="n">
        <v>44.0</v>
      </c>
      <c r="F177" s="41" t="inlineStr">
        <is>
          <t>Newark, NJ</t>
        </is>
      </c>
      <c r="G177" s="42" t="inlineStr">
        <is>
          <t/>
        </is>
      </c>
      <c r="H177" s="43" t="n">
        <v>2017.0</v>
      </c>
      <c r="I177" s="44" t="n">
        <v>92.99998997472721</v>
      </c>
      <c r="J177" s="45" t="n">
        <v>40.91999558887997</v>
      </c>
      <c r="K177" s="46" t="n">
        <v>3.080004411120033</v>
      </c>
      <c r="L177" s="47" t="n">
        <v>0.9706870137173074</v>
      </c>
      <c r="M177" s="48" t="n">
        <v>36.3610228330145</v>
      </c>
      <c r="N177" s="49" t="inlineStr">
        <is>
          <t/>
        </is>
      </c>
      <c r="O177" s="50" t="inlineStr">
        <is>
          <t/>
        </is>
      </c>
      <c r="P177" s="51" t="inlineStr">
        <is>
          <t/>
        </is>
      </c>
      <c r="Q177" s="52" t="n">
        <v>0.02</v>
      </c>
      <c r="R177" s="53" t="n">
        <v>0.02</v>
      </c>
      <c r="S177" s="54" t="n">
        <v>0.89</v>
      </c>
      <c r="T177" s="55" t="n">
        <v>-0.06916999999999995</v>
      </c>
      <c r="U177" s="56" t="n">
        <v>0.91</v>
      </c>
      <c r="V177" s="57" t="n">
        <v>-0.09999999999999998</v>
      </c>
      <c r="W177" s="58" t="inlineStr">
        <is>
          <t/>
        </is>
      </c>
      <c r="X177" s="59" t="inlineStr">
        <is>
          <t>LP Original Commitments</t>
        </is>
      </c>
      <c r="Y177" s="60" t="inlineStr">
        <is>
          <t>2020 Y</t>
        </is>
      </c>
      <c r="Z177" s="61" t="inlineStr">
        <is>
          <t>0 - 99M</t>
        </is>
      </c>
      <c r="AA177" s="62" t="inlineStr">
        <is>
          <t>Newark Venture Partners</t>
        </is>
      </c>
      <c r="AB177" s="63" t="inlineStr">
        <is>
          <t>Newark, NJ</t>
        </is>
      </c>
      <c r="AC177" s="64" t="inlineStr">
        <is>
          <t>Insurance, Broadcasting, Radio and Television, Social Content, Business/Productivity Software</t>
        </is>
      </c>
      <c r="AD177" s="65" t="inlineStr">
        <is>
          <t>Seed Round, Early Stage VC</t>
        </is>
      </c>
      <c r="AE177" s="66" t="inlineStr">
        <is>
          <t>United States</t>
        </is>
      </c>
      <c r="AF177" s="67" t="inlineStr">
        <is>
          <t>NJEDA</t>
        </is>
      </c>
      <c r="AG177" s="232">
        <f>HYPERLINK("https://my.pitchbook.com?i=120421-72", "View Investor Online")</f>
      </c>
    </row>
    <row r="178">
      <c r="A178" s="69" t="inlineStr">
        <is>
          <t>16046-38F</t>
        </is>
      </c>
      <c r="B178" s="70" t="inlineStr">
        <is>
          <t>PVP Fund II</t>
        </is>
      </c>
      <c r="C178" s="71" t="inlineStr">
        <is>
          <t/>
        </is>
      </c>
      <c r="D178" s="72" t="inlineStr">
        <is>
          <t>Venture Capital - Early Stage</t>
        </is>
      </c>
      <c r="E178" s="73" t="n">
        <v>100.0</v>
      </c>
      <c r="F178" s="74" t="inlineStr">
        <is>
          <t>New York, NY</t>
        </is>
      </c>
      <c r="G178" s="75" t="inlineStr">
        <is>
          <t/>
        </is>
      </c>
      <c r="H178" s="76" t="n">
        <v>2018.0</v>
      </c>
      <c r="I178" s="77" t="n">
        <v>15.45</v>
      </c>
      <c r="J178" s="78" t="n">
        <v>15.45</v>
      </c>
      <c r="K178" s="79" t="n">
        <v>73.33333333333333</v>
      </c>
      <c r="L178" s="80" t="n">
        <v>0.0</v>
      </c>
      <c r="M178" s="81" t="n">
        <v>14.030266666666668</v>
      </c>
      <c r="N178" s="82" t="inlineStr">
        <is>
          <t/>
        </is>
      </c>
      <c r="O178" s="83" t="inlineStr">
        <is>
          <t/>
        </is>
      </c>
      <c r="P178" s="84" t="inlineStr">
        <is>
          <t/>
        </is>
      </c>
      <c r="Q178" s="85" t="n">
        <v>0.0</v>
      </c>
      <c r="R178" s="86" t="inlineStr">
        <is>
          <t/>
        </is>
      </c>
      <c r="S178" s="87" t="n">
        <v>0.91</v>
      </c>
      <c r="T178" s="88" t="inlineStr">
        <is>
          <t/>
        </is>
      </c>
      <c r="U178" s="89" t="n">
        <v>0.91</v>
      </c>
      <c r="V178" s="90" t="inlineStr">
        <is>
          <t/>
        </is>
      </c>
      <c r="W178" s="91" t="inlineStr">
        <is>
          <t/>
        </is>
      </c>
      <c r="X178" s="92" t="inlineStr">
        <is>
          <t>LP Original Commitments</t>
        </is>
      </c>
      <c r="Y178" s="93" t="inlineStr">
        <is>
          <t>2019 Y</t>
        </is>
      </c>
      <c r="Z178" s="94" t="inlineStr">
        <is>
          <t>100M - 249M</t>
        </is>
      </c>
      <c r="AA178" s="95" t="inlineStr">
        <is>
          <t>Primary Venture Partners</t>
        </is>
      </c>
      <c r="AB178" s="96" t="inlineStr">
        <is>
          <t>New York, NY</t>
        </is>
      </c>
      <c r="AC178" s="97" t="inlineStr">
        <is>
          <t>Information Technology</t>
        </is>
      </c>
      <c r="AD178" s="98" t="inlineStr">
        <is>
          <t>Seed Round, Early Stage VC</t>
        </is>
      </c>
      <c r="AE178" s="99" t="inlineStr">
        <is>
          <t>New York</t>
        </is>
      </c>
      <c r="AF178" s="100" t="inlineStr">
        <is>
          <t>NYSCRF</t>
        </is>
      </c>
      <c r="AG178" s="233">
        <f>HYPERLINK("https://my.pitchbook.com?i=11209-51", "View Investor Online")</f>
      </c>
    </row>
    <row r="179">
      <c r="A179" s="36" t="inlineStr">
        <is>
          <t>12067-57F</t>
        </is>
      </c>
      <c r="B179" s="37" t="inlineStr">
        <is>
          <t>Bridges Social Entrepreneurs Fund</t>
        </is>
      </c>
      <c r="C179" s="38" t="inlineStr">
        <is>
          <t/>
        </is>
      </c>
      <c r="D179" s="39" t="inlineStr">
        <is>
          <t>Venture Capital</t>
        </is>
      </c>
      <c r="E179" s="40" t="n">
        <v>19.05862</v>
      </c>
      <c r="F179" s="41" t="inlineStr">
        <is>
          <t>London, United Kingdom</t>
        </is>
      </c>
      <c r="G179" s="42" t="inlineStr">
        <is>
          <t/>
        </is>
      </c>
      <c r="H179" s="43" t="n">
        <v>2011.0</v>
      </c>
      <c r="I179" s="44" t="n">
        <v>85.98478310822888</v>
      </c>
      <c r="J179" s="45" t="n">
        <v>16.387511196276012</v>
      </c>
      <c r="K179" s="46" t="n">
        <v>0.0</v>
      </c>
      <c r="L179" s="47" t="n">
        <v>11.200930107674491</v>
      </c>
      <c r="M179" s="48" t="n">
        <v>3.634192833470591</v>
      </c>
      <c r="N179" s="49" t="inlineStr">
        <is>
          <t/>
        </is>
      </c>
      <c r="O179" s="50" t="inlineStr">
        <is>
          <t/>
        </is>
      </c>
      <c r="P179" s="51" t="inlineStr">
        <is>
          <t/>
        </is>
      </c>
      <c r="Q179" s="52" t="n">
        <v>0.68350404</v>
      </c>
      <c r="R179" s="53" t="inlineStr">
        <is>
          <t/>
        </is>
      </c>
      <c r="S179" s="54" t="n">
        <v>0.221766002</v>
      </c>
      <c r="T179" s="55" t="inlineStr">
        <is>
          <t/>
        </is>
      </c>
      <c r="U179" s="56" t="n">
        <v>0.9</v>
      </c>
      <c r="V179" s="57" t="inlineStr">
        <is>
          <t/>
        </is>
      </c>
      <c r="W179" s="58" t="inlineStr">
        <is>
          <t/>
        </is>
      </c>
      <c r="X179" s="59" t="inlineStr">
        <is>
          <t>GP Self Reporting</t>
        </is>
      </c>
      <c r="Y179" s="60" t="inlineStr">
        <is>
          <t>2019 Y</t>
        </is>
      </c>
      <c r="Z179" s="61" t="inlineStr">
        <is>
          <t>0 - 99M</t>
        </is>
      </c>
      <c r="AA179" s="62" t="inlineStr">
        <is>
          <t>Bridges Fund Management</t>
        </is>
      </c>
      <c r="AB179" s="63" t="inlineStr">
        <is>
          <t>London, United Kingdom</t>
        </is>
      </c>
      <c r="AC179" s="64" t="inlineStr">
        <is>
          <t>Healthcare Services, Services (Non-Financial)</t>
        </is>
      </c>
      <c r="AD179" s="65" t="inlineStr">
        <is>
          <t>Seed Round, Early Stage VC, Later Stage VC</t>
        </is>
      </c>
      <c r="AE179" s="66" t="inlineStr">
        <is>
          <t>United Kingdom</t>
        </is>
      </c>
      <c r="AF179" s="67" t="inlineStr">
        <is>
          <t>Bridges</t>
        </is>
      </c>
      <c r="AG179" s="232">
        <f>HYPERLINK("https://my.pitchbook.com?i=10791-37", "View Investor Online")</f>
      </c>
    </row>
    <row r="180">
      <c r="A180" s="69" t="inlineStr">
        <is>
          <t>13644-28F</t>
        </is>
      </c>
      <c r="B180" s="70" t="inlineStr">
        <is>
          <t>New Markets Education Partners</t>
        </is>
      </c>
      <c r="C180" s="71" t="inlineStr">
        <is>
          <t/>
        </is>
      </c>
      <c r="D180" s="72" t="inlineStr">
        <is>
          <t>Venture Capital</t>
        </is>
      </c>
      <c r="E180" s="73" t="n">
        <v>20.0</v>
      </c>
      <c r="F180" s="74" t="inlineStr">
        <is>
          <t>Fulton, MD</t>
        </is>
      </c>
      <c r="G180" s="75" t="inlineStr">
        <is>
          <t/>
        </is>
      </c>
      <c r="H180" s="76" t="n">
        <v>2012.0</v>
      </c>
      <c r="I180" s="77" t="n">
        <v>100.0</v>
      </c>
      <c r="J180" s="78" t="n">
        <v>22.647058823529413</v>
      </c>
      <c r="K180" s="79" t="n">
        <v>0.0</v>
      </c>
      <c r="L180" s="80" t="n">
        <v>0.0</v>
      </c>
      <c r="M180" s="81" t="n">
        <v>20.235917647058823</v>
      </c>
      <c r="N180" s="82" t="inlineStr">
        <is>
          <t/>
        </is>
      </c>
      <c r="O180" s="83" t="inlineStr">
        <is>
          <t/>
        </is>
      </c>
      <c r="P180" s="84" t="inlineStr">
        <is>
          <t/>
        </is>
      </c>
      <c r="Q180" s="85" t="n">
        <v>0.0</v>
      </c>
      <c r="R180" s="86" t="n">
        <v>-0.48192</v>
      </c>
      <c r="S180" s="87" t="n">
        <v>0.89</v>
      </c>
      <c r="T180" s="88" t="n">
        <v>-0.2401000000000001</v>
      </c>
      <c r="U180" s="89" t="n">
        <v>0.89</v>
      </c>
      <c r="V180" s="90" t="n">
        <v>-0.4</v>
      </c>
      <c r="W180" s="91" t="inlineStr">
        <is>
          <t/>
        </is>
      </c>
      <c r="X180" s="92" t="inlineStr">
        <is>
          <t>LP Original Commitments</t>
        </is>
      </c>
      <c r="Y180" s="93" t="inlineStr">
        <is>
          <t>2013 Y</t>
        </is>
      </c>
      <c r="Z180" s="94" t="inlineStr">
        <is>
          <t>0 - 99M</t>
        </is>
      </c>
      <c r="AA180" s="95" t="inlineStr">
        <is>
          <t>New Markets Venture Partners</t>
        </is>
      </c>
      <c r="AB180" s="96" t="inlineStr">
        <is>
          <t>Fulton, MD</t>
        </is>
      </c>
      <c r="AC180" s="97" t="inlineStr">
        <is>
          <t>Software</t>
        </is>
      </c>
      <c r="AD180" s="98" t="inlineStr">
        <is>
          <t>Early Stage VC, Later Stage VC</t>
        </is>
      </c>
      <c r="AE180" s="99" t="inlineStr">
        <is>
          <t/>
        </is>
      </c>
      <c r="AF180" s="100" t="inlineStr">
        <is>
          <t>PICA</t>
        </is>
      </c>
      <c r="AG180" s="233">
        <f>HYPERLINK("https://my.pitchbook.com?i=42155-83", "View Investor Online")</f>
      </c>
    </row>
    <row r="181">
      <c r="A181" s="36" t="inlineStr">
        <is>
          <t>14572-18F</t>
        </is>
      </c>
      <c r="B181" s="37" t="inlineStr">
        <is>
          <t>RAC II</t>
        </is>
      </c>
      <c r="C181" s="38" t="inlineStr">
        <is>
          <t/>
        </is>
      </c>
      <c r="D181" s="39" t="inlineStr">
        <is>
          <t>Venture Capital - Early Stage</t>
        </is>
      </c>
      <c r="E181" s="40" t="n">
        <v>34.9258</v>
      </c>
      <c r="F181" s="41" t="inlineStr">
        <is>
          <t>Lyon, France</t>
        </is>
      </c>
      <c r="G181" s="42" t="inlineStr">
        <is>
          <t/>
        </is>
      </c>
      <c r="H181" s="43" t="n">
        <v>2012.0</v>
      </c>
      <c r="I181" s="44" t="n">
        <v>5.708711764705883</v>
      </c>
      <c r="J181" s="45" t="n">
        <v>1.9938131392056941</v>
      </c>
      <c r="K181" s="46" t="n">
        <v>0.0</v>
      </c>
      <c r="L181" s="47" t="n">
        <v>0.022730531120312297</v>
      </c>
      <c r="M181" s="48" t="n">
        <v>1.7246811032124012</v>
      </c>
      <c r="N181" s="49" t="inlineStr">
        <is>
          <t/>
        </is>
      </c>
      <c r="O181" s="50" t="inlineStr">
        <is>
          <t/>
        </is>
      </c>
      <c r="P181" s="51" t="inlineStr">
        <is>
          <t/>
        </is>
      </c>
      <c r="Q181" s="52" t="n">
        <v>0.01</v>
      </c>
      <c r="R181" s="53" t="inlineStr">
        <is>
          <t/>
        </is>
      </c>
      <c r="S181" s="54" t="n">
        <v>0.87</v>
      </c>
      <c r="T181" s="55" t="inlineStr">
        <is>
          <t/>
        </is>
      </c>
      <c r="U181" s="56" t="n">
        <v>0.88</v>
      </c>
      <c r="V181" s="57" t="inlineStr">
        <is>
          <t/>
        </is>
      </c>
      <c r="W181" s="58" t="inlineStr">
        <is>
          <t/>
        </is>
      </c>
      <c r="X181" s="59" t="inlineStr">
        <is>
          <t>LP Original Commitments</t>
        </is>
      </c>
      <c r="Y181" s="60" t="inlineStr">
        <is>
          <t>2020 Y</t>
        </is>
      </c>
      <c r="Z181" s="61" t="inlineStr">
        <is>
          <t>0 - 99M</t>
        </is>
      </c>
      <c r="AA181" s="62" t="inlineStr">
        <is>
          <t>Kreaxi, Rhône-Alpes Création</t>
        </is>
      </c>
      <c r="AB181" s="63" t="inlineStr">
        <is>
          <t>Lyon, France</t>
        </is>
      </c>
      <c r="AC181" s="64" t="inlineStr">
        <is>
          <t>Software</t>
        </is>
      </c>
      <c r="AD181" s="65" t="inlineStr">
        <is>
          <t>Seed Round, Early Stage VC</t>
        </is>
      </c>
      <c r="AE181" s="66" t="inlineStr">
        <is>
          <t>France</t>
        </is>
      </c>
      <c r="AF181" s="67" t="inlineStr">
        <is>
          <t>MCERS</t>
        </is>
      </c>
      <c r="AG181" s="232">
        <f>HYPERLINK("https://my.pitchbook.com?i=168785-38", "View Investor Online")</f>
      </c>
    </row>
    <row r="182">
      <c r="A182" s="69" t="inlineStr">
        <is>
          <t>13387-87F</t>
        </is>
      </c>
      <c r="B182" s="70" t="inlineStr">
        <is>
          <t>Harbert Venture Partners III</t>
        </is>
      </c>
      <c r="C182" s="71" t="inlineStr">
        <is>
          <t/>
        </is>
      </c>
      <c r="D182" s="72" t="inlineStr">
        <is>
          <t>Venture Capital - Early Stage</t>
        </is>
      </c>
      <c r="E182" s="73" t="n">
        <v>78.15</v>
      </c>
      <c r="F182" s="74" t="inlineStr">
        <is>
          <t>Richmond, VA</t>
        </is>
      </c>
      <c r="G182" s="75" t="n">
        <v>4.0</v>
      </c>
      <c r="H182" s="76" t="n">
        <v>2011.0</v>
      </c>
      <c r="I182" s="77" t="n">
        <v>94.79110684580934</v>
      </c>
      <c r="J182" s="78" t="n">
        <v>74.07925</v>
      </c>
      <c r="K182" s="79" t="n">
        <v>1.17225</v>
      </c>
      <c r="L182" s="80" t="n">
        <v>18.55</v>
      </c>
      <c r="M182" s="81" t="n">
        <v>46.266066</v>
      </c>
      <c r="N182" s="82" t="n">
        <v>-2.6</v>
      </c>
      <c r="O182" s="83" t="inlineStr">
        <is>
          <t/>
        </is>
      </c>
      <c r="P182" s="84" t="n">
        <v>-15.17</v>
      </c>
      <c r="Q182" s="85" t="n">
        <v>0.250407503</v>
      </c>
      <c r="R182" s="86" t="n">
        <v>-0.024792497000000024</v>
      </c>
      <c r="S182" s="87" t="n">
        <v>0.624548251</v>
      </c>
      <c r="T182" s="88" t="n">
        <v>-0.835451749</v>
      </c>
      <c r="U182" s="89" t="n">
        <v>0.87</v>
      </c>
      <c r="V182" s="90" t="n">
        <v>-0.9400000000000001</v>
      </c>
      <c r="W182" s="91" t="inlineStr">
        <is>
          <t/>
        </is>
      </c>
      <c r="X182" s="92" t="inlineStr">
        <is>
          <t>GP Self Reporting</t>
        </is>
      </c>
      <c r="Y182" s="93" t="inlineStr">
        <is>
          <t>2020 Y</t>
        </is>
      </c>
      <c r="Z182" s="94" t="inlineStr">
        <is>
          <t>0 - 99M</t>
        </is>
      </c>
      <c r="AA182" s="95" t="inlineStr">
        <is>
          <t>Harbert Growth Partners</t>
        </is>
      </c>
      <c r="AB182" s="96" t="inlineStr">
        <is>
          <t>Richmond, VA</t>
        </is>
      </c>
      <c r="AC182" s="97" t="inlineStr">
        <is>
          <t>Healthcare, Information Technology</t>
        </is>
      </c>
      <c r="AD182" s="98" t="inlineStr">
        <is>
          <t>Seed Round, Early Stage VC</t>
        </is>
      </c>
      <c r="AE182" s="99" t="inlineStr">
        <is>
          <t>Southeast, Mid Atlantic</t>
        </is>
      </c>
      <c r="AF182" s="100" t="inlineStr">
        <is>
          <t>HGP</t>
        </is>
      </c>
      <c r="AG182" s="233">
        <f>HYPERLINK("https://my.pitchbook.com?i=62255-71", "View Investor Online")</f>
      </c>
    </row>
    <row r="183">
      <c r="A183" s="36" t="inlineStr">
        <is>
          <t>16541-65F</t>
        </is>
      </c>
      <c r="B183" s="37" t="inlineStr">
        <is>
          <t>Inveready Biotech III</t>
        </is>
      </c>
      <c r="C183" s="38" t="inlineStr">
        <is>
          <t/>
        </is>
      </c>
      <c r="D183" s="39" t="inlineStr">
        <is>
          <t>Venture Capital - Early Stage</t>
        </is>
      </c>
      <c r="E183" s="40" t="n">
        <v>35.36235</v>
      </c>
      <c r="F183" s="41" t="inlineStr">
        <is>
          <t>Barcelona, Spain</t>
        </is>
      </c>
      <c r="G183" s="42" t="inlineStr">
        <is>
          <t/>
        </is>
      </c>
      <c r="H183" s="43" t="n">
        <v>2018.0</v>
      </c>
      <c r="I183" s="44" t="n">
        <v>30.0</v>
      </c>
      <c r="J183" s="45" t="n">
        <v>9.965221377392899</v>
      </c>
      <c r="K183" s="46" t="n">
        <v>24.753645000000002</v>
      </c>
      <c r="L183" s="47" t="n">
        <v>0.0</v>
      </c>
      <c r="M183" s="48" t="n">
        <v>8.536872979966581</v>
      </c>
      <c r="N183" s="49" t="n">
        <v>-13.4</v>
      </c>
      <c r="O183" s="50" t="inlineStr">
        <is>
          <t/>
        </is>
      </c>
      <c r="P183" s="51" t="inlineStr">
        <is>
          <t/>
        </is>
      </c>
      <c r="Q183" s="52" t="n">
        <v>0.0</v>
      </c>
      <c r="R183" s="53" t="inlineStr">
        <is>
          <t/>
        </is>
      </c>
      <c r="S183" s="54" t="n">
        <v>0.856666667</v>
      </c>
      <c r="T183" s="55" t="inlineStr">
        <is>
          <t/>
        </is>
      </c>
      <c r="U183" s="56" t="n">
        <v>0.86</v>
      </c>
      <c r="V183" s="57" t="inlineStr">
        <is>
          <t/>
        </is>
      </c>
      <c r="W183" s="58" t="inlineStr">
        <is>
          <t/>
        </is>
      </c>
      <c r="X183" s="59" t="inlineStr">
        <is>
          <t>GP Self Reporting</t>
        </is>
      </c>
      <c r="Y183" s="60" t="inlineStr">
        <is>
          <t>2020 Y</t>
        </is>
      </c>
      <c r="Z183" s="61" t="inlineStr">
        <is>
          <t>0 - 99M</t>
        </is>
      </c>
      <c r="AA183" s="62" t="inlineStr">
        <is>
          <t>Inveready Technology Investment Group</t>
        </is>
      </c>
      <c r="AB183" s="63" t="inlineStr">
        <is>
          <t>Barcelona, Spain</t>
        </is>
      </c>
      <c r="AC183" s="64" t="inlineStr">
        <is>
          <t>Biotechnology</t>
        </is>
      </c>
      <c r="AD183" s="65" t="inlineStr">
        <is>
          <t>Seed Round, Early Stage VC</t>
        </is>
      </c>
      <c r="AE183" s="66" t="inlineStr">
        <is>
          <t>Spain</t>
        </is>
      </c>
      <c r="AF183" s="67" t="inlineStr">
        <is>
          <t>Inveready</t>
        </is>
      </c>
      <c r="AG183" s="232">
        <f>HYPERLINK("https://my.pitchbook.com?i=54589-15", "View Investor Online")</f>
      </c>
    </row>
    <row r="184">
      <c r="A184" s="69" t="inlineStr">
        <is>
          <t>12627-73F</t>
        </is>
      </c>
      <c r="B184" s="70" t="inlineStr">
        <is>
          <t>Tallwood II Annex</t>
        </is>
      </c>
      <c r="C184" s="71" t="inlineStr">
        <is>
          <t/>
        </is>
      </c>
      <c r="D184" s="72" t="inlineStr">
        <is>
          <t>Venture Capital</t>
        </is>
      </c>
      <c r="E184" s="73" t="n">
        <v>23.39</v>
      </c>
      <c r="F184" s="74" t="inlineStr">
        <is>
          <t>Menlo Park, CA</t>
        </is>
      </c>
      <c r="G184" s="75" t="n">
        <v>4.0</v>
      </c>
      <c r="H184" s="76" t="n">
        <v>2009.0</v>
      </c>
      <c r="I184" s="77" t="n">
        <v>100.0</v>
      </c>
      <c r="J184" s="78" t="n">
        <v>23.39</v>
      </c>
      <c r="K184" s="79" t="n">
        <v>0.0</v>
      </c>
      <c r="L184" s="80" t="n">
        <v>20.02071728</v>
      </c>
      <c r="M184" s="81" t="n">
        <v>0.0</v>
      </c>
      <c r="N184" s="82" t="n">
        <v>-3.7</v>
      </c>
      <c r="O184" s="83" t="inlineStr">
        <is>
          <t/>
        </is>
      </c>
      <c r="P184" s="84" t="n">
        <v>-12.75452</v>
      </c>
      <c r="Q184" s="85" t="n">
        <v>0.86</v>
      </c>
      <c r="R184" s="86" t="n">
        <v>0.0</v>
      </c>
      <c r="S184" s="87" t="n">
        <v>0.0</v>
      </c>
      <c r="T184" s="88" t="n">
        <v>-0.47813</v>
      </c>
      <c r="U184" s="89" t="n">
        <v>0.86</v>
      </c>
      <c r="V184" s="90" t="n">
        <v>-0.64</v>
      </c>
      <c r="W184" s="91" t="inlineStr">
        <is>
          <t/>
        </is>
      </c>
      <c r="X184" s="92" t="inlineStr">
        <is>
          <t>LP Original Commitments</t>
        </is>
      </c>
      <c r="Y184" s="93" t="inlineStr">
        <is>
          <t>2016 Y</t>
        </is>
      </c>
      <c r="Z184" s="94" t="inlineStr">
        <is>
          <t>0 - 99M</t>
        </is>
      </c>
      <c r="AA184" s="95" t="inlineStr">
        <is>
          <t>Tallwood Venture Capital</t>
        </is>
      </c>
      <c r="AB184" s="96" t="inlineStr">
        <is>
          <t>Menlo Park, CA</t>
        </is>
      </c>
      <c r="AC184" s="97" t="inlineStr">
        <is>
          <t>Communications and Networking</t>
        </is>
      </c>
      <c r="AD184" s="98" t="inlineStr">
        <is>
          <t>Seed Round, Early Stage VC, Later Stage VC</t>
        </is>
      </c>
      <c r="AE184" s="99" t="inlineStr">
        <is>
          <t/>
        </is>
      </c>
      <c r="AF184" s="100" t="inlineStr">
        <is>
          <t>CalPERS</t>
        </is>
      </c>
      <c r="AG184" s="233">
        <f>HYPERLINK("https://my.pitchbook.com?i=11309-86", "View Investor Online")</f>
      </c>
    </row>
    <row r="185">
      <c r="A185" s="36" t="inlineStr">
        <is>
          <t>15684-31F</t>
        </is>
      </c>
      <c r="B185" s="37" t="inlineStr">
        <is>
          <t>Bow Capital Fund I</t>
        </is>
      </c>
      <c r="C185" s="38" t="inlineStr">
        <is>
          <t>VR VENTURES FUND I, LP, BOW VENTURES FUND I, LP</t>
        </is>
      </c>
      <c r="D185" s="39" t="inlineStr">
        <is>
          <t>Venture Capital</t>
        </is>
      </c>
      <c r="E185" s="40" t="n">
        <v>100.0</v>
      </c>
      <c r="F185" s="41" t="inlineStr">
        <is>
          <t>San Francisco, CA</t>
        </is>
      </c>
      <c r="G185" s="42" t="n">
        <v>4.0</v>
      </c>
      <c r="H185" s="43" t="n">
        <v>2017.0</v>
      </c>
      <c r="I185" s="44" t="n">
        <v>38.1159068</v>
      </c>
      <c r="J185" s="45" t="n">
        <v>38.1159068</v>
      </c>
      <c r="K185" s="46" t="n">
        <v>32.47538461538461</v>
      </c>
      <c r="L185" s="47" t="n">
        <v>0.0279972</v>
      </c>
      <c r="M185" s="48" t="n">
        <v>32.3447284</v>
      </c>
      <c r="N185" s="49" t="n">
        <v>-12.9</v>
      </c>
      <c r="O185" s="50" t="inlineStr">
        <is>
          <t/>
        </is>
      </c>
      <c r="P185" s="51" t="n">
        <v>-26.700000000000003</v>
      </c>
      <c r="Q185" s="52" t="n">
        <v>0.0</v>
      </c>
      <c r="R185" s="53" t="n">
        <v>-0.01</v>
      </c>
      <c r="S185" s="54" t="n">
        <v>0.85</v>
      </c>
      <c r="T185" s="55" t="n">
        <v>-0.3650000000000001</v>
      </c>
      <c r="U185" s="56" t="n">
        <v>0.85</v>
      </c>
      <c r="V185" s="57" t="n">
        <v>-0.65</v>
      </c>
      <c r="W185" s="58" t="inlineStr">
        <is>
          <t/>
        </is>
      </c>
      <c r="X185" s="59" t="inlineStr">
        <is>
          <t>LP Original Commitments</t>
        </is>
      </c>
      <c r="Y185" s="60" t="inlineStr">
        <is>
          <t>2019 Y</t>
        </is>
      </c>
      <c r="Z185" s="61" t="inlineStr">
        <is>
          <t>100M - 249M</t>
        </is>
      </c>
      <c r="AA185" s="62" t="inlineStr">
        <is>
          <t>Bow Capital</t>
        </is>
      </c>
      <c r="AB185" s="63" t="inlineStr">
        <is>
          <t>Menlo Park, CA</t>
        </is>
      </c>
      <c r="AC185" s="64" t="inlineStr">
        <is>
          <t/>
        </is>
      </c>
      <c r="AD185" s="65" t="inlineStr">
        <is>
          <t>Seed Round, Early Stage VC, Later Stage VC</t>
        </is>
      </c>
      <c r="AE185" s="66" t="inlineStr">
        <is>
          <t/>
        </is>
      </c>
      <c r="AF185" s="67" t="inlineStr">
        <is>
          <t>UC Regents</t>
        </is>
      </c>
      <c r="AG185" s="232">
        <f>HYPERLINK("https://my.pitchbook.com?i=170365-78", "View Investor Online")</f>
      </c>
    </row>
    <row r="186">
      <c r="A186" s="69" t="inlineStr">
        <is>
          <t>16501-78F</t>
        </is>
      </c>
      <c r="B186" s="70" t="inlineStr">
        <is>
          <t>eCAPITAL Cybersecurity</t>
        </is>
      </c>
      <c r="C186" s="71" t="inlineStr">
        <is>
          <t/>
        </is>
      </c>
      <c r="D186" s="72" t="inlineStr">
        <is>
          <t>Venture Capital</t>
        </is>
      </c>
      <c r="E186" s="73" t="n">
        <v>34.12282</v>
      </c>
      <c r="F186" s="74" t="inlineStr">
        <is>
          <t>Münster, Germany</t>
        </is>
      </c>
      <c r="G186" s="75" t="inlineStr">
        <is>
          <t/>
        </is>
      </c>
      <c r="H186" s="76" t="n">
        <v>2018.0</v>
      </c>
      <c r="I186" s="77" t="n">
        <v>24.0</v>
      </c>
      <c r="J186" s="78" t="n">
        <v>8.189477204248973</v>
      </c>
      <c r="K186" s="79" t="n">
        <v>25.9333432</v>
      </c>
      <c r="L186" s="80" t="n">
        <v>0.0</v>
      </c>
      <c r="M186" s="81" t="n">
        <v>6.938307075822046</v>
      </c>
      <c r="N186" s="82" t="inlineStr">
        <is>
          <t/>
        </is>
      </c>
      <c r="O186" s="83" t="inlineStr">
        <is>
          <t/>
        </is>
      </c>
      <c r="P186" s="84" t="inlineStr">
        <is>
          <t/>
        </is>
      </c>
      <c r="Q186" s="85" t="n">
        <v>0.0</v>
      </c>
      <c r="R186" s="86" t="inlineStr">
        <is>
          <t/>
        </is>
      </c>
      <c r="S186" s="87" t="n">
        <v>0.847222222</v>
      </c>
      <c r="T186" s="88" t="inlineStr">
        <is>
          <t/>
        </is>
      </c>
      <c r="U186" s="89" t="n">
        <v>0.85</v>
      </c>
      <c r="V186" s="90" t="inlineStr">
        <is>
          <t/>
        </is>
      </c>
      <c r="W186" s="91" t="inlineStr">
        <is>
          <t/>
        </is>
      </c>
      <c r="X186" s="92" t="inlineStr">
        <is>
          <t>GP Self Reporting</t>
        </is>
      </c>
      <c r="Y186" s="93" t="inlineStr">
        <is>
          <t>2019 Y</t>
        </is>
      </c>
      <c r="Z186" s="94" t="inlineStr">
        <is>
          <t>0 - 99M</t>
        </is>
      </c>
      <c r="AA186" s="95" t="inlineStr">
        <is>
          <t>eCAPITAL entrepreneurial Partners</t>
        </is>
      </c>
      <c r="AB186" s="96" t="inlineStr">
        <is>
          <t>Münster, Germany</t>
        </is>
      </c>
      <c r="AC186" s="97" t="inlineStr">
        <is>
          <t/>
        </is>
      </c>
      <c r="AD186" s="98" t="inlineStr">
        <is>
          <t>Seed Round, Early Stage VC, Later Stage VC</t>
        </is>
      </c>
      <c r="AE186" s="99" t="inlineStr">
        <is>
          <t>Germany</t>
        </is>
      </c>
      <c r="AF186" s="100" t="inlineStr">
        <is>
          <t>eCAPITAL</t>
        </is>
      </c>
      <c r="AG186" s="233">
        <f>HYPERLINK("https://my.pitchbook.com?i=11169-28", "View Investor Online")</f>
      </c>
    </row>
    <row r="187">
      <c r="A187" s="36" t="inlineStr">
        <is>
          <t>12450-25F</t>
        </is>
      </c>
      <c r="B187" s="37" t="inlineStr">
        <is>
          <t>BioMedInvest II</t>
        </is>
      </c>
      <c r="C187" s="38" t="inlineStr">
        <is>
          <t/>
        </is>
      </c>
      <c r="D187" s="39" t="inlineStr">
        <is>
          <t>Venture Capital</t>
        </is>
      </c>
      <c r="E187" s="40" t="n">
        <v>93.32451</v>
      </c>
      <c r="F187" s="41" t="inlineStr">
        <is>
          <t>Basel, Switzerland</t>
        </is>
      </c>
      <c r="G187" s="42" t="inlineStr">
        <is>
          <t/>
        </is>
      </c>
      <c r="H187" s="43" t="n">
        <v>2009.0</v>
      </c>
      <c r="I187" s="44" t="n">
        <v>100.0</v>
      </c>
      <c r="J187" s="45" t="n">
        <v>93.32450956943065</v>
      </c>
      <c r="K187" s="46" t="n">
        <v>0.0</v>
      </c>
      <c r="L187" s="47" t="n">
        <v>27.997352870829197</v>
      </c>
      <c r="M187" s="48" t="n">
        <v>50.39523516749255</v>
      </c>
      <c r="N187" s="49" t="inlineStr">
        <is>
          <t/>
        </is>
      </c>
      <c r="O187" s="50" t="inlineStr">
        <is>
          <t/>
        </is>
      </c>
      <c r="P187" s="51" t="inlineStr">
        <is>
          <t/>
        </is>
      </c>
      <c r="Q187" s="52" t="n">
        <v>0.3</v>
      </c>
      <c r="R187" s="53" t="n">
        <v>-0.47500000000000003</v>
      </c>
      <c r="S187" s="54" t="n">
        <v>0.54</v>
      </c>
      <c r="T187" s="55" t="n">
        <v>-0.16535</v>
      </c>
      <c r="U187" s="56" t="n">
        <v>0.8400000000000001</v>
      </c>
      <c r="V187" s="57" t="n">
        <v>-0.7749999999999999</v>
      </c>
      <c r="W187" s="58" t="inlineStr">
        <is>
          <t/>
        </is>
      </c>
      <c r="X187" s="59" t="inlineStr">
        <is>
          <t>LP Original Commitments</t>
        </is>
      </c>
      <c r="Y187" s="60" t="inlineStr">
        <is>
          <t>2020 Y</t>
        </is>
      </c>
      <c r="Z187" s="61" t="inlineStr">
        <is>
          <t>0 - 99M</t>
        </is>
      </c>
      <c r="AA187" s="62" t="inlineStr">
        <is>
          <t>BioMedPartners</t>
        </is>
      </c>
      <c r="AB187" s="63" t="inlineStr">
        <is>
          <t>Basel, Switzerland</t>
        </is>
      </c>
      <c r="AC187" s="64" t="inlineStr">
        <is>
          <t>Healthcare Devices and Supplies, Pharmaceuticals and Biotechnology</t>
        </is>
      </c>
      <c r="AD187" s="65" t="inlineStr">
        <is>
          <t>Early Stage VC</t>
        </is>
      </c>
      <c r="AE187" s="66" t="inlineStr">
        <is>
          <t>Western Europe</t>
        </is>
      </c>
      <c r="AF187" s="67" t="inlineStr">
        <is>
          <t>HBM</t>
        </is>
      </c>
      <c r="AG187" s="232">
        <f>HYPERLINK("https://my.pitchbook.com?i=39717-73", "View Investor Online")</f>
      </c>
    </row>
    <row r="188">
      <c r="A188" s="69" t="inlineStr">
        <is>
          <t>13589-20F</t>
        </is>
      </c>
      <c r="B188" s="70" t="inlineStr">
        <is>
          <t>MPM SunStates Fund</t>
        </is>
      </c>
      <c r="C188" s="71" t="inlineStr">
        <is>
          <t/>
        </is>
      </c>
      <c r="D188" s="72" t="inlineStr">
        <is>
          <t>Venture Capital</t>
        </is>
      </c>
      <c r="E188" s="73" t="n">
        <v>20.0</v>
      </c>
      <c r="F188" s="74" t="inlineStr">
        <is>
          <t>Cambridge, MA</t>
        </is>
      </c>
      <c r="G188" s="75" t="n">
        <v>4.0</v>
      </c>
      <c r="H188" s="76" t="n">
        <v>2012.0</v>
      </c>
      <c r="I188" s="77" t="n">
        <v>48.72</v>
      </c>
      <c r="J188" s="78" t="n">
        <v>9.744</v>
      </c>
      <c r="K188" s="79" t="n">
        <v>0.0</v>
      </c>
      <c r="L188" s="80" t="n">
        <v>0.0</v>
      </c>
      <c r="M188" s="81" t="n">
        <v>8.173</v>
      </c>
      <c r="N188" s="82" t="n">
        <v>-9.0</v>
      </c>
      <c r="O188" s="83" t="inlineStr">
        <is>
          <t/>
        </is>
      </c>
      <c r="P188" s="84" t="n">
        <v>-15.98217</v>
      </c>
      <c r="Q188" s="85" t="n">
        <v>0.0</v>
      </c>
      <c r="R188" s="86" t="n">
        <v>-0.48192</v>
      </c>
      <c r="S188" s="87" t="n">
        <v>0.84</v>
      </c>
      <c r="T188" s="88" t="n">
        <v>-0.29010000000000014</v>
      </c>
      <c r="U188" s="89" t="n">
        <v>0.84</v>
      </c>
      <c r="V188" s="90" t="n">
        <v>-0.45000000000000007</v>
      </c>
      <c r="W188" s="91" t="inlineStr">
        <is>
          <t/>
        </is>
      </c>
      <c r="X188" s="92" t="inlineStr">
        <is>
          <t>GP Self Reporting</t>
        </is>
      </c>
      <c r="Y188" s="93" t="inlineStr">
        <is>
          <t>2016 Y</t>
        </is>
      </c>
      <c r="Z188" s="94" t="inlineStr">
        <is>
          <t>0 - 99M</t>
        </is>
      </c>
      <c r="AA188" s="95" t="inlineStr">
        <is>
          <t>MPM Capital</t>
        </is>
      </c>
      <c r="AB188" s="96" t="inlineStr">
        <is>
          <t>Cambridge, MA</t>
        </is>
      </c>
      <c r="AC188" s="97" t="inlineStr">
        <is>
          <t>Pharmaceuticals and Biotechnology</t>
        </is>
      </c>
      <c r="AD188" s="98" t="inlineStr">
        <is>
          <t>Seed Round, Early Stage VC, Later Stage VC</t>
        </is>
      </c>
      <c r="AE188" s="99" t="inlineStr">
        <is>
          <t/>
        </is>
      </c>
      <c r="AF188" s="100" t="inlineStr">
        <is>
          <t>MPM</t>
        </is>
      </c>
      <c r="AG188" s="233">
        <f>HYPERLINK("https://my.pitchbook.com?i=11241-82", "View Investor Online")</f>
      </c>
    </row>
    <row r="189">
      <c r="A189" s="36" t="inlineStr">
        <is>
          <t>13598-11F</t>
        </is>
      </c>
      <c r="B189" s="37" t="inlineStr">
        <is>
          <t>ff Rose (III) Venture Capital Fund</t>
        </is>
      </c>
      <c r="C189" s="38" t="inlineStr">
        <is>
          <t/>
        </is>
      </c>
      <c r="D189" s="39" t="inlineStr">
        <is>
          <t>Venture Capital - Early Stage</t>
        </is>
      </c>
      <c r="E189" s="40" t="n">
        <v>46.4</v>
      </c>
      <c r="F189" s="41" t="inlineStr">
        <is>
          <t>New York, NY</t>
        </is>
      </c>
      <c r="G189" s="42" t="inlineStr">
        <is>
          <t/>
        </is>
      </c>
      <c r="H189" s="43" t="n">
        <v>2013.0</v>
      </c>
      <c r="I189" s="44" t="n">
        <v>100.0</v>
      </c>
      <c r="J189" s="45" t="n">
        <v>46.4</v>
      </c>
      <c r="K189" s="46" t="n">
        <v>0.0</v>
      </c>
      <c r="L189" s="47" t="n">
        <v>10.38619456</v>
      </c>
      <c r="M189" s="48" t="n">
        <v>27.81581632</v>
      </c>
      <c r="N189" s="49" t="inlineStr">
        <is>
          <t/>
        </is>
      </c>
      <c r="O189" s="50" t="inlineStr">
        <is>
          <t/>
        </is>
      </c>
      <c r="P189" s="51" t="inlineStr">
        <is>
          <t/>
        </is>
      </c>
      <c r="Q189" s="52" t="n">
        <v>0.22</v>
      </c>
      <c r="R189" s="53" t="n">
        <v>0.009080000000000005</v>
      </c>
      <c r="S189" s="54" t="n">
        <v>0.6</v>
      </c>
      <c r="T189" s="55" t="n">
        <v>-0.41000000000000003</v>
      </c>
      <c r="U189" s="56" t="n">
        <v>0.82</v>
      </c>
      <c r="V189" s="57" t="n">
        <v>-0.745</v>
      </c>
      <c r="W189" s="58" t="inlineStr">
        <is>
          <t/>
        </is>
      </c>
      <c r="X189" s="59" t="inlineStr">
        <is>
          <t>LP Original Commitments</t>
        </is>
      </c>
      <c r="Y189" s="60" t="inlineStr">
        <is>
          <t>2020 Y</t>
        </is>
      </c>
      <c r="Z189" s="61" t="inlineStr">
        <is>
          <t>0 - 99M</t>
        </is>
      </c>
      <c r="AA189" s="62" t="inlineStr">
        <is>
          <t>ff Venture Capital</t>
        </is>
      </c>
      <c r="AB189" s="63" t="inlineStr">
        <is>
          <t>New York, NY</t>
        </is>
      </c>
      <c r="AC189" s="64" t="inlineStr">
        <is>
          <t>Commercial Services, Software</t>
        </is>
      </c>
      <c r="AD189" s="65" t="inlineStr">
        <is>
          <t>Seed Round, Early Stage VC</t>
        </is>
      </c>
      <c r="AE189" s="66" t="inlineStr">
        <is>
          <t/>
        </is>
      </c>
      <c r="AF189" s="67" t="inlineStr">
        <is>
          <t>NJEDA</t>
        </is>
      </c>
      <c r="AG189" s="232">
        <f>HYPERLINK("https://my.pitchbook.com?i=51089-77", "View Investor Online")</f>
      </c>
    </row>
    <row r="190">
      <c r="A190" s="69" t="inlineStr">
        <is>
          <t>14578-66F</t>
        </is>
      </c>
      <c r="B190" s="70" t="inlineStr">
        <is>
          <t>MPM Bio 2014 NVS Strategic Fund</t>
        </is>
      </c>
      <c r="C190" s="71" t="inlineStr">
        <is>
          <t/>
        </is>
      </c>
      <c r="D190" s="72" t="inlineStr">
        <is>
          <t>Venture Capital</t>
        </is>
      </c>
      <c r="E190" s="73" t="n">
        <v>22.5</v>
      </c>
      <c r="F190" s="74" t="inlineStr">
        <is>
          <t>Cambridge, MA</t>
        </is>
      </c>
      <c r="G190" s="75" t="n">
        <v>4.0</v>
      </c>
      <c r="H190" s="76" t="n">
        <v>2014.0</v>
      </c>
      <c r="I190" s="77" t="n">
        <v>22.03111111111111</v>
      </c>
      <c r="J190" s="78" t="n">
        <v>4.957</v>
      </c>
      <c r="K190" s="79" t="n">
        <v>0.45198432141107303</v>
      </c>
      <c r="L190" s="80" t="n">
        <v>0.0</v>
      </c>
      <c r="M190" s="81" t="n">
        <v>4.086479</v>
      </c>
      <c r="N190" s="82" t="n">
        <v>-19.86</v>
      </c>
      <c r="O190" s="83" t="inlineStr">
        <is>
          <t/>
        </is>
      </c>
      <c r="P190" s="84" t="n">
        <v>-33.82</v>
      </c>
      <c r="Q190" s="85" t="n">
        <v>0.0</v>
      </c>
      <c r="R190" s="86" t="n">
        <v>-0.02</v>
      </c>
      <c r="S190" s="87" t="n">
        <v>0.82</v>
      </c>
      <c r="T190" s="88" t="n">
        <v>-0.36</v>
      </c>
      <c r="U190" s="89" t="n">
        <v>0.82</v>
      </c>
      <c r="V190" s="90" t="n">
        <v>-0.68</v>
      </c>
      <c r="W190" s="91" t="inlineStr">
        <is>
          <t/>
        </is>
      </c>
      <c r="X190" s="92" t="inlineStr">
        <is>
          <t>GP Self Reporting</t>
        </is>
      </c>
      <c r="Y190" s="93" t="inlineStr">
        <is>
          <t>2015 Y</t>
        </is>
      </c>
      <c r="Z190" s="94" t="inlineStr">
        <is>
          <t>0 - 99M</t>
        </is>
      </c>
      <c r="AA190" s="95" t="inlineStr">
        <is>
          <t>MPM Capital</t>
        </is>
      </c>
      <c r="AB190" s="96" t="inlineStr">
        <is>
          <t>Cambridge, MA</t>
        </is>
      </c>
      <c r="AC190" s="97" t="inlineStr">
        <is>
          <t>Pharmaceuticals and Biotechnology</t>
        </is>
      </c>
      <c r="AD190" s="98" t="inlineStr">
        <is>
          <t>Seed Round, Early Stage VC, Later Stage VC</t>
        </is>
      </c>
      <c r="AE190" s="99" t="inlineStr">
        <is>
          <t/>
        </is>
      </c>
      <c r="AF190" s="100" t="inlineStr">
        <is>
          <t>MPM</t>
        </is>
      </c>
      <c r="AG190" s="233">
        <f>HYPERLINK("https://my.pitchbook.com?i=11241-82", "View Investor Online")</f>
      </c>
    </row>
    <row r="191">
      <c r="A191" s="36" t="inlineStr">
        <is>
          <t>13787-02F</t>
        </is>
      </c>
      <c r="B191" s="37" t="inlineStr">
        <is>
          <t>Impact Ventures UK</t>
        </is>
      </c>
      <c r="C191" s="38" t="inlineStr">
        <is>
          <t/>
        </is>
      </c>
      <c r="D191" s="39" t="inlineStr">
        <is>
          <t>Venture Capital</t>
        </is>
      </c>
      <c r="E191" s="40" t="n">
        <v>51.77998</v>
      </c>
      <c r="F191" s="41" t="inlineStr">
        <is>
          <t>London, United Kingdom</t>
        </is>
      </c>
      <c r="G191" s="42" t="inlineStr">
        <is>
          <t/>
        </is>
      </c>
      <c r="H191" s="43" t="n">
        <v>2016.0</v>
      </c>
      <c r="I191" s="44" t="n">
        <v>82.48387096774194</v>
      </c>
      <c r="J191" s="45" t="n">
        <v>42.71013595370164</v>
      </c>
      <c r="K191" s="46" t="n">
        <v>9.06984810967742</v>
      </c>
      <c r="L191" s="47" t="n">
        <v>1.862409135251362</v>
      </c>
      <c r="M191" s="48" t="n">
        <v>31.944910055320452</v>
      </c>
      <c r="N191" s="49" t="inlineStr">
        <is>
          <t/>
        </is>
      </c>
      <c r="O191" s="50" t="inlineStr">
        <is>
          <t/>
        </is>
      </c>
      <c r="P191" s="51" t="inlineStr">
        <is>
          <t/>
        </is>
      </c>
      <c r="Q191" s="52" t="n">
        <v>0.04</v>
      </c>
      <c r="R191" s="53" t="inlineStr">
        <is>
          <t/>
        </is>
      </c>
      <c r="S191" s="54" t="n">
        <v>0.75</v>
      </c>
      <c r="T191" s="55" t="n">
        <v>-0.19572999999999996</v>
      </c>
      <c r="U191" s="56" t="n">
        <v>0.79</v>
      </c>
      <c r="V191" s="57" t="inlineStr">
        <is>
          <t/>
        </is>
      </c>
      <c r="W191" s="58" t="inlineStr">
        <is>
          <t/>
        </is>
      </c>
      <c r="X191" s="59" t="inlineStr">
        <is>
          <t>LP Original Commitments</t>
        </is>
      </c>
      <c r="Y191" s="60" t="inlineStr">
        <is>
          <t>2019 Y</t>
        </is>
      </c>
      <c r="Z191" s="61" t="inlineStr">
        <is>
          <t>0 - 99M</t>
        </is>
      </c>
      <c r="AA191" s="62" t="inlineStr">
        <is>
          <t>Berenberg Bank, Impact Ventures UK</t>
        </is>
      </c>
      <c r="AB191" s="63" t="inlineStr">
        <is>
          <t>Hamburg, Germany</t>
        </is>
      </c>
      <c r="AC191" s="64" t="inlineStr">
        <is>
          <t>Commercial Services</t>
        </is>
      </c>
      <c r="AD191" s="65" t="inlineStr">
        <is>
          <t>Seed Round, Early Stage VC, Later Stage VC</t>
        </is>
      </c>
      <c r="AE191" s="66" t="inlineStr">
        <is>
          <t>United Kingdom</t>
        </is>
      </c>
      <c r="AF191" s="67" t="inlineStr">
        <is>
          <t>LBWF Pension Fund</t>
        </is>
      </c>
      <c r="AG191" s="232">
        <f>HYPERLINK("https://my.pitchbook.com?i=42127-66", "View Investor Online")</f>
      </c>
    </row>
    <row r="192">
      <c r="A192" s="69" t="inlineStr">
        <is>
          <t>13505-77F</t>
        </is>
      </c>
      <c r="B192" s="70" t="inlineStr">
        <is>
          <t>Rho Canada Ventures II</t>
        </is>
      </c>
      <c r="C192" s="71" t="inlineStr">
        <is>
          <t/>
        </is>
      </c>
      <c r="D192" s="72" t="inlineStr">
        <is>
          <t>Venture Capital</t>
        </is>
      </c>
      <c r="E192" s="73" t="n">
        <v>99.91288</v>
      </c>
      <c r="F192" s="74" t="inlineStr">
        <is>
          <t>Montreal, Canada</t>
        </is>
      </c>
      <c r="G192" s="75" t="inlineStr">
        <is>
          <t/>
        </is>
      </c>
      <c r="H192" s="76" t="n">
        <v>2012.0</v>
      </c>
      <c r="I192" s="77" t="n">
        <v>72.92</v>
      </c>
      <c r="J192" s="78" t="n">
        <v>72.85646915889345</v>
      </c>
      <c r="K192" s="79" t="n">
        <v>27.056407903999997</v>
      </c>
      <c r="L192" s="80" t="n">
        <v>0.0</v>
      </c>
      <c r="M192" s="81" t="n">
        <v>57.64972943593187</v>
      </c>
      <c r="N192" s="82" t="n">
        <v>-9.63</v>
      </c>
      <c r="O192" s="83" t="inlineStr">
        <is>
          <t/>
        </is>
      </c>
      <c r="P192" s="84" t="inlineStr">
        <is>
          <t/>
        </is>
      </c>
      <c r="Q192" s="85" t="n">
        <v>0.0</v>
      </c>
      <c r="R192" s="86" t="inlineStr">
        <is>
          <t/>
        </is>
      </c>
      <c r="S192" s="87" t="n">
        <v>0.791278113</v>
      </c>
      <c r="T192" s="88" t="inlineStr">
        <is>
          <t/>
        </is>
      </c>
      <c r="U192" s="89" t="n">
        <v>0.79</v>
      </c>
      <c r="V192" s="90" t="inlineStr">
        <is>
          <t/>
        </is>
      </c>
      <c r="W192" s="91" t="inlineStr">
        <is>
          <t/>
        </is>
      </c>
      <c r="X192" s="92" t="inlineStr">
        <is>
          <t>GP Self Reporting</t>
        </is>
      </c>
      <c r="Y192" s="93" t="inlineStr">
        <is>
          <t>2017 Y</t>
        </is>
      </c>
      <c r="Z192" s="94" t="inlineStr">
        <is>
          <t>0 - 99M</t>
        </is>
      </c>
      <c r="AA192" s="95" t="inlineStr">
        <is>
          <t>Rho Canada Ventures</t>
        </is>
      </c>
      <c r="AB192" s="96" t="inlineStr">
        <is>
          <t>New York, NY</t>
        </is>
      </c>
      <c r="AC192" s="97" t="inlineStr">
        <is>
          <t>Healthcare, Software</t>
        </is>
      </c>
      <c r="AD192" s="98" t="inlineStr">
        <is>
          <t>Seed Round, Early Stage VC, Later Stage VC</t>
        </is>
      </c>
      <c r="AE192" s="99" t="inlineStr">
        <is>
          <t>Canada, United States</t>
        </is>
      </c>
      <c r="AF192" s="100" t="inlineStr">
        <is>
          <t>Rho, Rho Canada</t>
        </is>
      </c>
      <c r="AG192" s="233">
        <f>HYPERLINK("https://my.pitchbook.com?i=51702-67", "View Investor Online")</f>
      </c>
    </row>
    <row r="193">
      <c r="A193" s="36" t="inlineStr">
        <is>
          <t>16684-39F</t>
        </is>
      </c>
      <c r="B193" s="37" t="inlineStr">
        <is>
          <t>Bridges Social Outcomes Fund II</t>
        </is>
      </c>
      <c r="C193" s="38" t="inlineStr">
        <is>
          <t/>
        </is>
      </c>
      <c r="D193" s="39" t="inlineStr">
        <is>
          <t>Venture Capital</t>
        </is>
      </c>
      <c r="E193" s="40" t="n">
        <v>44.16432</v>
      </c>
      <c r="F193" s="41" t="inlineStr">
        <is>
          <t>London, United Kingdom</t>
        </is>
      </c>
      <c r="G193" s="42" t="inlineStr">
        <is>
          <t/>
        </is>
      </c>
      <c r="H193" s="43" t="n">
        <v>2019.0</v>
      </c>
      <c r="I193" s="44" t="n">
        <v>18.348514</v>
      </c>
      <c r="J193" s="45" t="n">
        <v>8.103495794926152</v>
      </c>
      <c r="K193" s="46" t="n">
        <v>36.06082356179519</v>
      </c>
      <c r="L193" s="47" t="n">
        <v>0.6381514078953179</v>
      </c>
      <c r="M193" s="48" t="n">
        <v>5.6918313049293685</v>
      </c>
      <c r="N193" s="49" t="inlineStr">
        <is>
          <t/>
        </is>
      </c>
      <c r="O193" s="50" t="inlineStr">
        <is>
          <t/>
        </is>
      </c>
      <c r="P193" s="51" t="inlineStr">
        <is>
          <t/>
        </is>
      </c>
      <c r="Q193" s="52" t="n">
        <v>0.08</v>
      </c>
      <c r="R193" s="53" t="inlineStr">
        <is>
          <t/>
        </is>
      </c>
      <c r="S193" s="54" t="n">
        <v>0.7</v>
      </c>
      <c r="T193" s="55" t="inlineStr">
        <is>
          <t/>
        </is>
      </c>
      <c r="U193" s="56" t="n">
        <v>0.7799999999999999</v>
      </c>
      <c r="V193" s="57" t="inlineStr">
        <is>
          <t/>
        </is>
      </c>
      <c r="W193" s="58" t="inlineStr">
        <is>
          <t/>
        </is>
      </c>
      <c r="X193" s="59" t="inlineStr">
        <is>
          <t>LP Original Commitments</t>
        </is>
      </c>
      <c r="Y193" s="60" t="inlineStr">
        <is>
          <t>2019 Y</t>
        </is>
      </c>
      <c r="Z193" s="61" t="inlineStr">
        <is>
          <t>0 - 99M</t>
        </is>
      </c>
      <c r="AA193" s="62" t="inlineStr">
        <is>
          <t>Bridges Fund Management</t>
        </is>
      </c>
      <c r="AB193" s="63" t="inlineStr">
        <is>
          <t>London, United Kingdom</t>
        </is>
      </c>
      <c r="AC193" s="64" t="inlineStr">
        <is>
          <t>Services (Non-Financial), Restaurants, Hotels and Leisure</t>
        </is>
      </c>
      <c r="AD193" s="65" t="inlineStr">
        <is>
          <t>Early Stage VC, Seed Round, Later Stage VC</t>
        </is>
      </c>
      <c r="AE193" s="66" t="inlineStr">
        <is>
          <t/>
        </is>
      </c>
      <c r="AF193" s="67" t="inlineStr">
        <is>
          <t>MPF</t>
        </is>
      </c>
      <c r="AG193" s="232">
        <f>HYPERLINK("https://my.pitchbook.com?i=10791-37", "View Investor Online")</f>
      </c>
    </row>
    <row r="194">
      <c r="A194" s="69" t="inlineStr">
        <is>
          <t>16169-68F</t>
        </is>
      </c>
      <c r="B194" s="70" t="inlineStr">
        <is>
          <t>House Fund II</t>
        </is>
      </c>
      <c r="C194" s="71" t="inlineStr">
        <is>
          <t/>
        </is>
      </c>
      <c r="D194" s="72" t="inlineStr">
        <is>
          <t>Venture Capital</t>
        </is>
      </c>
      <c r="E194" s="73" t="n">
        <v>44.0</v>
      </c>
      <c r="F194" s="74" t="inlineStr">
        <is>
          <t>Berkeley, CA</t>
        </is>
      </c>
      <c r="G194" s="75" t="inlineStr">
        <is>
          <t/>
        </is>
      </c>
      <c r="H194" s="76" t="n">
        <v>2019.0</v>
      </c>
      <c r="I194" s="77" t="n">
        <v>4.6</v>
      </c>
      <c r="J194" s="78" t="n">
        <v>2.024</v>
      </c>
      <c r="K194" s="79" t="n">
        <v>41.580998487140704</v>
      </c>
      <c r="L194" s="80" t="n">
        <v>0.0</v>
      </c>
      <c r="M194" s="81" t="n">
        <v>1.5749271999999999</v>
      </c>
      <c r="N194" s="82" t="inlineStr">
        <is>
          <t/>
        </is>
      </c>
      <c r="O194" s="83" t="inlineStr">
        <is>
          <t/>
        </is>
      </c>
      <c r="P194" s="84" t="inlineStr">
        <is>
          <t/>
        </is>
      </c>
      <c r="Q194" s="85" t="n">
        <v>0.0</v>
      </c>
      <c r="R194" s="86" t="n">
        <v>0.0</v>
      </c>
      <c r="S194" s="87" t="n">
        <v>0.78</v>
      </c>
      <c r="T194" s="88" t="n">
        <v>-0.06999999999999995</v>
      </c>
      <c r="U194" s="89" t="n">
        <v>0.78</v>
      </c>
      <c r="V194" s="90" t="n">
        <v>-0.12</v>
      </c>
      <c r="W194" s="91" t="inlineStr">
        <is>
          <t/>
        </is>
      </c>
      <c r="X194" s="92" t="inlineStr">
        <is>
          <t>LP Original Commitments</t>
        </is>
      </c>
      <c r="Y194" s="93" t="inlineStr">
        <is>
          <t>2019 Y</t>
        </is>
      </c>
      <c r="Z194" s="94" t="inlineStr">
        <is>
          <t>0 - 99M</t>
        </is>
      </c>
      <c r="AA194" s="95" t="inlineStr">
        <is>
          <t>The House Fund</t>
        </is>
      </c>
      <c r="AB194" s="96" t="inlineStr">
        <is>
          <t>Berkeley, CA</t>
        </is>
      </c>
      <c r="AC194" s="97" t="inlineStr">
        <is>
          <t>Commercial Services, Media, Software</t>
        </is>
      </c>
      <c r="AD194" s="98" t="inlineStr">
        <is>
          <t>Seed Round, Early Stage VC, Later Stage VC</t>
        </is>
      </c>
      <c r="AE194" s="99" t="inlineStr">
        <is>
          <t/>
        </is>
      </c>
      <c r="AF194" s="100" t="inlineStr">
        <is>
          <t>UC Regents</t>
        </is>
      </c>
      <c r="AG194" s="233">
        <f>HYPERLINK("https://my.pitchbook.com?i=157412-62", "View Investor Online")</f>
      </c>
    </row>
    <row r="195">
      <c r="A195" s="36" t="inlineStr">
        <is>
          <t>15652-18F</t>
        </is>
      </c>
      <c r="B195" s="37" t="inlineStr">
        <is>
          <t>BioGeneration Ventures III</t>
        </is>
      </c>
      <c r="C195" s="38" t="inlineStr">
        <is>
          <t/>
        </is>
      </c>
      <c r="D195" s="39" t="inlineStr">
        <is>
          <t>Venture Capital</t>
        </is>
      </c>
      <c r="E195" s="40" t="n">
        <v>96.36866</v>
      </c>
      <c r="F195" s="41" t="inlineStr">
        <is>
          <t>Naarden, Netherlands</t>
        </is>
      </c>
      <c r="G195" s="42" t="inlineStr">
        <is>
          <t/>
        </is>
      </c>
      <c r="H195" s="43" t="n">
        <v>2016.0</v>
      </c>
      <c r="I195" s="44" t="n">
        <v>53.65853658536585</v>
      </c>
      <c r="J195" s="45" t="n">
        <v>51.71001493714296</v>
      </c>
      <c r="K195" s="46" t="n">
        <v>44.658647317073175</v>
      </c>
      <c r="L195" s="47" t="n">
        <v>0.0</v>
      </c>
      <c r="M195" s="48" t="n">
        <v>39.957738815065014</v>
      </c>
      <c r="N195" s="49" t="inlineStr">
        <is>
          <t/>
        </is>
      </c>
      <c r="O195" s="50" t="inlineStr">
        <is>
          <t/>
        </is>
      </c>
      <c r="P195" s="51" t="inlineStr">
        <is>
          <t/>
        </is>
      </c>
      <c r="Q195" s="52" t="n">
        <v>0.0</v>
      </c>
      <c r="R195" s="53" t="inlineStr">
        <is>
          <t/>
        </is>
      </c>
      <c r="S195" s="54" t="n">
        <v>0.772727273</v>
      </c>
      <c r="T195" s="55" t="n">
        <v>-0.17300272699999997</v>
      </c>
      <c r="U195" s="56" t="n">
        <v>0.77</v>
      </c>
      <c r="V195" s="57" t="inlineStr">
        <is>
          <t/>
        </is>
      </c>
      <c r="W195" s="58" t="inlineStr">
        <is>
          <t/>
        </is>
      </c>
      <c r="X195" s="59" t="inlineStr">
        <is>
          <t>GP Self Reporting</t>
        </is>
      </c>
      <c r="Y195" s="60" t="inlineStr">
        <is>
          <t>2020 Y</t>
        </is>
      </c>
      <c r="Z195" s="61" t="inlineStr">
        <is>
          <t>0 - 99M</t>
        </is>
      </c>
      <c r="AA195" s="62" t="inlineStr">
        <is>
          <t>BioGeneration Ventures</t>
        </is>
      </c>
      <c r="AB195" s="63" t="inlineStr">
        <is>
          <t>Naarden, Netherlands</t>
        </is>
      </c>
      <c r="AC195" s="64" t="inlineStr">
        <is>
          <t>Healthcare Devices and Supplies, Pharmaceuticals and Biotechnology</t>
        </is>
      </c>
      <c r="AD195" s="65" t="inlineStr">
        <is>
          <t>Seed Round, Early Stage VC, Later Stage VC</t>
        </is>
      </c>
      <c r="AE195" s="66" t="inlineStr">
        <is>
          <t>Western Europe</t>
        </is>
      </c>
      <c r="AF195" s="67" t="inlineStr">
        <is>
          <t>BioGeneration, BGV</t>
        </is>
      </c>
      <c r="AG195" s="232">
        <f>HYPERLINK("https://my.pitchbook.com?i=11140-75", "View Investor Online")</f>
      </c>
    </row>
    <row r="196">
      <c r="A196" s="69" t="inlineStr">
        <is>
          <t>15944-41F</t>
        </is>
      </c>
      <c r="B196" s="70" t="inlineStr">
        <is>
          <t>Tech Council Ventures II</t>
        </is>
      </c>
      <c r="C196" s="71" t="inlineStr">
        <is>
          <t/>
        </is>
      </c>
      <c r="D196" s="72" t="inlineStr">
        <is>
          <t>Venture Capital</t>
        </is>
      </c>
      <c r="E196" s="73" t="n">
        <v>55.0</v>
      </c>
      <c r="F196" s="74" t="inlineStr">
        <is>
          <t>New Brunswick, NJ</t>
        </is>
      </c>
      <c r="G196" s="75" t="inlineStr">
        <is>
          <t/>
        </is>
      </c>
      <c r="H196" s="76" t="n">
        <v>2019.0</v>
      </c>
      <c r="I196" s="77" t="n">
        <v>20.000000000000004</v>
      </c>
      <c r="J196" s="78" t="n">
        <v>11.000000000000002</v>
      </c>
      <c r="K196" s="79" t="n">
        <v>44.00000000000001</v>
      </c>
      <c r="L196" s="80" t="n">
        <v>0.0</v>
      </c>
      <c r="M196" s="81" t="n">
        <v>8.340580000000001</v>
      </c>
      <c r="N196" s="82" t="inlineStr">
        <is>
          <t/>
        </is>
      </c>
      <c r="O196" s="83" t="inlineStr">
        <is>
          <t/>
        </is>
      </c>
      <c r="P196" s="84" t="inlineStr">
        <is>
          <t/>
        </is>
      </c>
      <c r="Q196" s="85" t="n">
        <v>0.0</v>
      </c>
      <c r="R196" s="86" t="n">
        <v>0.0</v>
      </c>
      <c r="S196" s="87" t="n">
        <v>0.76</v>
      </c>
      <c r="T196" s="88" t="n">
        <v>-0.08999999999999997</v>
      </c>
      <c r="U196" s="89" t="n">
        <v>0.76</v>
      </c>
      <c r="V196" s="90" t="n">
        <v>-0.14</v>
      </c>
      <c r="W196" s="91" t="inlineStr">
        <is>
          <t/>
        </is>
      </c>
      <c r="X196" s="92" t="inlineStr">
        <is>
          <t>LP Original Commitments</t>
        </is>
      </c>
      <c r="Y196" s="93" t="inlineStr">
        <is>
          <t>2020 Y</t>
        </is>
      </c>
      <c r="Z196" s="94" t="inlineStr">
        <is>
          <t>0 - 99M</t>
        </is>
      </c>
      <c r="AA196" s="95" t="inlineStr">
        <is>
          <t>Tech Council Ventures</t>
        </is>
      </c>
      <c r="AB196" s="96" t="inlineStr">
        <is>
          <t>New Brunswick, NJ</t>
        </is>
      </c>
      <c r="AC196" s="97" t="inlineStr">
        <is>
          <t/>
        </is>
      </c>
      <c r="AD196" s="98" t="inlineStr">
        <is>
          <t>Seed Round, Early Stage VC, Later Stage VC</t>
        </is>
      </c>
      <c r="AE196" s="99" t="inlineStr">
        <is>
          <t>Mid Atlantic</t>
        </is>
      </c>
      <c r="AF196" s="100" t="inlineStr">
        <is>
          <t>NJEDA</t>
        </is>
      </c>
      <c r="AG196" s="233">
        <f>HYPERLINK("https://my.pitchbook.com?i=11254-96", "View Investor Online")</f>
      </c>
    </row>
    <row r="197">
      <c r="A197" s="36" t="inlineStr">
        <is>
          <t>16410-79F</t>
        </is>
      </c>
      <c r="B197" s="37" t="inlineStr">
        <is>
          <t>Mission Bay Capital III</t>
        </is>
      </c>
      <c r="C197" s="38" t="inlineStr">
        <is>
          <t/>
        </is>
      </c>
      <c r="D197" s="39" t="inlineStr">
        <is>
          <t>Venture Capital - Early Stage</t>
        </is>
      </c>
      <c r="E197" s="40" t="n">
        <v>60.0</v>
      </c>
      <c r="F197" s="41" t="inlineStr">
        <is>
          <t>San Francisco, CA</t>
        </is>
      </c>
      <c r="G197" s="42" t="inlineStr">
        <is>
          <t/>
        </is>
      </c>
      <c r="H197" s="43" t="n">
        <v>2019.0</v>
      </c>
      <c r="I197" s="44" t="n">
        <v>8.5</v>
      </c>
      <c r="J197" s="45" t="n">
        <v>5.1</v>
      </c>
      <c r="K197" s="46" t="n">
        <v>40.14137262734004</v>
      </c>
      <c r="L197" s="47" t="n">
        <v>0.0</v>
      </c>
      <c r="M197" s="48" t="n">
        <v>3.8089679999999992</v>
      </c>
      <c r="N197" s="49" t="inlineStr">
        <is>
          <t/>
        </is>
      </c>
      <c r="O197" s="50" t="inlineStr">
        <is>
          <t/>
        </is>
      </c>
      <c r="P197" s="51" t="inlineStr">
        <is>
          <t/>
        </is>
      </c>
      <c r="Q197" s="52" t="n">
        <v>0.0</v>
      </c>
      <c r="R197" s="53" t="inlineStr">
        <is>
          <t/>
        </is>
      </c>
      <c r="S197" s="54" t="n">
        <v>0.75</v>
      </c>
      <c r="T197" s="55" t="inlineStr">
        <is>
          <t/>
        </is>
      </c>
      <c r="U197" s="56" t="n">
        <v>0.75</v>
      </c>
      <c r="V197" s="57" t="inlineStr">
        <is>
          <t/>
        </is>
      </c>
      <c r="W197" s="58" t="inlineStr">
        <is>
          <t/>
        </is>
      </c>
      <c r="X197" s="59" t="inlineStr">
        <is>
          <t>LP Original Commitments</t>
        </is>
      </c>
      <c r="Y197" s="60" t="inlineStr">
        <is>
          <t>2019 Y</t>
        </is>
      </c>
      <c r="Z197" s="61" t="inlineStr">
        <is>
          <t>0 - 99M</t>
        </is>
      </c>
      <c r="AA197" s="62" t="inlineStr">
        <is>
          <t>Mission Bay Capital</t>
        </is>
      </c>
      <c r="AB197" s="63" t="inlineStr">
        <is>
          <t>San Francisco, CA</t>
        </is>
      </c>
      <c r="AC197" s="64" t="inlineStr">
        <is>
          <t>Pharmaceuticals and Biotechnology</t>
        </is>
      </c>
      <c r="AD197" s="65" t="inlineStr">
        <is>
          <t>Seed Round, Early Stage VC</t>
        </is>
      </c>
      <c r="AE197" s="66" t="inlineStr">
        <is>
          <t/>
        </is>
      </c>
      <c r="AF197" s="67" t="inlineStr">
        <is>
          <t>UC Regents</t>
        </is>
      </c>
      <c r="AG197" s="232">
        <f>HYPERLINK("https://my.pitchbook.com?i=42254-83", "View Investor Online")</f>
      </c>
    </row>
    <row r="198">
      <c r="A198" s="69" t="inlineStr">
        <is>
          <t>13012-48F</t>
        </is>
      </c>
      <c r="B198" s="70" t="inlineStr">
        <is>
          <t>Aavishkaar India II</t>
        </is>
      </c>
      <c r="C198" s="71" t="inlineStr">
        <is>
          <t/>
        </is>
      </c>
      <c r="D198" s="72" t="inlineStr">
        <is>
          <t>Venture Capital</t>
        </is>
      </c>
      <c r="E198" s="73" t="n">
        <v>93.82</v>
      </c>
      <c r="F198" s="74" t="inlineStr">
        <is>
          <t>Mumbai, India</t>
        </is>
      </c>
      <c r="G198" s="75" t="inlineStr">
        <is>
          <t/>
        </is>
      </c>
      <c r="H198" s="76" t="n">
        <v>2011.0</v>
      </c>
      <c r="I198" s="77" t="n">
        <v>26.24947572815534</v>
      </c>
      <c r="J198" s="78" t="n">
        <v>24.627258128155336</v>
      </c>
      <c r="K198" s="79" t="n">
        <v>0.0</v>
      </c>
      <c r="L198" s="80" t="n">
        <v>0.0</v>
      </c>
      <c r="M198" s="81" t="n">
        <v>18.36073795728155</v>
      </c>
      <c r="N198" s="82" t="inlineStr">
        <is>
          <t/>
        </is>
      </c>
      <c r="O198" s="83" t="inlineStr">
        <is>
          <t/>
        </is>
      </c>
      <c r="P198" s="84" t="inlineStr">
        <is>
          <t/>
        </is>
      </c>
      <c r="Q198" s="85" t="n">
        <v>0.0</v>
      </c>
      <c r="R198" s="86" t="inlineStr">
        <is>
          <t/>
        </is>
      </c>
      <c r="S198" s="87" t="n">
        <v>0.69</v>
      </c>
      <c r="T198" s="88" t="inlineStr">
        <is>
          <t/>
        </is>
      </c>
      <c r="U198" s="89" t="n">
        <v>0.69</v>
      </c>
      <c r="V198" s="90" t="inlineStr">
        <is>
          <t/>
        </is>
      </c>
      <c r="W198" s="91" t="inlineStr">
        <is>
          <t/>
        </is>
      </c>
      <c r="X198" s="92" t="inlineStr">
        <is>
          <t>LP Original Commitments</t>
        </is>
      </c>
      <c r="Y198" s="93" t="inlineStr">
        <is>
          <t>2013 Y</t>
        </is>
      </c>
      <c r="Z198" s="94" t="inlineStr">
        <is>
          <t>0 - 99M</t>
        </is>
      </c>
      <c r="AA198" s="95" t="inlineStr">
        <is>
          <t>Aavishkaar Capital</t>
        </is>
      </c>
      <c r="AB198" s="96" t="inlineStr">
        <is>
          <t>Mumbai, India</t>
        </is>
      </c>
      <c r="AC198" s="97" t="inlineStr">
        <is>
          <t>Consumer Products and Services (B2C), Energy, Healthcare, Agriculture</t>
        </is>
      </c>
      <c r="AD198" s="98" t="inlineStr">
        <is>
          <t>Early Stage VC</t>
        </is>
      </c>
      <c r="AE198" s="99" t="inlineStr">
        <is>
          <t>India</t>
        </is>
      </c>
      <c r="AF198" s="100" t="inlineStr">
        <is>
          <t>CDC, CDC Investment Works, TIAA</t>
        </is>
      </c>
      <c r="AG198" s="233">
        <f>HYPERLINK("https://my.pitchbook.com?i=40822-84", "View Investor Online")</f>
      </c>
    </row>
    <row r="199">
      <c r="A199" s="36" t="inlineStr">
        <is>
          <t>13468-15F</t>
        </is>
      </c>
      <c r="B199" s="37" t="inlineStr">
        <is>
          <t>Merck Lumira Biosciences Fund</t>
        </is>
      </c>
      <c r="C199" s="38" t="inlineStr">
        <is>
          <t/>
        </is>
      </c>
      <c r="D199" s="39" t="inlineStr">
        <is>
          <t>Venture Capital</t>
        </is>
      </c>
      <c r="E199" s="40" t="n">
        <v>40.96842</v>
      </c>
      <c r="F199" s="41" t="inlineStr">
        <is>
          <t>Montreal, Canada</t>
        </is>
      </c>
      <c r="G199" s="42" t="inlineStr">
        <is>
          <t/>
        </is>
      </c>
      <c r="H199" s="43" t="n">
        <v>2012.0</v>
      </c>
      <c r="I199" s="44" t="n">
        <v>62.384615384615394</v>
      </c>
      <c r="J199" s="45" t="n">
        <v>25.557989475294253</v>
      </c>
      <c r="K199" s="46" t="n">
        <v>0.0</v>
      </c>
      <c r="L199" s="47" t="n">
        <v>0.0</v>
      </c>
      <c r="M199" s="48" t="n">
        <v>17.496092559760342</v>
      </c>
      <c r="N199" s="49" t="n">
        <v>-12.3</v>
      </c>
      <c r="O199" s="50" t="inlineStr">
        <is>
          <t/>
        </is>
      </c>
      <c r="P199" s="51" t="inlineStr">
        <is>
          <t/>
        </is>
      </c>
      <c r="Q199" s="52" t="n">
        <v>0.0</v>
      </c>
      <c r="R199" s="53" t="inlineStr">
        <is>
          <t/>
        </is>
      </c>
      <c r="S199" s="54" t="n">
        <v>0.684564511</v>
      </c>
      <c r="T199" s="55" t="inlineStr">
        <is>
          <t/>
        </is>
      </c>
      <c r="U199" s="56" t="n">
        <v>0.68</v>
      </c>
      <c r="V199" s="57" t="inlineStr">
        <is>
          <t/>
        </is>
      </c>
      <c r="W199" s="58" t="inlineStr">
        <is>
          <t/>
        </is>
      </c>
      <c r="X199" s="59" t="inlineStr">
        <is>
          <t>GP Self Reporting</t>
        </is>
      </c>
      <c r="Y199" s="60" t="inlineStr">
        <is>
          <t>2018 Y</t>
        </is>
      </c>
      <c r="Z199" s="61" t="inlineStr">
        <is>
          <t>0 - 99M</t>
        </is>
      </c>
      <c r="AA199" s="62" t="inlineStr">
        <is>
          <t>Lumira Ventures</t>
        </is>
      </c>
      <c r="AB199" s="63" t="inlineStr">
        <is>
          <t>Toronto, Canada</t>
        </is>
      </c>
      <c r="AC199" s="64" t="inlineStr">
        <is>
          <t>Pharmaceuticals and Biotechnology, Healthcare Devices and Supplies</t>
        </is>
      </c>
      <c r="AD199" s="65" t="inlineStr">
        <is>
          <t>Early Stage VC</t>
        </is>
      </c>
      <c r="AE199" s="66" t="inlineStr">
        <is>
          <t>Quebec</t>
        </is>
      </c>
      <c r="AF199" s="67" t="inlineStr">
        <is>
          <t>Lumira</t>
        </is>
      </c>
      <c r="AG199" s="232">
        <f>HYPERLINK("https://my.pitchbook.com?i=10602-46", "View Investor Online")</f>
      </c>
    </row>
    <row r="200">
      <c r="A200" s="69" t="inlineStr">
        <is>
          <t>12532-87F</t>
        </is>
      </c>
      <c r="B200" s="70" t="inlineStr">
        <is>
          <t>Foundation Medical Partners III</t>
        </is>
      </c>
      <c r="C200" s="71" t="inlineStr">
        <is>
          <t>FOUNDATIO MEDICAL PARTNERS III LP</t>
        </is>
      </c>
      <c r="D200" s="72" t="inlineStr">
        <is>
          <t>Venture Capital</t>
        </is>
      </c>
      <c r="E200" s="73" t="n">
        <v>58.6</v>
      </c>
      <c r="F200" s="74" t="inlineStr">
        <is>
          <t>Norwalk, CT</t>
        </is>
      </c>
      <c r="G200" s="75" t="inlineStr">
        <is>
          <t/>
        </is>
      </c>
      <c r="H200" s="76" t="n">
        <v>2010.0</v>
      </c>
      <c r="I200" s="77" t="n">
        <v>100.0</v>
      </c>
      <c r="J200" s="78" t="n">
        <v>58.6</v>
      </c>
      <c r="K200" s="79" t="n">
        <v>0.0</v>
      </c>
      <c r="L200" s="80" t="n">
        <v>30.919356306666668</v>
      </c>
      <c r="M200" s="81" t="n">
        <v>7.485149893333333</v>
      </c>
      <c r="N200" s="82" t="inlineStr">
        <is>
          <t/>
        </is>
      </c>
      <c r="O200" s="83" t="inlineStr">
        <is>
          <t/>
        </is>
      </c>
      <c r="P200" s="84" t="inlineStr">
        <is>
          <t/>
        </is>
      </c>
      <c r="Q200" s="85" t="n">
        <v>0.53</v>
      </c>
      <c r="R200" s="86" t="n">
        <v>-0.2899999999999999</v>
      </c>
      <c r="S200" s="87" t="n">
        <v>0.13</v>
      </c>
      <c r="T200" s="88" t="n">
        <v>-0.54363</v>
      </c>
      <c r="U200" s="89" t="n">
        <v>0.66</v>
      </c>
      <c r="V200" s="90" t="n">
        <v>-0.64</v>
      </c>
      <c r="W200" s="91" t="inlineStr">
        <is>
          <t/>
        </is>
      </c>
      <c r="X200" s="92" t="inlineStr">
        <is>
          <t>LP Original Commitments</t>
        </is>
      </c>
      <c r="Y200" s="93" t="inlineStr">
        <is>
          <t>2020 Y</t>
        </is>
      </c>
      <c r="Z200" s="94" t="inlineStr">
        <is>
          <t>0 - 99M</t>
        </is>
      </c>
      <c r="AA200" s="95" t="inlineStr">
        <is>
          <t>Foundation Medical Partners</t>
        </is>
      </c>
      <c r="AB200" s="96" t="inlineStr">
        <is>
          <t>Norwalk, CT</t>
        </is>
      </c>
      <c r="AC200" s="97" t="inlineStr">
        <is>
          <t/>
        </is>
      </c>
      <c r="AD200" s="98" t="inlineStr">
        <is>
          <t>Seed Round, Early Stage VC, Later Stage VC</t>
        </is>
      </c>
      <c r="AE200" s="99" t="inlineStr">
        <is>
          <t/>
        </is>
      </c>
      <c r="AF200" s="100" t="inlineStr">
        <is>
          <t>STRS Ohio</t>
        </is>
      </c>
      <c r="AG200" s="233">
        <f>HYPERLINK("https://my.pitchbook.com?i=11192-86", "View Investor Online")</f>
      </c>
    </row>
    <row r="201">
      <c r="A201" s="36" t="inlineStr">
        <is>
          <t>13420-81F</t>
        </is>
      </c>
      <c r="B201" s="37" t="inlineStr">
        <is>
          <t>University Ventures Fund I</t>
        </is>
      </c>
      <c r="C201" s="38" t="inlineStr">
        <is>
          <t/>
        </is>
      </c>
      <c r="D201" s="39" t="inlineStr">
        <is>
          <t>Venture Capital</t>
        </is>
      </c>
      <c r="E201" s="40" t="n">
        <v>100.0</v>
      </c>
      <c r="F201" s="41" t="inlineStr">
        <is>
          <t>New York, NY</t>
        </is>
      </c>
      <c r="G201" s="42" t="n">
        <v>4.0</v>
      </c>
      <c r="H201" s="43" t="n">
        <v>2012.0</v>
      </c>
      <c r="I201" s="44" t="n">
        <v>91.33478</v>
      </c>
      <c r="J201" s="45" t="n">
        <v>91.33478</v>
      </c>
      <c r="K201" s="46" t="n">
        <v>8.66522</v>
      </c>
      <c r="L201" s="47" t="n">
        <v>0.0</v>
      </c>
      <c r="M201" s="48" t="n">
        <v>59.86079199999999</v>
      </c>
      <c r="N201" s="49" t="n">
        <v>-6.28</v>
      </c>
      <c r="O201" s="50" t="inlineStr">
        <is>
          <t/>
        </is>
      </c>
      <c r="P201" s="51" t="n">
        <v>-18.39</v>
      </c>
      <c r="Q201" s="52" t="n">
        <v>0.0</v>
      </c>
      <c r="R201" s="53" t="n">
        <v>-0.115</v>
      </c>
      <c r="S201" s="54" t="n">
        <v>0.66</v>
      </c>
      <c r="T201" s="55" t="n">
        <v>-0.21949999999999992</v>
      </c>
      <c r="U201" s="56" t="n">
        <v>0.66</v>
      </c>
      <c r="V201" s="57" t="n">
        <v>-0.2799999999999999</v>
      </c>
      <c r="W201" s="58" t="inlineStr">
        <is>
          <t/>
        </is>
      </c>
      <c r="X201" s="59" t="inlineStr">
        <is>
          <t>LP Original Commitments</t>
        </is>
      </c>
      <c r="Y201" s="60" t="inlineStr">
        <is>
          <t>2019 Y</t>
        </is>
      </c>
      <c r="Z201" s="61" t="inlineStr">
        <is>
          <t>100M - 249M</t>
        </is>
      </c>
      <c r="AA201" s="62" t="inlineStr">
        <is>
          <t>University Ventures</t>
        </is>
      </c>
      <c r="AB201" s="63" t="inlineStr">
        <is>
          <t>New York, NY</t>
        </is>
      </c>
      <c r="AC201" s="64" t="inlineStr">
        <is>
          <t>Commercial Services, Software</t>
        </is>
      </c>
      <c r="AD201" s="65" t="inlineStr">
        <is>
          <t>Seed Round, Early Stage VC, Later Stage VC</t>
        </is>
      </c>
      <c r="AE201" s="66" t="inlineStr">
        <is>
          <t>Europe, United States</t>
        </is>
      </c>
      <c r="AF201" s="67" t="inlineStr">
        <is>
          <t>UTIMCO</t>
        </is>
      </c>
      <c r="AG201" s="232">
        <f>HYPERLINK("https://my.pitchbook.com?i=60480-82", "View Investor Online")</f>
      </c>
    </row>
    <row r="202">
      <c r="A202" s="69" t="inlineStr">
        <is>
          <t>16431-31F</t>
        </is>
      </c>
      <c r="B202" s="70" t="inlineStr">
        <is>
          <t>Contour Venture Partners IV</t>
        </is>
      </c>
      <c r="C202" s="71" t="inlineStr">
        <is>
          <t/>
        </is>
      </c>
      <c r="D202" s="72" t="inlineStr">
        <is>
          <t>Venture Capital - Early Stage</t>
        </is>
      </c>
      <c r="E202" s="73" t="n">
        <v>20.0</v>
      </c>
      <c r="F202" s="74" t="inlineStr">
        <is>
          <t>New York, NY</t>
        </is>
      </c>
      <c r="G202" s="75" t="inlineStr">
        <is>
          <t/>
        </is>
      </c>
      <c r="H202" s="76" t="n">
        <v>2018.0</v>
      </c>
      <c r="I202" s="77" t="n">
        <v>5.0</v>
      </c>
      <c r="J202" s="78" t="n">
        <v>1.0</v>
      </c>
      <c r="K202" s="79" t="n">
        <v>7.557603686635945</v>
      </c>
      <c r="L202" s="80" t="n">
        <v>0.0</v>
      </c>
      <c r="M202" s="81" t="n">
        <v>0.607222</v>
      </c>
      <c r="N202" s="82" t="inlineStr">
        <is>
          <t/>
        </is>
      </c>
      <c r="O202" s="83" t="inlineStr">
        <is>
          <t/>
        </is>
      </c>
      <c r="P202" s="84" t="inlineStr">
        <is>
          <t/>
        </is>
      </c>
      <c r="Q202" s="85" t="n">
        <v>0.0</v>
      </c>
      <c r="R202" s="86" t="n">
        <v>0.0</v>
      </c>
      <c r="S202" s="87" t="n">
        <v>0.61</v>
      </c>
      <c r="T202" s="88" t="n">
        <v>-0.3949999999999999</v>
      </c>
      <c r="U202" s="89" t="n">
        <v>0.61</v>
      </c>
      <c r="V202" s="90" t="n">
        <v>-0.37</v>
      </c>
      <c r="W202" s="91" t="inlineStr">
        <is>
          <t/>
        </is>
      </c>
      <c r="X202" s="92" t="inlineStr">
        <is>
          <t>LP Original Commitments</t>
        </is>
      </c>
      <c r="Y202" s="93" t="inlineStr">
        <is>
          <t>2019 Y</t>
        </is>
      </c>
      <c r="Z202" s="94" t="inlineStr">
        <is>
          <t>0 - 99M</t>
        </is>
      </c>
      <c r="AA202" s="95" t="inlineStr">
        <is>
          <t>Contour Venture Partners</t>
        </is>
      </c>
      <c r="AB202" s="96" t="inlineStr">
        <is>
          <t>New York, NY</t>
        </is>
      </c>
      <c r="AC202" s="97" t="inlineStr">
        <is>
          <t>Software</t>
        </is>
      </c>
      <c r="AD202" s="98" t="inlineStr">
        <is>
          <t>Seed Round, Early Stage VC</t>
        </is>
      </c>
      <c r="AE202" s="99" t="inlineStr">
        <is>
          <t/>
        </is>
      </c>
      <c r="AF202" s="100" t="inlineStr">
        <is>
          <t>NYSCRF</t>
        </is>
      </c>
      <c r="AG202" s="233">
        <f>HYPERLINK("https://my.pitchbook.com?i=11156-14", "View Investor Online")</f>
      </c>
    </row>
    <row r="203">
      <c r="A203" s="36" t="inlineStr">
        <is>
          <t>13043-17F</t>
        </is>
      </c>
      <c r="B203" s="37" t="inlineStr">
        <is>
          <t>UMIP Premier Fund</t>
        </is>
      </c>
      <c r="C203" s="38" t="inlineStr">
        <is>
          <t>MTIV</t>
        </is>
      </c>
      <c r="D203" s="39" t="inlineStr">
        <is>
          <t>Venture Capital - Later Stage</t>
        </is>
      </c>
      <c r="E203" s="40" t="n">
        <v>64.26993</v>
      </c>
      <c r="F203" s="41" t="inlineStr">
        <is>
          <t>Manchester, United Kingdom</t>
        </is>
      </c>
      <c r="G203" s="42" t="inlineStr">
        <is>
          <t/>
        </is>
      </c>
      <c r="H203" s="43" t="n">
        <v>2009.0</v>
      </c>
      <c r="I203" s="44" t="n">
        <v>100.0</v>
      </c>
      <c r="J203" s="45" t="n">
        <v>64.26993372163085</v>
      </c>
      <c r="K203" s="46" t="n">
        <v>0.0</v>
      </c>
      <c r="L203" s="47" t="n">
        <v>0.0</v>
      </c>
      <c r="M203" s="48" t="n">
        <v>39.379657418299715</v>
      </c>
      <c r="N203" s="49" t="inlineStr">
        <is>
          <t/>
        </is>
      </c>
      <c r="O203" s="50" t="inlineStr">
        <is>
          <t/>
        </is>
      </c>
      <c r="P203" s="51" t="inlineStr">
        <is>
          <t/>
        </is>
      </c>
      <c r="Q203" s="52" t="n">
        <v>0.0</v>
      </c>
      <c r="R203" s="53" t="inlineStr">
        <is>
          <t/>
        </is>
      </c>
      <c r="S203" s="54" t="n">
        <v>0.61</v>
      </c>
      <c r="T203" s="55" t="inlineStr">
        <is>
          <t/>
        </is>
      </c>
      <c r="U203" s="56" t="n">
        <v>0.61</v>
      </c>
      <c r="V203" s="57" t="inlineStr">
        <is>
          <t/>
        </is>
      </c>
      <c r="W203" s="58" t="inlineStr">
        <is>
          <t/>
        </is>
      </c>
      <c r="X203" s="59" t="inlineStr">
        <is>
          <t>LP Original Commitments</t>
        </is>
      </c>
      <c r="Y203" s="60" t="inlineStr">
        <is>
          <t>2017 Y</t>
        </is>
      </c>
      <c r="Z203" s="61" t="inlineStr">
        <is>
          <t>0 - 99M</t>
        </is>
      </c>
      <c r="AA203" s="62" t="inlineStr">
        <is>
          <t>MTI Partners</t>
        </is>
      </c>
      <c r="AB203" s="63" t="inlineStr">
        <is>
          <t>Edinburgh, United Kingdom</t>
        </is>
      </c>
      <c r="AC203" s="64" t="inlineStr">
        <is>
          <t>Healthcare Devices and Supplies</t>
        </is>
      </c>
      <c r="AD203" s="65" t="inlineStr">
        <is>
          <t>Later Stage VC</t>
        </is>
      </c>
      <c r="AE203" s="66" t="inlineStr">
        <is>
          <t/>
        </is>
      </c>
      <c r="AF203" s="67" t="inlineStr">
        <is>
          <t>GMPF</t>
        </is>
      </c>
      <c r="AG203" s="232">
        <f>HYPERLINK("https://my.pitchbook.com?i=11250-10", "View Investor Online")</f>
      </c>
    </row>
    <row r="204">
      <c r="A204" s="69" t="inlineStr">
        <is>
          <t>13589-29F</t>
        </is>
      </c>
      <c r="B204" s="70" t="inlineStr">
        <is>
          <t>MPM Bio V NVS Strategic Fund</t>
        </is>
      </c>
      <c r="C204" s="71" t="inlineStr">
        <is>
          <t/>
        </is>
      </c>
      <c r="D204" s="72" t="inlineStr">
        <is>
          <t>Venture Capital</t>
        </is>
      </c>
      <c r="E204" s="73" t="n">
        <v>44.0</v>
      </c>
      <c r="F204" s="74" t="inlineStr">
        <is>
          <t>Cambridge, MA</t>
        </is>
      </c>
      <c r="G204" s="75" t="n">
        <v>4.0</v>
      </c>
      <c r="H204" s="76" t="n">
        <v>2010.0</v>
      </c>
      <c r="I204" s="77" t="n">
        <v>89.9090909090909</v>
      </c>
      <c r="J204" s="78" t="n">
        <v>39.56</v>
      </c>
      <c r="K204" s="79" t="n">
        <v>1.1068581333333334</v>
      </c>
      <c r="L204" s="80" t="n">
        <v>1.01</v>
      </c>
      <c r="M204" s="81" t="n">
        <v>22.47</v>
      </c>
      <c r="N204" s="82" t="n">
        <v>-22.24</v>
      </c>
      <c r="O204" s="83" t="inlineStr">
        <is>
          <t/>
        </is>
      </c>
      <c r="P204" s="84" t="n">
        <v>-43.739999999999995</v>
      </c>
      <c r="Q204" s="85" t="n">
        <v>0.022954545</v>
      </c>
      <c r="R204" s="86" t="n">
        <v>-0.7970454549999999</v>
      </c>
      <c r="S204" s="87" t="n">
        <v>0.57</v>
      </c>
      <c r="T204" s="88" t="n">
        <v>-0.10363</v>
      </c>
      <c r="U204" s="89" t="n">
        <v>0.59</v>
      </c>
      <c r="V204" s="90" t="n">
        <v>-0.7100000000000001</v>
      </c>
      <c r="W204" s="91" t="inlineStr">
        <is>
          <t/>
        </is>
      </c>
      <c r="X204" s="92" t="inlineStr">
        <is>
          <t>GP Self Reporting</t>
        </is>
      </c>
      <c r="Y204" s="93" t="inlineStr">
        <is>
          <t>2016 Y</t>
        </is>
      </c>
      <c r="Z204" s="94" t="inlineStr">
        <is>
          <t>0 - 99M</t>
        </is>
      </c>
      <c r="AA204" s="95" t="inlineStr">
        <is>
          <t>MPM Capital</t>
        </is>
      </c>
      <c r="AB204" s="96" t="inlineStr">
        <is>
          <t>Cambridge, MA</t>
        </is>
      </c>
      <c r="AC204" s="97" t="inlineStr">
        <is>
          <t>Pharmaceuticals and Biotechnology</t>
        </is>
      </c>
      <c r="AD204" s="98" t="inlineStr">
        <is>
          <t>Seed Round, Early Stage VC, Later Stage VC</t>
        </is>
      </c>
      <c r="AE204" s="99" t="inlineStr">
        <is>
          <t/>
        </is>
      </c>
      <c r="AF204" s="100" t="inlineStr">
        <is>
          <t>MPM</t>
        </is>
      </c>
      <c r="AG204" s="233">
        <f>HYPERLINK("https://my.pitchbook.com?i=11241-82", "View Investor Online")</f>
      </c>
    </row>
    <row r="205">
      <c r="A205" s="36" t="inlineStr">
        <is>
          <t>12983-05F</t>
        </is>
      </c>
      <c r="B205" s="37" t="inlineStr">
        <is>
          <t>Sanderling Ventures VII</t>
        </is>
      </c>
      <c r="C205" s="38" t="inlineStr">
        <is>
          <t/>
        </is>
      </c>
      <c r="D205" s="39" t="inlineStr">
        <is>
          <t>Venture Capital</t>
        </is>
      </c>
      <c r="E205" s="40" t="n">
        <v>50.0</v>
      </c>
      <c r="F205" s="41" t="inlineStr">
        <is>
          <t>San Mateo, CA</t>
        </is>
      </c>
      <c r="G205" s="42" t="inlineStr">
        <is>
          <t/>
        </is>
      </c>
      <c r="H205" s="43" t="n">
        <v>2016.0</v>
      </c>
      <c r="I205" s="44" t="n">
        <v>8.0</v>
      </c>
      <c r="J205" s="45" t="n">
        <v>4.0</v>
      </c>
      <c r="K205" s="46" t="n">
        <v>3.9994291087379947</v>
      </c>
      <c r="L205" s="47" t="n">
        <v>0.0</v>
      </c>
      <c r="M205" s="48" t="n">
        <v>2.3121300000000002</v>
      </c>
      <c r="N205" s="49" t="inlineStr">
        <is>
          <t/>
        </is>
      </c>
      <c r="O205" s="50" t="inlineStr">
        <is>
          <t/>
        </is>
      </c>
      <c r="P205" s="51" t="inlineStr">
        <is>
          <t/>
        </is>
      </c>
      <c r="Q205" s="52" t="n">
        <v>0.0</v>
      </c>
      <c r="R205" s="53" t="n">
        <v>-0.0602</v>
      </c>
      <c r="S205" s="54" t="n">
        <v>0.58</v>
      </c>
      <c r="T205" s="55" t="n">
        <v>-0.59</v>
      </c>
      <c r="U205" s="56" t="n">
        <v>0.58</v>
      </c>
      <c r="V205" s="57" t="n">
        <v>-0.68</v>
      </c>
      <c r="W205" s="58" t="inlineStr">
        <is>
          <t/>
        </is>
      </c>
      <c r="X205" s="59" t="inlineStr">
        <is>
          <t>LP Original Commitments</t>
        </is>
      </c>
      <c r="Y205" s="60" t="inlineStr">
        <is>
          <t>2013 Y</t>
        </is>
      </c>
      <c r="Z205" s="61" t="inlineStr">
        <is>
          <t>0 - 99M</t>
        </is>
      </c>
      <c r="AA205" s="62" t="inlineStr">
        <is>
          <t>Sanderling Ventures</t>
        </is>
      </c>
      <c r="AB205" s="63" t="inlineStr">
        <is>
          <t>San Mateo, CA</t>
        </is>
      </c>
      <c r="AC205" s="64" t="inlineStr">
        <is>
          <t>Pharmaceuticals and Biotechnology</t>
        </is>
      </c>
      <c r="AD205" s="65" t="inlineStr">
        <is>
          <t>Seed Round, Early Stage VC, Later Stage VC</t>
        </is>
      </c>
      <c r="AE205" s="66" t="inlineStr">
        <is>
          <t>Canada</t>
        </is>
      </c>
      <c r="AF205" s="67" t="inlineStr">
        <is>
          <t>Mayo Pension Plan, Penn Mutual</t>
        </is>
      </c>
      <c r="AG205" s="232">
        <f>HYPERLINK("https://my.pitchbook.com?i=11293-30", "View Investor Online")</f>
      </c>
    </row>
    <row r="206">
      <c r="A206" s="69" t="inlineStr">
        <is>
          <t>12486-16F</t>
        </is>
      </c>
      <c r="B206" s="70" t="inlineStr">
        <is>
          <t>Cardinal Ventures Partners II</t>
        </is>
      </c>
      <c r="C206" s="71" t="inlineStr">
        <is>
          <t/>
        </is>
      </c>
      <c r="D206" s="72" t="inlineStr">
        <is>
          <t>Venture Capital - Early Stage</t>
        </is>
      </c>
      <c r="E206" s="73" t="n">
        <v>25.0</v>
      </c>
      <c r="F206" s="74" t="inlineStr">
        <is>
          <t>Menlo Park, CA</t>
        </is>
      </c>
      <c r="G206" s="75" t="inlineStr">
        <is>
          <t/>
        </is>
      </c>
      <c r="H206" s="76" t="n">
        <v>2009.0</v>
      </c>
      <c r="I206" s="77" t="n">
        <v>97.2759411764706</v>
      </c>
      <c r="J206" s="78" t="n">
        <v>24.31898529411765</v>
      </c>
      <c r="K206" s="79" t="n">
        <v>1.3002749999999998</v>
      </c>
      <c r="L206" s="80" t="n">
        <v>0.5794558823529412</v>
      </c>
      <c r="M206" s="81" t="n">
        <v>12.639441176470589</v>
      </c>
      <c r="N206" s="82" t="inlineStr">
        <is>
          <t/>
        </is>
      </c>
      <c r="O206" s="83" t="inlineStr">
        <is>
          <t/>
        </is>
      </c>
      <c r="P206" s="84" t="inlineStr">
        <is>
          <t/>
        </is>
      </c>
      <c r="Q206" s="85" t="n">
        <v>0.02</v>
      </c>
      <c r="R206" s="86" t="inlineStr">
        <is>
          <t/>
        </is>
      </c>
      <c r="S206" s="87" t="n">
        <v>0.52</v>
      </c>
      <c r="T206" s="88" t="inlineStr">
        <is>
          <t/>
        </is>
      </c>
      <c r="U206" s="89" t="n">
        <v>0.54</v>
      </c>
      <c r="V206" s="90" t="n">
        <v>-1.33</v>
      </c>
      <c r="W206" s="91" t="inlineStr">
        <is>
          <t/>
        </is>
      </c>
      <c r="X206" s="92" t="inlineStr">
        <is>
          <t>LP Original Commitments</t>
        </is>
      </c>
      <c r="Y206" s="93" t="inlineStr">
        <is>
          <t>2013 Y</t>
        </is>
      </c>
      <c r="Z206" s="94" t="inlineStr">
        <is>
          <t>0 - 99M</t>
        </is>
      </c>
      <c r="AA206" s="95" t="inlineStr">
        <is>
          <t>Cardinal Venture Capital</t>
        </is>
      </c>
      <c r="AB206" s="96" t="inlineStr">
        <is>
          <t>Menlo Park, CA</t>
        </is>
      </c>
      <c r="AC206" s="97" t="inlineStr">
        <is>
          <t>Software, Commercial Services</t>
        </is>
      </c>
      <c r="AD206" s="98" t="inlineStr">
        <is>
          <t>Later Stage VC</t>
        </is>
      </c>
      <c r="AE206" s="99" t="inlineStr">
        <is>
          <t>United States</t>
        </is>
      </c>
      <c r="AF206" s="100" t="inlineStr">
        <is>
          <t>FM Global</t>
        </is>
      </c>
      <c r="AG206" s="233">
        <f>HYPERLINK("https://my.pitchbook.com?i=11138-86", "View Investor Online")</f>
      </c>
    </row>
    <row r="207">
      <c r="A207" s="36" t="inlineStr">
        <is>
          <t>14050-09F</t>
        </is>
      </c>
      <c r="B207" s="37" t="inlineStr">
        <is>
          <t>Boulder Ventures VI</t>
        </is>
      </c>
      <c r="C207" s="38" t="inlineStr">
        <is>
          <t/>
        </is>
      </c>
      <c r="D207" s="39" t="inlineStr">
        <is>
          <t>Venture Capital</t>
        </is>
      </c>
      <c r="E207" s="40" t="n">
        <v>61.23</v>
      </c>
      <c r="F207" s="41" t="inlineStr">
        <is>
          <t>Boulder, CO</t>
        </is>
      </c>
      <c r="G207" s="42" t="n">
        <v>4.0</v>
      </c>
      <c r="H207" s="43" t="n">
        <v>2014.0</v>
      </c>
      <c r="I207" s="44" t="n">
        <v>97.99118079372857</v>
      </c>
      <c r="J207" s="45" t="n">
        <v>60.0</v>
      </c>
      <c r="K207" s="46" t="n">
        <v>1.2300000000000002</v>
      </c>
      <c r="L207" s="47" t="n">
        <v>6.0</v>
      </c>
      <c r="M207" s="48" t="n">
        <v>26.0</v>
      </c>
      <c r="N207" s="49" t="n">
        <v>-20.1</v>
      </c>
      <c r="O207" s="50" t="inlineStr">
        <is>
          <t/>
        </is>
      </c>
      <c r="P207" s="51" t="n">
        <v>-34.06</v>
      </c>
      <c r="Q207" s="52" t="n">
        <v>0.1</v>
      </c>
      <c r="R207" s="53" t="n">
        <v>0.08</v>
      </c>
      <c r="S207" s="54" t="n">
        <v>0.433333333</v>
      </c>
      <c r="T207" s="55" t="n">
        <v>-0.746666667</v>
      </c>
      <c r="U207" s="56" t="n">
        <v>0.53</v>
      </c>
      <c r="V207" s="57" t="n">
        <v>-0.97</v>
      </c>
      <c r="W207" s="58" t="inlineStr">
        <is>
          <t/>
        </is>
      </c>
      <c r="X207" s="59" t="inlineStr">
        <is>
          <t>GP Self Reporting</t>
        </is>
      </c>
      <c r="Y207" s="60" t="inlineStr">
        <is>
          <t>2019 Y</t>
        </is>
      </c>
      <c r="Z207" s="61" t="inlineStr">
        <is>
          <t>0 - 99M</t>
        </is>
      </c>
      <c r="AA207" s="62" t="inlineStr">
        <is>
          <t>Boulder Ventures</t>
        </is>
      </c>
      <c r="AB207" s="63" t="inlineStr">
        <is>
          <t>Boulder, CO</t>
        </is>
      </c>
      <c r="AC207" s="64" t="inlineStr">
        <is>
          <t>Software</t>
        </is>
      </c>
      <c r="AD207" s="65" t="inlineStr">
        <is>
          <t>Seed Round, Early Stage VC, Later Stage VC</t>
        </is>
      </c>
      <c r="AE207" s="66" t="inlineStr">
        <is>
          <t/>
        </is>
      </c>
      <c r="AF207" s="67" t="inlineStr">
        <is>
          <t>Boulder Ventures</t>
        </is>
      </c>
      <c r="AG207" s="232">
        <f>HYPERLINK("https://my.pitchbook.com?i=11128-06", "View Investor Online")</f>
      </c>
    </row>
    <row r="208">
      <c r="A208" s="69" t="inlineStr">
        <is>
          <t>14650-03F</t>
        </is>
      </c>
      <c r="B208" s="70" t="inlineStr">
        <is>
          <t>Ziegler Link-Age Longevity Fund</t>
        </is>
      </c>
      <c r="C208" s="71" t="inlineStr">
        <is>
          <t/>
        </is>
      </c>
      <c r="D208" s="72" t="inlineStr">
        <is>
          <t>Venture Capital</t>
        </is>
      </c>
      <c r="E208" s="73" t="n">
        <v>26.62</v>
      </c>
      <c r="F208" s="74" t="inlineStr">
        <is>
          <t>Mason, OH</t>
        </is>
      </c>
      <c r="G208" s="75" t="inlineStr">
        <is>
          <t/>
        </is>
      </c>
      <c r="H208" s="76" t="n">
        <v>2014.0</v>
      </c>
      <c r="I208" s="77" t="n">
        <v>42.5244177310293</v>
      </c>
      <c r="J208" s="78" t="n">
        <v>11.32</v>
      </c>
      <c r="K208" s="79" t="n">
        <v>0.0</v>
      </c>
      <c r="L208" s="80" t="n">
        <v>0.0</v>
      </c>
      <c r="M208" s="81" t="n">
        <v>6.02</v>
      </c>
      <c r="N208" s="82" t="inlineStr">
        <is>
          <t/>
        </is>
      </c>
      <c r="O208" s="83" t="inlineStr">
        <is>
          <t/>
        </is>
      </c>
      <c r="P208" s="84" t="inlineStr">
        <is>
          <t/>
        </is>
      </c>
      <c r="Q208" s="85" t="n">
        <v>0.0</v>
      </c>
      <c r="R208" s="86" t="n">
        <v>-0.02</v>
      </c>
      <c r="S208" s="87" t="n">
        <v>0.532</v>
      </c>
      <c r="T208" s="88" t="n">
        <v>-0.6479999999999999</v>
      </c>
      <c r="U208" s="89" t="n">
        <v>0.53</v>
      </c>
      <c r="V208" s="90" t="n">
        <v>-0.97</v>
      </c>
      <c r="W208" s="91" t="inlineStr">
        <is>
          <t/>
        </is>
      </c>
      <c r="X208" s="92" t="inlineStr">
        <is>
          <t>GP Self Reporting</t>
        </is>
      </c>
      <c r="Y208" s="93" t="inlineStr">
        <is>
          <t>2015 Y</t>
        </is>
      </c>
      <c r="Z208" s="94" t="inlineStr">
        <is>
          <t>0 - 99M</t>
        </is>
      </c>
      <c r="AA208" s="95" t="inlineStr">
        <is>
          <t>Link-age, Ziegler, Ziegler Healthcare Capital</t>
        </is>
      </c>
      <c r="AB208" s="96" t="inlineStr">
        <is>
          <t>Mason, OH</t>
        </is>
      </c>
      <c r="AC208" s="97" t="inlineStr">
        <is>
          <t>Software, Healthcare Technology Systems</t>
        </is>
      </c>
      <c r="AD208" s="98" t="inlineStr">
        <is>
          <t>Seed Round, Early Stage VC, Later Stage VC</t>
        </is>
      </c>
      <c r="AE208" s="99" t="inlineStr">
        <is>
          <t/>
        </is>
      </c>
      <c r="AF208" s="100" t="inlineStr">
        <is>
          <t>Ziegler Healthcare Capital</t>
        </is>
      </c>
      <c r="AG208" s="233">
        <f>HYPERLINK("https://my.pitchbook.com?i=55468-99", "View Investor Online")</f>
      </c>
    </row>
    <row r="209">
      <c r="A209" s="36" t="inlineStr">
        <is>
          <t>15901-48F</t>
        </is>
      </c>
      <c r="B209" s="37" t="inlineStr">
        <is>
          <t>Mutual Capital Partners Fund III</t>
        </is>
      </c>
      <c r="C209" s="38" t="inlineStr">
        <is>
          <t/>
        </is>
      </c>
      <c r="D209" s="39" t="inlineStr">
        <is>
          <t>Venture Capital - Early Stage</t>
        </is>
      </c>
      <c r="E209" s="40" t="n">
        <v>43.305</v>
      </c>
      <c r="F209" s="41" t="inlineStr">
        <is>
          <t>Westlake, OH</t>
        </is>
      </c>
      <c r="G209" s="42" t="inlineStr">
        <is>
          <t/>
        </is>
      </c>
      <c r="H209" s="43" t="n">
        <v>2017.0</v>
      </c>
      <c r="I209" s="44" t="n">
        <v>19.999999999999996</v>
      </c>
      <c r="J209" s="45" t="n">
        <v>8.661</v>
      </c>
      <c r="K209" s="46" t="n">
        <v>4.84683101687604</v>
      </c>
      <c r="L209" s="47" t="n">
        <v>0.0</v>
      </c>
      <c r="M209" s="48" t="n">
        <v>4.0</v>
      </c>
      <c r="N209" s="49" t="inlineStr">
        <is>
          <t/>
        </is>
      </c>
      <c r="O209" s="50" t="inlineStr">
        <is>
          <t/>
        </is>
      </c>
      <c r="P209" s="51" t="inlineStr">
        <is>
          <t/>
        </is>
      </c>
      <c r="Q209" s="52" t="n">
        <v>0.0</v>
      </c>
      <c r="R209" s="53" t="n">
        <v>0.0</v>
      </c>
      <c r="S209" s="54" t="n">
        <v>0.461840434</v>
      </c>
      <c r="T209" s="55" t="n">
        <v>-0.49732956599999995</v>
      </c>
      <c r="U209" s="56" t="n">
        <v>0.46</v>
      </c>
      <c r="V209" s="57" t="n">
        <v>-0.55</v>
      </c>
      <c r="W209" s="58" t="inlineStr">
        <is>
          <t/>
        </is>
      </c>
      <c r="X209" s="59" t="inlineStr">
        <is>
          <t>GP Self Reporting</t>
        </is>
      </c>
      <c r="Y209" s="60" t="inlineStr">
        <is>
          <t>2018 Y</t>
        </is>
      </c>
      <c r="Z209" s="61" t="inlineStr">
        <is>
          <t>0 - 99M</t>
        </is>
      </c>
      <c r="AA209" s="62" t="inlineStr">
        <is>
          <t>Mutual Capital Partners</t>
        </is>
      </c>
      <c r="AB209" s="63" t="inlineStr">
        <is>
          <t>Westlake, OH</t>
        </is>
      </c>
      <c r="AC209" s="64" t="inlineStr">
        <is>
          <t>Software</t>
        </is>
      </c>
      <c r="AD209" s="65" t="inlineStr">
        <is>
          <t>Seed Round, Early Stage VC</t>
        </is>
      </c>
      <c r="AE209" s="66" t="inlineStr">
        <is>
          <t>United States</t>
        </is>
      </c>
      <c r="AF209" s="67" t="inlineStr">
        <is>
          <t>MCP</t>
        </is>
      </c>
      <c r="AG209" s="232">
        <f>HYPERLINK("https://my.pitchbook.com?i=42976-72", "View Investor Online")</f>
      </c>
    </row>
    <row r="210">
      <c r="A210" s="69" t="inlineStr">
        <is>
          <t>14872-42F</t>
        </is>
      </c>
      <c r="B210" s="70" t="inlineStr">
        <is>
          <t>University Ventures Fund I UTIMCO-Investment</t>
        </is>
      </c>
      <c r="C210" s="71" t="inlineStr">
        <is>
          <t/>
        </is>
      </c>
      <c r="D210" s="72" t="inlineStr">
        <is>
          <t>Venture Capital</t>
        </is>
      </c>
      <c r="E210" s="73" t="n">
        <v>50.0</v>
      </c>
      <c r="F210" s="74" t="inlineStr">
        <is>
          <t>New York, NY</t>
        </is>
      </c>
      <c r="G210" s="75" t="n">
        <v>4.0</v>
      </c>
      <c r="H210" s="76" t="n">
        <v>2011.0</v>
      </c>
      <c r="I210" s="77" t="n">
        <v>100.0</v>
      </c>
      <c r="J210" s="78" t="n">
        <v>50.503033831955634</v>
      </c>
      <c r="K210" s="79" t="n">
        <v>0.0</v>
      </c>
      <c r="L210" s="80" t="n">
        <v>0.0</v>
      </c>
      <c r="M210" s="81" t="n">
        <v>21.899438620120026</v>
      </c>
      <c r="N210" s="82" t="n">
        <v>-12.78</v>
      </c>
      <c r="O210" s="83" t="inlineStr">
        <is>
          <t/>
        </is>
      </c>
      <c r="P210" s="84" t="n">
        <v>-23.88</v>
      </c>
      <c r="Q210" s="85" t="n">
        <v>0.0</v>
      </c>
      <c r="R210" s="86" t="n">
        <v>-0.19</v>
      </c>
      <c r="S210" s="87" t="n">
        <v>0.43</v>
      </c>
      <c r="T210" s="88" t="n">
        <v>-0.7291000000000001</v>
      </c>
      <c r="U210" s="89" t="n">
        <v>0.43</v>
      </c>
      <c r="V210" s="90" t="n">
        <v>-1.1</v>
      </c>
      <c r="W210" s="91" t="inlineStr">
        <is>
          <t/>
        </is>
      </c>
      <c r="X210" s="92" t="inlineStr">
        <is>
          <t>LP Original Commitments</t>
        </is>
      </c>
      <c r="Y210" s="93" t="inlineStr">
        <is>
          <t>2019 Y</t>
        </is>
      </c>
      <c r="Z210" s="94" t="inlineStr">
        <is>
          <t>0 - 99M</t>
        </is>
      </c>
      <c r="AA210" s="95" t="inlineStr">
        <is>
          <t>University Ventures</t>
        </is>
      </c>
      <c r="AB210" s="96" t="inlineStr">
        <is>
          <t>New York, NY</t>
        </is>
      </c>
      <c r="AC210" s="97" t="inlineStr">
        <is>
          <t>Software, Commercial Services</t>
        </is>
      </c>
      <c r="AD210" s="98" t="inlineStr">
        <is>
          <t>Seed Round, Early Stage VC, Later Stage VC</t>
        </is>
      </c>
      <c r="AE210" s="99" t="inlineStr">
        <is>
          <t/>
        </is>
      </c>
      <c r="AF210" s="100" t="inlineStr">
        <is>
          <t>UTIMCO</t>
        </is>
      </c>
      <c r="AG210" s="233">
        <f>HYPERLINK("https://my.pitchbook.com?i=60480-82", "View Investor Online")</f>
      </c>
    </row>
    <row r="211">
      <c r="A211" s="36" t="inlineStr">
        <is>
          <t>14912-47F</t>
        </is>
      </c>
      <c r="B211" s="37" t="inlineStr">
        <is>
          <t>Contour Opportunity Fund</t>
        </is>
      </c>
      <c r="C211" s="38" t="inlineStr">
        <is>
          <t/>
        </is>
      </c>
      <c r="D211" s="39" t="inlineStr">
        <is>
          <t>Venture Capital - Early Stage</t>
        </is>
      </c>
      <c r="E211" s="40" t="n">
        <v>25.0</v>
      </c>
      <c r="F211" s="41" t="inlineStr">
        <is>
          <t>New York, NY</t>
        </is>
      </c>
      <c r="G211" s="42" t="inlineStr">
        <is>
          <t/>
        </is>
      </c>
      <c r="H211" s="43" t="n">
        <v>2016.0</v>
      </c>
      <c r="I211" s="44" t="n">
        <v>62.99999999999999</v>
      </c>
      <c r="J211" s="45" t="n">
        <v>15.749999999999998</v>
      </c>
      <c r="K211" s="46" t="n">
        <v>4.812956204379562</v>
      </c>
      <c r="L211" s="47" t="n">
        <v>0.0</v>
      </c>
      <c r="M211" s="48" t="n">
        <v>4.717116666666667</v>
      </c>
      <c r="N211" s="49" t="inlineStr">
        <is>
          <t/>
        </is>
      </c>
      <c r="O211" s="50" t="inlineStr">
        <is>
          <t/>
        </is>
      </c>
      <c r="P211" s="51" t="inlineStr">
        <is>
          <t/>
        </is>
      </c>
      <c r="Q211" s="52" t="n">
        <v>0.0</v>
      </c>
      <c r="R211" s="53" t="n">
        <v>0.0</v>
      </c>
      <c r="S211" s="54" t="n">
        <v>0.3</v>
      </c>
      <c r="T211" s="55" t="n">
        <v>-0.875</v>
      </c>
      <c r="U211" s="56" t="n">
        <v>0.3</v>
      </c>
      <c r="V211" s="57" t="n">
        <v>-0.875</v>
      </c>
      <c r="W211" s="58" t="inlineStr">
        <is>
          <t/>
        </is>
      </c>
      <c r="X211" s="59" t="inlineStr">
        <is>
          <t>LP Original Commitments</t>
        </is>
      </c>
      <c r="Y211" s="60" t="inlineStr">
        <is>
          <t>2019 Y</t>
        </is>
      </c>
      <c r="Z211" s="61" t="inlineStr">
        <is>
          <t>0 - 99M</t>
        </is>
      </c>
      <c r="AA211" s="62" t="inlineStr">
        <is>
          <t>Contour Venture Partners</t>
        </is>
      </c>
      <c r="AB211" s="63" t="inlineStr">
        <is>
          <t>New York, NY</t>
        </is>
      </c>
      <c r="AC211" s="64" t="inlineStr">
        <is>
          <t>Commercial Services, Software</t>
        </is>
      </c>
      <c r="AD211" s="65" t="inlineStr">
        <is>
          <t>Later Stage VC</t>
        </is>
      </c>
      <c r="AE211" s="66" t="inlineStr">
        <is>
          <t/>
        </is>
      </c>
      <c r="AF211" s="67" t="inlineStr">
        <is>
          <t>NYSCRF</t>
        </is>
      </c>
      <c r="AG211" s="232">
        <f>HYPERLINK("https://my.pitchbook.com?i=11156-14", "View Investor Online")</f>
      </c>
    </row>
    <row r="212">
      <c r="A212" s="69" t="inlineStr">
        <is>
          <t>13578-49F</t>
        </is>
      </c>
      <c r="B212" s="70" t="inlineStr">
        <is>
          <t>Nesta Impact Investments</t>
        </is>
      </c>
      <c r="C212" s="71" t="inlineStr">
        <is>
          <t/>
        </is>
      </c>
      <c r="D212" s="72" t="inlineStr">
        <is>
          <t>Venture Capital</t>
        </is>
      </c>
      <c r="E212" s="73" t="n">
        <v>27.49603</v>
      </c>
      <c r="F212" s="74" t="inlineStr">
        <is>
          <t>London, United Kingdom</t>
        </is>
      </c>
      <c r="G212" s="75" t="inlineStr">
        <is>
          <t/>
        </is>
      </c>
      <c r="H212" s="76" t="n">
        <v>2018.0</v>
      </c>
      <c r="I212" s="77" t="n">
        <v>88.35227272727272</v>
      </c>
      <c r="J212" s="78" t="n">
        <v>24.293370175240344</v>
      </c>
      <c r="K212" s="79" t="n">
        <v>20.8969828</v>
      </c>
      <c r="L212" s="80" t="n">
        <v>0.3905686523350537</v>
      </c>
      <c r="M212" s="81" t="n">
        <v>3.2026629491474403</v>
      </c>
      <c r="N212" s="82" t="inlineStr">
        <is>
          <t/>
        </is>
      </c>
      <c r="O212" s="83" t="inlineStr">
        <is>
          <t/>
        </is>
      </c>
      <c r="P212" s="84" t="inlineStr">
        <is>
          <t/>
        </is>
      </c>
      <c r="Q212" s="85" t="n">
        <v>0.01607717</v>
      </c>
      <c r="R212" s="86" t="inlineStr">
        <is>
          <t/>
        </is>
      </c>
      <c r="S212" s="87" t="n">
        <v>0.131832797</v>
      </c>
      <c r="T212" s="88" t="inlineStr">
        <is>
          <t/>
        </is>
      </c>
      <c r="U212" s="89" t="n">
        <v>0.15</v>
      </c>
      <c r="V212" s="90" t="inlineStr">
        <is>
          <t/>
        </is>
      </c>
      <c r="W212" s="91" t="inlineStr">
        <is>
          <t/>
        </is>
      </c>
      <c r="X212" s="92" t="inlineStr">
        <is>
          <t>GP Self Reporting</t>
        </is>
      </c>
      <c r="Y212" s="93" t="inlineStr">
        <is>
          <t>2018 Y</t>
        </is>
      </c>
      <c r="Z212" s="94" t="inlineStr">
        <is>
          <t>0 - 99M</t>
        </is>
      </c>
      <c r="AA212" s="95" t="inlineStr">
        <is>
          <t>Nesta</t>
        </is>
      </c>
      <c r="AB212" s="96" t="inlineStr">
        <is>
          <t>London, United Kingdom</t>
        </is>
      </c>
      <c r="AC212" s="97" t="inlineStr">
        <is>
          <t>Software</t>
        </is>
      </c>
      <c r="AD212" s="98" t="inlineStr">
        <is>
          <t>Seed Round, Early Stage VC, Later Stage VC</t>
        </is>
      </c>
      <c r="AE212" s="99" t="inlineStr">
        <is>
          <t>United Kingdom</t>
        </is>
      </c>
      <c r="AF212" s="100" t="inlineStr">
        <is>
          <t>National Endowment for Science</t>
        </is>
      </c>
      <c r="AG212" s="233">
        <f>HYPERLINK("https://my.pitchbook.com?i=56182-33", "View Investor Online")</f>
      </c>
    </row>
    <row r="213">
      <c r="A213" s="36" t="inlineStr">
        <is>
          <t>14097-97F</t>
        </is>
      </c>
      <c r="B213" s="37" t="inlineStr">
        <is>
          <t>Stage One Venture Capital Fund II</t>
        </is>
      </c>
      <c r="C213" s="38" t="inlineStr">
        <is>
          <t/>
        </is>
      </c>
      <c r="D213" s="39" t="inlineStr">
        <is>
          <t>Venture Capital</t>
        </is>
      </c>
      <c r="E213" s="40" t="n">
        <v>65.0</v>
      </c>
      <c r="F213" s="41" t="inlineStr">
        <is>
          <t>Herzliya Pituach, Israel</t>
        </is>
      </c>
      <c r="G213" s="42" t="inlineStr">
        <is>
          <t/>
        </is>
      </c>
      <c r="H213" s="43" t="n">
        <v>2014.0</v>
      </c>
      <c r="I213" s="44" t="n">
        <v>70.0</v>
      </c>
      <c r="J213" s="45" t="n">
        <v>45.5</v>
      </c>
      <c r="K213" s="46" t="n">
        <v>19.5</v>
      </c>
      <c r="L213" s="47" t="n">
        <v>0.0</v>
      </c>
      <c r="M213" s="48" t="n">
        <v>1.4</v>
      </c>
      <c r="N213" s="49" t="n">
        <v>20.4</v>
      </c>
      <c r="O213" s="50" t="inlineStr">
        <is>
          <t/>
        </is>
      </c>
      <c r="P213" s="51" t="inlineStr">
        <is>
          <t/>
        </is>
      </c>
      <c r="Q213" s="52" t="n">
        <v>0.0</v>
      </c>
      <c r="R213" s="53" t="inlineStr">
        <is>
          <t/>
        </is>
      </c>
      <c r="S213" s="54" t="n">
        <v>0.030769231</v>
      </c>
      <c r="T213" s="55" t="inlineStr">
        <is>
          <t/>
        </is>
      </c>
      <c r="U213" s="56" t="n">
        <v>0.03</v>
      </c>
      <c r="V213" s="57" t="inlineStr">
        <is>
          <t/>
        </is>
      </c>
      <c r="W213" s="58" t="inlineStr">
        <is>
          <t/>
        </is>
      </c>
      <c r="X213" s="59" t="inlineStr">
        <is>
          <t>GP Self Reporting</t>
        </is>
      </c>
      <c r="Y213" s="60" t="inlineStr">
        <is>
          <t>2018 Y</t>
        </is>
      </c>
      <c r="Z213" s="61" t="inlineStr">
        <is>
          <t>0 - 99M</t>
        </is>
      </c>
      <c r="AA213" s="62" t="inlineStr">
        <is>
          <t>StageOne Ventures</t>
        </is>
      </c>
      <c r="AB213" s="63" t="inlineStr">
        <is>
          <t>Herzliya Pituach, Israel</t>
        </is>
      </c>
      <c r="AC213" s="64" t="inlineStr">
        <is>
          <t>Information Technology</t>
        </is>
      </c>
      <c r="AD213" s="65" t="inlineStr">
        <is>
          <t>Seed Round, Early Stage VC, Later Stage VC</t>
        </is>
      </c>
      <c r="AE213" s="66" t="inlineStr">
        <is>
          <t>Israel, United States</t>
        </is>
      </c>
      <c r="AF213" s="67" t="inlineStr">
        <is>
          <t>StageOne</t>
        </is>
      </c>
      <c r="AG213" s="232">
        <f>HYPERLINK("https://my.pitchbook.com?i=52618-96", "View Investor Online")</f>
      </c>
    </row>
    <row r="214">
      <c r="A214" s="69" t="inlineStr">
        <is>
          <t>16589-26F</t>
        </is>
      </c>
      <c r="B214" s="70" t="inlineStr">
        <is>
          <t>Hyde Park Venture Partners Fund III</t>
        </is>
      </c>
      <c r="C214" s="71" t="inlineStr">
        <is>
          <t/>
        </is>
      </c>
      <c r="D214" s="72" t="inlineStr">
        <is>
          <t>Venture Capital - Early Stage</t>
        </is>
      </c>
      <c r="E214" s="73" t="n">
        <v>100.0</v>
      </c>
      <c r="F214" s="74" t="inlineStr">
        <is>
          <t>Chicago, IL</t>
        </is>
      </c>
      <c r="G214" s="75" t="inlineStr">
        <is>
          <t/>
        </is>
      </c>
      <c r="H214" s="76" t="n">
        <v>2019.0</v>
      </c>
      <c r="I214" s="77" t="n">
        <v>7.0</v>
      </c>
      <c r="J214" s="78" t="n">
        <v>7.0</v>
      </c>
      <c r="K214" s="79" t="n">
        <v>93.0</v>
      </c>
      <c r="L214" s="80" t="n">
        <v>0.0</v>
      </c>
      <c r="M214" s="81" t="inlineStr">
        <is>
          <t/>
        </is>
      </c>
      <c r="N214" s="82" t="inlineStr">
        <is>
          <t/>
        </is>
      </c>
      <c r="O214" s="83" t="inlineStr">
        <is>
          <t/>
        </is>
      </c>
      <c r="P214" s="84" t="inlineStr">
        <is>
          <t/>
        </is>
      </c>
      <c r="Q214" s="85" t="n">
        <v>0.0</v>
      </c>
      <c r="R214" s="86" t="inlineStr">
        <is>
          <t/>
        </is>
      </c>
      <c r="S214" s="87" t="n">
        <v>0.0</v>
      </c>
      <c r="T214" s="88" t="inlineStr">
        <is>
          <t/>
        </is>
      </c>
      <c r="U214" s="89" t="n">
        <v>0.0</v>
      </c>
      <c r="V214" s="90" t="inlineStr">
        <is>
          <t/>
        </is>
      </c>
      <c r="W214" s="91" t="inlineStr">
        <is>
          <t/>
        </is>
      </c>
      <c r="X214" s="92" t="inlineStr">
        <is>
          <t>GP Self Reporting</t>
        </is>
      </c>
      <c r="Y214" s="93" t="inlineStr">
        <is>
          <t>2019 Y</t>
        </is>
      </c>
      <c r="Z214" s="94" t="inlineStr">
        <is>
          <t>100M - 249M</t>
        </is>
      </c>
      <c r="AA214" s="95" t="inlineStr">
        <is>
          <t>Hyde Park Venture Partners</t>
        </is>
      </c>
      <c r="AB214" s="96" t="inlineStr">
        <is>
          <t>Chicago, IL</t>
        </is>
      </c>
      <c r="AC214" s="97" t="inlineStr">
        <is>
          <t>Software</t>
        </is>
      </c>
      <c r="AD214" s="98" t="inlineStr">
        <is>
          <t>Seed Round, Early Stage VC</t>
        </is>
      </c>
      <c r="AE214" s="99" t="inlineStr">
        <is>
          <t>Midwest</t>
        </is>
      </c>
      <c r="AF214" s="100" t="inlineStr">
        <is>
          <t>HPVP, Hyde Park</t>
        </is>
      </c>
      <c r="AG214" s="233">
        <f>HYPERLINK("https://my.pitchbook.com?i=53539-93", "View Investor Online")</f>
      </c>
    </row>
    <row r="215">
      <c r="A215" s="36" t="inlineStr">
        <is>
          <t>14230-54F</t>
        </is>
      </c>
      <c r="B215" s="37" t="inlineStr">
        <is>
          <t>09-7 Korea Venture Fund No.15</t>
        </is>
      </c>
      <c r="C215" s="38" t="inlineStr">
        <is>
          <t/>
        </is>
      </c>
      <c r="D215" s="39" t="inlineStr">
        <is>
          <t>Venture Capital</t>
        </is>
      </c>
      <c r="E215" s="40" t="n">
        <v>59.75829</v>
      </c>
      <c r="F215" s="41" t="inlineStr">
        <is>
          <t>Seoul, South Korea</t>
        </is>
      </c>
      <c r="G215" s="42" t="inlineStr">
        <is>
          <t/>
        </is>
      </c>
      <c r="H215" s="43" t="n">
        <v>2009.0</v>
      </c>
      <c r="I215" s="44" t="inlineStr">
        <is>
          <t/>
        </is>
      </c>
      <c r="J215" s="45" t="inlineStr">
        <is>
          <t/>
        </is>
      </c>
      <c r="K215" s="46" t="n">
        <v>0.0</v>
      </c>
      <c r="L215" s="47" t="inlineStr">
        <is>
          <t/>
        </is>
      </c>
      <c r="M215" s="48" t="inlineStr">
        <is>
          <t/>
        </is>
      </c>
      <c r="N215" s="49" t="n">
        <v>19.0</v>
      </c>
      <c r="O215" s="50" t="inlineStr">
        <is>
          <t/>
        </is>
      </c>
      <c r="P215" s="51" t="inlineStr">
        <is>
          <t/>
        </is>
      </c>
      <c r="Q215" s="52" t="inlineStr">
        <is>
          <t/>
        </is>
      </c>
      <c r="R215" s="53" t="inlineStr">
        <is>
          <t/>
        </is>
      </c>
      <c r="S215" s="54" t="inlineStr">
        <is>
          <t/>
        </is>
      </c>
      <c r="T215" s="55" t="inlineStr">
        <is>
          <t/>
        </is>
      </c>
      <c r="U215" s="56" t="inlineStr">
        <is>
          <t/>
        </is>
      </c>
      <c r="V215" s="57" t="inlineStr">
        <is>
          <t/>
        </is>
      </c>
      <c r="W215" s="58" t="inlineStr">
        <is>
          <t/>
        </is>
      </c>
      <c r="X215" s="59" t="inlineStr">
        <is>
          <t>GP Self Reporting</t>
        </is>
      </c>
      <c r="Y215" s="60" t="inlineStr">
        <is>
          <t>2017 Y</t>
        </is>
      </c>
      <c r="Z215" s="61" t="inlineStr">
        <is>
          <t>0 - 99M</t>
        </is>
      </c>
      <c r="AA215" s="62" t="inlineStr">
        <is>
          <t>Korea Investment Partners</t>
        </is>
      </c>
      <c r="AB215" s="63" t="inlineStr">
        <is>
          <t>Seoul, South Korea</t>
        </is>
      </c>
      <c r="AC215" s="64" t="inlineStr">
        <is>
          <t>Software</t>
        </is>
      </c>
      <c r="AD215" s="65" t="inlineStr">
        <is>
          <t>Seed Round, Early Stage VC, Later Stage VC</t>
        </is>
      </c>
      <c r="AE215" s="66" t="inlineStr">
        <is>
          <t/>
        </is>
      </c>
      <c r="AF215" s="67" t="inlineStr">
        <is>
          <t>KIP</t>
        </is>
      </c>
      <c r="AG215" s="232">
        <f>HYPERLINK("https://my.pitchbook.com?i=53279-74", "View Investor Online")</f>
      </c>
    </row>
    <row r="216">
      <c r="A216" s="69" t="inlineStr">
        <is>
          <t>15383-98F</t>
        </is>
      </c>
      <c r="B216" s="70" t="inlineStr">
        <is>
          <t>360 Square</t>
        </is>
      </c>
      <c r="C216" s="71" t="inlineStr">
        <is>
          <t/>
        </is>
      </c>
      <c r="D216" s="72" t="inlineStr">
        <is>
          <t>Venture Capital</t>
        </is>
      </c>
      <c r="E216" s="73" t="n">
        <v>37.66572</v>
      </c>
      <c r="F216" s="74" t="inlineStr">
        <is>
          <t>Paris, France</t>
        </is>
      </c>
      <c r="G216" s="75" t="inlineStr">
        <is>
          <t/>
        </is>
      </c>
      <c r="H216" s="76" t="n">
        <v>2015.0</v>
      </c>
      <c r="I216" s="77" t="inlineStr">
        <is>
          <t/>
        </is>
      </c>
      <c r="J216" s="78" t="inlineStr">
        <is>
          <t/>
        </is>
      </c>
      <c r="K216" s="79" t="n">
        <v>17.891216999999997</v>
      </c>
      <c r="L216" s="80" t="inlineStr">
        <is>
          <t/>
        </is>
      </c>
      <c r="M216" s="81" t="inlineStr">
        <is>
          <t/>
        </is>
      </c>
      <c r="N216" s="82" t="n">
        <v>37.7</v>
      </c>
      <c r="O216" s="83" t="inlineStr">
        <is>
          <t/>
        </is>
      </c>
      <c r="P216" s="84" t="inlineStr">
        <is>
          <t/>
        </is>
      </c>
      <c r="Q216" s="85" t="inlineStr">
        <is>
          <t/>
        </is>
      </c>
      <c r="R216" s="86" t="inlineStr">
        <is>
          <t/>
        </is>
      </c>
      <c r="S216" s="87" t="inlineStr">
        <is>
          <t/>
        </is>
      </c>
      <c r="T216" s="88" t="inlineStr">
        <is>
          <t/>
        </is>
      </c>
      <c r="U216" s="89" t="inlineStr">
        <is>
          <t/>
        </is>
      </c>
      <c r="V216" s="90" t="inlineStr">
        <is>
          <t/>
        </is>
      </c>
      <c r="W216" s="91" t="inlineStr">
        <is>
          <t/>
        </is>
      </c>
      <c r="X216" s="92" t="inlineStr">
        <is>
          <t>GP Self Reporting</t>
        </is>
      </c>
      <c r="Y216" s="93" t="inlineStr">
        <is>
          <t>2019 Y</t>
        </is>
      </c>
      <c r="Z216" s="94" t="inlineStr">
        <is>
          <t>0 - 99M</t>
        </is>
      </c>
      <c r="AA216" s="95" t="inlineStr">
        <is>
          <t>360 Capital Partners</t>
        </is>
      </c>
      <c r="AB216" s="96" t="inlineStr">
        <is>
          <t>Paris, France</t>
        </is>
      </c>
      <c r="AC216" s="97" t="inlineStr">
        <is>
          <t>Software</t>
        </is>
      </c>
      <c r="AD216" s="98" t="inlineStr">
        <is>
          <t>Seed Round</t>
        </is>
      </c>
      <c r="AE216" s="99" t="inlineStr">
        <is>
          <t>France</t>
        </is>
      </c>
      <c r="AF216" s="100" t="inlineStr">
        <is>
          <t>360 Capital</t>
        </is>
      </c>
      <c r="AG216" s="233">
        <f>HYPERLINK("https://my.pitchbook.com?i=10411-93", "View Investor Online")</f>
      </c>
    </row>
    <row r="217">
      <c r="A217" s="36" t="inlineStr">
        <is>
          <t>16570-99F</t>
        </is>
      </c>
      <c r="B217" s="37" t="inlineStr">
        <is>
          <t>3one4 Capital Contiumm I</t>
        </is>
      </c>
      <c r="C217" s="38" t="inlineStr">
        <is>
          <t/>
        </is>
      </c>
      <c r="D217" s="39" t="inlineStr">
        <is>
          <t>Venture Capital - Later Stage</t>
        </is>
      </c>
      <c r="E217" s="40" t="n">
        <v>56.0</v>
      </c>
      <c r="F217" s="41" t="inlineStr">
        <is>
          <t>Bangalore, India</t>
        </is>
      </c>
      <c r="G217" s="42" t="inlineStr">
        <is>
          <t/>
        </is>
      </c>
      <c r="H217" s="43" t="n">
        <v>2019.0</v>
      </c>
      <c r="I217" s="44" t="inlineStr">
        <is>
          <t/>
        </is>
      </c>
      <c r="J217" s="45" t="inlineStr">
        <is>
          <t/>
        </is>
      </c>
      <c r="K217" s="46" t="n">
        <v>56.0</v>
      </c>
      <c r="L217" s="47" t="inlineStr">
        <is>
          <t/>
        </is>
      </c>
      <c r="M217" s="48" t="inlineStr">
        <is>
          <t/>
        </is>
      </c>
      <c r="N217" s="49" t="n">
        <v>35.63</v>
      </c>
      <c r="O217" s="50" t="inlineStr">
        <is>
          <t/>
        </is>
      </c>
      <c r="P217" s="51" t="inlineStr">
        <is>
          <t/>
        </is>
      </c>
      <c r="Q217" s="52" t="inlineStr">
        <is>
          <t/>
        </is>
      </c>
      <c r="R217" s="53" t="inlineStr">
        <is>
          <t/>
        </is>
      </c>
      <c r="S217" s="54" t="n">
        <v>1.15</v>
      </c>
      <c r="T217" s="55" t="inlineStr">
        <is>
          <t/>
        </is>
      </c>
      <c r="U217" s="56" t="inlineStr">
        <is>
          <t/>
        </is>
      </c>
      <c r="V217" s="57" t="inlineStr">
        <is>
          <t/>
        </is>
      </c>
      <c r="W217" s="58" t="inlineStr">
        <is>
          <t/>
        </is>
      </c>
      <c r="X217" s="59" t="inlineStr">
        <is>
          <t>GP Self Reporting</t>
        </is>
      </c>
      <c r="Y217" s="60" t="inlineStr">
        <is>
          <t>2019 Y</t>
        </is>
      </c>
      <c r="Z217" s="61" t="inlineStr">
        <is>
          <t>0 - 99M</t>
        </is>
      </c>
      <c r="AA217" s="62" t="inlineStr">
        <is>
          <t>3one4 Capital</t>
        </is>
      </c>
      <c r="AB217" s="63" t="inlineStr">
        <is>
          <t>Bangalore, India</t>
        </is>
      </c>
      <c r="AC217" s="64" t="inlineStr">
        <is>
          <t/>
        </is>
      </c>
      <c r="AD217" s="65" t="inlineStr">
        <is>
          <t>Later Stage VC</t>
        </is>
      </c>
      <c r="AE217" s="66" t="inlineStr">
        <is>
          <t>India, United States</t>
        </is>
      </c>
      <c r="AF217" s="67" t="inlineStr">
        <is>
          <t>3one4</t>
        </is>
      </c>
      <c r="AG217" s="232">
        <f>HYPERLINK("https://my.pitchbook.com?i=154351-72", "View Investor Online")</f>
      </c>
    </row>
    <row r="218">
      <c r="A218" s="69" t="inlineStr">
        <is>
          <t>13803-22F</t>
        </is>
      </c>
      <c r="B218" s="70" t="inlineStr">
        <is>
          <t>500 Startups III</t>
        </is>
      </c>
      <c r="C218" s="71" t="inlineStr">
        <is>
          <t/>
        </is>
      </c>
      <c r="D218" s="72" t="inlineStr">
        <is>
          <t>Venture Capital - Early Stage</t>
        </is>
      </c>
      <c r="E218" s="73" t="n">
        <v>85.0</v>
      </c>
      <c r="F218" s="74" t="inlineStr">
        <is>
          <t>San Francisco, CA</t>
        </is>
      </c>
      <c r="G218" s="75" t="inlineStr">
        <is>
          <t/>
        </is>
      </c>
      <c r="H218" s="76" t="n">
        <v>2015.0</v>
      </c>
      <c r="I218" s="77" t="inlineStr">
        <is>
          <t/>
        </is>
      </c>
      <c r="J218" s="78" t="inlineStr">
        <is>
          <t/>
        </is>
      </c>
      <c r="K218" s="79" t="n">
        <v>14.45</v>
      </c>
      <c r="L218" s="80" t="inlineStr">
        <is>
          <t/>
        </is>
      </c>
      <c r="M218" s="81" t="inlineStr">
        <is>
          <t/>
        </is>
      </c>
      <c r="N218" s="82" t="inlineStr">
        <is>
          <t/>
        </is>
      </c>
      <c r="O218" s="83" t="inlineStr">
        <is>
          <t/>
        </is>
      </c>
      <c r="P218" s="84" t="inlineStr">
        <is>
          <t/>
        </is>
      </c>
      <c r="Q218" s="85" t="inlineStr">
        <is>
          <t/>
        </is>
      </c>
      <c r="R218" s="86" t="inlineStr">
        <is>
          <t/>
        </is>
      </c>
      <c r="S218" s="87" t="n">
        <v>0.11</v>
      </c>
      <c r="T218" s="88" t="n">
        <v>-1.19</v>
      </c>
      <c r="U218" s="89" t="inlineStr">
        <is>
          <t/>
        </is>
      </c>
      <c r="V218" s="90" t="inlineStr">
        <is>
          <t/>
        </is>
      </c>
      <c r="W218" s="91" t="inlineStr">
        <is>
          <t/>
        </is>
      </c>
      <c r="X218" s="92" t="inlineStr">
        <is>
          <t>LP Original Commitments</t>
        </is>
      </c>
      <c r="Y218" s="93" t="inlineStr">
        <is>
          <t>2018 Y</t>
        </is>
      </c>
      <c r="Z218" s="94" t="inlineStr">
        <is>
          <t>0 - 99M</t>
        </is>
      </c>
      <c r="AA218" s="95" t="inlineStr">
        <is>
          <t>500 Startups</t>
        </is>
      </c>
      <c r="AB218" s="96" t="inlineStr">
        <is>
          <t>San Francisco, CA</t>
        </is>
      </c>
      <c r="AC218" s="97" t="inlineStr">
        <is>
          <t>Software, Educational and Training Services (B2C)</t>
        </is>
      </c>
      <c r="AD218" s="98" t="inlineStr">
        <is>
          <t>Early Stage VC</t>
        </is>
      </c>
      <c r="AE218" s="99" t="inlineStr">
        <is>
          <t/>
        </is>
      </c>
      <c r="AF218" s="100" t="inlineStr">
        <is>
          <t>NDF</t>
        </is>
      </c>
      <c r="AG218" s="233">
        <f>HYPERLINK("https://my.pitchbook.com?i=51006-88", "View Investor Online")</f>
      </c>
    </row>
    <row r="219">
      <c r="A219" s="36" t="inlineStr">
        <is>
          <t>16005-25F</t>
        </is>
      </c>
      <c r="B219" s="37" t="inlineStr">
        <is>
          <t>Adams Street 2017 Direct Venture/Growth Fund</t>
        </is>
      </c>
      <c r="C219" s="38" t="inlineStr">
        <is>
          <t/>
        </is>
      </c>
      <c r="D219" s="39" t="inlineStr">
        <is>
          <t>Venture Capital</t>
        </is>
      </c>
      <c r="E219" s="40" t="n">
        <v>86.41959</v>
      </c>
      <c r="F219" s="41" t="inlineStr">
        <is>
          <t>Chicago, IL</t>
        </is>
      </c>
      <c r="G219" s="42" t="inlineStr">
        <is>
          <t/>
        </is>
      </c>
      <c r="H219" s="43" t="n">
        <v>2017.0</v>
      </c>
      <c r="I219" s="44" t="n">
        <v>20.600000532286717</v>
      </c>
      <c r="J219" s="45" t="n">
        <v>17.802436</v>
      </c>
      <c r="K219" s="46" t="n">
        <v>42.5616487598497</v>
      </c>
      <c r="L219" s="47" t="inlineStr">
        <is>
          <t/>
        </is>
      </c>
      <c r="M219" s="48" t="n">
        <v>16.49751</v>
      </c>
      <c r="N219" s="49" t="inlineStr">
        <is>
          <t/>
        </is>
      </c>
      <c r="O219" s="50" t="inlineStr">
        <is>
          <t/>
        </is>
      </c>
      <c r="P219" s="51" t="inlineStr">
        <is>
          <t/>
        </is>
      </c>
      <c r="Q219" s="52" t="inlineStr">
        <is>
          <t/>
        </is>
      </c>
      <c r="R219" s="53" t="inlineStr">
        <is>
          <t/>
        </is>
      </c>
      <c r="S219" s="54" t="n">
        <v>0.926699582</v>
      </c>
      <c r="T219" s="55" t="n">
        <v>-0.21392041799999995</v>
      </c>
      <c r="U219" s="56" t="inlineStr">
        <is>
          <t/>
        </is>
      </c>
      <c r="V219" s="57" t="inlineStr">
        <is>
          <t/>
        </is>
      </c>
      <c r="W219" s="58" t="inlineStr">
        <is>
          <t/>
        </is>
      </c>
      <c r="X219" s="59" t="inlineStr">
        <is>
          <t>GP Self Reporting</t>
        </is>
      </c>
      <c r="Y219" s="60" t="inlineStr">
        <is>
          <t>2018 Y</t>
        </is>
      </c>
      <c r="Z219" s="61" t="inlineStr">
        <is>
          <t>0 - 99M</t>
        </is>
      </c>
      <c r="AA219" s="62" t="inlineStr">
        <is>
          <t>Adams Street Partners</t>
        </is>
      </c>
      <c r="AB219" s="63" t="inlineStr">
        <is>
          <t>Chicago, IL</t>
        </is>
      </c>
      <c r="AC219" s="64" t="inlineStr">
        <is>
          <t>Healthcare, Information Technology</t>
        </is>
      </c>
      <c r="AD219" s="65" t="inlineStr">
        <is>
          <t>Seed Round, Early Stage VC, Later Stage VC</t>
        </is>
      </c>
      <c r="AE219" s="66" t="inlineStr">
        <is>
          <t/>
        </is>
      </c>
      <c r="AF219" s="67" t="inlineStr">
        <is>
          <t>Adams Street</t>
        </is>
      </c>
      <c r="AG219" s="232">
        <f>HYPERLINK("https://my.pitchbook.com?i=11105-47", "View Investor Online")</f>
      </c>
    </row>
    <row r="220">
      <c r="A220" s="69" t="inlineStr">
        <is>
          <t>12554-29F</t>
        </is>
      </c>
      <c r="B220" s="70" t="inlineStr">
        <is>
          <t>Amadeus Asian Clean Energy Fund</t>
        </is>
      </c>
      <c r="C220" s="71" t="inlineStr">
        <is>
          <t/>
        </is>
      </c>
      <c r="D220" s="72" t="inlineStr">
        <is>
          <t>Venture Capital</t>
        </is>
      </c>
      <c r="E220" s="73" t="n">
        <v>56.8</v>
      </c>
      <c r="F220" s="74" t="inlineStr">
        <is>
          <t>Hong Kong, Hong Kong</t>
        </is>
      </c>
      <c r="G220" s="75" t="inlineStr">
        <is>
          <t/>
        </is>
      </c>
      <c r="H220" s="76" t="n">
        <v>2010.0</v>
      </c>
      <c r="I220" s="77" t="inlineStr">
        <is>
          <t/>
        </is>
      </c>
      <c r="J220" s="78" t="inlineStr">
        <is>
          <t/>
        </is>
      </c>
      <c r="K220" s="79" t="inlineStr">
        <is>
          <t/>
        </is>
      </c>
      <c r="L220" s="80" t="inlineStr">
        <is>
          <t/>
        </is>
      </c>
      <c r="M220" s="81" t="n">
        <v>4.189203897435897</v>
      </c>
      <c r="N220" s="82" t="n">
        <v>-42.84</v>
      </c>
      <c r="O220" s="83" t="inlineStr">
        <is>
          <t/>
        </is>
      </c>
      <c r="P220" s="84" t="inlineStr">
        <is>
          <t/>
        </is>
      </c>
      <c r="Q220" s="85" t="inlineStr">
        <is>
          <t/>
        </is>
      </c>
      <c r="R220" s="86" t="inlineStr">
        <is>
          <t/>
        </is>
      </c>
      <c r="S220" s="87" t="inlineStr">
        <is>
          <t/>
        </is>
      </c>
      <c r="T220" s="88" t="inlineStr">
        <is>
          <t/>
        </is>
      </c>
      <c r="U220" s="89" t="inlineStr">
        <is>
          <t/>
        </is>
      </c>
      <c r="V220" s="90" t="inlineStr">
        <is>
          <t/>
        </is>
      </c>
      <c r="W220" s="91" t="inlineStr">
        <is>
          <t/>
        </is>
      </c>
      <c r="X220" s="92" t="inlineStr">
        <is>
          <t>LP Original Commitments</t>
        </is>
      </c>
      <c r="Y220" s="93" t="inlineStr">
        <is>
          <t>2012 Y</t>
        </is>
      </c>
      <c r="Z220" s="94" t="inlineStr">
        <is>
          <t>0 - 99M</t>
        </is>
      </c>
      <c r="AA220" s="95" t="inlineStr">
        <is>
          <t>Dongpo Capital</t>
        </is>
      </c>
      <c r="AB220" s="96" t="inlineStr">
        <is>
          <t>Shaftesbury, United Kingdom</t>
        </is>
      </c>
      <c r="AC220" s="97" t="inlineStr">
        <is>
          <t>Energy</t>
        </is>
      </c>
      <c r="AD220" s="98" t="inlineStr">
        <is>
          <t>Seed Round, Early Stage VC, Later Stage VC</t>
        </is>
      </c>
      <c r="AE220" s="99" t="inlineStr">
        <is>
          <t>Asia</t>
        </is>
      </c>
      <c r="AF220" s="100" t="inlineStr">
        <is>
          <t>SIFEM</t>
        </is>
      </c>
      <c r="AG220" s="233">
        <f>HYPERLINK("https://my.pitchbook.com?i=155073-07", "View Investor Online")</f>
      </c>
    </row>
    <row r="221">
      <c r="A221" s="36" t="inlineStr">
        <is>
          <t>14966-56F</t>
        </is>
      </c>
      <c r="B221" s="37" t="inlineStr">
        <is>
          <t>AppWorks Fund II</t>
        </is>
      </c>
      <c r="C221" s="38" t="inlineStr">
        <is>
          <t/>
        </is>
      </c>
      <c r="D221" s="39" t="inlineStr">
        <is>
          <t>Venture Capital</t>
        </is>
      </c>
      <c r="E221" s="40" t="n">
        <v>50.0</v>
      </c>
      <c r="F221" s="41" t="inlineStr">
        <is>
          <t>Taipei, Taiwan</t>
        </is>
      </c>
      <c r="G221" s="42" t="inlineStr">
        <is>
          <t/>
        </is>
      </c>
      <c r="H221" s="43" t="n">
        <v>2015.0</v>
      </c>
      <c r="I221" s="44" t="inlineStr">
        <is>
          <t/>
        </is>
      </c>
      <c r="J221" s="45" t="inlineStr">
        <is>
          <t/>
        </is>
      </c>
      <c r="K221" s="46" t="inlineStr">
        <is>
          <t/>
        </is>
      </c>
      <c r="L221" s="47" t="inlineStr">
        <is>
          <t/>
        </is>
      </c>
      <c r="M221" s="48" t="inlineStr">
        <is>
          <t/>
        </is>
      </c>
      <c r="N221" s="49" t="inlineStr">
        <is>
          <t/>
        </is>
      </c>
      <c r="O221" s="50" t="inlineStr">
        <is>
          <t/>
        </is>
      </c>
      <c r="P221" s="51" t="inlineStr">
        <is>
          <t/>
        </is>
      </c>
      <c r="Q221" s="52" t="inlineStr">
        <is>
          <t/>
        </is>
      </c>
      <c r="R221" s="53" t="inlineStr">
        <is>
          <t/>
        </is>
      </c>
      <c r="S221" s="54" t="n">
        <v>0.23</v>
      </c>
      <c r="T221" s="55" t="inlineStr">
        <is>
          <t/>
        </is>
      </c>
      <c r="U221" s="56" t="inlineStr">
        <is>
          <t/>
        </is>
      </c>
      <c r="V221" s="57" t="inlineStr">
        <is>
          <t/>
        </is>
      </c>
      <c r="W221" s="58" t="inlineStr">
        <is>
          <t/>
        </is>
      </c>
      <c r="X221" s="59" t="inlineStr">
        <is>
          <t>LP Original Commitments</t>
        </is>
      </c>
      <c r="Y221" s="60" t="inlineStr">
        <is>
          <t>2018 Y</t>
        </is>
      </c>
      <c r="Z221" s="61" t="inlineStr">
        <is>
          <t>0 - 99M</t>
        </is>
      </c>
      <c r="AA221" s="62" t="inlineStr">
        <is>
          <t>AppWorks</t>
        </is>
      </c>
      <c r="AB221" s="63" t="inlineStr">
        <is>
          <t>Taipei, Taiwan</t>
        </is>
      </c>
      <c r="AC221" s="64" t="inlineStr">
        <is>
          <t>Internet Software</t>
        </is>
      </c>
      <c r="AD221" s="65" t="inlineStr">
        <is>
          <t>Seed Round, Early Stage VC, Later Stage VC</t>
        </is>
      </c>
      <c r="AE221" s="66" t="inlineStr">
        <is>
          <t/>
        </is>
      </c>
      <c r="AF221" s="67" t="inlineStr">
        <is>
          <t>NDF</t>
        </is>
      </c>
      <c r="AG221" s="232">
        <f>HYPERLINK("https://my.pitchbook.com?i=57722-68", "View Investor Online")</f>
      </c>
    </row>
    <row r="222">
      <c r="A222" s="69" t="inlineStr">
        <is>
          <t>16385-23F</t>
        </is>
      </c>
      <c r="B222" s="70" t="inlineStr">
        <is>
          <t>Armory Square Ventures II</t>
        </is>
      </c>
      <c r="C222" s="71" t="inlineStr">
        <is>
          <t/>
        </is>
      </c>
      <c r="D222" s="72" t="inlineStr">
        <is>
          <t>Venture Capital</t>
        </is>
      </c>
      <c r="E222" s="73" t="n">
        <v>31.0</v>
      </c>
      <c r="F222" s="74" t="inlineStr">
        <is>
          <t>Syracuse, NY</t>
        </is>
      </c>
      <c r="G222" s="75" t="inlineStr">
        <is>
          <t/>
        </is>
      </c>
      <c r="H222" s="76" t="n">
        <v>2019.0</v>
      </c>
      <c r="I222" s="77" t="n">
        <v>0.0</v>
      </c>
      <c r="J222" s="78" t="n">
        <v>0.0</v>
      </c>
      <c r="K222" s="79" t="n">
        <v>29.295703479576403</v>
      </c>
      <c r="L222" s="80" t="n">
        <v>0.0</v>
      </c>
      <c r="M222" s="81" t="inlineStr">
        <is>
          <t/>
        </is>
      </c>
      <c r="N222" s="82" t="inlineStr">
        <is>
          <t/>
        </is>
      </c>
      <c r="O222" s="83" t="inlineStr">
        <is>
          <t/>
        </is>
      </c>
      <c r="P222" s="84" t="inlineStr">
        <is>
          <t/>
        </is>
      </c>
      <c r="Q222" s="85" t="n">
        <v>0.0</v>
      </c>
      <c r="R222" s="86" t="n">
        <v>0.0</v>
      </c>
      <c r="S222" s="87" t="inlineStr">
        <is>
          <t/>
        </is>
      </c>
      <c r="T222" s="88" t="inlineStr">
        <is>
          <t/>
        </is>
      </c>
      <c r="U222" s="89" t="inlineStr">
        <is>
          <t/>
        </is>
      </c>
      <c r="V222" s="90" t="inlineStr">
        <is>
          <t/>
        </is>
      </c>
      <c r="W222" s="91" t="inlineStr">
        <is>
          <t/>
        </is>
      </c>
      <c r="X222" s="92" t="inlineStr">
        <is>
          <t>LP Original Commitments</t>
        </is>
      </c>
      <c r="Y222" s="93" t="inlineStr">
        <is>
          <t>2019 Y</t>
        </is>
      </c>
      <c r="Z222" s="94" t="inlineStr">
        <is>
          <t>0 - 99M</t>
        </is>
      </c>
      <c r="AA222" s="95" t="inlineStr">
        <is>
          <t>Armory Square Ventures</t>
        </is>
      </c>
      <c r="AB222" s="96" t="inlineStr">
        <is>
          <t>Syracuse, NY</t>
        </is>
      </c>
      <c r="AC222" s="97" t="inlineStr">
        <is>
          <t/>
        </is>
      </c>
      <c r="AD222" s="98" t="inlineStr">
        <is>
          <t>Early Stage VC, Seed Round</t>
        </is>
      </c>
      <c r="AE222" s="99" t="inlineStr">
        <is>
          <t/>
        </is>
      </c>
      <c r="AF222" s="100" t="inlineStr">
        <is>
          <t>NYSCRF</t>
        </is>
      </c>
      <c r="AG222" s="233">
        <f>HYPERLINK("https://my.pitchbook.com?i=59938-66", "View Investor Online")</f>
      </c>
    </row>
    <row r="223">
      <c r="A223" s="36" t="inlineStr">
        <is>
          <t>13498-30F</t>
        </is>
      </c>
      <c r="B223" s="37" t="inlineStr">
        <is>
          <t>Arsenal Venture Partners II</t>
        </is>
      </c>
      <c r="C223" s="38" t="inlineStr">
        <is>
          <t/>
        </is>
      </c>
      <c r="D223" s="39" t="inlineStr">
        <is>
          <t>Venture Capital</t>
        </is>
      </c>
      <c r="E223" s="40" t="n">
        <v>78.5</v>
      </c>
      <c r="F223" s="41" t="inlineStr">
        <is>
          <t>Winter Park, FL</t>
        </is>
      </c>
      <c r="G223" s="42" t="inlineStr">
        <is>
          <t/>
        </is>
      </c>
      <c r="H223" s="43" t="n">
        <v>2012.0</v>
      </c>
      <c r="I223" s="44" t="n">
        <v>94.00703999999999</v>
      </c>
      <c r="J223" s="45" t="n">
        <v>73.7955264</v>
      </c>
      <c r="K223" s="46" t="n">
        <v>0.0</v>
      </c>
      <c r="L223" s="47" t="inlineStr">
        <is>
          <t/>
        </is>
      </c>
      <c r="M223" s="48" t="n">
        <v>118.1159042</v>
      </c>
      <c r="N223" s="49" t="inlineStr">
        <is>
          <t/>
        </is>
      </c>
      <c r="O223" s="50" t="inlineStr">
        <is>
          <t/>
        </is>
      </c>
      <c r="P223" s="51" t="inlineStr">
        <is>
          <t/>
        </is>
      </c>
      <c r="Q223" s="52" t="inlineStr">
        <is>
          <t/>
        </is>
      </c>
      <c r="R223" s="53" t="inlineStr">
        <is>
          <t/>
        </is>
      </c>
      <c r="S223" s="54" t="n">
        <v>1.6</v>
      </c>
      <c r="T223" s="55" t="n">
        <v>0.4699</v>
      </c>
      <c r="U223" s="56" t="inlineStr">
        <is>
          <t/>
        </is>
      </c>
      <c r="V223" s="57" t="inlineStr">
        <is>
          <t/>
        </is>
      </c>
      <c r="W223" s="58" t="inlineStr">
        <is>
          <t/>
        </is>
      </c>
      <c r="X223" s="59" t="inlineStr">
        <is>
          <t>LP Original Commitments</t>
        </is>
      </c>
      <c r="Y223" s="60" t="inlineStr">
        <is>
          <t>2019 Y</t>
        </is>
      </c>
      <c r="Z223" s="61" t="inlineStr">
        <is>
          <t>0 - 99M</t>
        </is>
      </c>
      <c r="AA223" s="62" t="inlineStr">
        <is>
          <t>Arsenal Growth</t>
        </is>
      </c>
      <c r="AB223" s="63" t="inlineStr">
        <is>
          <t>Winter Park, FL</t>
        </is>
      </c>
      <c r="AC223" s="64" t="inlineStr">
        <is>
          <t>Software</t>
        </is>
      </c>
      <c r="AD223" s="65" t="inlineStr">
        <is>
          <t>Seed Round, Early Stage VC, Later Stage VC</t>
        </is>
      </c>
      <c r="AE223" s="66" t="inlineStr">
        <is>
          <t/>
        </is>
      </c>
      <c r="AF223" s="67" t="inlineStr">
        <is>
          <t>HIERS</t>
        </is>
      </c>
      <c r="AG223" s="232">
        <f>HYPERLINK("https://my.pitchbook.com?i=49778-47", "View Investor Online")</f>
      </c>
    </row>
    <row r="224">
      <c r="A224" s="69" t="inlineStr">
        <is>
          <t>16202-35F</t>
        </is>
      </c>
      <c r="B224" s="70" t="inlineStr">
        <is>
          <t>Aster VI</t>
        </is>
      </c>
      <c r="C224" s="71" t="inlineStr">
        <is>
          <t/>
        </is>
      </c>
      <c r="D224" s="72" t="inlineStr">
        <is>
          <t>Venture Capital</t>
        </is>
      </c>
      <c r="E224" s="73" t="n">
        <v>45.41379</v>
      </c>
      <c r="F224" s="74" t="inlineStr">
        <is>
          <t>Paris, France</t>
        </is>
      </c>
      <c r="G224" s="75" t="inlineStr">
        <is>
          <t/>
        </is>
      </c>
      <c r="H224" s="76" t="n">
        <v>2017.0</v>
      </c>
      <c r="I224" s="77" t="n">
        <v>7.5</v>
      </c>
      <c r="J224" s="78" t="n">
        <v>3.4060345091847504</v>
      </c>
      <c r="K224" s="79" t="n">
        <v>29.956665865562808</v>
      </c>
      <c r="L224" s="80" t="n">
        <v>0.0</v>
      </c>
      <c r="M224" s="81" t="inlineStr">
        <is>
          <t/>
        </is>
      </c>
      <c r="N224" s="82" t="inlineStr">
        <is>
          <t/>
        </is>
      </c>
      <c r="O224" s="83" t="inlineStr">
        <is>
          <t/>
        </is>
      </c>
      <c r="P224" s="84" t="inlineStr">
        <is>
          <t/>
        </is>
      </c>
      <c r="Q224" s="85" t="n">
        <v>0.0</v>
      </c>
      <c r="R224" s="86" t="inlineStr">
        <is>
          <t/>
        </is>
      </c>
      <c r="S224" s="87" t="inlineStr">
        <is>
          <t/>
        </is>
      </c>
      <c r="T224" s="88" t="inlineStr">
        <is>
          <t/>
        </is>
      </c>
      <c r="U224" s="89" t="inlineStr">
        <is>
          <t/>
        </is>
      </c>
      <c r="V224" s="90" t="inlineStr">
        <is>
          <t/>
        </is>
      </c>
      <c r="W224" s="91" t="inlineStr">
        <is>
          <t/>
        </is>
      </c>
      <c r="X224" s="92" t="inlineStr">
        <is>
          <t>GP Self Reporting</t>
        </is>
      </c>
      <c r="Y224" s="93" t="inlineStr">
        <is>
          <t>2017 Y</t>
        </is>
      </c>
      <c r="Z224" s="94" t="inlineStr">
        <is>
          <t>0 - 99M</t>
        </is>
      </c>
      <c r="AA224" s="95" t="inlineStr">
        <is>
          <t>Aster Capital</t>
        </is>
      </c>
      <c r="AB224" s="96" t="inlineStr">
        <is>
          <t>Paris, France</t>
        </is>
      </c>
      <c r="AC224" s="97" t="inlineStr">
        <is>
          <t>Commercial Transportation, Transportation, Energy</t>
        </is>
      </c>
      <c r="AD224" s="98" t="inlineStr">
        <is>
          <t>Seed Round, Early Stage VC, Later Stage VC</t>
        </is>
      </c>
      <c r="AE224" s="99" t="inlineStr">
        <is>
          <t/>
        </is>
      </c>
      <c r="AF224" s="100" t="inlineStr">
        <is>
          <t>Aster</t>
        </is>
      </c>
      <c r="AG224" s="233">
        <f>HYPERLINK("https://my.pitchbook.com?i=42463-99", "View Investor Online")</f>
      </c>
    </row>
    <row r="225">
      <c r="A225" s="36" t="inlineStr">
        <is>
          <t>12651-94F</t>
        </is>
      </c>
      <c r="B225" s="37" t="inlineStr">
        <is>
          <t>Azure Capital Partners III</t>
        </is>
      </c>
      <c r="C225" s="38" t="inlineStr">
        <is>
          <t/>
        </is>
      </c>
      <c r="D225" s="39" t="inlineStr">
        <is>
          <t>Venture Capital</t>
        </is>
      </c>
      <c r="E225" s="40" t="n">
        <v>100.0</v>
      </c>
      <c r="F225" s="41" t="inlineStr">
        <is>
          <t>San Francisco, CA</t>
        </is>
      </c>
      <c r="G225" s="42" t="inlineStr">
        <is>
          <t/>
        </is>
      </c>
      <c r="H225" s="43" t="n">
        <v>2011.0</v>
      </c>
      <c r="I225" s="44" t="n">
        <v>95.33</v>
      </c>
      <c r="J225" s="45" t="n">
        <v>95.33</v>
      </c>
      <c r="K225" s="46" t="n">
        <v>4.69233086186995</v>
      </c>
      <c r="L225" s="47" t="inlineStr">
        <is>
          <t/>
        </is>
      </c>
      <c r="M225" s="48" t="n">
        <v>106.4346</v>
      </c>
      <c r="N225" s="49" t="inlineStr">
        <is>
          <t/>
        </is>
      </c>
      <c r="O225" s="50" t="inlineStr">
        <is>
          <t/>
        </is>
      </c>
      <c r="P225" s="51" t="inlineStr">
        <is>
          <t/>
        </is>
      </c>
      <c r="Q225" s="52" t="inlineStr">
        <is>
          <t/>
        </is>
      </c>
      <c r="R225" s="53" t="inlineStr">
        <is>
          <t/>
        </is>
      </c>
      <c r="S225" s="54" t="n">
        <v>1.12</v>
      </c>
      <c r="T225" s="55" t="n">
        <v>0.040000000000000036</v>
      </c>
      <c r="U225" s="56" t="inlineStr">
        <is>
          <t/>
        </is>
      </c>
      <c r="V225" s="57" t="inlineStr">
        <is>
          <t/>
        </is>
      </c>
      <c r="W225" s="58" t="inlineStr">
        <is>
          <t/>
        </is>
      </c>
      <c r="X225" s="59" t="inlineStr">
        <is>
          <t>LP Original Commitments</t>
        </is>
      </c>
      <c r="Y225" s="60" t="inlineStr">
        <is>
          <t>2019 Y</t>
        </is>
      </c>
      <c r="Z225" s="61" t="inlineStr">
        <is>
          <t>100M - 249M</t>
        </is>
      </c>
      <c r="AA225" s="62" t="inlineStr">
        <is>
          <t>Azure Capital Partners</t>
        </is>
      </c>
      <c r="AB225" s="63" t="inlineStr">
        <is>
          <t>San Francisco, CA</t>
        </is>
      </c>
      <c r="AC225" s="64" t="inlineStr">
        <is>
          <t>Software</t>
        </is>
      </c>
      <c r="AD225" s="65" t="inlineStr">
        <is>
          <t>Seed Round, Early Stage VC, Later Stage VC</t>
        </is>
      </c>
      <c r="AE225" s="66" t="inlineStr">
        <is>
          <t>North America</t>
        </is>
      </c>
      <c r="AF225" s="67" t="inlineStr">
        <is>
          <t>HIERS</t>
        </is>
      </c>
      <c r="AG225" s="232">
        <f>HYPERLINK("https://my.pitchbook.com?i=11118-97", "View Investor Online")</f>
      </c>
    </row>
    <row r="226">
      <c r="A226" s="69" t="inlineStr">
        <is>
          <t>16539-49F</t>
        </is>
      </c>
      <c r="B226" s="70" t="inlineStr">
        <is>
          <t>BRV Aster Fund III</t>
        </is>
      </c>
      <c r="C226" s="71" t="inlineStr">
        <is>
          <t/>
        </is>
      </c>
      <c r="D226" s="72" t="inlineStr">
        <is>
          <t>Venture Capital</t>
        </is>
      </c>
      <c r="E226" s="73" t="n">
        <v>50.0</v>
      </c>
      <c r="F226" s="74" t="inlineStr">
        <is>
          <t>Beijing, China</t>
        </is>
      </c>
      <c r="G226" s="75" t="inlineStr">
        <is>
          <t/>
        </is>
      </c>
      <c r="H226" s="76" t="n">
        <v>2019.0</v>
      </c>
      <c r="I226" s="77" t="n">
        <v>0.0</v>
      </c>
      <c r="J226" s="78" t="n">
        <v>0.0</v>
      </c>
      <c r="K226" s="79" t="n">
        <v>50.0</v>
      </c>
      <c r="L226" s="80" t="n">
        <v>0.0</v>
      </c>
      <c r="M226" s="81" t="inlineStr">
        <is>
          <t/>
        </is>
      </c>
      <c r="N226" s="82" t="inlineStr">
        <is>
          <t/>
        </is>
      </c>
      <c r="O226" s="83" t="inlineStr">
        <is>
          <t/>
        </is>
      </c>
      <c r="P226" s="84" t="inlineStr">
        <is>
          <t/>
        </is>
      </c>
      <c r="Q226" s="85" t="n">
        <v>0.0</v>
      </c>
      <c r="R226" s="86" t="inlineStr">
        <is>
          <t/>
        </is>
      </c>
      <c r="S226" s="87" t="inlineStr">
        <is>
          <t/>
        </is>
      </c>
      <c r="T226" s="88" t="inlineStr">
        <is>
          <t/>
        </is>
      </c>
      <c r="U226" s="89" t="inlineStr">
        <is>
          <t/>
        </is>
      </c>
      <c r="V226" s="90" t="inlineStr">
        <is>
          <t/>
        </is>
      </c>
      <c r="W226" s="91" t="inlineStr">
        <is>
          <t/>
        </is>
      </c>
      <c r="X226" s="92" t="inlineStr">
        <is>
          <t>LP Original Commitments</t>
        </is>
      </c>
      <c r="Y226" s="93" t="inlineStr">
        <is>
          <t>2019 Y</t>
        </is>
      </c>
      <c r="Z226" s="94" t="inlineStr">
        <is>
          <t>0 - 99M</t>
        </is>
      </c>
      <c r="AA226" s="95" t="inlineStr">
        <is>
          <t>BRV Aster and Lotus</t>
        </is>
      </c>
      <c r="AB226" s="96" t="inlineStr">
        <is>
          <t>Beijing, China</t>
        </is>
      </c>
      <c r="AC226" s="97" t="inlineStr">
        <is>
          <t>Software, Energy Services</t>
        </is>
      </c>
      <c r="AD226" s="98" t="inlineStr">
        <is>
          <t>Seed Round, Early Stage VC, Later Stage VC</t>
        </is>
      </c>
      <c r="AE226" s="99" t="inlineStr">
        <is>
          <t/>
        </is>
      </c>
      <c r="AF226" s="100" t="inlineStr">
        <is>
          <t>LACERA, TPSF</t>
        </is>
      </c>
      <c r="AG226" s="233">
        <f>HYPERLINK("https://my.pitchbook.com?i=166993-48", "View Investor Online")</f>
      </c>
    </row>
    <row r="227">
      <c r="A227" s="36" t="inlineStr">
        <is>
          <t>16748-11F</t>
        </is>
      </c>
      <c r="B227" s="37" t="inlineStr">
        <is>
          <t>BRV Aster Opportunity Fund II</t>
        </is>
      </c>
      <c r="C227" s="38" t="inlineStr">
        <is>
          <t/>
        </is>
      </c>
      <c r="D227" s="39" t="inlineStr">
        <is>
          <t>Venture Capital</t>
        </is>
      </c>
      <c r="E227" s="40" t="n">
        <v>25.0</v>
      </c>
      <c r="F227" s="41" t="inlineStr">
        <is>
          <t>Menlo Park, CA</t>
        </is>
      </c>
      <c r="G227" s="42" t="inlineStr">
        <is>
          <t/>
        </is>
      </c>
      <c r="H227" s="43" t="n">
        <v>2019.0</v>
      </c>
      <c r="I227" s="44" t="n">
        <v>0.0</v>
      </c>
      <c r="J227" s="45" t="n">
        <v>0.0</v>
      </c>
      <c r="K227" s="46" t="n">
        <v>23.625567322239036</v>
      </c>
      <c r="L227" s="47" t="n">
        <v>0.0</v>
      </c>
      <c r="M227" s="48" t="inlineStr">
        <is>
          <t/>
        </is>
      </c>
      <c r="N227" s="49" t="inlineStr">
        <is>
          <t/>
        </is>
      </c>
      <c r="O227" s="50" t="inlineStr">
        <is>
          <t/>
        </is>
      </c>
      <c r="P227" s="51" t="inlineStr">
        <is>
          <t/>
        </is>
      </c>
      <c r="Q227" s="52" t="n">
        <v>0.0</v>
      </c>
      <c r="R227" s="53" t="n">
        <v>0.0</v>
      </c>
      <c r="S227" s="54" t="inlineStr">
        <is>
          <t/>
        </is>
      </c>
      <c r="T227" s="55" t="inlineStr">
        <is>
          <t/>
        </is>
      </c>
      <c r="U227" s="56" t="inlineStr">
        <is>
          <t/>
        </is>
      </c>
      <c r="V227" s="57" t="inlineStr">
        <is>
          <t/>
        </is>
      </c>
      <c r="W227" s="58" t="inlineStr">
        <is>
          <t/>
        </is>
      </c>
      <c r="X227" s="59" t="inlineStr">
        <is>
          <t>LP Original Commitments</t>
        </is>
      </c>
      <c r="Y227" s="60" t="inlineStr">
        <is>
          <t>2019 Y</t>
        </is>
      </c>
      <c r="Z227" s="61" t="inlineStr">
        <is>
          <t>0 - 99M</t>
        </is>
      </c>
      <c r="AA227" s="62" t="inlineStr">
        <is>
          <t>BlueRun Ventures</t>
        </is>
      </c>
      <c r="AB227" s="63" t="inlineStr">
        <is>
          <t>Menlo Park, CA</t>
        </is>
      </c>
      <c r="AC227" s="64" t="inlineStr">
        <is>
          <t/>
        </is>
      </c>
      <c r="AD227" s="65" t="inlineStr">
        <is>
          <t>Seed Round, Early Stage VC, Later Stage VC</t>
        </is>
      </c>
      <c r="AE227" s="66" t="inlineStr">
        <is>
          <t/>
        </is>
      </c>
      <c r="AF227" s="67" t="inlineStr">
        <is>
          <t>LACERA, TPSF</t>
        </is>
      </c>
      <c r="AG227" s="232">
        <f>HYPERLINK("https://my.pitchbook.com?i=11255-59", "View Investor Online")</f>
      </c>
    </row>
    <row r="228">
      <c r="A228" s="69" t="inlineStr">
        <is>
          <t>15123-52F</t>
        </is>
      </c>
      <c r="B228" s="70" t="inlineStr">
        <is>
          <t>BRV Opportunities Fund</t>
        </is>
      </c>
      <c r="C228" s="71" t="inlineStr">
        <is>
          <t/>
        </is>
      </c>
      <c r="D228" s="72" t="inlineStr">
        <is>
          <t>Venture Capital</t>
        </is>
      </c>
      <c r="E228" s="73" t="n">
        <v>20.0</v>
      </c>
      <c r="F228" s="74" t="inlineStr">
        <is>
          <t>Menlo Park, CA</t>
        </is>
      </c>
      <c r="G228" s="75" t="n">
        <v>3.0</v>
      </c>
      <c r="H228" s="76" t="n">
        <v>2015.0</v>
      </c>
      <c r="I228" s="77" t="n">
        <v>90.99999520444378</v>
      </c>
      <c r="J228" s="78" t="n">
        <v>18.19999904088876</v>
      </c>
      <c r="K228" s="79" t="n">
        <v>0.8758068282327968</v>
      </c>
      <c r="L228" s="80" t="n">
        <v>2.080644286666546</v>
      </c>
      <c r="M228" s="81" t="inlineStr">
        <is>
          <t/>
        </is>
      </c>
      <c r="N228" s="82" t="n">
        <v>10.85</v>
      </c>
      <c r="O228" s="83" t="inlineStr">
        <is>
          <t/>
        </is>
      </c>
      <c r="P228" s="84" t="n">
        <v>-4.15</v>
      </c>
      <c r="Q228" s="85" t="n">
        <v>0.11</v>
      </c>
      <c r="R228" s="86" t="n">
        <v>-0.009999999999999995</v>
      </c>
      <c r="S228" s="87" t="inlineStr">
        <is>
          <t/>
        </is>
      </c>
      <c r="T228" s="88" t="inlineStr">
        <is>
          <t/>
        </is>
      </c>
      <c r="U228" s="89" t="inlineStr">
        <is>
          <t/>
        </is>
      </c>
      <c r="V228" s="90" t="inlineStr">
        <is>
          <t/>
        </is>
      </c>
      <c r="W228" s="91" t="inlineStr">
        <is>
          <t/>
        </is>
      </c>
      <c r="X228" s="92" t="inlineStr">
        <is>
          <t>LP Original Commitments</t>
        </is>
      </c>
      <c r="Y228" s="93" t="inlineStr">
        <is>
          <t>2019 Y</t>
        </is>
      </c>
      <c r="Z228" s="94" t="inlineStr">
        <is>
          <t>0 - 99M</t>
        </is>
      </c>
      <c r="AA228" s="95" t="inlineStr">
        <is>
          <t>BlueRun Ventures</t>
        </is>
      </c>
      <c r="AB228" s="96" t="inlineStr">
        <is>
          <t>Menlo Park, CA</t>
        </is>
      </c>
      <c r="AC228" s="97" t="inlineStr">
        <is>
          <t>Software</t>
        </is>
      </c>
      <c r="AD228" s="98" t="inlineStr">
        <is>
          <t>Seed Round, Early Stage VC, Later Stage VC</t>
        </is>
      </c>
      <c r="AE228" s="99" t="inlineStr">
        <is>
          <t/>
        </is>
      </c>
      <c r="AF228" s="100" t="inlineStr">
        <is>
          <t>CalSTRS</t>
        </is>
      </c>
      <c r="AG228" s="233">
        <f>HYPERLINK("https://my.pitchbook.com?i=11255-59", "View Investor Online")</f>
      </c>
    </row>
    <row r="229">
      <c r="A229" s="36" t="inlineStr">
        <is>
          <t>12977-02F</t>
        </is>
      </c>
      <c r="B229" s="37" t="inlineStr">
        <is>
          <t>Cervin Ventures Fund II</t>
        </is>
      </c>
      <c r="C229" s="38" t="inlineStr">
        <is>
          <t/>
        </is>
      </c>
      <c r="D229" s="39" t="inlineStr">
        <is>
          <t>Venture Capital</t>
        </is>
      </c>
      <c r="E229" s="40" t="n">
        <v>20.85</v>
      </c>
      <c r="F229" s="41" t="inlineStr">
        <is>
          <t>Palo Alto, CA</t>
        </is>
      </c>
      <c r="G229" s="42" t="inlineStr">
        <is>
          <t/>
        </is>
      </c>
      <c r="H229" s="43" t="n">
        <v>2012.0</v>
      </c>
      <c r="I229" s="44" t="n">
        <v>95.41295443645083</v>
      </c>
      <c r="J229" s="45" t="n">
        <v>19.893601</v>
      </c>
      <c r="K229" s="46" t="n">
        <v>0.956399</v>
      </c>
      <c r="L229" s="47" t="n">
        <v>24.544397</v>
      </c>
      <c r="M229" s="48" t="inlineStr">
        <is>
          <t/>
        </is>
      </c>
      <c r="N229" s="49" t="inlineStr">
        <is>
          <t/>
        </is>
      </c>
      <c r="O229" s="50" t="inlineStr">
        <is>
          <t/>
        </is>
      </c>
      <c r="P229" s="51" t="inlineStr">
        <is>
          <t/>
        </is>
      </c>
      <c r="Q229" s="52" t="n">
        <v>1.23</v>
      </c>
      <c r="R229" s="53" t="n">
        <v>0.74808</v>
      </c>
      <c r="S229" s="54" t="inlineStr">
        <is>
          <t/>
        </is>
      </c>
      <c r="T229" s="55" t="inlineStr">
        <is>
          <t/>
        </is>
      </c>
      <c r="U229" s="56" t="inlineStr">
        <is>
          <t/>
        </is>
      </c>
      <c r="V229" s="57" t="inlineStr">
        <is>
          <t/>
        </is>
      </c>
      <c r="W229" s="58" t="inlineStr">
        <is>
          <t/>
        </is>
      </c>
      <c r="X229" s="59" t="inlineStr">
        <is>
          <t>GP Self Reporting</t>
        </is>
      </c>
      <c r="Y229" s="60" t="inlineStr">
        <is>
          <t>2020 Y</t>
        </is>
      </c>
      <c r="Z229" s="61" t="inlineStr">
        <is>
          <t>0 - 99M</t>
        </is>
      </c>
      <c r="AA229" s="62" t="inlineStr">
        <is>
          <t>Cervin Ventures</t>
        </is>
      </c>
      <c r="AB229" s="63" t="inlineStr">
        <is>
          <t>Palo Alto, CA</t>
        </is>
      </c>
      <c r="AC229" s="64" t="inlineStr">
        <is>
          <t>Software</t>
        </is>
      </c>
      <c r="AD229" s="65" t="inlineStr">
        <is>
          <t>Seed Round, Early Stage VC, Later Stage VC</t>
        </is>
      </c>
      <c r="AE229" s="66" t="inlineStr">
        <is>
          <t/>
        </is>
      </c>
      <c r="AF229" s="67" t="inlineStr">
        <is>
          <t>Cervin</t>
        </is>
      </c>
      <c r="AG229" s="232">
        <f>HYPERLINK("https://my.pitchbook.com?i=51552-19", "View Investor Online")</f>
      </c>
    </row>
    <row r="230">
      <c r="A230" s="69" t="inlineStr">
        <is>
          <t>14785-84F</t>
        </is>
      </c>
      <c r="B230" s="70" t="inlineStr">
        <is>
          <t>Cervin Ventures Fund III</t>
        </is>
      </c>
      <c r="C230" s="71" t="inlineStr">
        <is>
          <t/>
        </is>
      </c>
      <c r="D230" s="72" t="inlineStr">
        <is>
          <t>Venture Capital</t>
        </is>
      </c>
      <c r="E230" s="73" t="n">
        <v>56.53</v>
      </c>
      <c r="F230" s="74" t="inlineStr">
        <is>
          <t>Palo Alto, CA</t>
        </is>
      </c>
      <c r="G230" s="75" t="inlineStr">
        <is>
          <t/>
        </is>
      </c>
      <c r="H230" s="76" t="n">
        <v>2015.0</v>
      </c>
      <c r="I230" s="77" t="n">
        <v>91.24193171767203</v>
      </c>
      <c r="J230" s="78" t="n">
        <v>51.579064</v>
      </c>
      <c r="K230" s="79" t="n">
        <v>4.950936</v>
      </c>
      <c r="L230" s="80" t="n">
        <v>0.0</v>
      </c>
      <c r="M230" s="81" t="inlineStr">
        <is>
          <t/>
        </is>
      </c>
      <c r="N230" s="82" t="inlineStr">
        <is>
          <t/>
        </is>
      </c>
      <c r="O230" s="83" t="inlineStr">
        <is>
          <t/>
        </is>
      </c>
      <c r="P230" s="84" t="inlineStr">
        <is>
          <t/>
        </is>
      </c>
      <c r="Q230" s="85" t="n">
        <v>0.0</v>
      </c>
      <c r="R230" s="86" t="n">
        <v>-0.12</v>
      </c>
      <c r="S230" s="87" t="inlineStr">
        <is>
          <t/>
        </is>
      </c>
      <c r="T230" s="88" t="inlineStr">
        <is>
          <t/>
        </is>
      </c>
      <c r="U230" s="89" t="inlineStr">
        <is>
          <t/>
        </is>
      </c>
      <c r="V230" s="90" t="inlineStr">
        <is>
          <t/>
        </is>
      </c>
      <c r="W230" s="91" t="inlineStr">
        <is>
          <t/>
        </is>
      </c>
      <c r="X230" s="92" t="inlineStr">
        <is>
          <t>GP Self Reporting</t>
        </is>
      </c>
      <c r="Y230" s="93" t="inlineStr">
        <is>
          <t>2020 Y</t>
        </is>
      </c>
      <c r="Z230" s="94" t="inlineStr">
        <is>
          <t>0 - 99M</t>
        </is>
      </c>
      <c r="AA230" s="95" t="inlineStr">
        <is>
          <t>Cervin Ventures</t>
        </is>
      </c>
      <c r="AB230" s="96" t="inlineStr">
        <is>
          <t>Palo Alto, CA</t>
        </is>
      </c>
      <c r="AC230" s="97" t="inlineStr">
        <is>
          <t>Software</t>
        </is>
      </c>
      <c r="AD230" s="98" t="inlineStr">
        <is>
          <t>Seed Round</t>
        </is>
      </c>
      <c r="AE230" s="99" t="inlineStr">
        <is>
          <t/>
        </is>
      </c>
      <c r="AF230" s="100" t="inlineStr">
        <is>
          <t>Cervin</t>
        </is>
      </c>
      <c r="AG230" s="233">
        <f>HYPERLINK("https://my.pitchbook.com?i=51552-19", "View Investor Online")</f>
      </c>
    </row>
    <row r="231">
      <c r="A231" s="36" t="inlineStr">
        <is>
          <t>16334-47F</t>
        </is>
      </c>
      <c r="B231" s="37" t="inlineStr">
        <is>
          <t>Cervin Ventures Fund IV</t>
        </is>
      </c>
      <c r="C231" s="38" t="inlineStr">
        <is>
          <t/>
        </is>
      </c>
      <c r="D231" s="39" t="inlineStr">
        <is>
          <t>Venture Capital</t>
        </is>
      </c>
      <c r="E231" s="40" t="n">
        <v>78.06</v>
      </c>
      <c r="F231" s="41" t="inlineStr">
        <is>
          <t>Palo Alto, CA</t>
        </is>
      </c>
      <c r="G231" s="42" t="inlineStr">
        <is>
          <t/>
        </is>
      </c>
      <c r="H231" s="43" t="n">
        <v>2018.0</v>
      </c>
      <c r="I231" s="44" t="n">
        <v>42.020330769230775</v>
      </c>
      <c r="J231" s="45" t="n">
        <v>32.80107019846154</v>
      </c>
      <c r="K231" s="46" t="n">
        <v>78.06</v>
      </c>
      <c r="L231" s="47" t="n">
        <v>0.0</v>
      </c>
      <c r="M231" s="48" t="inlineStr">
        <is>
          <t/>
        </is>
      </c>
      <c r="N231" s="49" t="inlineStr">
        <is>
          <t/>
        </is>
      </c>
      <c r="O231" s="50" t="inlineStr">
        <is>
          <t/>
        </is>
      </c>
      <c r="P231" s="51" t="inlineStr">
        <is>
          <t/>
        </is>
      </c>
      <c r="Q231" s="52" t="n">
        <v>0.0</v>
      </c>
      <c r="R231" s="53" t="n">
        <v>0.0</v>
      </c>
      <c r="S231" s="54" t="inlineStr">
        <is>
          <t/>
        </is>
      </c>
      <c r="T231" s="55" t="inlineStr">
        <is>
          <t/>
        </is>
      </c>
      <c r="U231" s="56" t="inlineStr">
        <is>
          <t/>
        </is>
      </c>
      <c r="V231" s="57" t="inlineStr">
        <is>
          <t/>
        </is>
      </c>
      <c r="W231" s="58" t="inlineStr">
        <is>
          <t/>
        </is>
      </c>
      <c r="X231" s="59" t="inlineStr">
        <is>
          <t>GP Self Reporting</t>
        </is>
      </c>
      <c r="Y231" s="60" t="inlineStr">
        <is>
          <t>2020 Y</t>
        </is>
      </c>
      <c r="Z231" s="61" t="inlineStr">
        <is>
          <t>0 - 99M</t>
        </is>
      </c>
      <c r="AA231" s="62" t="inlineStr">
        <is>
          <t>Cervin Ventures</t>
        </is>
      </c>
      <c r="AB231" s="63" t="inlineStr">
        <is>
          <t>Palo Alto, CA</t>
        </is>
      </c>
      <c r="AC231" s="64" t="inlineStr">
        <is>
          <t>Software</t>
        </is>
      </c>
      <c r="AD231" s="65" t="inlineStr">
        <is>
          <t>Seed Round, Early Stage VC, Later Stage VC</t>
        </is>
      </c>
      <c r="AE231" s="66" t="inlineStr">
        <is>
          <t>United States</t>
        </is>
      </c>
      <c r="AF231" s="67" t="inlineStr">
        <is>
          <t>Cervin</t>
        </is>
      </c>
      <c r="AG231" s="232">
        <f>HYPERLINK("https://my.pitchbook.com?i=51552-19", "View Investor Online")</f>
      </c>
    </row>
    <row r="232">
      <c r="A232" s="69" t="inlineStr">
        <is>
          <t>13572-28F</t>
        </is>
      </c>
      <c r="B232" s="70" t="inlineStr">
        <is>
          <t>Cottonwood Technology Fund II</t>
        </is>
      </c>
      <c r="C232" s="71" t="inlineStr">
        <is>
          <t/>
        </is>
      </c>
      <c r="D232" s="72" t="inlineStr">
        <is>
          <t>Venture Capital - Early Stage</t>
        </is>
      </c>
      <c r="E232" s="73" t="n">
        <v>20.0</v>
      </c>
      <c r="F232" s="74" t="inlineStr">
        <is>
          <t>Enschede, Netherlands</t>
        </is>
      </c>
      <c r="G232" s="75" t="inlineStr">
        <is>
          <t/>
        </is>
      </c>
      <c r="H232" s="76" t="n">
        <v>2013.0</v>
      </c>
      <c r="I232" s="77" t="n">
        <v>100.0</v>
      </c>
      <c r="J232" s="78" t="n">
        <v>20.0</v>
      </c>
      <c r="K232" s="79" t="n">
        <v>0.0</v>
      </c>
      <c r="L232" s="80" t="inlineStr">
        <is>
          <t/>
        </is>
      </c>
      <c r="M232" s="81" t="n">
        <v>35.0</v>
      </c>
      <c r="N232" s="82" t="inlineStr">
        <is>
          <t/>
        </is>
      </c>
      <c r="O232" s="83" t="inlineStr">
        <is>
          <t/>
        </is>
      </c>
      <c r="P232" s="84" t="inlineStr">
        <is>
          <t/>
        </is>
      </c>
      <c r="Q232" s="85" t="inlineStr">
        <is>
          <t/>
        </is>
      </c>
      <c r="R232" s="86" t="inlineStr">
        <is>
          <t/>
        </is>
      </c>
      <c r="S232" s="87" t="n">
        <v>1.75</v>
      </c>
      <c r="T232" s="88" t="inlineStr">
        <is>
          <t/>
        </is>
      </c>
      <c r="U232" s="89" t="inlineStr">
        <is>
          <t/>
        </is>
      </c>
      <c r="V232" s="90" t="inlineStr">
        <is>
          <t/>
        </is>
      </c>
      <c r="W232" s="91" t="inlineStr">
        <is>
          <t/>
        </is>
      </c>
      <c r="X232" s="92" t="inlineStr">
        <is>
          <t>GP Self Reporting</t>
        </is>
      </c>
      <c r="Y232" s="93" t="inlineStr">
        <is>
          <t>2019 Y</t>
        </is>
      </c>
      <c r="Z232" s="94" t="inlineStr">
        <is>
          <t>0 - 99M</t>
        </is>
      </c>
      <c r="AA232" s="95" t="inlineStr">
        <is>
          <t>Cottonwood Technology Fund</t>
        </is>
      </c>
      <c r="AB232" s="96" t="inlineStr">
        <is>
          <t>Santa Fe, NM</t>
        </is>
      </c>
      <c r="AC232" s="97" t="inlineStr">
        <is>
          <t>Energy, Healthcare, Communications and Networking, Materials and Resources</t>
        </is>
      </c>
      <c r="AD232" s="98" t="inlineStr">
        <is>
          <t>Seed Round, Early Stage VC</t>
        </is>
      </c>
      <c r="AE232" s="99" t="inlineStr">
        <is>
          <t>Southwest</t>
        </is>
      </c>
      <c r="AF232" s="100" t="inlineStr">
        <is>
          <t>CTF, Cottonwood</t>
        </is>
      </c>
      <c r="AG232" s="233">
        <f>HYPERLINK("https://my.pitchbook.com?i=42330-16", "View Investor Online")</f>
      </c>
    </row>
    <row r="233">
      <c r="A233" s="36" t="inlineStr">
        <is>
          <t>15652-99F</t>
        </is>
      </c>
      <c r="B233" s="37" t="inlineStr">
        <is>
          <t>Daiwa Taiwan-Japan Biotech Fund</t>
        </is>
      </c>
      <c r="C233" s="38" t="inlineStr">
        <is>
          <t/>
        </is>
      </c>
      <c r="D233" s="39" t="inlineStr">
        <is>
          <t>Venture Capital</t>
        </is>
      </c>
      <c r="E233" s="40" t="n">
        <v>78.80423</v>
      </c>
      <c r="F233" s="41" t="inlineStr">
        <is>
          <t>Taipei, Taiwan</t>
        </is>
      </c>
      <c r="G233" s="42" t="inlineStr">
        <is>
          <t/>
        </is>
      </c>
      <c r="H233" s="43" t="n">
        <v>2015.0</v>
      </c>
      <c r="I233" s="44" t="inlineStr">
        <is>
          <t/>
        </is>
      </c>
      <c r="J233" s="45" t="inlineStr">
        <is>
          <t/>
        </is>
      </c>
      <c r="K233" s="46" t="inlineStr">
        <is>
          <t/>
        </is>
      </c>
      <c r="L233" s="47" t="inlineStr">
        <is>
          <t/>
        </is>
      </c>
      <c r="M233" s="48" t="inlineStr">
        <is>
          <t/>
        </is>
      </c>
      <c r="N233" s="49" t="inlineStr">
        <is>
          <t/>
        </is>
      </c>
      <c r="O233" s="50" t="inlineStr">
        <is>
          <t/>
        </is>
      </c>
      <c r="P233" s="51" t="inlineStr">
        <is>
          <t/>
        </is>
      </c>
      <c r="Q233" s="52" t="inlineStr">
        <is>
          <t/>
        </is>
      </c>
      <c r="R233" s="53" t="inlineStr">
        <is>
          <t/>
        </is>
      </c>
      <c r="S233" s="54" t="n">
        <v>0.28</v>
      </c>
      <c r="T233" s="55" t="inlineStr">
        <is>
          <t/>
        </is>
      </c>
      <c r="U233" s="56" t="inlineStr">
        <is>
          <t/>
        </is>
      </c>
      <c r="V233" s="57" t="inlineStr">
        <is>
          <t/>
        </is>
      </c>
      <c r="W233" s="58" t="inlineStr">
        <is>
          <t/>
        </is>
      </c>
      <c r="X233" s="59" t="inlineStr">
        <is>
          <t>LP Original Commitments</t>
        </is>
      </c>
      <c r="Y233" s="60" t="inlineStr">
        <is>
          <t>2018 Y</t>
        </is>
      </c>
      <c r="Z233" s="61" t="inlineStr">
        <is>
          <t>0 - 99M</t>
        </is>
      </c>
      <c r="AA233" s="62" t="inlineStr">
        <is>
          <t>Daiwa Corporate Investment</t>
        </is>
      </c>
      <c r="AB233" s="63" t="inlineStr">
        <is>
          <t>Tokyo, Japan</t>
        </is>
      </c>
      <c r="AC233" s="64" t="inlineStr">
        <is>
          <t>Pharmaceuticals and Biotechnology, Commercial Services, Software</t>
        </is>
      </c>
      <c r="AD233" s="65" t="inlineStr">
        <is>
          <t>Seed Round, Early Stage VC, Later Stage VC</t>
        </is>
      </c>
      <c r="AE233" s="66" t="inlineStr">
        <is>
          <t>Japan, Taiwan</t>
        </is>
      </c>
      <c r="AF233" s="67" t="inlineStr">
        <is>
          <t>NDF</t>
        </is>
      </c>
      <c r="AG233" s="232">
        <f>HYPERLINK("https://my.pitchbook.com?i=52589-98", "View Investor Online")</f>
      </c>
    </row>
    <row r="234">
      <c r="A234" s="69" t="inlineStr">
        <is>
          <t>15091-30F</t>
        </is>
      </c>
      <c r="B234" s="70" t="inlineStr">
        <is>
          <t>Data Point Capital II</t>
        </is>
      </c>
      <c r="C234" s="71" t="inlineStr">
        <is>
          <t/>
        </is>
      </c>
      <c r="D234" s="72" t="inlineStr">
        <is>
          <t>Venture Capital</t>
        </is>
      </c>
      <c r="E234" s="73" t="n">
        <v>40.0</v>
      </c>
      <c r="F234" s="74" t="inlineStr">
        <is>
          <t>Boston, MA</t>
        </is>
      </c>
      <c r="G234" s="75" t="inlineStr">
        <is>
          <t/>
        </is>
      </c>
      <c r="H234" s="76" t="n">
        <v>2016.0</v>
      </c>
      <c r="I234" s="77" t="n">
        <v>67.5</v>
      </c>
      <c r="J234" s="78" t="n">
        <v>27.0</v>
      </c>
      <c r="K234" s="79" t="n">
        <v>3.199543286990396</v>
      </c>
      <c r="L234" s="80" t="n">
        <v>7.3</v>
      </c>
      <c r="M234" s="81" t="inlineStr">
        <is>
          <t/>
        </is>
      </c>
      <c r="N234" s="82" t="inlineStr">
        <is>
          <t/>
        </is>
      </c>
      <c r="O234" s="83" t="inlineStr">
        <is>
          <t/>
        </is>
      </c>
      <c r="P234" s="84" t="inlineStr">
        <is>
          <t/>
        </is>
      </c>
      <c r="Q234" s="85" t="n">
        <v>0.27</v>
      </c>
      <c r="R234" s="86" t="n">
        <v>0.20980000000000001</v>
      </c>
      <c r="S234" s="87" t="inlineStr">
        <is>
          <t/>
        </is>
      </c>
      <c r="T234" s="88" t="inlineStr">
        <is>
          <t/>
        </is>
      </c>
      <c r="U234" s="89" t="inlineStr">
        <is>
          <t/>
        </is>
      </c>
      <c r="V234" s="90" t="inlineStr">
        <is>
          <t/>
        </is>
      </c>
      <c r="W234" s="91" t="inlineStr">
        <is>
          <t/>
        </is>
      </c>
      <c r="X234" s="92" t="inlineStr">
        <is>
          <t>GP Self Reporting</t>
        </is>
      </c>
      <c r="Y234" s="93" t="inlineStr">
        <is>
          <t>2018 Y</t>
        </is>
      </c>
      <c r="Z234" s="94" t="inlineStr">
        <is>
          <t>0 - 99M</t>
        </is>
      </c>
      <c r="AA234" s="95" t="inlineStr">
        <is>
          <t>Data Point Capital</t>
        </is>
      </c>
      <c r="AB234" s="96" t="inlineStr">
        <is>
          <t>Boston, MA</t>
        </is>
      </c>
      <c r="AC234" s="97" t="inlineStr">
        <is>
          <t>Software, IT Services</t>
        </is>
      </c>
      <c r="AD234" s="98" t="inlineStr">
        <is>
          <t>Seed Round, Early Stage VC, Later Stage VC</t>
        </is>
      </c>
      <c r="AE234" s="99" t="inlineStr">
        <is>
          <t/>
        </is>
      </c>
      <c r="AF234" s="100" t="inlineStr">
        <is>
          <t>Data Point Capital</t>
        </is>
      </c>
      <c r="AG234" s="233">
        <f>HYPERLINK("https://my.pitchbook.com?i=54836-29", "View Investor Online")</f>
      </c>
    </row>
    <row r="235">
      <c r="A235" s="36" t="inlineStr">
        <is>
          <t>13528-99F</t>
        </is>
      </c>
      <c r="B235" s="37" t="inlineStr">
        <is>
          <t>Draper Triangle Ventures III</t>
        </is>
      </c>
      <c r="C235" s="38" t="inlineStr">
        <is>
          <t/>
        </is>
      </c>
      <c r="D235" s="39" t="inlineStr">
        <is>
          <t>Venture Capital</t>
        </is>
      </c>
      <c r="E235" s="40" t="n">
        <v>79.0</v>
      </c>
      <c r="F235" s="41" t="inlineStr">
        <is>
          <t>Pittsburgh, PA</t>
        </is>
      </c>
      <c r="G235" s="42" t="inlineStr">
        <is>
          <t/>
        </is>
      </c>
      <c r="H235" s="43" t="n">
        <v>2014.0</v>
      </c>
      <c r="I235" s="44" t="n">
        <v>64.53424</v>
      </c>
      <c r="J235" s="45" t="n">
        <v>50.982049599999996</v>
      </c>
      <c r="K235" s="46" t="n">
        <v>28.017950400000004</v>
      </c>
      <c r="L235" s="47" t="n">
        <v>0.7273767</v>
      </c>
      <c r="M235" s="48" t="inlineStr">
        <is>
          <t/>
        </is>
      </c>
      <c r="N235" s="49" t="inlineStr">
        <is>
          <t/>
        </is>
      </c>
      <c r="O235" s="50" t="inlineStr">
        <is>
          <t/>
        </is>
      </c>
      <c r="P235" s="51" t="inlineStr">
        <is>
          <t/>
        </is>
      </c>
      <c r="Q235" s="52" t="n">
        <v>0.01</v>
      </c>
      <c r="R235" s="53" t="n">
        <v>-0.01</v>
      </c>
      <c r="S235" s="54" t="inlineStr">
        <is>
          <t/>
        </is>
      </c>
      <c r="T235" s="55" t="inlineStr">
        <is>
          <t/>
        </is>
      </c>
      <c r="U235" s="56" t="inlineStr">
        <is>
          <t/>
        </is>
      </c>
      <c r="V235" s="57" t="inlineStr">
        <is>
          <t/>
        </is>
      </c>
      <c r="W235" s="58" t="inlineStr">
        <is>
          <t/>
        </is>
      </c>
      <c r="X235" s="59" t="inlineStr">
        <is>
          <t>LP Original Commitments</t>
        </is>
      </c>
      <c r="Y235" s="60" t="inlineStr">
        <is>
          <t>2018 Y</t>
        </is>
      </c>
      <c r="Z235" s="61" t="inlineStr">
        <is>
          <t>0 - 99M</t>
        </is>
      </c>
      <c r="AA235" s="62" t="inlineStr">
        <is>
          <t>Draper Triangle Ventures</t>
        </is>
      </c>
      <c r="AB235" s="63" t="inlineStr">
        <is>
          <t>Pittsburgh, PA</t>
        </is>
      </c>
      <c r="AC235" s="64" t="inlineStr">
        <is>
          <t>Software</t>
        </is>
      </c>
      <c r="AD235" s="65" t="inlineStr">
        <is>
          <t>Seed Round, Early Stage VC, Later Stage VC</t>
        </is>
      </c>
      <c r="AE235" s="66" t="inlineStr">
        <is>
          <t>Michigan, Ohio</t>
        </is>
      </c>
      <c r="AF235" s="67" t="inlineStr">
        <is>
          <t>Allegheny County Retirement System, Pennsylvania SERS</t>
        </is>
      </c>
      <c r="AG235" s="232">
        <f>HYPERLINK("https://my.pitchbook.com?i=11320-03", "View Investor Online")</f>
      </c>
    </row>
    <row r="236">
      <c r="A236" s="69" t="inlineStr">
        <is>
          <t>13607-11F</t>
        </is>
      </c>
      <c r="B236" s="70" t="inlineStr">
        <is>
          <t>Ecosystem Integrity Fund I</t>
        </is>
      </c>
      <c r="C236" s="71" t="inlineStr">
        <is>
          <t/>
        </is>
      </c>
      <c r="D236" s="72" t="inlineStr">
        <is>
          <t>Venture Capital</t>
        </is>
      </c>
      <c r="E236" s="73" t="n">
        <v>20.0</v>
      </c>
      <c r="F236" s="74" t="inlineStr">
        <is>
          <t>San Francisco, CA</t>
        </is>
      </c>
      <c r="G236" s="75" t="n">
        <v>1.0</v>
      </c>
      <c r="H236" s="76" t="n">
        <v>2011.0</v>
      </c>
      <c r="I236" s="77" t="inlineStr">
        <is>
          <t/>
        </is>
      </c>
      <c r="J236" s="78" t="inlineStr">
        <is>
          <t/>
        </is>
      </c>
      <c r="K236" s="79" t="n">
        <v>0.0</v>
      </c>
      <c r="L236" s="80" t="inlineStr">
        <is>
          <t/>
        </is>
      </c>
      <c r="M236" s="81" t="inlineStr">
        <is>
          <t/>
        </is>
      </c>
      <c r="N236" s="82" t="n">
        <v>33.82</v>
      </c>
      <c r="O236" s="83" t="inlineStr">
        <is>
          <t/>
        </is>
      </c>
      <c r="P236" s="84" t="n">
        <v>22.72</v>
      </c>
      <c r="Q236" s="85" t="inlineStr">
        <is>
          <t/>
        </is>
      </c>
      <c r="R236" s="86" t="inlineStr">
        <is>
          <t/>
        </is>
      </c>
      <c r="S236" s="87" t="inlineStr">
        <is>
          <t/>
        </is>
      </c>
      <c r="T236" s="88" t="inlineStr">
        <is>
          <t/>
        </is>
      </c>
      <c r="U236" s="89" t="inlineStr">
        <is>
          <t/>
        </is>
      </c>
      <c r="V236" s="90" t="inlineStr">
        <is>
          <t/>
        </is>
      </c>
      <c r="W236" s="91" t="inlineStr">
        <is>
          <t/>
        </is>
      </c>
      <c r="X236" s="92" t="inlineStr">
        <is>
          <t>GP Self Reporting</t>
        </is>
      </c>
      <c r="Y236" s="93" t="inlineStr">
        <is>
          <t>2018 Y</t>
        </is>
      </c>
      <c r="Z236" s="94" t="inlineStr">
        <is>
          <t>0 - 99M</t>
        </is>
      </c>
      <c r="AA236" s="95" t="inlineStr">
        <is>
          <t>Aquillian Investments, The Ecosystem Integrity Fund</t>
        </is>
      </c>
      <c r="AB236" s="96" t="inlineStr">
        <is>
          <t>San Francisco, CA</t>
        </is>
      </c>
      <c r="AC236" s="97" t="inlineStr">
        <is>
          <t>Transportation, Energy, Financial Services</t>
        </is>
      </c>
      <c r="AD236" s="98" t="inlineStr">
        <is>
          <t>Seed Round, Early Stage VC, Later Stage VC</t>
        </is>
      </c>
      <c r="AE236" s="99" t="inlineStr">
        <is>
          <t>North America</t>
        </is>
      </c>
      <c r="AF236" s="100" t="inlineStr">
        <is>
          <t>EIF</t>
        </is>
      </c>
      <c r="AG236" s="233">
        <f>HYPERLINK("https://my.pitchbook.com?i=40373-83", "View Investor Online")</f>
      </c>
    </row>
    <row r="237">
      <c r="A237" s="36" t="inlineStr">
        <is>
          <t>14246-38F</t>
        </is>
      </c>
      <c r="B237" s="37" t="inlineStr">
        <is>
          <t>Ecosystem Integrity Fund II</t>
        </is>
      </c>
      <c r="C237" s="38" t="inlineStr">
        <is>
          <t/>
        </is>
      </c>
      <c r="D237" s="39" t="inlineStr">
        <is>
          <t>Venture Capital</t>
        </is>
      </c>
      <c r="E237" s="40" t="n">
        <v>57.0</v>
      </c>
      <c r="F237" s="41" t="inlineStr">
        <is>
          <t>San Francisco, CA</t>
        </is>
      </c>
      <c r="G237" s="42" t="n">
        <v>4.0</v>
      </c>
      <c r="H237" s="43" t="n">
        <v>2014.0</v>
      </c>
      <c r="I237" s="44" t="inlineStr">
        <is>
          <t/>
        </is>
      </c>
      <c r="J237" s="45" t="inlineStr">
        <is>
          <t/>
        </is>
      </c>
      <c r="K237" s="46" t="n">
        <v>1.1450269475747183</v>
      </c>
      <c r="L237" s="47" t="inlineStr">
        <is>
          <t/>
        </is>
      </c>
      <c r="M237" s="48" t="inlineStr">
        <is>
          <t/>
        </is>
      </c>
      <c r="N237" s="49" t="n">
        <v>-0.25</v>
      </c>
      <c r="O237" s="50" t="inlineStr">
        <is>
          <t/>
        </is>
      </c>
      <c r="P237" s="51" t="n">
        <v>-14.21</v>
      </c>
      <c r="Q237" s="52" t="inlineStr">
        <is>
          <t/>
        </is>
      </c>
      <c r="R237" s="53" t="inlineStr">
        <is>
          <t/>
        </is>
      </c>
      <c r="S237" s="54" t="inlineStr">
        <is>
          <t/>
        </is>
      </c>
      <c r="T237" s="55" t="inlineStr">
        <is>
          <t/>
        </is>
      </c>
      <c r="U237" s="56" t="inlineStr">
        <is>
          <t/>
        </is>
      </c>
      <c r="V237" s="57" t="inlineStr">
        <is>
          <t/>
        </is>
      </c>
      <c r="W237" s="58" t="inlineStr">
        <is>
          <t/>
        </is>
      </c>
      <c r="X237" s="59" t="inlineStr">
        <is>
          <t>GP Self Reporting</t>
        </is>
      </c>
      <c r="Y237" s="60" t="inlineStr">
        <is>
          <t>2018 Y</t>
        </is>
      </c>
      <c r="Z237" s="61" t="inlineStr">
        <is>
          <t>0 - 99M</t>
        </is>
      </c>
      <c r="AA237" s="62" t="inlineStr">
        <is>
          <t>The Ecosystem Integrity Fund</t>
        </is>
      </c>
      <c r="AB237" s="63" t="inlineStr">
        <is>
          <t>San Francisco, CA</t>
        </is>
      </c>
      <c r="AC237" s="64" t="inlineStr">
        <is>
          <t>Transportation, Energy, Financial Services</t>
        </is>
      </c>
      <c r="AD237" s="65" t="inlineStr">
        <is>
          <t>Seed Round, Early Stage VC, Later Stage VC</t>
        </is>
      </c>
      <c r="AE237" s="66" t="inlineStr">
        <is>
          <t>North America</t>
        </is>
      </c>
      <c r="AF237" s="67" t="inlineStr">
        <is>
          <t>EIF</t>
        </is>
      </c>
      <c r="AG237" s="232">
        <f>HYPERLINK("https://my.pitchbook.com?i=64888-84", "View Investor Online")</f>
      </c>
    </row>
    <row r="238">
      <c r="A238" s="69" t="inlineStr">
        <is>
          <t>13583-26F</t>
        </is>
      </c>
      <c r="B238" s="70" t="inlineStr">
        <is>
          <t>Elaia Alpha Fund</t>
        </is>
      </c>
      <c r="C238" s="71" t="inlineStr">
        <is>
          <t/>
        </is>
      </c>
      <c r="D238" s="72" t="inlineStr">
        <is>
          <t>Venture Capital - Early Stage</t>
        </is>
      </c>
      <c r="E238" s="73" t="n">
        <v>66.73711</v>
      </c>
      <c r="F238" s="74" t="inlineStr">
        <is>
          <t>Paris, France</t>
        </is>
      </c>
      <c r="G238" s="75" t="inlineStr">
        <is>
          <t/>
        </is>
      </c>
      <c r="H238" s="76" t="n">
        <v>2012.0</v>
      </c>
      <c r="I238" s="77" t="inlineStr">
        <is>
          <t/>
        </is>
      </c>
      <c r="J238" s="78" t="inlineStr">
        <is>
          <t/>
        </is>
      </c>
      <c r="K238" s="79" t="inlineStr">
        <is>
          <t/>
        </is>
      </c>
      <c r="L238" s="80" t="inlineStr">
        <is>
          <t/>
        </is>
      </c>
      <c r="M238" s="81" t="inlineStr">
        <is>
          <t/>
        </is>
      </c>
      <c r="N238" s="82" t="n">
        <v>10.8</v>
      </c>
      <c r="O238" s="83" t="inlineStr">
        <is>
          <t/>
        </is>
      </c>
      <c r="P238" s="84" t="inlineStr">
        <is>
          <t/>
        </is>
      </c>
      <c r="Q238" s="85" t="inlineStr">
        <is>
          <t/>
        </is>
      </c>
      <c r="R238" s="86" t="inlineStr">
        <is>
          <t/>
        </is>
      </c>
      <c r="S238" s="87" t="inlineStr">
        <is>
          <t/>
        </is>
      </c>
      <c r="T238" s="88" t="inlineStr">
        <is>
          <t/>
        </is>
      </c>
      <c r="U238" s="89" t="inlineStr">
        <is>
          <t/>
        </is>
      </c>
      <c r="V238" s="90" t="inlineStr">
        <is>
          <t/>
        </is>
      </c>
      <c r="W238" s="91" t="inlineStr">
        <is>
          <t/>
        </is>
      </c>
      <c r="X238" s="92" t="inlineStr">
        <is>
          <t>GP Self Reporting</t>
        </is>
      </c>
      <c r="Y238" s="93" t="inlineStr">
        <is>
          <t>2017 Y</t>
        </is>
      </c>
      <c r="Z238" s="94" t="inlineStr">
        <is>
          <t>0 - 99M</t>
        </is>
      </c>
      <c r="AA238" s="95" t="inlineStr">
        <is>
          <t>Elaia Partners</t>
        </is>
      </c>
      <c r="AB238" s="96" t="inlineStr">
        <is>
          <t>Paris, France</t>
        </is>
      </c>
      <c r="AC238" s="97" t="inlineStr">
        <is>
          <t>Software</t>
        </is>
      </c>
      <c r="AD238" s="98" t="inlineStr">
        <is>
          <t>Seed Round, Early Stage VC</t>
        </is>
      </c>
      <c r="AE238" s="99" t="inlineStr">
        <is>
          <t/>
        </is>
      </c>
      <c r="AF238" s="100" t="inlineStr">
        <is>
          <t>Elaia</t>
        </is>
      </c>
      <c r="AG238" s="233">
        <f>HYPERLINK("https://my.pitchbook.com?i=11170-63", "View Investor Online")</f>
      </c>
    </row>
    <row r="239">
      <c r="A239" s="36" t="inlineStr">
        <is>
          <t>15101-74F</t>
        </is>
      </c>
      <c r="B239" s="37" t="inlineStr">
        <is>
          <t>Energy Access Ventures Fund</t>
        </is>
      </c>
      <c r="C239" s="38" t="inlineStr">
        <is>
          <t/>
        </is>
      </c>
      <c r="D239" s="39" t="inlineStr">
        <is>
          <t>Venture Capital</t>
        </is>
      </c>
      <c r="E239" s="40" t="n">
        <v>88.69784</v>
      </c>
      <c r="F239" s="41" t="inlineStr">
        <is>
          <t>Paris, France</t>
        </is>
      </c>
      <c r="G239" s="42" t="inlineStr">
        <is>
          <t/>
        </is>
      </c>
      <c r="H239" s="43" t="n">
        <v>2015.0</v>
      </c>
      <c r="I239" s="44" t="n">
        <v>19.96510067114094</v>
      </c>
      <c r="J239" s="45" t="n">
        <v>17.708613983852704</v>
      </c>
      <c r="K239" s="46" t="n">
        <v>42.131474</v>
      </c>
      <c r="L239" s="47" t="n">
        <v>0.0</v>
      </c>
      <c r="M239" s="48" t="inlineStr">
        <is>
          <t/>
        </is>
      </c>
      <c r="N239" s="49" t="inlineStr">
        <is>
          <t/>
        </is>
      </c>
      <c r="O239" s="50" t="inlineStr">
        <is>
          <t/>
        </is>
      </c>
      <c r="P239" s="51" t="inlineStr">
        <is>
          <t/>
        </is>
      </c>
      <c r="Q239" s="52" t="n">
        <v>0.0</v>
      </c>
      <c r="R239" s="53" t="inlineStr">
        <is>
          <t/>
        </is>
      </c>
      <c r="S239" s="54" t="inlineStr">
        <is>
          <t/>
        </is>
      </c>
      <c r="T239" s="55" t="inlineStr">
        <is>
          <t/>
        </is>
      </c>
      <c r="U239" s="56" t="inlineStr">
        <is>
          <t/>
        </is>
      </c>
      <c r="V239" s="57" t="inlineStr">
        <is>
          <t/>
        </is>
      </c>
      <c r="W239" s="58" t="inlineStr">
        <is>
          <t/>
        </is>
      </c>
      <c r="X239" s="59" t="inlineStr">
        <is>
          <t>GP Self Reporting, LP Original Commitments</t>
        </is>
      </c>
      <c r="Y239" s="60" t="inlineStr">
        <is>
          <t>2017 Y</t>
        </is>
      </c>
      <c r="Z239" s="61" t="inlineStr">
        <is>
          <t>0 - 99M</t>
        </is>
      </c>
      <c r="AA239" s="62" t="inlineStr">
        <is>
          <t>Aster Capital, Energy Access Ventures Africa</t>
        </is>
      </c>
      <c r="AB239" s="63" t="inlineStr">
        <is>
          <t>Paris, France</t>
        </is>
      </c>
      <c r="AC239" s="64" t="inlineStr">
        <is>
          <t>Energy</t>
        </is>
      </c>
      <c r="AD239" s="65" t="inlineStr">
        <is>
          <t>Seed Round, Early Stage VC, Later Stage VC</t>
        </is>
      </c>
      <c r="AE239" s="66" t="inlineStr">
        <is>
          <t>Southern Africa, Western Africa, Eastern Africa, Middle Africa, Western Sahara</t>
        </is>
      </c>
      <c r="AF239" s="67" t="inlineStr">
        <is>
          <t>Aster, CDC, CDC Investment Works</t>
        </is>
      </c>
      <c r="AG239" s="232">
        <f>HYPERLINK("https://my.pitchbook.com?i=42463-99", "View Investor Online")</f>
      </c>
    </row>
    <row r="240">
      <c r="A240" s="69" t="inlineStr">
        <is>
          <t>13004-83F</t>
        </is>
      </c>
      <c r="B240" s="70" t="inlineStr">
        <is>
          <t>Epidarex Capital II</t>
        </is>
      </c>
      <c r="C240" s="71" t="inlineStr">
        <is>
          <t>Rock Spring Ventures EU, Rock Spring Ventures US</t>
        </is>
      </c>
      <c r="D240" s="72" t="inlineStr">
        <is>
          <t>Venture Capital - Early Stage</t>
        </is>
      </c>
      <c r="E240" s="73" t="n">
        <v>79.51374</v>
      </c>
      <c r="F240" s="74" t="inlineStr">
        <is>
          <t>Bethesda, MD</t>
        </is>
      </c>
      <c r="G240" s="75" t="inlineStr">
        <is>
          <t/>
        </is>
      </c>
      <c r="H240" s="76" t="n">
        <v>2013.0</v>
      </c>
      <c r="I240" s="77" t="n">
        <v>93.36846</v>
      </c>
      <c r="J240" s="78" t="n">
        <v>74.24075841046167</v>
      </c>
      <c r="K240" s="79" t="n">
        <v>3.103245001822517</v>
      </c>
      <c r="L240" s="80" t="inlineStr">
        <is>
          <t/>
        </is>
      </c>
      <c r="M240" s="81" t="n">
        <v>74.84224807953385</v>
      </c>
      <c r="N240" s="82" t="inlineStr">
        <is>
          <t/>
        </is>
      </c>
      <c r="O240" s="83" t="inlineStr">
        <is>
          <t/>
        </is>
      </c>
      <c r="P240" s="84" t="inlineStr">
        <is>
          <t/>
        </is>
      </c>
      <c r="Q240" s="85" t="inlineStr">
        <is>
          <t/>
        </is>
      </c>
      <c r="R240" s="86" t="inlineStr">
        <is>
          <t/>
        </is>
      </c>
      <c r="S240" s="87" t="n">
        <v>1.01</v>
      </c>
      <c r="T240" s="88" t="n">
        <v>0.0</v>
      </c>
      <c r="U240" s="89" t="inlineStr">
        <is>
          <t/>
        </is>
      </c>
      <c r="V240" s="90" t="inlineStr">
        <is>
          <t/>
        </is>
      </c>
      <c r="W240" s="91" t="inlineStr">
        <is>
          <t/>
        </is>
      </c>
      <c r="X240" s="92" t="inlineStr">
        <is>
          <t>LP Original Commitments</t>
        </is>
      </c>
      <c r="Y240" s="93" t="inlineStr">
        <is>
          <t>2019 Y</t>
        </is>
      </c>
      <c r="Z240" s="94" t="inlineStr">
        <is>
          <t>0 - 99M</t>
        </is>
      </c>
      <c r="AA240" s="95" t="inlineStr">
        <is>
          <t>Epidarex Capital</t>
        </is>
      </c>
      <c r="AB240" s="96" t="inlineStr">
        <is>
          <t>Bethesda, MD</t>
        </is>
      </c>
      <c r="AC240" s="97" t="inlineStr">
        <is>
          <t>Pharmaceuticals and Biotechnology</t>
        </is>
      </c>
      <c r="AD240" s="98" t="inlineStr">
        <is>
          <t>Early Stage VC</t>
        </is>
      </c>
      <c r="AE240" s="99" t="inlineStr">
        <is>
          <t>United Kingdom</t>
        </is>
      </c>
      <c r="AF240" s="100" t="inlineStr">
        <is>
          <t>SPFO</t>
        </is>
      </c>
      <c r="AG240" s="233">
        <f>HYPERLINK("https://my.pitchbook.com?i=51675-76", "View Investor Online")</f>
      </c>
    </row>
    <row r="241">
      <c r="A241" s="36" t="inlineStr">
        <is>
          <t>16225-48F</t>
        </is>
      </c>
      <c r="B241" s="37" t="inlineStr">
        <is>
          <t>First Ascent Ventures I</t>
        </is>
      </c>
      <c r="C241" s="38" t="inlineStr">
        <is>
          <t/>
        </is>
      </c>
      <c r="D241" s="39" t="inlineStr">
        <is>
          <t>Venture Capital</t>
        </is>
      </c>
      <c r="E241" s="40" t="n">
        <v>77.03596</v>
      </c>
      <c r="F241" s="41" t="inlineStr">
        <is>
          <t>Toronto, Canada</t>
        </is>
      </c>
      <c r="G241" s="42" t="inlineStr">
        <is>
          <t/>
        </is>
      </c>
      <c r="H241" s="43" t="n">
        <v>2015.0</v>
      </c>
      <c r="I241" s="44" t="n">
        <v>87.15789473684211</v>
      </c>
      <c r="J241" s="45" t="n">
        <v>67.14292008451791</v>
      </c>
      <c r="K241" s="46" t="n">
        <v>9.893039073684212</v>
      </c>
      <c r="L241" s="47" t="n">
        <v>20.272620798465553</v>
      </c>
      <c r="M241" s="48" t="inlineStr">
        <is>
          <t/>
        </is>
      </c>
      <c r="N241" s="49" t="n">
        <v>18.5</v>
      </c>
      <c r="O241" s="50" t="inlineStr">
        <is>
          <t/>
        </is>
      </c>
      <c r="P241" s="51" t="inlineStr">
        <is>
          <t/>
        </is>
      </c>
      <c r="Q241" s="52" t="n">
        <v>0.3</v>
      </c>
      <c r="R241" s="53" t="inlineStr">
        <is>
          <t/>
        </is>
      </c>
      <c r="S241" s="54" t="inlineStr">
        <is>
          <t/>
        </is>
      </c>
      <c r="T241" s="55" t="inlineStr">
        <is>
          <t/>
        </is>
      </c>
      <c r="U241" s="56" t="inlineStr">
        <is>
          <t/>
        </is>
      </c>
      <c r="V241" s="57" t="inlineStr">
        <is>
          <t/>
        </is>
      </c>
      <c r="W241" s="58" t="inlineStr">
        <is>
          <t/>
        </is>
      </c>
      <c r="X241" s="59" t="inlineStr">
        <is>
          <t>GP Self Reporting</t>
        </is>
      </c>
      <c r="Y241" s="60" t="inlineStr">
        <is>
          <t>2020 Y</t>
        </is>
      </c>
      <c r="Z241" s="61" t="inlineStr">
        <is>
          <t>0 - 99M</t>
        </is>
      </c>
      <c r="AA241" s="62" t="inlineStr">
        <is>
          <t>First Ascent Ventures</t>
        </is>
      </c>
      <c r="AB241" s="63" t="inlineStr">
        <is>
          <t>Toronto, Canada</t>
        </is>
      </c>
      <c r="AC241" s="64" t="inlineStr">
        <is>
          <t>Business Products and Services (B2B), Information Technology</t>
        </is>
      </c>
      <c r="AD241" s="65" t="inlineStr">
        <is>
          <t>Early Stage VC</t>
        </is>
      </c>
      <c r="AE241" s="66" t="inlineStr">
        <is>
          <t>Canada</t>
        </is>
      </c>
      <c r="AF241" s="67" t="inlineStr">
        <is>
          <t>First Ascent Ventures</t>
        </is>
      </c>
      <c r="AG241" s="232">
        <f>HYPERLINK("https://my.pitchbook.com?i=128386-81", "View Investor Online")</f>
      </c>
    </row>
    <row r="242">
      <c r="A242" s="69" t="inlineStr">
        <is>
          <t>13887-10F</t>
        </is>
      </c>
      <c r="B242" s="70" t="inlineStr">
        <is>
          <t>Flashpoint Venture Capital I</t>
        </is>
      </c>
      <c r="C242" s="71" t="inlineStr">
        <is>
          <t>Buran Venture Capital I</t>
        </is>
      </c>
      <c r="D242" s="72" t="inlineStr">
        <is>
          <t>Venture Capital</t>
        </is>
      </c>
      <c r="E242" s="73" t="n">
        <v>45.0</v>
      </c>
      <c r="F242" s="74" t="inlineStr">
        <is>
          <t>Moscow, Russia</t>
        </is>
      </c>
      <c r="G242" s="75" t="inlineStr">
        <is>
          <t/>
        </is>
      </c>
      <c r="H242" s="76" t="n">
        <v>2012.0</v>
      </c>
      <c r="I242" s="77" t="n">
        <v>100.0</v>
      </c>
      <c r="J242" s="78" t="n">
        <v>45.0</v>
      </c>
      <c r="K242" s="79" t="n">
        <v>0.0</v>
      </c>
      <c r="L242" s="80" t="inlineStr">
        <is>
          <t/>
        </is>
      </c>
      <c r="M242" s="81" t="n">
        <v>0.0</v>
      </c>
      <c r="N242" s="82" t="inlineStr">
        <is>
          <t/>
        </is>
      </c>
      <c r="O242" s="83" t="inlineStr">
        <is>
          <t/>
        </is>
      </c>
      <c r="P242" s="84" t="inlineStr">
        <is>
          <t/>
        </is>
      </c>
      <c r="Q242" s="85" t="inlineStr">
        <is>
          <t/>
        </is>
      </c>
      <c r="R242" s="86" t="inlineStr">
        <is>
          <t/>
        </is>
      </c>
      <c r="S242" s="87" t="n">
        <v>0.0</v>
      </c>
      <c r="T242" s="88" t="n">
        <v>-1.01</v>
      </c>
      <c r="U242" s="89" t="inlineStr">
        <is>
          <t/>
        </is>
      </c>
      <c r="V242" s="90" t="inlineStr">
        <is>
          <t/>
        </is>
      </c>
      <c r="W242" s="91" t="inlineStr">
        <is>
          <t/>
        </is>
      </c>
      <c r="X242" s="92" t="inlineStr">
        <is>
          <t>GP Self Reporting</t>
        </is>
      </c>
      <c r="Y242" s="93" t="inlineStr">
        <is>
          <t>2017 Y</t>
        </is>
      </c>
      <c r="Z242" s="94" t="inlineStr">
        <is>
          <t>0 - 99M</t>
        </is>
      </c>
      <c r="AA242" s="95" t="inlineStr">
        <is>
          <t>Flashpoint Venture Capital</t>
        </is>
      </c>
      <c r="AB242" s="96" t="inlineStr">
        <is>
          <t>Budapest, Hungary</t>
        </is>
      </c>
      <c r="AC242" s="97" t="inlineStr">
        <is>
          <t>Software</t>
        </is>
      </c>
      <c r="AD242" s="98" t="inlineStr">
        <is>
          <t>Early Stage VC</t>
        </is>
      </c>
      <c r="AE242" s="99" t="inlineStr">
        <is>
          <t>Azerbaijan, Hungary, Albania, Belarus, Poland, Ukraine, Latvia, Romania, Russia, Armenia, Bulgaria, Israel, Slovakia, Croatia, Lithuania, Slovenia, Central Asia, Czech Republic, Estonia, Georgia, Moldova</t>
        </is>
      </c>
      <c r="AF242" s="100" t="inlineStr">
        <is>
          <t>Flashpoint</t>
        </is>
      </c>
      <c r="AG242" s="233">
        <f>HYPERLINK("https://my.pitchbook.com?i=56669-77", "View Investor Online")</f>
      </c>
    </row>
    <row r="243">
      <c r="A243" s="36" t="inlineStr">
        <is>
          <t>15288-22F</t>
        </is>
      </c>
      <c r="B243" s="37" t="inlineStr">
        <is>
          <t>Flashpoint Venture Capital II</t>
        </is>
      </c>
      <c r="C243" s="38" t="inlineStr">
        <is>
          <t>Buran Venture Capital II</t>
        </is>
      </c>
      <c r="D243" s="39" t="inlineStr">
        <is>
          <t>Venture Capital</t>
        </is>
      </c>
      <c r="E243" s="40" t="n">
        <v>50.0</v>
      </c>
      <c r="F243" s="41" t="inlineStr">
        <is>
          <t>Moscow, Russia</t>
        </is>
      </c>
      <c r="G243" s="42" t="inlineStr">
        <is>
          <t/>
        </is>
      </c>
      <c r="H243" s="43" t="n">
        <v>2016.0</v>
      </c>
      <c r="I243" s="44" t="n">
        <v>48.782</v>
      </c>
      <c r="J243" s="45" t="n">
        <v>24.391</v>
      </c>
      <c r="K243" s="46" t="n">
        <v>15.964398111723053</v>
      </c>
      <c r="L243" s="47" t="inlineStr">
        <is>
          <t/>
        </is>
      </c>
      <c r="M243" s="48" t="n">
        <v>32.988</v>
      </c>
      <c r="N243" s="49" t="inlineStr">
        <is>
          <t/>
        </is>
      </c>
      <c r="O243" s="50" t="inlineStr">
        <is>
          <t/>
        </is>
      </c>
      <c r="P243" s="51" t="inlineStr">
        <is>
          <t/>
        </is>
      </c>
      <c r="Q243" s="52" t="inlineStr">
        <is>
          <t/>
        </is>
      </c>
      <c r="R243" s="53" t="inlineStr">
        <is>
          <t/>
        </is>
      </c>
      <c r="S243" s="54" t="n">
        <v>1.352466074</v>
      </c>
      <c r="T243" s="55" t="n">
        <v>0.4067360740000001</v>
      </c>
      <c r="U243" s="56" t="inlineStr">
        <is>
          <t/>
        </is>
      </c>
      <c r="V243" s="57" t="inlineStr">
        <is>
          <t/>
        </is>
      </c>
      <c r="W243" s="58" t="inlineStr">
        <is>
          <t/>
        </is>
      </c>
      <c r="X243" s="59" t="inlineStr">
        <is>
          <t>GP Self Reporting</t>
        </is>
      </c>
      <c r="Y243" s="60" t="inlineStr">
        <is>
          <t>2018 Y</t>
        </is>
      </c>
      <c r="Z243" s="61" t="inlineStr">
        <is>
          <t>0 - 99M</t>
        </is>
      </c>
      <c r="AA243" s="62" t="inlineStr">
        <is>
          <t>Flashpoint Venture Capital</t>
        </is>
      </c>
      <c r="AB243" s="63" t="inlineStr">
        <is>
          <t>Budapest, Hungary</t>
        </is>
      </c>
      <c r="AC243" s="64" t="inlineStr">
        <is>
          <t>Business Products and Services (B2B)</t>
        </is>
      </c>
      <c r="AD243" s="65" t="inlineStr">
        <is>
          <t>Seed Round, Early Stage VC, Later Stage VC</t>
        </is>
      </c>
      <c r="AE243" s="66" t="inlineStr">
        <is>
          <t>Israel, Eastern Europe</t>
        </is>
      </c>
      <c r="AF243" s="67" t="inlineStr">
        <is>
          <t>Flashpoint</t>
        </is>
      </c>
      <c r="AG243" s="232">
        <f>HYPERLINK("https://my.pitchbook.com?i=56669-77", "View Investor Online")</f>
      </c>
    </row>
    <row r="244">
      <c r="A244" s="69" t="inlineStr">
        <is>
          <t>12523-60F</t>
        </is>
      </c>
      <c r="B244" s="70" t="inlineStr">
        <is>
          <t>Fundo de Investimento Privado de Angola (FIPA)</t>
        </is>
      </c>
      <c r="C244" s="71" t="inlineStr">
        <is>
          <t/>
        </is>
      </c>
      <c r="D244" s="72" t="inlineStr">
        <is>
          <t>Venture Capital</t>
        </is>
      </c>
      <c r="E244" s="73" t="n">
        <v>39.0</v>
      </c>
      <c r="F244" s="74" t="inlineStr">
        <is>
          <t>Luanda, Angola</t>
        </is>
      </c>
      <c r="G244" s="75" t="inlineStr">
        <is>
          <t/>
        </is>
      </c>
      <c r="H244" s="76" t="n">
        <v>2010.0</v>
      </c>
      <c r="I244" s="77" t="n">
        <v>33.161139810031656</v>
      </c>
      <c r="J244" s="78" t="n">
        <v>12.932844525912348</v>
      </c>
      <c r="K244" s="79" t="n">
        <v>26.067155474087652</v>
      </c>
      <c r="L244" s="80" t="inlineStr">
        <is>
          <t/>
        </is>
      </c>
      <c r="M244" s="81" t="n">
        <v>9.537550408265288</v>
      </c>
      <c r="N244" s="82" t="inlineStr">
        <is>
          <t/>
        </is>
      </c>
      <c r="O244" s="83" t="inlineStr">
        <is>
          <t/>
        </is>
      </c>
      <c r="P244" s="84" t="inlineStr">
        <is>
          <t/>
        </is>
      </c>
      <c r="Q244" s="85" t="inlineStr">
        <is>
          <t/>
        </is>
      </c>
      <c r="R244" s="86" t="inlineStr">
        <is>
          <t/>
        </is>
      </c>
      <c r="S244" s="87" t="n">
        <v>0.74</v>
      </c>
      <c r="T244" s="88" t="inlineStr">
        <is>
          <t/>
        </is>
      </c>
      <c r="U244" s="89" t="inlineStr">
        <is>
          <t/>
        </is>
      </c>
      <c r="V244" s="90" t="inlineStr">
        <is>
          <t/>
        </is>
      </c>
      <c r="W244" s="91" t="inlineStr">
        <is>
          <t/>
        </is>
      </c>
      <c r="X244" s="92" t="inlineStr">
        <is>
          <t>LP Original Commitments</t>
        </is>
      </c>
      <c r="Y244" s="93" t="inlineStr">
        <is>
          <t>2012 Y</t>
        </is>
      </c>
      <c r="Z244" s="94" t="inlineStr">
        <is>
          <t>0 - 99M</t>
        </is>
      </c>
      <c r="AA244" s="95" t="inlineStr">
        <is>
          <t>ABO Capital</t>
        </is>
      </c>
      <c r="AB244" s="96" t="inlineStr">
        <is>
          <t>Luanda, Angola</t>
        </is>
      </c>
      <c r="AC244" s="97" t="inlineStr">
        <is>
          <t>Healthcare Services</t>
        </is>
      </c>
      <c r="AD244" s="98" t="inlineStr">
        <is>
          <t>Seed Round, Early Stage VC, Later Stage VC</t>
        </is>
      </c>
      <c r="AE244" s="99" t="inlineStr">
        <is>
          <t>Western Africa</t>
        </is>
      </c>
      <c r="AF244" s="100" t="inlineStr">
        <is>
          <t>Atlantico, BPA, BAI, EIB, Norfund, Spanish Ministry of Foreign Affairs and Cooperation</t>
        </is>
      </c>
      <c r="AG244" s="233">
        <f>HYPERLINK("https://my.pitchbook.com?i=40703-32", "View Investor Online")</f>
      </c>
    </row>
    <row r="245">
      <c r="A245" s="36" t="inlineStr">
        <is>
          <t>14984-29F</t>
        </is>
      </c>
      <c r="B245" s="37" t="inlineStr">
        <is>
          <t>G Squared Fund I</t>
        </is>
      </c>
      <c r="C245" s="38" t="inlineStr">
        <is>
          <t/>
        </is>
      </c>
      <c r="D245" s="39" t="inlineStr">
        <is>
          <t>Venture Capital</t>
        </is>
      </c>
      <c r="E245" s="40" t="n">
        <v>36.0</v>
      </c>
      <c r="F245" s="41" t="inlineStr">
        <is>
          <t>San Francisco, CA</t>
        </is>
      </c>
      <c r="G245" s="42" t="n">
        <v>1.0</v>
      </c>
      <c r="H245" s="43" t="n">
        <v>2013.0</v>
      </c>
      <c r="I245" s="44" t="inlineStr">
        <is>
          <t/>
        </is>
      </c>
      <c r="J245" s="45" t="inlineStr">
        <is>
          <t/>
        </is>
      </c>
      <c r="K245" s="46" t="n">
        <v>0.9914754098360657</v>
      </c>
      <c r="L245" s="47" t="inlineStr">
        <is>
          <t/>
        </is>
      </c>
      <c r="M245" s="48" t="inlineStr">
        <is>
          <t/>
        </is>
      </c>
      <c r="N245" s="49" t="n">
        <v>30.5</v>
      </c>
      <c r="O245" s="50" t="inlineStr">
        <is>
          <t/>
        </is>
      </c>
      <c r="P245" s="51" t="n">
        <v>22.34</v>
      </c>
      <c r="Q245" s="52" t="inlineStr">
        <is>
          <t/>
        </is>
      </c>
      <c r="R245" s="53" t="inlineStr">
        <is>
          <t/>
        </is>
      </c>
      <c r="S245" s="54" t="inlineStr">
        <is>
          <t/>
        </is>
      </c>
      <c r="T245" s="55" t="inlineStr">
        <is>
          <t/>
        </is>
      </c>
      <c r="U245" s="56" t="inlineStr">
        <is>
          <t/>
        </is>
      </c>
      <c r="V245" s="57" t="inlineStr">
        <is>
          <t/>
        </is>
      </c>
      <c r="W245" s="58" t="inlineStr">
        <is>
          <t/>
        </is>
      </c>
      <c r="X245" s="59" t="inlineStr">
        <is>
          <t>GP Self Reporting</t>
        </is>
      </c>
      <c r="Y245" s="60" t="inlineStr">
        <is>
          <t>2019 Y</t>
        </is>
      </c>
      <c r="Z245" s="61" t="inlineStr">
        <is>
          <t>0 - 99M</t>
        </is>
      </c>
      <c r="AA245" s="62" t="inlineStr">
        <is>
          <t>G Squared</t>
        </is>
      </c>
      <c r="AB245" s="63" t="inlineStr">
        <is>
          <t>San Francisco, CA</t>
        </is>
      </c>
      <c r="AC245" s="64" t="inlineStr">
        <is>
          <t/>
        </is>
      </c>
      <c r="AD245" s="65" t="inlineStr">
        <is>
          <t>Seed Round, Early Stage VC, Later Stage VC</t>
        </is>
      </c>
      <c r="AE245" s="66" t="inlineStr">
        <is>
          <t/>
        </is>
      </c>
      <c r="AF245" s="67" t="inlineStr">
        <is>
          <t>Global Growth</t>
        </is>
      </c>
      <c r="AG245" s="232">
        <f>HYPERLINK("https://my.pitchbook.com?i=53737-66", "View Investor Online")</f>
      </c>
    </row>
    <row r="246">
      <c r="A246" s="69" t="inlineStr">
        <is>
          <t>15191-20F</t>
        </is>
      </c>
      <c r="B246" s="70" t="inlineStr">
        <is>
          <t>G Squared Fund II</t>
        </is>
      </c>
      <c r="C246" s="71" t="inlineStr">
        <is>
          <t/>
        </is>
      </c>
      <c r="D246" s="72" t="inlineStr">
        <is>
          <t>Venture Capital</t>
        </is>
      </c>
      <c r="E246" s="73" t="n">
        <v>30.0</v>
      </c>
      <c r="F246" s="74" t="inlineStr">
        <is>
          <t>San Francisco, CA</t>
        </is>
      </c>
      <c r="G246" s="75" t="n">
        <v>1.0</v>
      </c>
      <c r="H246" s="76" t="n">
        <v>2014.0</v>
      </c>
      <c r="I246" s="77" t="inlineStr">
        <is>
          <t/>
        </is>
      </c>
      <c r="J246" s="78" t="inlineStr">
        <is>
          <t/>
        </is>
      </c>
      <c r="K246" s="79" t="n">
        <v>0.6026457618814307</v>
      </c>
      <c r="L246" s="80" t="inlineStr">
        <is>
          <t/>
        </is>
      </c>
      <c r="M246" s="81" t="inlineStr">
        <is>
          <t/>
        </is>
      </c>
      <c r="N246" s="82" t="n">
        <v>33.1</v>
      </c>
      <c r="O246" s="83" t="inlineStr">
        <is>
          <t/>
        </is>
      </c>
      <c r="P246" s="84" t="n">
        <v>19.14</v>
      </c>
      <c r="Q246" s="85" t="inlineStr">
        <is>
          <t/>
        </is>
      </c>
      <c r="R246" s="86" t="inlineStr">
        <is>
          <t/>
        </is>
      </c>
      <c r="S246" s="87" t="inlineStr">
        <is>
          <t/>
        </is>
      </c>
      <c r="T246" s="88" t="inlineStr">
        <is>
          <t/>
        </is>
      </c>
      <c r="U246" s="89" t="inlineStr">
        <is>
          <t/>
        </is>
      </c>
      <c r="V246" s="90" t="inlineStr">
        <is>
          <t/>
        </is>
      </c>
      <c r="W246" s="91" t="inlineStr">
        <is>
          <t/>
        </is>
      </c>
      <c r="X246" s="92" t="inlineStr">
        <is>
          <t>GP Self Reporting</t>
        </is>
      </c>
      <c r="Y246" s="93" t="inlineStr">
        <is>
          <t>2019 Y</t>
        </is>
      </c>
      <c r="Z246" s="94" t="inlineStr">
        <is>
          <t>0 - 99M</t>
        </is>
      </c>
      <c r="AA246" s="95" t="inlineStr">
        <is>
          <t>G Squared</t>
        </is>
      </c>
      <c r="AB246" s="96" t="inlineStr">
        <is>
          <t>San Francisco, CA</t>
        </is>
      </c>
      <c r="AC246" s="97" t="inlineStr">
        <is>
          <t>Retail</t>
        </is>
      </c>
      <c r="AD246" s="98" t="inlineStr">
        <is>
          <t>Seed Round, Early Stage VC, Later Stage VC</t>
        </is>
      </c>
      <c r="AE246" s="99" t="inlineStr">
        <is>
          <t/>
        </is>
      </c>
      <c r="AF246" s="100" t="inlineStr">
        <is>
          <t>Global Growth</t>
        </is>
      </c>
      <c r="AG246" s="233">
        <f>HYPERLINK("https://my.pitchbook.com?i=53737-66", "View Investor Online")</f>
      </c>
    </row>
    <row r="247">
      <c r="A247" s="36" t="inlineStr">
        <is>
          <t>11715-76F</t>
        </is>
      </c>
      <c r="B247" s="37" t="inlineStr">
        <is>
          <t>Health And Wellness Fund II</t>
        </is>
      </c>
      <c r="C247" s="38" t="inlineStr">
        <is>
          <t/>
        </is>
      </c>
      <c r="D247" s="39" t="inlineStr">
        <is>
          <t>Venture Capital - Later Stage</t>
        </is>
      </c>
      <c r="E247" s="40" t="n">
        <v>82.0</v>
      </c>
      <c r="F247" s="41" t="inlineStr">
        <is>
          <t>Wellesley, MA</t>
        </is>
      </c>
      <c r="G247" s="42" t="inlineStr">
        <is>
          <t/>
        </is>
      </c>
      <c r="H247" s="43" t="n">
        <v>2009.0</v>
      </c>
      <c r="I247" s="44" t="inlineStr">
        <is>
          <t/>
        </is>
      </c>
      <c r="J247" s="45" t="inlineStr">
        <is>
          <t/>
        </is>
      </c>
      <c r="K247" s="46" t="n">
        <v>0.0</v>
      </c>
      <c r="L247" s="47" t="n">
        <v>79.07406534</v>
      </c>
      <c r="M247" s="48" t="n">
        <v>36.952234000000004</v>
      </c>
      <c r="N247" s="49" t="n">
        <v>12.66</v>
      </c>
      <c r="O247" s="50" t="inlineStr">
        <is>
          <t/>
        </is>
      </c>
      <c r="P247" s="51" t="inlineStr">
        <is>
          <t/>
        </is>
      </c>
      <c r="Q247" s="52" t="inlineStr">
        <is>
          <t/>
        </is>
      </c>
      <c r="R247" s="53" t="inlineStr">
        <is>
          <t/>
        </is>
      </c>
      <c r="S247" s="54" t="inlineStr">
        <is>
          <t/>
        </is>
      </c>
      <c r="T247" s="55" t="inlineStr">
        <is>
          <t/>
        </is>
      </c>
      <c r="U247" s="56" t="inlineStr">
        <is>
          <t/>
        </is>
      </c>
      <c r="V247" s="57" t="inlineStr">
        <is>
          <t/>
        </is>
      </c>
      <c r="W247" s="58" t="inlineStr">
        <is>
          <t/>
        </is>
      </c>
      <c r="X247" s="59" t="inlineStr">
        <is>
          <t>LP Original Commitments</t>
        </is>
      </c>
      <c r="Y247" s="60" t="inlineStr">
        <is>
          <t>2019 Y</t>
        </is>
      </c>
      <c r="Z247" s="61" t="inlineStr">
        <is>
          <t>0 - 99M</t>
        </is>
      </c>
      <c r="AA247" s="62" t="inlineStr">
        <is>
          <t>Sherbrooke Capital</t>
        </is>
      </c>
      <c r="AB247" s="63" t="inlineStr">
        <is>
          <t>Wellesley, MA</t>
        </is>
      </c>
      <c r="AC247" s="64" t="inlineStr">
        <is>
          <t>Consumer Non-Durables</t>
        </is>
      </c>
      <c r="AD247" s="65" t="inlineStr">
        <is>
          <t>Later Stage VC</t>
        </is>
      </c>
      <c r="AE247" s="66" t="inlineStr">
        <is>
          <t>United States</t>
        </is>
      </c>
      <c r="AF247" s="67" t="inlineStr">
        <is>
          <t>Mass PRIT</t>
        </is>
      </c>
      <c r="AG247" s="232">
        <f>HYPERLINK("https://my.pitchbook.com?i=11297-17", "View Investor Online")</f>
      </c>
    </row>
    <row r="248">
      <c r="A248" s="69" t="inlineStr">
        <is>
          <t>15240-79F</t>
        </is>
      </c>
      <c r="B248" s="70" t="inlineStr">
        <is>
          <t>henQ III</t>
        </is>
      </c>
      <c r="C248" s="71" t="inlineStr">
        <is>
          <t/>
        </is>
      </c>
      <c r="D248" s="72" t="inlineStr">
        <is>
          <t>Venture Capital - Early Stage</t>
        </is>
      </c>
      <c r="E248" s="73" t="n">
        <v>55.76749</v>
      </c>
      <c r="F248" s="74" t="inlineStr">
        <is>
          <t>Amsterdam, Netherlands</t>
        </is>
      </c>
      <c r="G248" s="75" t="inlineStr">
        <is>
          <t/>
        </is>
      </c>
      <c r="H248" s="76" t="n">
        <v>2015.0</v>
      </c>
      <c r="I248" s="77" t="inlineStr">
        <is>
          <t/>
        </is>
      </c>
      <c r="J248" s="78" t="inlineStr">
        <is>
          <t/>
        </is>
      </c>
      <c r="K248" s="79" t="n">
        <v>0.0</v>
      </c>
      <c r="L248" s="80" t="inlineStr">
        <is>
          <t/>
        </is>
      </c>
      <c r="M248" s="81" t="inlineStr">
        <is>
          <t/>
        </is>
      </c>
      <c r="N248" s="82" t="n">
        <v>10.3</v>
      </c>
      <c r="O248" s="83" t="inlineStr">
        <is>
          <t/>
        </is>
      </c>
      <c r="P248" s="84" t="inlineStr">
        <is>
          <t/>
        </is>
      </c>
      <c r="Q248" s="85" t="inlineStr">
        <is>
          <t/>
        </is>
      </c>
      <c r="R248" s="86" t="inlineStr">
        <is>
          <t/>
        </is>
      </c>
      <c r="S248" s="87" t="inlineStr">
        <is>
          <t/>
        </is>
      </c>
      <c r="T248" s="88" t="inlineStr">
        <is>
          <t/>
        </is>
      </c>
      <c r="U248" s="89" t="inlineStr">
        <is>
          <t/>
        </is>
      </c>
      <c r="V248" s="90" t="inlineStr">
        <is>
          <t/>
        </is>
      </c>
      <c r="W248" s="91" t="inlineStr">
        <is>
          <t/>
        </is>
      </c>
      <c r="X248" s="92" t="inlineStr">
        <is>
          <t>GP Self Reporting</t>
        </is>
      </c>
      <c r="Y248" s="93" t="inlineStr">
        <is>
          <t>2018 Y</t>
        </is>
      </c>
      <c r="Z248" s="94" t="inlineStr">
        <is>
          <t>0 - 99M</t>
        </is>
      </c>
      <c r="AA248" s="95" t="inlineStr">
        <is>
          <t>HenQ</t>
        </is>
      </c>
      <c r="AB248" s="96" t="inlineStr">
        <is>
          <t>Amsterdam, Netherlands</t>
        </is>
      </c>
      <c r="AC248" s="97" t="inlineStr">
        <is>
          <t>Business Products and Services (B2B), Software</t>
        </is>
      </c>
      <c r="AD248" s="98" t="inlineStr">
        <is>
          <t>Seed Round, Early Stage VC</t>
        </is>
      </c>
      <c r="AE248" s="99" t="inlineStr">
        <is>
          <t>Netherlands</t>
        </is>
      </c>
      <c r="AF248" s="100" t="inlineStr">
        <is>
          <t>HenQ</t>
        </is>
      </c>
      <c r="AG248" s="233">
        <f>HYPERLINK("https://my.pitchbook.com?i=53315-65", "View Investor Online")</f>
      </c>
    </row>
    <row r="249">
      <c r="A249" s="36" t="inlineStr">
        <is>
          <t>15287-59F</t>
        </is>
      </c>
      <c r="B249" s="37" t="inlineStr">
        <is>
          <t>HI Inov 1</t>
        </is>
      </c>
      <c r="C249" s="38" t="inlineStr">
        <is>
          <t/>
        </is>
      </c>
      <c r="D249" s="39" t="inlineStr">
        <is>
          <t>Venture Capital</t>
        </is>
      </c>
      <c r="E249" s="40" t="n">
        <v>44.18127</v>
      </c>
      <c r="F249" s="41" t="inlineStr">
        <is>
          <t>Lyon, France</t>
        </is>
      </c>
      <c r="G249" s="42" t="inlineStr">
        <is>
          <t/>
        </is>
      </c>
      <c r="H249" s="43" t="n">
        <v>2015.0</v>
      </c>
      <c r="I249" s="44" t="n">
        <v>55.86</v>
      </c>
      <c r="J249" s="45" t="n">
        <v>24.67965816950366</v>
      </c>
      <c r="K249" s="46" t="n">
        <v>20.98610325</v>
      </c>
      <c r="L249" s="47" t="inlineStr">
        <is>
          <t/>
        </is>
      </c>
      <c r="M249" s="48" t="n">
        <v>17.009789465196757</v>
      </c>
      <c r="N249" s="49" t="inlineStr">
        <is>
          <t/>
        </is>
      </c>
      <c r="O249" s="50" t="inlineStr">
        <is>
          <t/>
        </is>
      </c>
      <c r="P249" s="51" t="inlineStr">
        <is>
          <t/>
        </is>
      </c>
      <c r="Q249" s="52" t="inlineStr">
        <is>
          <t/>
        </is>
      </c>
      <c r="R249" s="53" t="inlineStr">
        <is>
          <t/>
        </is>
      </c>
      <c r="S249" s="54" t="n">
        <v>0.69</v>
      </c>
      <c r="T249" s="55" t="n">
        <v>-0.23001000000000005</v>
      </c>
      <c r="U249" s="56" t="inlineStr">
        <is>
          <t/>
        </is>
      </c>
      <c r="V249" s="57" t="inlineStr">
        <is>
          <t/>
        </is>
      </c>
      <c r="W249" s="58" t="inlineStr">
        <is>
          <t/>
        </is>
      </c>
      <c r="X249" s="59" t="inlineStr">
        <is>
          <t>GP Self Reporting</t>
        </is>
      </c>
      <c r="Y249" s="60" t="inlineStr">
        <is>
          <t>2016 Y</t>
        </is>
      </c>
      <c r="Z249" s="61" t="inlineStr">
        <is>
          <t>0 - 99M</t>
        </is>
      </c>
      <c r="AA249" s="62" t="inlineStr">
        <is>
          <t>Hi Inov</t>
        </is>
      </c>
      <c r="AB249" s="63" t="inlineStr">
        <is>
          <t>Lyon, France</t>
        </is>
      </c>
      <c r="AC249" s="64" t="inlineStr">
        <is>
          <t>Commercial Services, Software</t>
        </is>
      </c>
      <c r="AD249" s="65" t="inlineStr">
        <is>
          <t>Seed Round, Early Stage VC, Later Stage VC</t>
        </is>
      </c>
      <c r="AE249" s="66" t="inlineStr">
        <is>
          <t/>
        </is>
      </c>
      <c r="AF249" s="67" t="inlineStr">
        <is>
          <t>Hi Inov</t>
        </is>
      </c>
      <c r="AG249" s="232">
        <f>HYPERLINK("https://my.pitchbook.com?i=63603-28", "View Investor Online")</f>
      </c>
    </row>
    <row r="250">
      <c r="A250" s="69" t="inlineStr">
        <is>
          <t>13408-30F</t>
        </is>
      </c>
      <c r="B250" s="70" t="inlineStr">
        <is>
          <t>Hyde Park Venture Partners Fund</t>
        </is>
      </c>
      <c r="C250" s="71" t="inlineStr">
        <is>
          <t/>
        </is>
      </c>
      <c r="D250" s="72" t="inlineStr">
        <is>
          <t>Venture Capital - Early Stage</t>
        </is>
      </c>
      <c r="E250" s="73" t="n">
        <v>25.0</v>
      </c>
      <c r="F250" s="74" t="inlineStr">
        <is>
          <t>Chicago, IL</t>
        </is>
      </c>
      <c r="G250" s="75" t="n">
        <v>2.0</v>
      </c>
      <c r="H250" s="76" t="n">
        <v>2011.0</v>
      </c>
      <c r="I250" s="77" t="n">
        <v>97.0</v>
      </c>
      <c r="J250" s="78" t="n">
        <v>24.25</v>
      </c>
      <c r="K250" s="79" t="n">
        <v>0.75</v>
      </c>
      <c r="L250" s="80" t="n">
        <v>3.892114</v>
      </c>
      <c r="M250" s="81" t="inlineStr">
        <is>
          <t/>
        </is>
      </c>
      <c r="N250" s="82" t="n">
        <v>17.64</v>
      </c>
      <c r="O250" s="83" t="inlineStr">
        <is>
          <t/>
        </is>
      </c>
      <c r="P250" s="84" t="n">
        <v>5.07</v>
      </c>
      <c r="Q250" s="85" t="n">
        <v>0.160499546</v>
      </c>
      <c r="R250" s="86" t="n">
        <v>-0.11470045400000001</v>
      </c>
      <c r="S250" s="87" t="inlineStr">
        <is>
          <t/>
        </is>
      </c>
      <c r="T250" s="88" t="inlineStr">
        <is>
          <t/>
        </is>
      </c>
      <c r="U250" s="89" t="inlineStr">
        <is>
          <t/>
        </is>
      </c>
      <c r="V250" s="90" t="inlineStr">
        <is>
          <t/>
        </is>
      </c>
      <c r="W250" s="91" t="inlineStr">
        <is>
          <t/>
        </is>
      </c>
      <c r="X250" s="92" t="inlineStr">
        <is>
          <t>GP Self Reporting</t>
        </is>
      </c>
      <c r="Y250" s="93" t="inlineStr">
        <is>
          <t>2019 Y</t>
        </is>
      </c>
      <c r="Z250" s="94" t="inlineStr">
        <is>
          <t>0 - 99M</t>
        </is>
      </c>
      <c r="AA250" s="95" t="inlineStr">
        <is>
          <t>Hyde Park Venture Partners</t>
        </is>
      </c>
      <c r="AB250" s="96" t="inlineStr">
        <is>
          <t>Chicago, IL</t>
        </is>
      </c>
      <c r="AC250" s="97" t="inlineStr">
        <is>
          <t>Software</t>
        </is>
      </c>
      <c r="AD250" s="98" t="inlineStr">
        <is>
          <t>Early Stage VC, Seed Round</t>
        </is>
      </c>
      <c r="AE250" s="99" t="inlineStr">
        <is>
          <t>Midwest</t>
        </is>
      </c>
      <c r="AF250" s="100" t="inlineStr">
        <is>
          <t>HPVP, Hyde Park</t>
        </is>
      </c>
      <c r="AG250" s="233">
        <f>HYPERLINK("https://my.pitchbook.com?i=53539-93", "View Investor Online")</f>
      </c>
    </row>
    <row r="251">
      <c r="A251" s="36" t="inlineStr">
        <is>
          <t>15160-51F</t>
        </is>
      </c>
      <c r="B251" s="37" t="inlineStr">
        <is>
          <t>Hyde Park Venture Partners Fund II</t>
        </is>
      </c>
      <c r="C251" s="38" t="inlineStr">
        <is>
          <t/>
        </is>
      </c>
      <c r="D251" s="39" t="inlineStr">
        <is>
          <t>Venture Capital - Early Stage</t>
        </is>
      </c>
      <c r="E251" s="40" t="n">
        <v>65.0</v>
      </c>
      <c r="F251" s="41" t="inlineStr">
        <is>
          <t>Chicago, IL</t>
        </is>
      </c>
      <c r="G251" s="42" t="n">
        <v>2.0</v>
      </c>
      <c r="H251" s="43" t="n">
        <v>2015.0</v>
      </c>
      <c r="I251" s="44" t="n">
        <v>83.0</v>
      </c>
      <c r="J251" s="45" t="n">
        <v>53.95</v>
      </c>
      <c r="K251" s="46" t="n">
        <v>11.05</v>
      </c>
      <c r="L251" s="47" t="n">
        <v>1.950042</v>
      </c>
      <c r="M251" s="48" t="inlineStr">
        <is>
          <t/>
        </is>
      </c>
      <c r="N251" s="49" t="n">
        <v>19.63</v>
      </c>
      <c r="O251" s="50" t="inlineStr">
        <is>
          <t/>
        </is>
      </c>
      <c r="P251" s="51" t="n">
        <v>2.2300000000000004</v>
      </c>
      <c r="Q251" s="52" t="n">
        <v>0.036145357</v>
      </c>
      <c r="R251" s="53" t="n">
        <v>0.026145357</v>
      </c>
      <c r="S251" s="54" t="inlineStr">
        <is>
          <t/>
        </is>
      </c>
      <c r="T251" s="55" t="inlineStr">
        <is>
          <t/>
        </is>
      </c>
      <c r="U251" s="56" t="inlineStr">
        <is>
          <t/>
        </is>
      </c>
      <c r="V251" s="57" t="inlineStr">
        <is>
          <t/>
        </is>
      </c>
      <c r="W251" s="58" t="inlineStr">
        <is>
          <t/>
        </is>
      </c>
      <c r="X251" s="59" t="inlineStr">
        <is>
          <t>GP Self Reporting</t>
        </is>
      </c>
      <c r="Y251" s="60" t="inlineStr">
        <is>
          <t>2019 Y</t>
        </is>
      </c>
      <c r="Z251" s="61" t="inlineStr">
        <is>
          <t>0 - 99M</t>
        </is>
      </c>
      <c r="AA251" s="62" t="inlineStr">
        <is>
          <t>Hyde Park Venture Partners</t>
        </is>
      </c>
      <c r="AB251" s="63" t="inlineStr">
        <is>
          <t>Chicago, IL</t>
        </is>
      </c>
      <c r="AC251" s="64" t="inlineStr">
        <is>
          <t>Software</t>
        </is>
      </c>
      <c r="AD251" s="65" t="inlineStr">
        <is>
          <t>Seed Round, Early Stage VC</t>
        </is>
      </c>
      <c r="AE251" s="66" t="inlineStr">
        <is>
          <t>Midwest</t>
        </is>
      </c>
      <c r="AF251" s="67" t="inlineStr">
        <is>
          <t>HPVP, Hyde Park</t>
        </is>
      </c>
      <c r="AG251" s="232">
        <f>HYPERLINK("https://my.pitchbook.com?i=53539-93", "View Investor Online")</f>
      </c>
    </row>
    <row r="252">
      <c r="A252" s="69" t="inlineStr">
        <is>
          <t>15311-17F</t>
        </is>
      </c>
      <c r="B252" s="70" t="inlineStr">
        <is>
          <t>IGNIA Fund II</t>
        </is>
      </c>
      <c r="C252" s="71" t="inlineStr">
        <is>
          <t/>
        </is>
      </c>
      <c r="D252" s="72" t="inlineStr">
        <is>
          <t>Venture Capital</t>
        </is>
      </c>
      <c r="E252" s="73" t="n">
        <v>100.0</v>
      </c>
      <c r="F252" s="74" t="inlineStr">
        <is>
          <t>Monterrey, Mexico</t>
        </is>
      </c>
      <c r="G252" s="75" t="inlineStr">
        <is>
          <t/>
        </is>
      </c>
      <c r="H252" s="76" t="n">
        <v>2016.0</v>
      </c>
      <c r="I252" s="77" t="inlineStr">
        <is>
          <t/>
        </is>
      </c>
      <c r="J252" s="78" t="inlineStr">
        <is>
          <t/>
        </is>
      </c>
      <c r="K252" s="79" t="n">
        <v>16.08</v>
      </c>
      <c r="L252" s="80" t="n">
        <v>0.0</v>
      </c>
      <c r="M252" s="81" t="inlineStr">
        <is>
          <t/>
        </is>
      </c>
      <c r="N252" s="82" t="inlineStr">
        <is>
          <t/>
        </is>
      </c>
      <c r="O252" s="83" t="inlineStr">
        <is>
          <t/>
        </is>
      </c>
      <c r="P252" s="84" t="inlineStr">
        <is>
          <t/>
        </is>
      </c>
      <c r="Q252" s="85" t="n">
        <v>0.0</v>
      </c>
      <c r="R252" s="86" t="inlineStr">
        <is>
          <t/>
        </is>
      </c>
      <c r="S252" s="87" t="inlineStr">
        <is>
          <t/>
        </is>
      </c>
      <c r="T252" s="88" t="inlineStr">
        <is>
          <t/>
        </is>
      </c>
      <c r="U252" s="89" t="inlineStr">
        <is>
          <t/>
        </is>
      </c>
      <c r="V252" s="90" t="inlineStr">
        <is>
          <t/>
        </is>
      </c>
      <c r="W252" s="91" t="inlineStr">
        <is>
          <t/>
        </is>
      </c>
      <c r="X252" s="92" t="inlineStr">
        <is>
          <t>GP Self Reporting</t>
        </is>
      </c>
      <c r="Y252" s="93" t="inlineStr">
        <is>
          <t>2020 Y</t>
        </is>
      </c>
      <c r="Z252" s="94" t="inlineStr">
        <is>
          <t>100M - 249M</t>
        </is>
      </c>
      <c r="AA252" s="95" t="inlineStr">
        <is>
          <t>IGNIA Partners</t>
        </is>
      </c>
      <c r="AB252" s="96" t="inlineStr">
        <is>
          <t>Monterrey, Mexico</t>
        </is>
      </c>
      <c r="AC252" s="97" t="inlineStr">
        <is>
          <t>Software</t>
        </is>
      </c>
      <c r="AD252" s="98" t="inlineStr">
        <is>
          <t>Seed Round, Early Stage VC, Later Stage VC</t>
        </is>
      </c>
      <c r="AE252" s="99" t="inlineStr">
        <is>
          <t>Mexico</t>
        </is>
      </c>
      <c r="AF252" s="100" t="inlineStr">
        <is>
          <t>IGNIA</t>
        </is>
      </c>
      <c r="AG252" s="233">
        <f>HYPERLINK("https://my.pitchbook.com?i=14156-65", "View Investor Online")</f>
      </c>
    </row>
    <row r="253">
      <c r="A253" s="36" t="inlineStr">
        <is>
          <t>14652-82F</t>
        </is>
      </c>
      <c r="B253" s="37" t="inlineStr">
        <is>
          <t>Inspiration Ventures 2</t>
        </is>
      </c>
      <c r="C253" s="38" t="inlineStr">
        <is>
          <t/>
        </is>
      </c>
      <c r="D253" s="39" t="inlineStr">
        <is>
          <t>Venture Capital</t>
        </is>
      </c>
      <c r="E253" s="40" t="n">
        <v>15.0</v>
      </c>
      <c r="F253" s="41" t="inlineStr">
        <is>
          <t>Burlingame, CA</t>
        </is>
      </c>
      <c r="G253" s="42" t="n">
        <v>1.0</v>
      </c>
      <c r="H253" s="43" t="n">
        <v>2014.0</v>
      </c>
      <c r="I253" s="44" t="inlineStr">
        <is>
          <t/>
        </is>
      </c>
      <c r="J253" s="45" t="inlineStr">
        <is>
          <t/>
        </is>
      </c>
      <c r="K253" s="46" t="n">
        <v>0.0</v>
      </c>
      <c r="L253" s="47" t="inlineStr">
        <is>
          <t/>
        </is>
      </c>
      <c r="M253" s="48" t="inlineStr">
        <is>
          <t/>
        </is>
      </c>
      <c r="N253" s="49" t="n">
        <v>32.9</v>
      </c>
      <c r="O253" s="50" t="inlineStr">
        <is>
          <t/>
        </is>
      </c>
      <c r="P253" s="51" t="n">
        <v>18.939999999999998</v>
      </c>
      <c r="Q253" s="52" t="inlineStr">
        <is>
          <t/>
        </is>
      </c>
      <c r="R253" s="53" t="inlineStr">
        <is>
          <t/>
        </is>
      </c>
      <c r="S253" s="54" t="inlineStr">
        <is>
          <t/>
        </is>
      </c>
      <c r="T253" s="55" t="inlineStr">
        <is>
          <t/>
        </is>
      </c>
      <c r="U253" s="56" t="inlineStr">
        <is>
          <t/>
        </is>
      </c>
      <c r="V253" s="57" t="inlineStr">
        <is>
          <t/>
        </is>
      </c>
      <c r="W253" s="58" t="inlineStr">
        <is>
          <t/>
        </is>
      </c>
      <c r="X253" s="59" t="inlineStr">
        <is>
          <t>GP Self Reporting</t>
        </is>
      </c>
      <c r="Y253" s="60" t="inlineStr">
        <is>
          <t>2019 Y</t>
        </is>
      </c>
      <c r="Z253" s="61" t="inlineStr">
        <is>
          <t>0 - 99M</t>
        </is>
      </c>
      <c r="AA253" s="62" t="inlineStr">
        <is>
          <t>Inspiration Ventures</t>
        </is>
      </c>
      <c r="AB253" s="63" t="inlineStr">
        <is>
          <t>Burlingame, CA</t>
        </is>
      </c>
      <c r="AC253" s="64" t="inlineStr">
        <is>
          <t>Software</t>
        </is>
      </c>
      <c r="AD253" s="65" t="inlineStr">
        <is>
          <t>Seed Round, Early Stage VC, Later Stage VC</t>
        </is>
      </c>
      <c r="AE253" s="66" t="inlineStr">
        <is>
          <t/>
        </is>
      </c>
      <c r="AF253" s="67" t="inlineStr">
        <is>
          <t>Inspiration</t>
        </is>
      </c>
      <c r="AG253" s="232">
        <f>HYPERLINK("https://my.pitchbook.com?i=53324-02", "View Investor Online")</f>
      </c>
    </row>
    <row r="254">
      <c r="A254" s="69" t="inlineStr">
        <is>
          <t>12906-73F</t>
        </is>
      </c>
      <c r="B254" s="70" t="inlineStr">
        <is>
          <t>Invesco U.S. Venture Partnership Fund VI</t>
        </is>
      </c>
      <c r="C254" s="71" t="inlineStr">
        <is>
          <t/>
        </is>
      </c>
      <c r="D254" s="72" t="inlineStr">
        <is>
          <t>Venture Capital</t>
        </is>
      </c>
      <c r="E254" s="73" t="n">
        <v>19.0</v>
      </c>
      <c r="F254" s="74" t="inlineStr">
        <is>
          <t>Atlanta, GA</t>
        </is>
      </c>
      <c r="G254" s="75" t="n">
        <v>3.0</v>
      </c>
      <c r="H254" s="76" t="n">
        <v>2014.0</v>
      </c>
      <c r="I254" s="77" t="inlineStr">
        <is>
          <t/>
        </is>
      </c>
      <c r="J254" s="78" t="inlineStr">
        <is>
          <t/>
        </is>
      </c>
      <c r="K254" s="79" t="n">
        <v>0.38167564919157276</v>
      </c>
      <c r="L254" s="80" t="inlineStr">
        <is>
          <t/>
        </is>
      </c>
      <c r="M254" s="81" t="inlineStr">
        <is>
          <t/>
        </is>
      </c>
      <c r="N254" s="82" t="n">
        <v>6.03</v>
      </c>
      <c r="O254" s="83" t="inlineStr">
        <is>
          <t/>
        </is>
      </c>
      <c r="P254" s="84" t="n">
        <v>-7.930000000000001</v>
      </c>
      <c r="Q254" s="85" t="inlineStr">
        <is>
          <t/>
        </is>
      </c>
      <c r="R254" s="86" t="inlineStr">
        <is>
          <t/>
        </is>
      </c>
      <c r="S254" s="87" t="inlineStr">
        <is>
          <t/>
        </is>
      </c>
      <c r="T254" s="88" t="inlineStr">
        <is>
          <t/>
        </is>
      </c>
      <c r="U254" s="89" t="inlineStr">
        <is>
          <t/>
        </is>
      </c>
      <c r="V254" s="90" t="inlineStr">
        <is>
          <t/>
        </is>
      </c>
      <c r="W254" s="91" t="inlineStr">
        <is>
          <t/>
        </is>
      </c>
      <c r="X254" s="92" t="inlineStr">
        <is>
          <t>LP Original Commitments</t>
        </is>
      </c>
      <c r="Y254" s="93" t="inlineStr">
        <is>
          <t>2017 Y</t>
        </is>
      </c>
      <c r="Z254" s="94" t="inlineStr">
        <is>
          <t>0 - 99M</t>
        </is>
      </c>
      <c r="AA254" s="95" t="inlineStr">
        <is>
          <t>Invesco</t>
        </is>
      </c>
      <c r="AB254" s="96" t="inlineStr">
        <is>
          <t>Atlanta, GA</t>
        </is>
      </c>
      <c r="AC254" s="97" t="inlineStr">
        <is>
          <t/>
        </is>
      </c>
      <c r="AD254" s="98" t="inlineStr">
        <is>
          <t>Seed Round, Early Stage VC, Later Stage VC</t>
        </is>
      </c>
      <c r="AE254" s="99" t="inlineStr">
        <is>
          <t>United States</t>
        </is>
      </c>
      <c r="AF254" s="100" t="inlineStr">
        <is>
          <t>New Jersey Health Care Employers Pension Plan, PFRS</t>
        </is>
      </c>
      <c r="AG254" s="233">
        <f>HYPERLINK("https://my.pitchbook.com?i=11148-49", "View Investor Online")</f>
      </c>
    </row>
    <row r="255">
      <c r="A255" s="36" t="inlineStr">
        <is>
          <t>14445-82F</t>
        </is>
      </c>
      <c r="B255" s="37" t="inlineStr">
        <is>
          <t>IVP Fund</t>
        </is>
      </c>
      <c r="C255" s="38" t="inlineStr">
        <is>
          <t/>
        </is>
      </c>
      <c r="D255" s="39" t="inlineStr">
        <is>
          <t>Venture Capital</t>
        </is>
      </c>
      <c r="E255" s="40" t="n">
        <v>25.0</v>
      </c>
      <c r="F255" s="41" t="inlineStr">
        <is>
          <t>Tokyo, Japan</t>
        </is>
      </c>
      <c r="G255" s="42" t="inlineStr">
        <is>
          <t/>
        </is>
      </c>
      <c r="H255" s="43" t="n">
        <v>2009.0</v>
      </c>
      <c r="I255" s="44" t="inlineStr">
        <is>
          <t/>
        </is>
      </c>
      <c r="J255" s="45" t="inlineStr">
        <is>
          <t/>
        </is>
      </c>
      <c r="K255" s="46" t="inlineStr">
        <is>
          <t/>
        </is>
      </c>
      <c r="L255" s="47" t="inlineStr">
        <is>
          <t/>
        </is>
      </c>
      <c r="M255" s="48" t="inlineStr">
        <is>
          <t/>
        </is>
      </c>
      <c r="N255" s="49" t="n">
        <v>15.4</v>
      </c>
      <c r="O255" s="50" t="inlineStr">
        <is>
          <t/>
        </is>
      </c>
      <c r="P255" s="51" t="inlineStr">
        <is>
          <t/>
        </is>
      </c>
      <c r="Q255" s="52" t="inlineStr">
        <is>
          <t/>
        </is>
      </c>
      <c r="R255" s="53" t="inlineStr">
        <is>
          <t/>
        </is>
      </c>
      <c r="S255" s="54" t="inlineStr">
        <is>
          <t/>
        </is>
      </c>
      <c r="T255" s="55" t="inlineStr">
        <is>
          <t/>
        </is>
      </c>
      <c r="U255" s="56" t="inlineStr">
        <is>
          <t/>
        </is>
      </c>
      <c r="V255" s="57" t="inlineStr">
        <is>
          <t/>
        </is>
      </c>
      <c r="W255" s="58" t="inlineStr">
        <is>
          <t/>
        </is>
      </c>
      <c r="X255" s="59" t="inlineStr">
        <is>
          <t>GP Self Reporting</t>
        </is>
      </c>
      <c r="Y255" s="60" t="inlineStr">
        <is>
          <t>2018 Y</t>
        </is>
      </c>
      <c r="Z255" s="61" t="inlineStr">
        <is>
          <t>0 - 99M</t>
        </is>
      </c>
      <c r="AA255" s="62" t="inlineStr">
        <is>
          <t>Infinity Ventures</t>
        </is>
      </c>
      <c r="AB255" s="63" t="inlineStr">
        <is>
          <t>Tokyo, Japan</t>
        </is>
      </c>
      <c r="AC255" s="64" t="inlineStr">
        <is>
          <t>Movies, Music and Entertainment, Software</t>
        </is>
      </c>
      <c r="AD255" s="65" t="inlineStr">
        <is>
          <t>Seed Round, Early Stage VC, Later Stage VC</t>
        </is>
      </c>
      <c r="AE255" s="66" t="inlineStr">
        <is>
          <t>Hong Kong, Taiwan, Mainland China</t>
        </is>
      </c>
      <c r="AF255" s="67" t="inlineStr">
        <is>
          <t>Infinity Venture Partners</t>
        </is>
      </c>
      <c r="AG255" s="232">
        <f>HYPERLINK("https://my.pitchbook.com?i=59932-45", "View Investor Online")</f>
      </c>
    </row>
    <row r="256">
      <c r="A256" s="69" t="inlineStr">
        <is>
          <t>14445-73F</t>
        </is>
      </c>
      <c r="B256" s="70" t="inlineStr">
        <is>
          <t>IVP Fund II</t>
        </is>
      </c>
      <c r="C256" s="71" t="inlineStr">
        <is>
          <t/>
        </is>
      </c>
      <c r="D256" s="72" t="inlineStr">
        <is>
          <t>Venture Capital</t>
        </is>
      </c>
      <c r="E256" s="73" t="n">
        <v>75.0</v>
      </c>
      <c r="F256" s="74" t="inlineStr">
        <is>
          <t>Tokyo, Japan</t>
        </is>
      </c>
      <c r="G256" s="75" t="inlineStr">
        <is>
          <t/>
        </is>
      </c>
      <c r="H256" s="76" t="n">
        <v>2011.0</v>
      </c>
      <c r="I256" s="77" t="inlineStr">
        <is>
          <t/>
        </is>
      </c>
      <c r="J256" s="78" t="inlineStr">
        <is>
          <t/>
        </is>
      </c>
      <c r="K256" s="79" t="n">
        <v>55.0</v>
      </c>
      <c r="L256" s="80" t="inlineStr">
        <is>
          <t/>
        </is>
      </c>
      <c r="M256" s="81" t="inlineStr">
        <is>
          <t/>
        </is>
      </c>
      <c r="N256" s="82" t="n">
        <v>20.4</v>
      </c>
      <c r="O256" s="83" t="inlineStr">
        <is>
          <t/>
        </is>
      </c>
      <c r="P256" s="84" t="inlineStr">
        <is>
          <t/>
        </is>
      </c>
      <c r="Q256" s="85" t="inlineStr">
        <is>
          <t/>
        </is>
      </c>
      <c r="R256" s="86" t="inlineStr">
        <is>
          <t/>
        </is>
      </c>
      <c r="S256" s="87" t="inlineStr">
        <is>
          <t/>
        </is>
      </c>
      <c r="T256" s="88" t="inlineStr">
        <is>
          <t/>
        </is>
      </c>
      <c r="U256" s="89" t="inlineStr">
        <is>
          <t/>
        </is>
      </c>
      <c r="V256" s="90" t="inlineStr">
        <is>
          <t/>
        </is>
      </c>
      <c r="W256" s="91" t="inlineStr">
        <is>
          <t/>
        </is>
      </c>
      <c r="X256" s="92" t="inlineStr">
        <is>
          <t>GP Self Reporting</t>
        </is>
      </c>
      <c r="Y256" s="93" t="inlineStr">
        <is>
          <t>2018 Y</t>
        </is>
      </c>
      <c r="Z256" s="94" t="inlineStr">
        <is>
          <t>0 - 99M</t>
        </is>
      </c>
      <c r="AA256" s="95" t="inlineStr">
        <is>
          <t>Infinity Ventures</t>
        </is>
      </c>
      <c r="AB256" s="96" t="inlineStr">
        <is>
          <t>Tokyo, Japan</t>
        </is>
      </c>
      <c r="AC256" s="97" t="inlineStr">
        <is>
          <t>Software, Movies, Music and Entertainment</t>
        </is>
      </c>
      <c r="AD256" s="98" t="inlineStr">
        <is>
          <t>Seed Round, Early Stage VC, Later Stage VC</t>
        </is>
      </c>
      <c r="AE256" s="99" t="inlineStr">
        <is>
          <t>Hong Kong, Mainland China, Taiwan</t>
        </is>
      </c>
      <c r="AF256" s="100" t="inlineStr">
        <is>
          <t>Infinity Venture Partners</t>
        </is>
      </c>
      <c r="AG256" s="233">
        <f>HYPERLINK("https://my.pitchbook.com?i=59932-45", "View Investor Online")</f>
      </c>
    </row>
    <row r="257">
      <c r="A257" s="36" t="inlineStr">
        <is>
          <t>14788-54F</t>
        </is>
      </c>
      <c r="B257" s="37" t="inlineStr">
        <is>
          <t>IVP Fund III</t>
        </is>
      </c>
      <c r="C257" s="38" t="inlineStr">
        <is>
          <t/>
        </is>
      </c>
      <c r="D257" s="39" t="inlineStr">
        <is>
          <t>Venture Capital</t>
        </is>
      </c>
      <c r="E257" s="40" t="n">
        <v>80.0</v>
      </c>
      <c r="F257" s="41" t="inlineStr">
        <is>
          <t>Tokyo, Japan</t>
        </is>
      </c>
      <c r="G257" s="42" t="inlineStr">
        <is>
          <t/>
        </is>
      </c>
      <c r="H257" s="43" t="n">
        <v>2015.0</v>
      </c>
      <c r="I257" s="44" t="inlineStr">
        <is>
          <t/>
        </is>
      </c>
      <c r="J257" s="45" t="inlineStr">
        <is>
          <t/>
        </is>
      </c>
      <c r="K257" s="46" t="inlineStr">
        <is>
          <t/>
        </is>
      </c>
      <c r="L257" s="47" t="inlineStr">
        <is>
          <t/>
        </is>
      </c>
      <c r="M257" s="48" t="inlineStr">
        <is>
          <t/>
        </is>
      </c>
      <c r="N257" s="49" t="n">
        <v>32.3</v>
      </c>
      <c r="O257" s="50" t="inlineStr">
        <is>
          <t/>
        </is>
      </c>
      <c r="P257" s="51" t="inlineStr">
        <is>
          <t/>
        </is>
      </c>
      <c r="Q257" s="52" t="inlineStr">
        <is>
          <t/>
        </is>
      </c>
      <c r="R257" s="53" t="inlineStr">
        <is>
          <t/>
        </is>
      </c>
      <c r="S257" s="54" t="inlineStr">
        <is>
          <t/>
        </is>
      </c>
      <c r="T257" s="55" t="inlineStr">
        <is>
          <t/>
        </is>
      </c>
      <c r="U257" s="56" t="inlineStr">
        <is>
          <t/>
        </is>
      </c>
      <c r="V257" s="57" t="inlineStr">
        <is>
          <t/>
        </is>
      </c>
      <c r="W257" s="58" t="inlineStr">
        <is>
          <t/>
        </is>
      </c>
      <c r="X257" s="59" t="inlineStr">
        <is>
          <t>GP Self Reporting</t>
        </is>
      </c>
      <c r="Y257" s="60" t="inlineStr">
        <is>
          <t>2018 Y</t>
        </is>
      </c>
      <c r="Z257" s="61" t="inlineStr">
        <is>
          <t>0 - 99M</t>
        </is>
      </c>
      <c r="AA257" s="62" t="inlineStr">
        <is>
          <t>Infinity Ventures</t>
        </is>
      </c>
      <c r="AB257" s="63" t="inlineStr">
        <is>
          <t>Tokyo, Japan</t>
        </is>
      </c>
      <c r="AC257" s="64" t="inlineStr">
        <is>
          <t>Information Technology, Movies, Music and Entertainment</t>
        </is>
      </c>
      <c r="AD257" s="65" t="inlineStr">
        <is>
          <t>Early Stage VC, Later Stage VC, PE Growth/Expansion, Buyout/LBO</t>
        </is>
      </c>
      <c r="AE257" s="66" t="inlineStr">
        <is>
          <t>Mainland China, Taiwan, Hong Kong</t>
        </is>
      </c>
      <c r="AF257" s="67" t="inlineStr">
        <is>
          <t>Infinity Venture Partners</t>
        </is>
      </c>
      <c r="AG257" s="232">
        <f>HYPERLINK("https://my.pitchbook.com?i=59932-45", "View Investor Online")</f>
      </c>
    </row>
    <row r="258">
      <c r="A258" s="69" t="inlineStr">
        <is>
          <t>13340-35F</t>
        </is>
      </c>
      <c r="B258" s="70" t="inlineStr">
        <is>
          <t>Kepha Partners II</t>
        </is>
      </c>
      <c r="C258" s="71" t="inlineStr">
        <is>
          <t/>
        </is>
      </c>
      <c r="D258" s="72" t="inlineStr">
        <is>
          <t>Venture Capital</t>
        </is>
      </c>
      <c r="E258" s="73" t="n">
        <v>73.69792</v>
      </c>
      <c r="F258" s="74" t="inlineStr">
        <is>
          <t>Waltham, MA</t>
        </is>
      </c>
      <c r="G258" s="75" t="n">
        <v>4.0</v>
      </c>
      <c r="H258" s="76" t="n">
        <v>2011.0</v>
      </c>
      <c r="I258" s="77" t="inlineStr">
        <is>
          <t/>
        </is>
      </c>
      <c r="J258" s="78" t="inlineStr">
        <is>
          <t/>
        </is>
      </c>
      <c r="K258" s="79" t="n">
        <v>0.0</v>
      </c>
      <c r="L258" s="80" t="n">
        <v>4.117762917091256</v>
      </c>
      <c r="M258" s="81" t="n">
        <v>30.176825265216802</v>
      </c>
      <c r="N258" s="82" t="n">
        <v>-9.98</v>
      </c>
      <c r="O258" s="83" t="inlineStr">
        <is>
          <t/>
        </is>
      </c>
      <c r="P258" s="84" t="n">
        <v>-21.08</v>
      </c>
      <c r="Q258" s="85" t="inlineStr">
        <is>
          <t/>
        </is>
      </c>
      <c r="R258" s="86" t="inlineStr">
        <is>
          <t/>
        </is>
      </c>
      <c r="S258" s="87" t="inlineStr">
        <is>
          <t/>
        </is>
      </c>
      <c r="T258" s="88" t="inlineStr">
        <is>
          <t/>
        </is>
      </c>
      <c r="U258" s="89" t="inlineStr">
        <is>
          <t/>
        </is>
      </c>
      <c r="V258" s="90" t="inlineStr">
        <is>
          <t/>
        </is>
      </c>
      <c r="W258" s="91" t="inlineStr">
        <is>
          <t/>
        </is>
      </c>
      <c r="X258" s="92" t="inlineStr">
        <is>
          <t>LP Original Commitments</t>
        </is>
      </c>
      <c r="Y258" s="93" t="inlineStr">
        <is>
          <t>2019 Y</t>
        </is>
      </c>
      <c r="Z258" s="94" t="inlineStr">
        <is>
          <t>0 - 99M</t>
        </is>
      </c>
      <c r="AA258" s="95" t="inlineStr">
        <is>
          <t>Kepha Partners</t>
        </is>
      </c>
      <c r="AB258" s="96" t="inlineStr">
        <is>
          <t>Waltham, MA</t>
        </is>
      </c>
      <c r="AC258" s="97" t="inlineStr">
        <is>
          <t>Software, Commercial Services</t>
        </is>
      </c>
      <c r="AD258" s="98" t="inlineStr">
        <is>
          <t>Seed Round, Early Stage VC, Later Stage VC</t>
        </is>
      </c>
      <c r="AE258" s="99" t="inlineStr">
        <is>
          <t/>
        </is>
      </c>
      <c r="AF258" s="100" t="inlineStr">
        <is>
          <t>Mass PRIT</t>
        </is>
      </c>
      <c r="AG258" s="233">
        <f>HYPERLINK("https://my.pitchbook.com?i=10615-60", "View Investor Online")</f>
      </c>
    </row>
    <row r="259">
      <c r="A259" s="36" t="inlineStr">
        <is>
          <t>13425-22F</t>
        </is>
      </c>
      <c r="B259" s="37" t="inlineStr">
        <is>
          <t>Lok Capital Fund II</t>
        </is>
      </c>
      <c r="C259" s="38" t="inlineStr">
        <is>
          <t/>
        </is>
      </c>
      <c r="D259" s="39" t="inlineStr">
        <is>
          <t>Venture Capital - Early Stage</t>
        </is>
      </c>
      <c r="E259" s="40" t="n">
        <v>65.0</v>
      </c>
      <c r="F259" s="41" t="inlineStr">
        <is>
          <t>Gurgaon, India</t>
        </is>
      </c>
      <c r="G259" s="42" t="inlineStr">
        <is>
          <t/>
        </is>
      </c>
      <c r="H259" s="43" t="n">
        <v>2012.0</v>
      </c>
      <c r="I259" s="44" t="n">
        <v>10.998600000000001</v>
      </c>
      <c r="J259" s="45" t="n">
        <v>7.14909</v>
      </c>
      <c r="K259" s="46" t="n">
        <v>0.0</v>
      </c>
      <c r="L259" s="47" t="inlineStr">
        <is>
          <t/>
        </is>
      </c>
      <c r="M259" s="48" t="n">
        <v>2.018055</v>
      </c>
      <c r="N259" s="49" t="inlineStr">
        <is>
          <t/>
        </is>
      </c>
      <c r="O259" s="50" t="inlineStr">
        <is>
          <t/>
        </is>
      </c>
      <c r="P259" s="51" t="inlineStr">
        <is>
          <t/>
        </is>
      </c>
      <c r="Q259" s="52" t="inlineStr">
        <is>
          <t/>
        </is>
      </c>
      <c r="R259" s="53" t="inlineStr">
        <is>
          <t/>
        </is>
      </c>
      <c r="S259" s="54" t="n">
        <v>0.28</v>
      </c>
      <c r="T259" s="55" t="inlineStr">
        <is>
          <t/>
        </is>
      </c>
      <c r="U259" s="56" t="inlineStr">
        <is>
          <t/>
        </is>
      </c>
      <c r="V259" s="57" t="inlineStr">
        <is>
          <t/>
        </is>
      </c>
      <c r="W259" s="58" t="inlineStr">
        <is>
          <t/>
        </is>
      </c>
      <c r="X259" s="59" t="inlineStr">
        <is>
          <t>LP Original Commitments</t>
        </is>
      </c>
      <c r="Y259" s="60" t="inlineStr">
        <is>
          <t>2011 Y</t>
        </is>
      </c>
      <c r="Z259" s="61" t="inlineStr">
        <is>
          <t>0 - 99M</t>
        </is>
      </c>
      <c r="AA259" s="62" t="inlineStr">
        <is>
          <t>Lok Capital</t>
        </is>
      </c>
      <c r="AB259" s="63" t="inlineStr">
        <is>
          <t>New Delhi, India</t>
        </is>
      </c>
      <c r="AC259" s="64" t="inlineStr">
        <is>
          <t>Other Financial Services</t>
        </is>
      </c>
      <c r="AD259" s="65" t="inlineStr">
        <is>
          <t>Seed Round, Early Stage VC</t>
        </is>
      </c>
      <c r="AE259" s="66" t="inlineStr">
        <is>
          <t/>
        </is>
      </c>
      <c r="AF259" s="67" t="inlineStr">
        <is>
          <t>CDC, CDC Investment Works</t>
        </is>
      </c>
      <c r="AG259" s="232">
        <f>HYPERLINK("https://my.pitchbook.com?i=53721-37", "View Investor Online")</f>
      </c>
    </row>
    <row r="260">
      <c r="A260" s="69" t="inlineStr">
        <is>
          <t>16317-64F</t>
        </is>
      </c>
      <c r="B260" s="70" t="inlineStr">
        <is>
          <t>M3 Ventures II</t>
        </is>
      </c>
      <c r="C260" s="71" t="inlineStr">
        <is>
          <t/>
        </is>
      </c>
      <c r="D260" s="72" t="inlineStr">
        <is>
          <t>Venture Capital - Early Stage</t>
        </is>
      </c>
      <c r="E260" s="73" t="n">
        <v>23.518</v>
      </c>
      <c r="F260" s="74" t="inlineStr">
        <is>
          <t>New York, NY</t>
        </is>
      </c>
      <c r="G260" s="75" t="n">
        <v>2.0</v>
      </c>
      <c r="H260" s="76" t="n">
        <v>2018.0</v>
      </c>
      <c r="I260" s="77" t="inlineStr">
        <is>
          <t/>
        </is>
      </c>
      <c r="J260" s="78" t="inlineStr">
        <is>
          <t/>
        </is>
      </c>
      <c r="K260" s="79" t="n">
        <v>8.886986175115208</v>
      </c>
      <c r="L260" s="80" t="inlineStr">
        <is>
          <t/>
        </is>
      </c>
      <c r="M260" s="81" t="inlineStr">
        <is>
          <t/>
        </is>
      </c>
      <c r="N260" s="82" t="n">
        <v>9.24</v>
      </c>
      <c r="O260" s="83" t="inlineStr">
        <is>
          <t/>
        </is>
      </c>
      <c r="P260" s="84" t="n">
        <v>3.0700000000000003</v>
      </c>
      <c r="Q260" s="85" t="inlineStr">
        <is>
          <t/>
        </is>
      </c>
      <c r="R260" s="86" t="inlineStr">
        <is>
          <t/>
        </is>
      </c>
      <c r="S260" s="87" t="inlineStr">
        <is>
          <t/>
        </is>
      </c>
      <c r="T260" s="88" t="inlineStr">
        <is>
          <t/>
        </is>
      </c>
      <c r="U260" s="89" t="inlineStr">
        <is>
          <t/>
        </is>
      </c>
      <c r="V260" s="90" t="inlineStr">
        <is>
          <t/>
        </is>
      </c>
      <c r="W260" s="91" t="inlineStr">
        <is>
          <t/>
        </is>
      </c>
      <c r="X260" s="92" t="inlineStr">
        <is>
          <t>GP Self Reporting</t>
        </is>
      </c>
      <c r="Y260" s="93" t="inlineStr">
        <is>
          <t>2020 Y</t>
        </is>
      </c>
      <c r="Z260" s="94" t="inlineStr">
        <is>
          <t>0 - 99M</t>
        </is>
      </c>
      <c r="AA260" s="95" t="inlineStr">
        <is>
          <t>M3 Ventures</t>
        </is>
      </c>
      <c r="AB260" s="96" t="inlineStr">
        <is>
          <t>New York, NY</t>
        </is>
      </c>
      <c r="AC260" s="97" t="inlineStr">
        <is>
          <t>Consumer Non-Durables, Retail</t>
        </is>
      </c>
      <c r="AD260" s="98" t="inlineStr">
        <is>
          <t>Seed Round, Early Stage VC</t>
        </is>
      </c>
      <c r="AE260" s="99" t="inlineStr">
        <is>
          <t>United States</t>
        </is>
      </c>
      <c r="AF260" s="100" t="inlineStr">
        <is>
          <t>M3V</t>
        </is>
      </c>
      <c r="AG260" s="233">
        <f>HYPERLINK("https://my.pitchbook.com?i=124419-43", "View Investor Online")</f>
      </c>
    </row>
    <row r="261">
      <c r="A261" s="36" t="inlineStr">
        <is>
          <t>16886-53F</t>
        </is>
      </c>
      <c r="B261" s="37" t="inlineStr">
        <is>
          <t>MGP I</t>
        </is>
      </c>
      <c r="C261" s="38" t="inlineStr">
        <is>
          <t>Montreux Equity Partners V</t>
        </is>
      </c>
      <c r="D261" s="39" t="inlineStr">
        <is>
          <t>Venture Capital</t>
        </is>
      </c>
      <c r="E261" s="40" t="n">
        <v>75.9</v>
      </c>
      <c r="F261" s="41" t="inlineStr">
        <is>
          <t>San Francisco, CA</t>
        </is>
      </c>
      <c r="G261" s="42" t="n">
        <v>3.0</v>
      </c>
      <c r="H261" s="43" t="n">
        <v>2015.0</v>
      </c>
      <c r="I261" s="44" t="n">
        <v>87.48353096179184</v>
      </c>
      <c r="J261" s="45" t="n">
        <v>66.4</v>
      </c>
      <c r="K261" s="46" t="n">
        <v>3.323686913143464</v>
      </c>
      <c r="L261" s="47" t="n">
        <v>16.2</v>
      </c>
      <c r="M261" s="48" t="inlineStr">
        <is>
          <t/>
        </is>
      </c>
      <c r="N261" s="49" t="n">
        <v>7.7</v>
      </c>
      <c r="O261" s="50" t="inlineStr">
        <is>
          <t/>
        </is>
      </c>
      <c r="P261" s="51" t="n">
        <v>-7.3</v>
      </c>
      <c r="Q261" s="52" t="n">
        <v>0.243975904</v>
      </c>
      <c r="R261" s="53" t="n">
        <v>0.123975904</v>
      </c>
      <c r="S261" s="54" t="inlineStr">
        <is>
          <t/>
        </is>
      </c>
      <c r="T261" s="55" t="inlineStr">
        <is>
          <t/>
        </is>
      </c>
      <c r="U261" s="56" t="inlineStr">
        <is>
          <t/>
        </is>
      </c>
      <c r="V261" s="57" t="inlineStr">
        <is>
          <t/>
        </is>
      </c>
      <c r="W261" s="58" t="inlineStr">
        <is>
          <t/>
        </is>
      </c>
      <c r="X261" s="59" t="inlineStr">
        <is>
          <t>GP Self Reporting</t>
        </is>
      </c>
      <c r="Y261" s="60" t="inlineStr">
        <is>
          <t>2019 Y</t>
        </is>
      </c>
      <c r="Z261" s="61" t="inlineStr">
        <is>
          <t>0 - 99M</t>
        </is>
      </c>
      <c r="AA261" s="62" t="inlineStr">
        <is>
          <t>Montreux Growth Partners</t>
        </is>
      </c>
      <c r="AB261" s="63" t="inlineStr">
        <is>
          <t>San Francisco, CA</t>
        </is>
      </c>
      <c r="AC261" s="64" t="inlineStr">
        <is>
          <t>Software, Other Healthcare, Pharmaceuticals and Biotechnology</t>
        </is>
      </c>
      <c r="AD261" s="65" t="inlineStr">
        <is>
          <t>Seed Round, Early Stage VC, Later Stage VC</t>
        </is>
      </c>
      <c r="AE261" s="66" t="inlineStr">
        <is>
          <t/>
        </is>
      </c>
      <c r="AF261" s="67" t="inlineStr">
        <is>
          <t>Montreux, MGP</t>
        </is>
      </c>
      <c r="AG261" s="232">
        <f>HYPERLINK("https://my.pitchbook.com?i=340818-40", "View Investor Online")</f>
      </c>
    </row>
    <row r="262">
      <c r="A262" s="69" t="inlineStr">
        <is>
          <t>16886-62F</t>
        </is>
      </c>
      <c r="B262" s="70" t="inlineStr">
        <is>
          <t>MGP II</t>
        </is>
      </c>
      <c r="C262" s="71" t="inlineStr">
        <is>
          <t/>
        </is>
      </c>
      <c r="D262" s="72" t="inlineStr">
        <is>
          <t>Venture Capital</t>
        </is>
      </c>
      <c r="E262" s="73" t="n">
        <v>30.1</v>
      </c>
      <c r="F262" s="74" t="inlineStr">
        <is>
          <t>San Francisco, CA</t>
        </is>
      </c>
      <c r="G262" s="75" t="n">
        <v>1.0</v>
      </c>
      <c r="H262" s="76" t="n">
        <v>2018.0</v>
      </c>
      <c r="I262" s="77" t="n">
        <v>72.75747508305648</v>
      </c>
      <c r="J262" s="78" t="n">
        <v>21.9</v>
      </c>
      <c r="K262" s="79" t="n">
        <v>16.97703535705978</v>
      </c>
      <c r="L262" s="80" t="n">
        <v>0.0</v>
      </c>
      <c r="M262" s="81" t="inlineStr">
        <is>
          <t/>
        </is>
      </c>
      <c r="N262" s="82" t="n">
        <v>52.9</v>
      </c>
      <c r="O262" s="83" t="inlineStr">
        <is>
          <t/>
        </is>
      </c>
      <c r="P262" s="84" t="n">
        <v>39.71</v>
      </c>
      <c r="Q262" s="85" t="n">
        <v>0.0</v>
      </c>
      <c r="R262" s="86" t="n">
        <v>0.0</v>
      </c>
      <c r="S262" s="87" t="inlineStr">
        <is>
          <t/>
        </is>
      </c>
      <c r="T262" s="88" t="inlineStr">
        <is>
          <t/>
        </is>
      </c>
      <c r="U262" s="89" t="inlineStr">
        <is>
          <t/>
        </is>
      </c>
      <c r="V262" s="90" t="inlineStr">
        <is>
          <t/>
        </is>
      </c>
      <c r="W262" s="91" t="inlineStr">
        <is>
          <t/>
        </is>
      </c>
      <c r="X262" s="92" t="inlineStr">
        <is>
          <t>GP Self Reporting</t>
        </is>
      </c>
      <c r="Y262" s="93" t="inlineStr">
        <is>
          <t>2019 Y</t>
        </is>
      </c>
      <c r="Z262" s="94" t="inlineStr">
        <is>
          <t>0 - 99M</t>
        </is>
      </c>
      <c r="AA262" s="95" t="inlineStr">
        <is>
          <t>Montreux Growth Partners</t>
        </is>
      </c>
      <c r="AB262" s="96" t="inlineStr">
        <is>
          <t>San Francisco, CA</t>
        </is>
      </c>
      <c r="AC262" s="97" t="inlineStr">
        <is>
          <t>Healthcare Devices and Supplies, Consumer Non-Durables, Pharmaceuticals and Biotechnology</t>
        </is>
      </c>
      <c r="AD262" s="98" t="inlineStr">
        <is>
          <t>Seed Round, Early Stage VC, Later Stage VC</t>
        </is>
      </c>
      <c r="AE262" s="99" t="inlineStr">
        <is>
          <t/>
        </is>
      </c>
      <c r="AF262" s="100" t="inlineStr">
        <is>
          <t>Montreux, MGP</t>
        </is>
      </c>
      <c r="AG262" s="233">
        <f>HYPERLINK("https://my.pitchbook.com?i=340818-40", "View Investor Online")</f>
      </c>
    </row>
    <row r="263">
      <c r="A263" s="36" t="inlineStr">
        <is>
          <t>13856-05F</t>
        </is>
      </c>
      <c r="B263" s="37" t="inlineStr">
        <is>
          <t>NCT Ventures Fund II</t>
        </is>
      </c>
      <c r="C263" s="38" t="inlineStr">
        <is>
          <t/>
        </is>
      </c>
      <c r="D263" s="39" t="inlineStr">
        <is>
          <t>Venture Capital</t>
        </is>
      </c>
      <c r="E263" s="40" t="n">
        <v>34.25</v>
      </c>
      <c r="F263" s="41" t="inlineStr">
        <is>
          <t>Columbus, OH</t>
        </is>
      </c>
      <c r="G263" s="42" t="n">
        <v>3.0</v>
      </c>
      <c r="H263" s="43" t="n">
        <v>2013.0</v>
      </c>
      <c r="I263" s="44" t="inlineStr">
        <is>
          <t/>
        </is>
      </c>
      <c r="J263" s="45" t="inlineStr">
        <is>
          <t/>
        </is>
      </c>
      <c r="K263" s="46" t="n">
        <v>0.9432786885245903</v>
      </c>
      <c r="L263" s="47" t="n">
        <v>2.742503</v>
      </c>
      <c r="M263" s="48" t="n">
        <v>34.981507</v>
      </c>
      <c r="N263" s="49" t="n">
        <v>7.0</v>
      </c>
      <c r="O263" s="50" t="inlineStr">
        <is>
          <t/>
        </is>
      </c>
      <c r="P263" s="51" t="n">
        <v>-1.1600000000000001</v>
      </c>
      <c r="Q263" s="52" t="inlineStr">
        <is>
          <t/>
        </is>
      </c>
      <c r="R263" s="53" t="inlineStr">
        <is>
          <t/>
        </is>
      </c>
      <c r="S263" s="54" t="inlineStr">
        <is>
          <t/>
        </is>
      </c>
      <c r="T263" s="55" t="inlineStr">
        <is>
          <t/>
        </is>
      </c>
      <c r="U263" s="56" t="inlineStr">
        <is>
          <t/>
        </is>
      </c>
      <c r="V263" s="57" t="inlineStr">
        <is>
          <t/>
        </is>
      </c>
      <c r="W263" s="58" t="inlineStr">
        <is>
          <t/>
        </is>
      </c>
      <c r="X263" s="59" t="inlineStr">
        <is>
          <t>GP Self Reporting</t>
        </is>
      </c>
      <c r="Y263" s="60" t="inlineStr">
        <is>
          <t>2018 Y</t>
        </is>
      </c>
      <c r="Z263" s="61" t="inlineStr">
        <is>
          <t>0 - 99M</t>
        </is>
      </c>
      <c r="AA263" s="62" t="inlineStr">
        <is>
          <t>NCT Ventures</t>
        </is>
      </c>
      <c r="AB263" s="63" t="inlineStr">
        <is>
          <t>Columbus, OH</t>
        </is>
      </c>
      <c r="AC263" s="64" t="inlineStr">
        <is>
          <t>Software</t>
        </is>
      </c>
      <c r="AD263" s="65" t="inlineStr">
        <is>
          <t>Seed Round, Early Stage VC, Later Stage VC</t>
        </is>
      </c>
      <c r="AE263" s="66" t="inlineStr">
        <is>
          <t>United States</t>
        </is>
      </c>
      <c r="AF263" s="67" t="inlineStr">
        <is>
          <t>NCT</t>
        </is>
      </c>
      <c r="AG263" s="232">
        <f>HYPERLINK("https://my.pitchbook.com?i=51485-32", "View Investor Online")</f>
      </c>
    </row>
    <row r="264">
      <c r="A264" s="69" t="inlineStr">
        <is>
          <t>13611-97F</t>
        </is>
      </c>
      <c r="B264" s="70" t="inlineStr">
        <is>
          <t>New Atlantic Venture Fund IV</t>
        </is>
      </c>
      <c r="C264" s="71" t="inlineStr">
        <is>
          <t/>
        </is>
      </c>
      <c r="D264" s="72" t="inlineStr">
        <is>
          <t>Venture Capital - Early Stage</t>
        </is>
      </c>
      <c r="E264" s="73" t="n">
        <v>23.5</v>
      </c>
      <c r="F264" s="74" t="inlineStr">
        <is>
          <t>Reston, VA</t>
        </is>
      </c>
      <c r="G264" s="75" t="n">
        <v>3.0</v>
      </c>
      <c r="H264" s="76" t="n">
        <v>2013.0</v>
      </c>
      <c r="I264" s="77" t="inlineStr">
        <is>
          <t/>
        </is>
      </c>
      <c r="J264" s="78" t="inlineStr">
        <is>
          <t/>
        </is>
      </c>
      <c r="K264" s="79" t="n">
        <v>0.9171529039236384</v>
      </c>
      <c r="L264" s="80" t="inlineStr">
        <is>
          <t/>
        </is>
      </c>
      <c r="M264" s="81" t="inlineStr">
        <is>
          <t/>
        </is>
      </c>
      <c r="N264" s="82" t="n">
        <v>7.9</v>
      </c>
      <c r="O264" s="83" t="inlineStr">
        <is>
          <t/>
        </is>
      </c>
      <c r="P264" s="84" t="n">
        <v>-2.49</v>
      </c>
      <c r="Q264" s="85" t="inlineStr">
        <is>
          <t/>
        </is>
      </c>
      <c r="R264" s="86" t="inlineStr">
        <is>
          <t/>
        </is>
      </c>
      <c r="S264" s="87" t="inlineStr">
        <is>
          <t/>
        </is>
      </c>
      <c r="T264" s="88" t="inlineStr">
        <is>
          <t/>
        </is>
      </c>
      <c r="U264" s="89" t="inlineStr">
        <is>
          <t/>
        </is>
      </c>
      <c r="V264" s="90" t="inlineStr">
        <is>
          <t/>
        </is>
      </c>
      <c r="W264" s="91" t="inlineStr">
        <is>
          <t/>
        </is>
      </c>
      <c r="X264" s="92" t="inlineStr">
        <is>
          <t>GP Self Reporting</t>
        </is>
      </c>
      <c r="Y264" s="93" t="inlineStr">
        <is>
          <t>2015 Y</t>
        </is>
      </c>
      <c r="Z264" s="94" t="inlineStr">
        <is>
          <t>0 - 99M</t>
        </is>
      </c>
      <c r="AA264" s="95" t="inlineStr">
        <is>
          <t>NAV.VC</t>
        </is>
      </c>
      <c r="AB264" s="96" t="inlineStr">
        <is>
          <t>Reston, VA</t>
        </is>
      </c>
      <c r="AC264" s="97" t="inlineStr">
        <is>
          <t>Software</t>
        </is>
      </c>
      <c r="AD264" s="98" t="inlineStr">
        <is>
          <t>Seed Round, Early Stage VC</t>
        </is>
      </c>
      <c r="AE264" s="99" t="inlineStr">
        <is>
          <t/>
        </is>
      </c>
      <c r="AF264" s="100" t="inlineStr">
        <is>
          <t>NAV</t>
        </is>
      </c>
      <c r="AG264" s="233">
        <f>HYPERLINK("https://my.pitchbook.com?i=11166-76", "View Investor Online")</f>
      </c>
    </row>
    <row r="265">
      <c r="A265" s="36" t="inlineStr">
        <is>
          <t>15503-59F</t>
        </is>
      </c>
      <c r="B265" s="37" t="inlineStr">
        <is>
          <t>Next Stage Fund</t>
        </is>
      </c>
      <c r="C265" s="38" t="inlineStr">
        <is>
          <t/>
        </is>
      </c>
      <c r="D265" s="39" t="inlineStr">
        <is>
          <t>Venture Capital</t>
        </is>
      </c>
      <c r="E265" s="40" t="n">
        <v>52.40779</v>
      </c>
      <c r="F265" s="41" t="inlineStr">
        <is>
          <t>London, United Kingdom</t>
        </is>
      </c>
      <c r="G265" s="42" t="inlineStr">
        <is>
          <t/>
        </is>
      </c>
      <c r="H265" s="43" t="n">
        <v>2016.0</v>
      </c>
      <c r="I265" s="44" t="n">
        <v>24.0436</v>
      </c>
      <c r="J265" s="45" t="n">
        <v>12.600719034858168</v>
      </c>
      <c r="K265" s="46" t="n">
        <v>16.733176474311566</v>
      </c>
      <c r="L265" s="47" t="inlineStr">
        <is>
          <t/>
        </is>
      </c>
      <c r="M265" s="48" t="n">
        <v>12.600719034858168</v>
      </c>
      <c r="N265" s="49" t="inlineStr">
        <is>
          <t/>
        </is>
      </c>
      <c r="O265" s="50" t="inlineStr">
        <is>
          <t/>
        </is>
      </c>
      <c r="P265" s="51" t="inlineStr">
        <is>
          <t/>
        </is>
      </c>
      <c r="Q265" s="52" t="inlineStr">
        <is>
          <t/>
        </is>
      </c>
      <c r="R265" s="53" t="inlineStr">
        <is>
          <t/>
        </is>
      </c>
      <c r="S265" s="54" t="n">
        <v>1.0</v>
      </c>
      <c r="T265" s="55" t="n">
        <v>0.05427000000000004</v>
      </c>
      <c r="U265" s="56" t="inlineStr">
        <is>
          <t/>
        </is>
      </c>
      <c r="V265" s="57" t="inlineStr">
        <is>
          <t/>
        </is>
      </c>
      <c r="W265" s="58" t="inlineStr">
        <is>
          <t/>
        </is>
      </c>
      <c r="X265" s="59" t="inlineStr">
        <is>
          <t>LP Original Commitments</t>
        </is>
      </c>
      <c r="Y265" s="60" t="inlineStr">
        <is>
          <t>2017 Y</t>
        </is>
      </c>
      <c r="Z265" s="61" t="inlineStr">
        <is>
          <t>0 - 99M</t>
        </is>
      </c>
      <c r="AA265" s="62" t="inlineStr">
        <is>
          <t>Entrepreneur First</t>
        </is>
      </c>
      <c r="AB265" s="63" t="inlineStr">
        <is>
          <t>London, United Kingdom</t>
        </is>
      </c>
      <c r="AC265" s="64" t="inlineStr">
        <is>
          <t>Software</t>
        </is>
      </c>
      <c r="AD265" s="65" t="inlineStr">
        <is>
          <t>Seed Round, Early Stage VC</t>
        </is>
      </c>
      <c r="AE265" s="66" t="inlineStr">
        <is>
          <t/>
        </is>
      </c>
      <c r="AF265" s="67" t="inlineStr">
        <is>
          <t>Imperial College London Endowment</t>
        </is>
      </c>
      <c r="AG265" s="232">
        <f>HYPERLINK("https://my.pitchbook.com?i=64215-37", "View Investor Online")</f>
      </c>
    </row>
    <row r="266">
      <c r="A266" s="69" t="inlineStr">
        <is>
          <t>12831-22F</t>
        </is>
      </c>
      <c r="B266" s="70" t="inlineStr">
        <is>
          <t>North East Technology Fund</t>
        </is>
      </c>
      <c r="C266" s="71" t="inlineStr">
        <is>
          <t/>
        </is>
      </c>
      <c r="D266" s="72" t="inlineStr">
        <is>
          <t>Venture Capital</t>
        </is>
      </c>
      <c r="E266" s="73" t="n">
        <v>61.28518</v>
      </c>
      <c r="F266" s="74" t="inlineStr">
        <is>
          <t>London, United Kingdom</t>
        </is>
      </c>
      <c r="G266" s="75" t="inlineStr">
        <is>
          <t/>
        </is>
      </c>
      <c r="H266" s="76" t="n">
        <v>2010.0</v>
      </c>
      <c r="I266" s="77" t="n">
        <v>96.59149068421053</v>
      </c>
      <c r="J266" s="78" t="n">
        <v>59.19627137723933</v>
      </c>
      <c r="K266" s="79" t="n">
        <v>0.0</v>
      </c>
      <c r="L266" s="80" t="n">
        <v>15.239542812538302</v>
      </c>
      <c r="M266" s="81" t="n">
        <v>-23.120799545844545</v>
      </c>
      <c r="N266" s="82" t="n">
        <v>-15.65</v>
      </c>
      <c r="O266" s="83" t="inlineStr">
        <is>
          <t/>
        </is>
      </c>
      <c r="P266" s="84" t="inlineStr">
        <is>
          <t/>
        </is>
      </c>
      <c r="Q266" s="85" t="n">
        <v>0.257440924</v>
      </c>
      <c r="R266" s="86" t="inlineStr">
        <is>
          <t/>
        </is>
      </c>
      <c r="S266" s="87" t="inlineStr">
        <is>
          <t/>
        </is>
      </c>
      <c r="T266" s="88" t="inlineStr">
        <is>
          <t/>
        </is>
      </c>
      <c r="U266" s="89" t="inlineStr">
        <is>
          <t/>
        </is>
      </c>
      <c r="V266" s="90" t="inlineStr">
        <is>
          <t/>
        </is>
      </c>
      <c r="W266" s="91" t="inlineStr">
        <is>
          <t/>
        </is>
      </c>
      <c r="X266" s="92" t="inlineStr">
        <is>
          <t>GP Self Reporting</t>
        </is>
      </c>
      <c r="Y266" s="93" t="inlineStr">
        <is>
          <t>2018 Y</t>
        </is>
      </c>
      <c r="Z266" s="94" t="inlineStr">
        <is>
          <t>0 - 99M</t>
        </is>
      </c>
      <c r="AA266" s="95" t="inlineStr">
        <is>
          <t>IP Group, Joint European Resources for Micro to Medium Enterprises, North East Finance</t>
        </is>
      </c>
      <c r="AB266" s="96" t="inlineStr">
        <is>
          <t>London, United Kingdom</t>
        </is>
      </c>
      <c r="AC266" s="97" t="inlineStr">
        <is>
          <t>Software</t>
        </is>
      </c>
      <c r="AD266" s="98" t="inlineStr">
        <is>
          <t>Seed Round, Early Stage VC, Later Stage VC</t>
        </is>
      </c>
      <c r="AE266" s="99" t="inlineStr">
        <is>
          <t/>
        </is>
      </c>
      <c r="AF266" s="100" t="inlineStr">
        <is>
          <t>IP Group</t>
        </is>
      </c>
      <c r="AG266" s="233">
        <f>HYPERLINK("https://my.pitchbook.com?i=10416-88", "View Investor Online")</f>
      </c>
    </row>
    <row r="267">
      <c r="A267" s="36" t="inlineStr">
        <is>
          <t>12598-12F</t>
        </is>
      </c>
      <c r="B267" s="37" t="inlineStr">
        <is>
          <t>Oakhill Venture Partners</t>
        </is>
      </c>
      <c r="C267" s="38" t="inlineStr">
        <is>
          <t/>
        </is>
      </c>
      <c r="D267" s="39" t="inlineStr">
        <is>
          <t>Venture Capital</t>
        </is>
      </c>
      <c r="E267" s="40" t="n">
        <v>50.0</v>
      </c>
      <c r="F267" s="41" t="inlineStr">
        <is>
          <t>Menlo Park, CA</t>
        </is>
      </c>
      <c r="G267" s="42" t="inlineStr">
        <is>
          <t/>
        </is>
      </c>
      <c r="H267" s="43" t="n">
        <v>2010.0</v>
      </c>
      <c r="I267" s="44" t="n">
        <v>100.0</v>
      </c>
      <c r="J267" s="45" t="n">
        <v>50.15683</v>
      </c>
      <c r="K267" s="46" t="n">
        <v>0.0</v>
      </c>
      <c r="L267" s="47" t="n">
        <v>93.999577</v>
      </c>
      <c r="M267" s="48" t="inlineStr">
        <is>
          <t/>
        </is>
      </c>
      <c r="N267" s="49" t="inlineStr">
        <is>
          <t/>
        </is>
      </c>
      <c r="O267" s="50" t="inlineStr">
        <is>
          <t/>
        </is>
      </c>
      <c r="P267" s="51" t="inlineStr">
        <is>
          <t/>
        </is>
      </c>
      <c r="Q267" s="52" t="n">
        <v>1.87</v>
      </c>
      <c r="R267" s="53" t="n">
        <v>1.0500000000000003</v>
      </c>
      <c r="S267" s="54" t="inlineStr">
        <is>
          <t/>
        </is>
      </c>
      <c r="T267" s="55" t="inlineStr">
        <is>
          <t/>
        </is>
      </c>
      <c r="U267" s="56" t="inlineStr">
        <is>
          <t/>
        </is>
      </c>
      <c r="V267" s="57" t="inlineStr">
        <is>
          <t/>
        </is>
      </c>
      <c r="W267" s="58" t="inlineStr">
        <is>
          <t/>
        </is>
      </c>
      <c r="X267" s="59" t="inlineStr">
        <is>
          <t>LP Original Commitments</t>
        </is>
      </c>
      <c r="Y267" s="60" t="inlineStr">
        <is>
          <t>2018 Y</t>
        </is>
      </c>
      <c r="Z267" s="61" t="inlineStr">
        <is>
          <t>0 - 99M</t>
        </is>
      </c>
      <c r="AA267" s="62" t="inlineStr">
        <is>
          <t>Oak Hill Venture Partners</t>
        </is>
      </c>
      <c r="AB267" s="63" t="inlineStr">
        <is>
          <t>Menlo Park, CA</t>
        </is>
      </c>
      <c r="AC267" s="64" t="inlineStr">
        <is>
          <t>Software, Commercial Services</t>
        </is>
      </c>
      <c r="AD267" s="65" t="inlineStr">
        <is>
          <t>Early Stage VC</t>
        </is>
      </c>
      <c r="AE267" s="66" t="inlineStr">
        <is>
          <t>United States</t>
        </is>
      </c>
      <c r="AF267" s="67" t="inlineStr">
        <is>
          <t>Pennsylvania SERS</t>
        </is>
      </c>
      <c r="AG267" s="232">
        <f>HYPERLINK("https://my.pitchbook.com?i=11260-18", "View Investor Online")</f>
      </c>
    </row>
    <row r="268">
      <c r="A268" s="69" t="inlineStr">
        <is>
          <t>14774-77F</t>
        </is>
      </c>
      <c r="B268" s="70" t="inlineStr">
        <is>
          <t>OCA Ventures III</t>
        </is>
      </c>
      <c r="C268" s="71" t="inlineStr">
        <is>
          <t/>
        </is>
      </c>
      <c r="D268" s="72" t="inlineStr">
        <is>
          <t>Venture Capital</t>
        </is>
      </c>
      <c r="E268" s="73" t="n">
        <v>73.0</v>
      </c>
      <c r="F268" s="74" t="inlineStr">
        <is>
          <t>Chicago, IL</t>
        </is>
      </c>
      <c r="G268" s="75" t="inlineStr">
        <is>
          <t/>
        </is>
      </c>
      <c r="H268" s="76" t="n">
        <v>2014.0</v>
      </c>
      <c r="I268" s="77" t="n">
        <v>57.80821917808219</v>
      </c>
      <c r="J268" s="78" t="n">
        <v>42.2</v>
      </c>
      <c r="K268" s="79" t="n">
        <v>1.4664380205781482</v>
      </c>
      <c r="L268" s="80" t="inlineStr">
        <is>
          <t/>
        </is>
      </c>
      <c r="M268" s="81" t="n">
        <v>56.6</v>
      </c>
      <c r="N268" s="82" t="inlineStr">
        <is>
          <t/>
        </is>
      </c>
      <c r="O268" s="83" t="inlineStr">
        <is>
          <t/>
        </is>
      </c>
      <c r="P268" s="84" t="inlineStr">
        <is>
          <t/>
        </is>
      </c>
      <c r="Q268" s="85" t="inlineStr">
        <is>
          <t/>
        </is>
      </c>
      <c r="R268" s="86" t="inlineStr">
        <is>
          <t/>
        </is>
      </c>
      <c r="S268" s="87" t="n">
        <v>1.341232227</v>
      </c>
      <c r="T268" s="88" t="n">
        <v>0.16123222700000017</v>
      </c>
      <c r="U268" s="89" t="inlineStr">
        <is>
          <t/>
        </is>
      </c>
      <c r="V268" s="90" t="inlineStr">
        <is>
          <t/>
        </is>
      </c>
      <c r="W268" s="91" t="inlineStr">
        <is>
          <t/>
        </is>
      </c>
      <c r="X268" s="92" t="inlineStr">
        <is>
          <t>GP Self Reporting</t>
        </is>
      </c>
      <c r="Y268" s="93" t="inlineStr">
        <is>
          <t>2018 Y</t>
        </is>
      </c>
      <c r="Z268" s="94" t="inlineStr">
        <is>
          <t>0 - 99M</t>
        </is>
      </c>
      <c r="AA268" s="95" t="inlineStr">
        <is>
          <t>OCA Ventures</t>
        </is>
      </c>
      <c r="AB268" s="96" t="inlineStr">
        <is>
          <t>Chicago, IL</t>
        </is>
      </c>
      <c r="AC268" s="97" t="inlineStr">
        <is>
          <t>Software</t>
        </is>
      </c>
      <c r="AD268" s="98" t="inlineStr">
        <is>
          <t>Seed Round, Early Stage VC, Later Stage VC</t>
        </is>
      </c>
      <c r="AE268" s="99" t="inlineStr">
        <is>
          <t>United States</t>
        </is>
      </c>
      <c r="AF268" s="100" t="inlineStr">
        <is>
          <t>OCA</t>
        </is>
      </c>
      <c r="AG268" s="233">
        <f>HYPERLINK("https://my.pitchbook.com?i=11260-45", "View Investor Online")</f>
      </c>
    </row>
    <row r="269">
      <c r="A269" s="36" t="inlineStr">
        <is>
          <t>11592-37F</t>
        </is>
      </c>
      <c r="B269" s="37" t="inlineStr">
        <is>
          <t>Rembrandt Venture Partners Fund Three</t>
        </is>
      </c>
      <c r="C269" s="38" t="inlineStr">
        <is>
          <t/>
        </is>
      </c>
      <c r="D269" s="39" t="inlineStr">
        <is>
          <t>Venture Capital - Early Stage</t>
        </is>
      </c>
      <c r="E269" s="40" t="n">
        <v>55.4</v>
      </c>
      <c r="F269" s="41" t="inlineStr">
        <is>
          <t>San Francisco, CA</t>
        </is>
      </c>
      <c r="G269" s="42" t="inlineStr">
        <is>
          <t/>
        </is>
      </c>
      <c r="H269" s="43" t="n">
        <v>2012.0</v>
      </c>
      <c r="I269" s="44" t="inlineStr">
        <is>
          <t/>
        </is>
      </c>
      <c r="J269" s="45" t="inlineStr">
        <is>
          <t/>
        </is>
      </c>
      <c r="K269" s="46" t="n">
        <v>1.8281999999999998</v>
      </c>
      <c r="L269" s="47" t="n">
        <v>12.316647110000002</v>
      </c>
      <c r="M269" s="48" t="n">
        <v>72.51439791</v>
      </c>
      <c r="N269" s="49" t="n">
        <v>11.73</v>
      </c>
      <c r="O269" s="50" t="inlineStr">
        <is>
          <t/>
        </is>
      </c>
      <c r="P269" s="51" t="inlineStr">
        <is>
          <t/>
        </is>
      </c>
      <c r="Q269" s="52" t="inlineStr">
        <is>
          <t/>
        </is>
      </c>
      <c r="R269" s="53" t="inlineStr">
        <is>
          <t/>
        </is>
      </c>
      <c r="S269" s="54" t="inlineStr">
        <is>
          <t/>
        </is>
      </c>
      <c r="T269" s="55" t="inlineStr">
        <is>
          <t/>
        </is>
      </c>
      <c r="U269" s="56" t="inlineStr">
        <is>
          <t/>
        </is>
      </c>
      <c r="V269" s="57" t="inlineStr">
        <is>
          <t/>
        </is>
      </c>
      <c r="W269" s="58" t="inlineStr">
        <is>
          <t/>
        </is>
      </c>
      <c r="X269" s="59" t="inlineStr">
        <is>
          <t>LP Original Commitments</t>
        </is>
      </c>
      <c r="Y269" s="60" t="inlineStr">
        <is>
          <t>2019 Y</t>
        </is>
      </c>
      <c r="Z269" s="61" t="inlineStr">
        <is>
          <t>0 - 99M</t>
        </is>
      </c>
      <c r="AA269" s="62" t="inlineStr">
        <is>
          <t>Rembrandt Venture Partners</t>
        </is>
      </c>
      <c r="AB269" s="63" t="inlineStr">
        <is>
          <t>San Francisco, CA</t>
        </is>
      </c>
      <c r="AC269" s="64" t="inlineStr">
        <is>
          <t>Software</t>
        </is>
      </c>
      <c r="AD269" s="65" t="inlineStr">
        <is>
          <t>Later Stage VC, Early Stage VC, Debt - General, Angel (individual), Seed Round</t>
        </is>
      </c>
      <c r="AE269" s="66" t="inlineStr">
        <is>
          <t>United States, United States</t>
        </is>
      </c>
      <c r="AF269" s="67" t="inlineStr">
        <is>
          <t>Mass PRIT</t>
        </is>
      </c>
      <c r="AG269" s="232">
        <f>HYPERLINK("https://my.pitchbook.com?i=11282-32", "View Investor Online")</f>
      </c>
    </row>
    <row r="270">
      <c r="A270" s="69" t="inlineStr">
        <is>
          <t>13680-37F</t>
        </is>
      </c>
      <c r="B270" s="70" t="inlineStr">
        <is>
          <t>Rethink Education</t>
        </is>
      </c>
      <c r="C270" s="71" t="inlineStr">
        <is>
          <t/>
        </is>
      </c>
      <c r="D270" s="72" t="inlineStr">
        <is>
          <t>Venture Capital</t>
        </is>
      </c>
      <c r="E270" s="73" t="n">
        <v>58.475</v>
      </c>
      <c r="F270" s="74" t="inlineStr">
        <is>
          <t>White Plains, NY</t>
        </is>
      </c>
      <c r="G270" s="75" t="n">
        <v>2.0</v>
      </c>
      <c r="H270" s="76" t="n">
        <v>2014.0</v>
      </c>
      <c r="I270" s="77" t="n">
        <v>99.87174005985463</v>
      </c>
      <c r="J270" s="78" t="n">
        <v>58.4</v>
      </c>
      <c r="K270" s="79" t="n">
        <v>1.1746570308672222</v>
      </c>
      <c r="L270" s="80" t="inlineStr">
        <is>
          <t/>
        </is>
      </c>
      <c r="M270" s="81" t="inlineStr">
        <is>
          <t/>
        </is>
      </c>
      <c r="N270" s="82" t="n">
        <v>15.4</v>
      </c>
      <c r="O270" s="83" t="inlineStr">
        <is>
          <t/>
        </is>
      </c>
      <c r="P270" s="84" t="n">
        <v>1.4399999999999995</v>
      </c>
      <c r="Q270" s="85" t="inlineStr">
        <is>
          <t/>
        </is>
      </c>
      <c r="R270" s="86" t="inlineStr">
        <is>
          <t/>
        </is>
      </c>
      <c r="S270" s="87" t="inlineStr">
        <is>
          <t/>
        </is>
      </c>
      <c r="T270" s="88" t="inlineStr">
        <is>
          <t/>
        </is>
      </c>
      <c r="U270" s="89" t="inlineStr">
        <is>
          <t/>
        </is>
      </c>
      <c r="V270" s="90" t="inlineStr">
        <is>
          <t/>
        </is>
      </c>
      <c r="W270" s="91" t="inlineStr">
        <is>
          <t/>
        </is>
      </c>
      <c r="X270" s="92" t="inlineStr">
        <is>
          <t>GP Self Reporting</t>
        </is>
      </c>
      <c r="Y270" s="93" t="inlineStr">
        <is>
          <t>2018 Y</t>
        </is>
      </c>
      <c r="Z270" s="94" t="inlineStr">
        <is>
          <t>0 - 99M</t>
        </is>
      </c>
      <c r="AA270" s="95" t="inlineStr">
        <is>
          <t>Rethink Capital Partners</t>
        </is>
      </c>
      <c r="AB270" s="96" t="inlineStr">
        <is>
          <t>White Plains, NY</t>
        </is>
      </c>
      <c r="AC270" s="97" t="inlineStr">
        <is>
          <t>Software</t>
        </is>
      </c>
      <c r="AD270" s="98" t="inlineStr">
        <is>
          <t>Seed Round, Early Stage VC, Later Stage VC</t>
        </is>
      </c>
      <c r="AE270" s="99" t="inlineStr">
        <is>
          <t>United States</t>
        </is>
      </c>
      <c r="AF270" s="100" t="inlineStr">
        <is>
          <t>Rethink Education</t>
        </is>
      </c>
      <c r="AG270" s="233">
        <f>HYPERLINK("https://my.pitchbook.com?i=53997-76", "View Investor Online")</f>
      </c>
    </row>
    <row r="271">
      <c r="A271" s="36" t="inlineStr">
        <is>
          <t>14307-22F</t>
        </is>
      </c>
      <c r="B271" s="37" t="inlineStr">
        <is>
          <t>Sarsia Seed</t>
        </is>
      </c>
      <c r="C271" s="38" t="inlineStr">
        <is>
          <t/>
        </is>
      </c>
      <c r="D271" s="39" t="inlineStr">
        <is>
          <t>Venture Capital - Early Stage</t>
        </is>
      </c>
      <c r="E271" s="40" t="n">
        <v>36.03452</v>
      </c>
      <c r="F271" s="41" t="inlineStr">
        <is>
          <t>Bergen, Norway</t>
        </is>
      </c>
      <c r="G271" s="42" t="inlineStr">
        <is>
          <t/>
        </is>
      </c>
      <c r="H271" s="43" t="n">
        <v>2015.0</v>
      </c>
      <c r="I271" s="44" t="n">
        <v>100.0</v>
      </c>
      <c r="J271" s="45" t="n">
        <v>36.03452395671245</v>
      </c>
      <c r="K271" s="46" t="n">
        <v>0.0</v>
      </c>
      <c r="L271" s="47" t="inlineStr">
        <is>
          <t/>
        </is>
      </c>
      <c r="M271" s="48" t="n">
        <v>12.768694969738144</v>
      </c>
      <c r="N271" s="49" t="inlineStr">
        <is>
          <t/>
        </is>
      </c>
      <c r="O271" s="50" t="inlineStr">
        <is>
          <t/>
        </is>
      </c>
      <c r="P271" s="51" t="inlineStr">
        <is>
          <t/>
        </is>
      </c>
      <c r="Q271" s="52" t="inlineStr">
        <is>
          <t/>
        </is>
      </c>
      <c r="R271" s="53" t="inlineStr">
        <is>
          <t/>
        </is>
      </c>
      <c r="S271" s="54" t="n">
        <v>0.35</v>
      </c>
      <c r="T271" s="55" t="n">
        <v>-0.745</v>
      </c>
      <c r="U271" s="56" t="inlineStr">
        <is>
          <t/>
        </is>
      </c>
      <c r="V271" s="57" t="inlineStr">
        <is>
          <t/>
        </is>
      </c>
      <c r="W271" s="58" t="inlineStr">
        <is>
          <t/>
        </is>
      </c>
      <c r="X271" s="59" t="inlineStr">
        <is>
          <t>LP Original Commitments</t>
        </is>
      </c>
      <c r="Y271" s="60" t="inlineStr">
        <is>
          <t>2019 Y</t>
        </is>
      </c>
      <c r="Z271" s="61" t="inlineStr">
        <is>
          <t>0 - 99M</t>
        </is>
      </c>
      <c r="AA271" s="62" t="inlineStr">
        <is>
          <t>Sarsia Seed</t>
        </is>
      </c>
      <c r="AB271" s="63" t="inlineStr">
        <is>
          <t>Bergen, Norway</t>
        </is>
      </c>
      <c r="AC271" s="64" t="inlineStr">
        <is>
          <t>Pharmaceuticals and Biotechnology</t>
        </is>
      </c>
      <c r="AD271" s="65" t="inlineStr">
        <is>
          <t>Early Stage VC</t>
        </is>
      </c>
      <c r="AE271" s="66" t="inlineStr">
        <is>
          <t>Norway</t>
        </is>
      </c>
      <c r="AF271" s="67" t="inlineStr">
        <is>
          <t>Sparebanken</t>
        </is>
      </c>
      <c r="AG271" s="232">
        <f>HYPERLINK("https://my.pitchbook.com?i=57296-08", "View Investor Online")</f>
      </c>
    </row>
    <row r="272">
      <c r="A272" s="69" t="inlineStr">
        <is>
          <t>14223-79F</t>
        </is>
      </c>
      <c r="B272" s="70" t="inlineStr">
        <is>
          <t>Serra Capital II</t>
        </is>
      </c>
      <c r="C272" s="71" t="inlineStr">
        <is>
          <t/>
        </is>
      </c>
      <c r="D272" s="72" t="inlineStr">
        <is>
          <t>Venture Capital</t>
        </is>
      </c>
      <c r="E272" s="73" t="n">
        <v>17.295</v>
      </c>
      <c r="F272" s="74" t="inlineStr">
        <is>
          <t>Champaign, IL</t>
        </is>
      </c>
      <c r="G272" s="75" t="inlineStr">
        <is>
          <t/>
        </is>
      </c>
      <c r="H272" s="76" t="n">
        <v>2014.0</v>
      </c>
      <c r="I272" s="77" t="n">
        <v>83.23214801965885</v>
      </c>
      <c r="J272" s="78" t="n">
        <v>14.395</v>
      </c>
      <c r="K272" s="79" t="n">
        <v>0.3474252817246449</v>
      </c>
      <c r="L272" s="80" t="n">
        <v>1.646</v>
      </c>
      <c r="M272" s="81" t="inlineStr">
        <is>
          <t/>
        </is>
      </c>
      <c r="N272" s="82" t="inlineStr">
        <is>
          <t/>
        </is>
      </c>
      <c r="O272" s="83" t="inlineStr">
        <is>
          <t/>
        </is>
      </c>
      <c r="P272" s="84" t="inlineStr">
        <is>
          <t/>
        </is>
      </c>
      <c r="Q272" s="85" t="n">
        <v>0.114345259</v>
      </c>
      <c r="R272" s="86" t="n">
        <v>0.094345259</v>
      </c>
      <c r="S272" s="87" t="inlineStr">
        <is>
          <t/>
        </is>
      </c>
      <c r="T272" s="88" t="inlineStr">
        <is>
          <t/>
        </is>
      </c>
      <c r="U272" s="89" t="inlineStr">
        <is>
          <t/>
        </is>
      </c>
      <c r="V272" s="90" t="inlineStr">
        <is>
          <t/>
        </is>
      </c>
      <c r="W272" s="91" t="inlineStr">
        <is>
          <t/>
        </is>
      </c>
      <c r="X272" s="92" t="inlineStr">
        <is>
          <t>GP Self Reporting</t>
        </is>
      </c>
      <c r="Y272" s="93" t="inlineStr">
        <is>
          <t>2017 Y</t>
        </is>
      </c>
      <c r="Z272" s="94" t="inlineStr">
        <is>
          <t>0 - 99M</t>
        </is>
      </c>
      <c r="AA272" s="95" t="inlineStr">
        <is>
          <t>Serra Ventures</t>
        </is>
      </c>
      <c r="AB272" s="96" t="inlineStr">
        <is>
          <t>Champaign, IL</t>
        </is>
      </c>
      <c r="AC272" s="97" t="inlineStr">
        <is>
          <t>Other Information Technology, Agriculture</t>
        </is>
      </c>
      <c r="AD272" s="98" t="inlineStr">
        <is>
          <t>Seed Round, Early Stage VC, Later Stage VC</t>
        </is>
      </c>
      <c r="AE272" s="99" t="inlineStr">
        <is>
          <t>Southern California, Midwest</t>
        </is>
      </c>
      <c r="AF272" s="100" t="inlineStr">
        <is>
          <t>Serra</t>
        </is>
      </c>
      <c r="AG272" s="233">
        <f>HYPERLINK("https://my.pitchbook.com?i=52359-49", "View Investor Online")</f>
      </c>
    </row>
    <row r="273">
      <c r="A273" s="36" t="inlineStr">
        <is>
          <t>15555-97F</t>
        </is>
      </c>
      <c r="B273" s="37" t="inlineStr">
        <is>
          <t>Serra Capital III</t>
        </is>
      </c>
      <c r="C273" s="38" t="inlineStr">
        <is>
          <t/>
        </is>
      </c>
      <c r="D273" s="39" t="inlineStr">
        <is>
          <t>Venture Capital</t>
        </is>
      </c>
      <c r="E273" s="40" t="n">
        <v>32.405</v>
      </c>
      <c r="F273" s="41" t="inlineStr">
        <is>
          <t>Champaign, IL</t>
        </is>
      </c>
      <c r="G273" s="42" t="inlineStr">
        <is>
          <t/>
        </is>
      </c>
      <c r="H273" s="43" t="n">
        <v>2017.0</v>
      </c>
      <c r="I273" s="44" t="inlineStr">
        <is>
          <t/>
        </is>
      </c>
      <c r="J273" s="45" t="inlineStr">
        <is>
          <t/>
        </is>
      </c>
      <c r="K273" s="46" t="n">
        <v>15.959462756800047</v>
      </c>
      <c r="L273" s="47" t="n">
        <v>0.0</v>
      </c>
      <c r="M273" s="48" t="inlineStr">
        <is>
          <t/>
        </is>
      </c>
      <c r="N273" s="49" t="inlineStr">
        <is>
          <t/>
        </is>
      </c>
      <c r="O273" s="50" t="inlineStr">
        <is>
          <t/>
        </is>
      </c>
      <c r="P273" s="51" t="inlineStr">
        <is>
          <t/>
        </is>
      </c>
      <c r="Q273" s="52" t="n">
        <v>0.0</v>
      </c>
      <c r="R273" s="53" t="n">
        <v>0.0</v>
      </c>
      <c r="S273" s="54" t="inlineStr">
        <is>
          <t/>
        </is>
      </c>
      <c r="T273" s="55" t="inlineStr">
        <is>
          <t/>
        </is>
      </c>
      <c r="U273" s="56" t="inlineStr">
        <is>
          <t/>
        </is>
      </c>
      <c r="V273" s="57" t="inlineStr">
        <is>
          <t/>
        </is>
      </c>
      <c r="W273" s="58" t="inlineStr">
        <is>
          <t/>
        </is>
      </c>
      <c r="X273" s="59" t="inlineStr">
        <is>
          <t>GP Self Reporting</t>
        </is>
      </c>
      <c r="Y273" s="60" t="inlineStr">
        <is>
          <t>2017 Y</t>
        </is>
      </c>
      <c r="Z273" s="61" t="inlineStr">
        <is>
          <t>0 - 99M</t>
        </is>
      </c>
      <c r="AA273" s="62" t="inlineStr">
        <is>
          <t>Serra Ventures</t>
        </is>
      </c>
      <c r="AB273" s="63" t="inlineStr">
        <is>
          <t>Champaign, IL</t>
        </is>
      </c>
      <c r="AC273" s="64" t="inlineStr">
        <is>
          <t>Other Information Technology, Agriculture</t>
        </is>
      </c>
      <c r="AD273" s="65" t="inlineStr">
        <is>
          <t>Seed Round, Early Stage VC, Later Stage VC</t>
        </is>
      </c>
      <c r="AE273" s="66" t="inlineStr">
        <is>
          <t>Midwest, Southern California</t>
        </is>
      </c>
      <c r="AF273" s="67" t="inlineStr">
        <is>
          <t>Serra</t>
        </is>
      </c>
      <c r="AG273" s="232">
        <f>HYPERLINK("https://my.pitchbook.com?i=52359-49", "View Investor Online")</f>
      </c>
    </row>
    <row r="274">
      <c r="A274" s="69" t="inlineStr">
        <is>
          <t>14054-59F</t>
        </is>
      </c>
      <c r="B274" s="70" t="inlineStr">
        <is>
          <t>SGVC Fund II</t>
        </is>
      </c>
      <c r="C274" s="71" t="inlineStr">
        <is>
          <t/>
        </is>
      </c>
      <c r="D274" s="72" t="inlineStr">
        <is>
          <t>Venture Capital</t>
        </is>
      </c>
      <c r="E274" s="73" t="n">
        <v>50.0</v>
      </c>
      <c r="F274" s="74" t="inlineStr">
        <is>
          <t>Beverly Hills, CA</t>
        </is>
      </c>
      <c r="G274" s="75" t="n">
        <v>2.0</v>
      </c>
      <c r="H274" s="76" t="n">
        <v>2014.0</v>
      </c>
      <c r="I274" s="77" t="inlineStr">
        <is>
          <t/>
        </is>
      </c>
      <c r="J274" s="78" t="inlineStr">
        <is>
          <t/>
        </is>
      </c>
      <c r="K274" s="79" t="n">
        <v>0.0</v>
      </c>
      <c r="L274" s="80" t="n">
        <v>21.1</v>
      </c>
      <c r="M274" s="81" t="inlineStr">
        <is>
          <t/>
        </is>
      </c>
      <c r="N274" s="82" t="n">
        <v>13.96</v>
      </c>
      <c r="O274" s="83" t="inlineStr">
        <is>
          <t/>
        </is>
      </c>
      <c r="P274" s="84" t="n">
        <v>0.0</v>
      </c>
      <c r="Q274" s="85" t="inlineStr">
        <is>
          <t/>
        </is>
      </c>
      <c r="R274" s="86" t="inlineStr">
        <is>
          <t/>
        </is>
      </c>
      <c r="S274" s="87" t="inlineStr">
        <is>
          <t/>
        </is>
      </c>
      <c r="T274" s="88" t="inlineStr">
        <is>
          <t/>
        </is>
      </c>
      <c r="U274" s="89" t="inlineStr">
        <is>
          <t/>
        </is>
      </c>
      <c r="V274" s="90" t="inlineStr">
        <is>
          <t/>
        </is>
      </c>
      <c r="W274" s="91" t="inlineStr">
        <is>
          <t/>
        </is>
      </c>
      <c r="X274" s="92" t="inlineStr">
        <is>
          <t>GP Self Reporting</t>
        </is>
      </c>
      <c r="Y274" s="93" t="inlineStr">
        <is>
          <t>2018 Y</t>
        </is>
      </c>
      <c r="Z274" s="94" t="inlineStr">
        <is>
          <t>0 - 99M</t>
        </is>
      </c>
      <c r="AA274" s="95" t="inlineStr">
        <is>
          <t>Group 11</t>
        </is>
      </c>
      <c r="AB274" s="96" t="inlineStr">
        <is>
          <t>Beverly Hills, CA</t>
        </is>
      </c>
      <c r="AC274" s="97" t="inlineStr">
        <is>
          <t>Business Products and Services (B2B), Financial Services, Software</t>
        </is>
      </c>
      <c r="AD274" s="98" t="inlineStr">
        <is>
          <t>Early Stage VC</t>
        </is>
      </c>
      <c r="AE274" s="99" t="inlineStr">
        <is>
          <t>Israel, United States</t>
        </is>
      </c>
      <c r="AF274" s="100" t="inlineStr">
        <is>
          <t>Gr II</t>
        </is>
      </c>
      <c r="AG274" s="233">
        <f>HYPERLINK("https://my.pitchbook.com?i=60361-75", "View Investor Online")</f>
      </c>
    </row>
    <row r="275">
      <c r="A275" s="36" t="inlineStr">
        <is>
          <t>15301-99F</t>
        </is>
      </c>
      <c r="B275" s="37" t="inlineStr">
        <is>
          <t>SNCF Digital Ventures Investment Fund</t>
        </is>
      </c>
      <c r="C275" s="38" t="inlineStr">
        <is>
          <t/>
        </is>
      </c>
      <c r="D275" s="39" t="inlineStr">
        <is>
          <t>Venture Capital</t>
        </is>
      </c>
      <c r="E275" s="40" t="n">
        <v>32.19957</v>
      </c>
      <c r="F275" s="41" t="inlineStr">
        <is>
          <t>Lyon, France</t>
        </is>
      </c>
      <c r="G275" s="42" t="inlineStr">
        <is>
          <t/>
        </is>
      </c>
      <c r="H275" s="43" t="n">
        <v>2015.0</v>
      </c>
      <c r="I275" s="44" t="n">
        <v>15.0</v>
      </c>
      <c r="J275" s="45" t="n">
        <v>4.82993615897717</v>
      </c>
      <c r="K275" s="46" t="n">
        <v>15.29479575</v>
      </c>
      <c r="L275" s="47" t="inlineStr">
        <is>
          <t/>
        </is>
      </c>
      <c r="M275" s="48" t="n">
        <v>3.7566170125377982</v>
      </c>
      <c r="N275" s="49" t="inlineStr">
        <is>
          <t/>
        </is>
      </c>
      <c r="O275" s="50" t="inlineStr">
        <is>
          <t/>
        </is>
      </c>
      <c r="P275" s="51" t="inlineStr">
        <is>
          <t/>
        </is>
      </c>
      <c r="Q275" s="52" t="inlineStr">
        <is>
          <t/>
        </is>
      </c>
      <c r="R275" s="53" t="inlineStr">
        <is>
          <t/>
        </is>
      </c>
      <c r="S275" s="54" t="n">
        <v>0.78</v>
      </c>
      <c r="T275" s="55" t="n">
        <v>-0.14000999999999997</v>
      </c>
      <c r="U275" s="56" t="inlineStr">
        <is>
          <t/>
        </is>
      </c>
      <c r="V275" s="57" t="inlineStr">
        <is>
          <t/>
        </is>
      </c>
      <c r="W275" s="58" t="inlineStr">
        <is>
          <t/>
        </is>
      </c>
      <c r="X275" s="59" t="inlineStr">
        <is>
          <t>GP Self Reporting</t>
        </is>
      </c>
      <c r="Y275" s="60" t="inlineStr">
        <is>
          <t>2016 Y</t>
        </is>
      </c>
      <c r="Z275" s="61" t="inlineStr">
        <is>
          <t>0 - 99M</t>
        </is>
      </c>
      <c r="AA275" s="62" t="inlineStr">
        <is>
          <t>Hi Inov, Société Nationale des Chemins de fer Français</t>
        </is>
      </c>
      <c r="AB275" s="63" t="inlineStr">
        <is>
          <t>Lyon, France</t>
        </is>
      </c>
      <c r="AC275" s="64" t="inlineStr">
        <is>
          <t>Information Technology</t>
        </is>
      </c>
      <c r="AD275" s="65" t="inlineStr">
        <is>
          <t>Seed Round, Early Stage VC, Later Stage VC</t>
        </is>
      </c>
      <c r="AE275" s="66" t="inlineStr">
        <is>
          <t>France, United States, Israel</t>
        </is>
      </c>
      <c r="AF275" s="67" t="inlineStr">
        <is>
          <t>Hi Inov</t>
        </is>
      </c>
      <c r="AG275" s="232">
        <f>HYPERLINK("https://my.pitchbook.com?i=63603-28", "View Investor Online")</f>
      </c>
    </row>
    <row r="276">
      <c r="A276" s="69" t="inlineStr">
        <is>
          <t>14756-50F</t>
        </is>
      </c>
      <c r="B276" s="70" t="inlineStr">
        <is>
          <t>SpeedInvest II</t>
        </is>
      </c>
      <c r="C276" s="71" t="inlineStr">
        <is>
          <t/>
        </is>
      </c>
      <c r="D276" s="72" t="inlineStr">
        <is>
          <t>Venture Capital - Early Stage</t>
        </is>
      </c>
      <c r="E276" s="73" t="n">
        <v>96.82156</v>
      </c>
      <c r="F276" s="74" t="inlineStr">
        <is>
          <t>Vienna, Austria</t>
        </is>
      </c>
      <c r="G276" s="75" t="inlineStr">
        <is>
          <t/>
        </is>
      </c>
      <c r="H276" s="76" t="n">
        <v>2015.0</v>
      </c>
      <c r="I276" s="77" t="n">
        <v>15.0</v>
      </c>
      <c r="J276" s="78" t="n">
        <v>14.523234485689237</v>
      </c>
      <c r="K276" s="79" t="n">
        <v>0.0</v>
      </c>
      <c r="L276" s="80" t="n">
        <v>0.0</v>
      </c>
      <c r="M276" s="81" t="inlineStr">
        <is>
          <t/>
        </is>
      </c>
      <c r="N276" s="82" t="inlineStr">
        <is>
          <t/>
        </is>
      </c>
      <c r="O276" s="83" t="inlineStr">
        <is>
          <t/>
        </is>
      </c>
      <c r="P276" s="84" t="inlineStr">
        <is>
          <t/>
        </is>
      </c>
      <c r="Q276" s="85" t="n">
        <v>0.0</v>
      </c>
      <c r="R276" s="86" t="inlineStr">
        <is>
          <t/>
        </is>
      </c>
      <c r="S276" s="87" t="inlineStr">
        <is>
          <t/>
        </is>
      </c>
      <c r="T276" s="88" t="inlineStr">
        <is>
          <t/>
        </is>
      </c>
      <c r="U276" s="89" t="inlineStr">
        <is>
          <t/>
        </is>
      </c>
      <c r="V276" s="90" t="inlineStr">
        <is>
          <t/>
        </is>
      </c>
      <c r="W276" s="91" t="inlineStr">
        <is>
          <t/>
        </is>
      </c>
      <c r="X276" s="92" t="inlineStr">
        <is>
          <t>GP Self Reporting</t>
        </is>
      </c>
      <c r="Y276" s="93" t="inlineStr">
        <is>
          <t>2015 Y</t>
        </is>
      </c>
      <c r="Z276" s="94" t="inlineStr">
        <is>
          <t>0 - 99M</t>
        </is>
      </c>
      <c r="AA276" s="95" t="inlineStr">
        <is>
          <t>Speedinvest</t>
        </is>
      </c>
      <c r="AB276" s="96" t="inlineStr">
        <is>
          <t>Vienna, Austria</t>
        </is>
      </c>
      <c r="AC276" s="97" t="inlineStr">
        <is>
          <t>Financial Software</t>
        </is>
      </c>
      <c r="AD276" s="98" t="inlineStr">
        <is>
          <t>Dividend Recapitalization</t>
        </is>
      </c>
      <c r="AE276" s="99" t="inlineStr">
        <is>
          <t>Europe</t>
        </is>
      </c>
      <c r="AF276" s="100" t="inlineStr">
        <is>
          <t>Speedinvest</t>
        </is>
      </c>
      <c r="AG276" s="233">
        <f>HYPERLINK("https://my.pitchbook.com?i=56745-10", "View Investor Online")</f>
      </c>
    </row>
    <row r="277">
      <c r="A277" s="36" t="inlineStr">
        <is>
          <t>16962-40F</t>
        </is>
      </c>
      <c r="B277" s="37" t="inlineStr">
        <is>
          <t>Switch Ventures II</t>
        </is>
      </c>
      <c r="C277" s="38" t="inlineStr">
        <is>
          <t/>
        </is>
      </c>
      <c r="D277" s="39" t="inlineStr">
        <is>
          <t>Venture Capital</t>
        </is>
      </c>
      <c r="E277" s="40" t="n">
        <v>15.0</v>
      </c>
      <c r="F277" s="41" t="inlineStr">
        <is>
          <t>San Francisco, CA</t>
        </is>
      </c>
      <c r="G277" s="42" t="inlineStr">
        <is>
          <t/>
        </is>
      </c>
      <c r="H277" s="43" t="n">
        <v>2020.0</v>
      </c>
      <c r="I277" s="44" t="inlineStr">
        <is>
          <t/>
        </is>
      </c>
      <c r="J277" s="45" t="inlineStr">
        <is>
          <t/>
        </is>
      </c>
      <c r="K277" s="46" t="n">
        <v>13.999996874999999</v>
      </c>
      <c r="L277" s="47" t="inlineStr">
        <is>
          <t/>
        </is>
      </c>
      <c r="M277" s="48" t="inlineStr">
        <is>
          <t/>
        </is>
      </c>
      <c r="N277" s="49" t="n">
        <v>20.0</v>
      </c>
      <c r="O277" s="50" t="inlineStr">
        <is>
          <t/>
        </is>
      </c>
      <c r="P277" s="51" t="inlineStr">
        <is>
          <t/>
        </is>
      </c>
      <c r="Q277" s="52" t="inlineStr">
        <is>
          <t/>
        </is>
      </c>
      <c r="R277" s="53" t="inlineStr">
        <is>
          <t/>
        </is>
      </c>
      <c r="S277" s="54" t="inlineStr">
        <is>
          <t/>
        </is>
      </c>
      <c r="T277" s="55" t="inlineStr">
        <is>
          <t/>
        </is>
      </c>
      <c r="U277" s="56" t="inlineStr">
        <is>
          <t/>
        </is>
      </c>
      <c r="V277" s="57" t="inlineStr">
        <is>
          <t/>
        </is>
      </c>
      <c r="W277" s="58" t="inlineStr">
        <is>
          <t/>
        </is>
      </c>
      <c r="X277" s="59" t="inlineStr">
        <is>
          <t>GP Self Reporting</t>
        </is>
      </c>
      <c r="Y277" s="60" t="inlineStr">
        <is>
          <t>2019 Y</t>
        </is>
      </c>
      <c r="Z277" s="61" t="inlineStr">
        <is>
          <t>0 - 99M</t>
        </is>
      </c>
      <c r="AA277" s="62" t="inlineStr">
        <is>
          <t>Switch Ventures</t>
        </is>
      </c>
      <c r="AB277" s="63" t="inlineStr">
        <is>
          <t>San Francisco, CA</t>
        </is>
      </c>
      <c r="AC277" s="64" t="inlineStr">
        <is>
          <t/>
        </is>
      </c>
      <c r="AD277" s="65" t="inlineStr">
        <is>
          <t>Seed Round, Early Stage VC, Later Stage VC</t>
        </is>
      </c>
      <c r="AE277" s="66" t="inlineStr">
        <is>
          <t/>
        </is>
      </c>
      <c r="AF277" s="67" t="inlineStr">
        <is>
          <t>Switch</t>
        </is>
      </c>
      <c r="AG277" s="232">
        <f>HYPERLINK("https://my.pitchbook.com?i=153419-41", "View Investor Online")</f>
      </c>
    </row>
    <row r="278">
      <c r="A278" s="69" t="inlineStr">
        <is>
          <t>16016-95F</t>
        </is>
      </c>
      <c r="B278" s="70" t="inlineStr">
        <is>
          <t>TheVentureCity Fund I</t>
        </is>
      </c>
      <c r="C278" s="71" t="inlineStr">
        <is>
          <t/>
        </is>
      </c>
      <c r="D278" s="72" t="inlineStr">
        <is>
          <t>Venture Capital - Early Stage</t>
        </is>
      </c>
      <c r="E278" s="73" t="n">
        <v>52.5</v>
      </c>
      <c r="F278" s="74" t="inlineStr">
        <is>
          <t>Miami, FL</t>
        </is>
      </c>
      <c r="G278" s="75" t="inlineStr">
        <is>
          <t/>
        </is>
      </c>
      <c r="H278" s="76" t="n">
        <v>2019.0</v>
      </c>
      <c r="I278" s="77" t="inlineStr">
        <is>
          <t/>
        </is>
      </c>
      <c r="J278" s="78" t="inlineStr">
        <is>
          <t/>
        </is>
      </c>
      <c r="K278" s="79" t="n">
        <v>21.285</v>
      </c>
      <c r="L278" s="80" t="inlineStr">
        <is>
          <t/>
        </is>
      </c>
      <c r="M278" s="81" t="inlineStr">
        <is>
          <t/>
        </is>
      </c>
      <c r="N278" s="82" t="n">
        <v>39.0</v>
      </c>
      <c r="O278" s="83" t="inlineStr">
        <is>
          <t/>
        </is>
      </c>
      <c r="P278" s="84" t="inlineStr">
        <is>
          <t/>
        </is>
      </c>
      <c r="Q278" s="85" t="inlineStr">
        <is>
          <t/>
        </is>
      </c>
      <c r="R278" s="86" t="inlineStr">
        <is>
          <t/>
        </is>
      </c>
      <c r="S278" s="87" t="inlineStr">
        <is>
          <t/>
        </is>
      </c>
      <c r="T278" s="88" t="inlineStr">
        <is>
          <t/>
        </is>
      </c>
      <c r="U278" s="89" t="inlineStr">
        <is>
          <t/>
        </is>
      </c>
      <c r="V278" s="90" t="inlineStr">
        <is>
          <t/>
        </is>
      </c>
      <c r="W278" s="91" t="inlineStr">
        <is>
          <t/>
        </is>
      </c>
      <c r="X278" s="92" t="inlineStr">
        <is>
          <t>GP Self Reporting</t>
        </is>
      </c>
      <c r="Y278" s="93" t="inlineStr">
        <is>
          <t>2020 Y</t>
        </is>
      </c>
      <c r="Z278" s="94" t="inlineStr">
        <is>
          <t>0 - 99M</t>
        </is>
      </c>
      <c r="AA278" s="95" t="inlineStr">
        <is>
          <t>TheVentureCity</t>
        </is>
      </c>
      <c r="AB278" s="96" t="inlineStr">
        <is>
          <t>Miami, FL</t>
        </is>
      </c>
      <c r="AC278" s="97" t="inlineStr">
        <is>
          <t>Software</t>
        </is>
      </c>
      <c r="AD278" s="98" t="inlineStr">
        <is>
          <t>Seed Round, Early Stage VC</t>
        </is>
      </c>
      <c r="AE278" s="99" t="inlineStr">
        <is>
          <t>South America, Central America, Asia, United States, Europe</t>
        </is>
      </c>
      <c r="AF278" s="100" t="inlineStr">
        <is>
          <t>TheVentureCity</t>
        </is>
      </c>
      <c r="AG278" s="233">
        <f>HYPERLINK("https://my.pitchbook.com?i=182897-38", "View Investor Online")</f>
      </c>
    </row>
    <row r="279">
      <c r="A279" s="36" t="inlineStr">
        <is>
          <t>15203-26F</t>
        </is>
      </c>
      <c r="B279" s="37" t="inlineStr">
        <is>
          <t>TTV Fund IV</t>
        </is>
      </c>
      <c r="C279" s="38" t="inlineStr">
        <is>
          <t/>
        </is>
      </c>
      <c r="D279" s="39" t="inlineStr">
        <is>
          <t>Venture Capital</t>
        </is>
      </c>
      <c r="E279" s="40" t="n">
        <v>93.0</v>
      </c>
      <c r="F279" s="41" t="inlineStr">
        <is>
          <t>Atlanta, GA</t>
        </is>
      </c>
      <c r="G279" s="42" t="inlineStr">
        <is>
          <t/>
        </is>
      </c>
      <c r="H279" s="43" t="n">
        <v>2017.0</v>
      </c>
      <c r="I279" s="44" t="n">
        <v>7.5</v>
      </c>
      <c r="J279" s="45" t="n">
        <v>6.975</v>
      </c>
      <c r="K279" s="46" t="n">
        <v>45.80250073699751</v>
      </c>
      <c r="L279" s="47" t="n">
        <v>0.0</v>
      </c>
      <c r="M279" s="48" t="inlineStr">
        <is>
          <t/>
        </is>
      </c>
      <c r="N279" s="49" t="inlineStr">
        <is>
          <t/>
        </is>
      </c>
      <c r="O279" s="50" t="inlineStr">
        <is>
          <t/>
        </is>
      </c>
      <c r="P279" s="51" t="inlineStr">
        <is>
          <t/>
        </is>
      </c>
      <c r="Q279" s="52" t="n">
        <v>0.0</v>
      </c>
      <c r="R279" s="53" t="n">
        <v>0.0</v>
      </c>
      <c r="S279" s="54" t="inlineStr">
        <is>
          <t/>
        </is>
      </c>
      <c r="T279" s="55" t="inlineStr">
        <is>
          <t/>
        </is>
      </c>
      <c r="U279" s="56" t="inlineStr">
        <is>
          <t/>
        </is>
      </c>
      <c r="V279" s="57" t="inlineStr">
        <is>
          <t/>
        </is>
      </c>
      <c r="W279" s="58" t="inlineStr">
        <is>
          <t/>
        </is>
      </c>
      <c r="X279" s="59" t="inlineStr">
        <is>
          <t>GP Self Reporting</t>
        </is>
      </c>
      <c r="Y279" s="60" t="inlineStr">
        <is>
          <t>2015 Y</t>
        </is>
      </c>
      <c r="Z279" s="61" t="inlineStr">
        <is>
          <t>0 - 99M</t>
        </is>
      </c>
      <c r="AA279" s="62" t="inlineStr">
        <is>
          <t>TTV Capital</t>
        </is>
      </c>
      <c r="AB279" s="63" t="inlineStr">
        <is>
          <t>Atlanta, GA</t>
        </is>
      </c>
      <c r="AC279" s="64" t="inlineStr">
        <is>
          <t>Software</t>
        </is>
      </c>
      <c r="AD279" s="65" t="inlineStr">
        <is>
          <t>Seed Round, Early Stage VC, Later Stage VC</t>
        </is>
      </c>
      <c r="AE279" s="66" t="inlineStr">
        <is>
          <t/>
        </is>
      </c>
      <c r="AF279" s="67" t="inlineStr">
        <is>
          <t>TTV</t>
        </is>
      </c>
      <c r="AG279" s="232">
        <f>HYPERLINK("https://my.pitchbook.com?i=11319-04", "View Investor Online")</f>
      </c>
    </row>
    <row r="280">
      <c r="A280" s="69" t="inlineStr">
        <is>
          <t>12508-84F</t>
        </is>
      </c>
      <c r="B280" s="70" t="inlineStr">
        <is>
          <t>VenturEast Life Fund III</t>
        </is>
      </c>
      <c r="C280" s="71" t="inlineStr">
        <is>
          <t/>
        </is>
      </c>
      <c r="D280" s="72" t="inlineStr">
        <is>
          <t>Venture Capital</t>
        </is>
      </c>
      <c r="E280" s="73" t="n">
        <v>93.0</v>
      </c>
      <c r="F280" s="74" t="inlineStr">
        <is>
          <t>Hyderabad, India</t>
        </is>
      </c>
      <c r="G280" s="75" t="inlineStr">
        <is>
          <t/>
        </is>
      </c>
      <c r="H280" s="76" t="n">
        <v>2012.0</v>
      </c>
      <c r="I280" s="77" t="n">
        <v>54.98185000000001</v>
      </c>
      <c r="J280" s="78" t="n">
        <v>51.133120500000004</v>
      </c>
      <c r="K280" s="79" t="n">
        <v>0.0</v>
      </c>
      <c r="L280" s="80" t="inlineStr">
        <is>
          <t/>
        </is>
      </c>
      <c r="M280" s="81" t="n">
        <v>70.7405895</v>
      </c>
      <c r="N280" s="82" t="inlineStr">
        <is>
          <t/>
        </is>
      </c>
      <c r="O280" s="83" t="inlineStr">
        <is>
          <t/>
        </is>
      </c>
      <c r="P280" s="84" t="inlineStr">
        <is>
          <t/>
        </is>
      </c>
      <c r="Q280" s="85" t="inlineStr">
        <is>
          <t/>
        </is>
      </c>
      <c r="R280" s="86" t="inlineStr">
        <is>
          <t/>
        </is>
      </c>
      <c r="S280" s="87" t="n">
        <v>1.38</v>
      </c>
      <c r="T280" s="88" t="inlineStr">
        <is>
          <t/>
        </is>
      </c>
      <c r="U280" s="89" t="inlineStr">
        <is>
          <t/>
        </is>
      </c>
      <c r="V280" s="90" t="inlineStr">
        <is>
          <t/>
        </is>
      </c>
      <c r="W280" s="91" t="inlineStr">
        <is>
          <t/>
        </is>
      </c>
      <c r="X280" s="92" t="inlineStr">
        <is>
          <t>LP Original Commitments</t>
        </is>
      </c>
      <c r="Y280" s="93" t="inlineStr">
        <is>
          <t>2011 Y</t>
        </is>
      </c>
      <c r="Z280" s="94" t="inlineStr">
        <is>
          <t>0 - 99M</t>
        </is>
      </c>
      <c r="AA280" s="95" t="inlineStr">
        <is>
          <t>VenturEast</t>
        </is>
      </c>
      <c r="AB280" s="96" t="inlineStr">
        <is>
          <t>Bangalore, India</t>
        </is>
      </c>
      <c r="AC280" s="97" t="inlineStr">
        <is>
          <t>Other Financial Services, Software</t>
        </is>
      </c>
      <c r="AD280" s="98" t="inlineStr">
        <is>
          <t>Seed Round, Early Stage VC, Later Stage VC</t>
        </is>
      </c>
      <c r="AE280" s="99" t="inlineStr">
        <is>
          <t>South Asia</t>
        </is>
      </c>
      <c r="AF280" s="100" t="inlineStr">
        <is>
          <t>CDC, CDC Investment Works</t>
        </is>
      </c>
      <c r="AG280" s="233">
        <f>HYPERLINK("https://my.pitchbook.com?i=10883-44", "View Investor Online")</f>
      </c>
    </row>
    <row r="281">
      <c r="A281" s="36" t="inlineStr">
        <is>
          <t>15447-25F</t>
        </is>
      </c>
      <c r="B281" s="37" t="inlineStr">
        <is>
          <t>Visionary Venture Fund</t>
        </is>
      </c>
      <c r="C281" s="38" t="inlineStr">
        <is>
          <t/>
        </is>
      </c>
      <c r="D281" s="39" t="inlineStr">
        <is>
          <t>Venture Capital</t>
        </is>
      </c>
      <c r="E281" s="40" t="n">
        <v>30.0</v>
      </c>
      <c r="F281" s="41" t="inlineStr">
        <is>
          <t>Aliso Viejo, CA</t>
        </is>
      </c>
      <c r="G281" s="42" t="n">
        <v>1.0</v>
      </c>
      <c r="H281" s="43" t="n">
        <v>2017.0</v>
      </c>
      <c r="I281" s="44" t="n">
        <v>60.0</v>
      </c>
      <c r="J281" s="45" t="n">
        <v>18.0</v>
      </c>
      <c r="K281" s="46" t="n">
        <v>14.77500023774113</v>
      </c>
      <c r="L281" s="47" t="n">
        <v>19.9</v>
      </c>
      <c r="M281" s="48" t="inlineStr">
        <is>
          <t/>
        </is>
      </c>
      <c r="N281" s="49" t="n">
        <v>39.37</v>
      </c>
      <c r="O281" s="50" t="inlineStr">
        <is>
          <t/>
        </is>
      </c>
      <c r="P281" s="51" t="n">
        <v>8.919999999999998</v>
      </c>
      <c r="Q281" s="52" t="n">
        <v>1.11</v>
      </c>
      <c r="R281" s="53" t="n">
        <v>1.11</v>
      </c>
      <c r="S281" s="54" t="inlineStr">
        <is>
          <t/>
        </is>
      </c>
      <c r="T281" s="55" t="inlineStr">
        <is>
          <t/>
        </is>
      </c>
      <c r="U281" s="56" t="inlineStr">
        <is>
          <t/>
        </is>
      </c>
      <c r="V281" s="57" t="inlineStr">
        <is>
          <t/>
        </is>
      </c>
      <c r="W281" s="58" t="inlineStr">
        <is>
          <t/>
        </is>
      </c>
      <c r="X281" s="59" t="inlineStr">
        <is>
          <t>GP Self Reporting</t>
        </is>
      </c>
      <c r="Y281" s="60" t="inlineStr">
        <is>
          <t>2018 Y</t>
        </is>
      </c>
      <c r="Z281" s="61" t="inlineStr">
        <is>
          <t>0 - 99M</t>
        </is>
      </c>
      <c r="AA281" s="62" t="inlineStr">
        <is>
          <t>OCTANe, Visionary Venture Fund</t>
        </is>
      </c>
      <c r="AB281" s="63" t="inlineStr">
        <is>
          <t>Aliso Viejo, CA</t>
        </is>
      </c>
      <c r="AC281" s="64" t="inlineStr">
        <is>
          <t>Healthcare Devices and Supplies, Pharmaceuticals and Biotechnology</t>
        </is>
      </c>
      <c r="AD281" s="65" t="inlineStr">
        <is>
          <t>Seed Round, Early Stage VC, Later Stage VC</t>
        </is>
      </c>
      <c r="AE281" s="66" t="inlineStr">
        <is>
          <t/>
        </is>
      </c>
      <c r="AF281" s="67" t="inlineStr">
        <is>
          <t>Visionary</t>
        </is>
      </c>
      <c r="AG281" s="232">
        <f>HYPERLINK("https://my.pitchbook.com?i=55060-30", "View Investor Online")</f>
      </c>
    </row>
    <row r="282">
      <c r="A282" s="69" t="inlineStr">
        <is>
          <t>15812-11F</t>
        </is>
      </c>
      <c r="B282" s="70" t="inlineStr">
        <is>
          <t>Wildcat Technology Partners 2015</t>
        </is>
      </c>
      <c r="C282" s="71" t="inlineStr">
        <is>
          <t/>
        </is>
      </c>
      <c r="D282" s="72" t="inlineStr">
        <is>
          <t>Venture Capital</t>
        </is>
      </c>
      <c r="E282" s="73" t="n">
        <v>57.0</v>
      </c>
      <c r="F282" s="74" t="inlineStr">
        <is>
          <t>San Mateo, CA</t>
        </is>
      </c>
      <c r="G282" s="75" t="n">
        <v>1.0</v>
      </c>
      <c r="H282" s="76" t="n">
        <v>2015.0</v>
      </c>
      <c r="I282" s="77" t="inlineStr">
        <is>
          <t/>
        </is>
      </c>
      <c r="J282" s="78" t="inlineStr">
        <is>
          <t/>
        </is>
      </c>
      <c r="K282" s="79" t="n">
        <v>2.4960494604634706</v>
      </c>
      <c r="L282" s="80" t="inlineStr">
        <is>
          <t/>
        </is>
      </c>
      <c r="M282" s="81" t="inlineStr">
        <is>
          <t/>
        </is>
      </c>
      <c r="N282" s="82" t="n">
        <v>23.61</v>
      </c>
      <c r="O282" s="83" t="inlineStr">
        <is>
          <t/>
        </is>
      </c>
      <c r="P282" s="84" t="n">
        <v>8.61</v>
      </c>
      <c r="Q282" s="85" t="inlineStr">
        <is>
          <t/>
        </is>
      </c>
      <c r="R282" s="86" t="inlineStr">
        <is>
          <t/>
        </is>
      </c>
      <c r="S282" s="87" t="inlineStr">
        <is>
          <t/>
        </is>
      </c>
      <c r="T282" s="88" t="inlineStr">
        <is>
          <t/>
        </is>
      </c>
      <c r="U282" s="89" t="inlineStr">
        <is>
          <t/>
        </is>
      </c>
      <c r="V282" s="90" t="inlineStr">
        <is>
          <t/>
        </is>
      </c>
      <c r="W282" s="91" t="inlineStr">
        <is>
          <t/>
        </is>
      </c>
      <c r="X282" s="92" t="inlineStr">
        <is>
          <t>GP Self Reporting</t>
        </is>
      </c>
      <c r="Y282" s="93" t="inlineStr">
        <is>
          <t>2017 Y</t>
        </is>
      </c>
      <c r="Z282" s="94" t="inlineStr">
        <is>
          <t>0 - 99M</t>
        </is>
      </c>
      <c r="AA282" s="95" t="inlineStr">
        <is>
          <t>Wildcat Venture Partners</t>
        </is>
      </c>
      <c r="AB282" s="96" t="inlineStr">
        <is>
          <t>San Mateo, CA</t>
        </is>
      </c>
      <c r="AC282" s="97" t="inlineStr">
        <is>
          <t>Information Technology</t>
        </is>
      </c>
      <c r="AD282" s="98" t="inlineStr">
        <is>
          <t>Early Stage VC, Later Stage VC, Seed Round</t>
        </is>
      </c>
      <c r="AE282" s="99" t="inlineStr">
        <is>
          <t/>
        </is>
      </c>
      <c r="AF282" s="100" t="inlineStr">
        <is>
          <t>Wildcat</t>
        </is>
      </c>
      <c r="AG282" s="233">
        <f>HYPERLINK("https://my.pitchbook.com?i=126152-11", "View Investor Online")</f>
      </c>
    </row>
    <row r="283">
      <c r="A283" s="36" t="inlineStr">
        <is>
          <t>13704-40F</t>
        </is>
      </c>
      <c r="B283" s="37" t="inlineStr">
        <is>
          <t>YLV II</t>
        </is>
      </c>
      <c r="C283" s="38" t="inlineStr">
        <is>
          <t/>
        </is>
      </c>
      <c r="D283" s="39" t="inlineStr">
        <is>
          <t>Venture Capital - Early Stage</t>
        </is>
      </c>
      <c r="E283" s="40" t="n">
        <v>37.5</v>
      </c>
      <c r="F283" s="41" t="inlineStr">
        <is>
          <t>Mill Valley, CA</t>
        </is>
      </c>
      <c r="G283" s="42" t="n">
        <v>1.0</v>
      </c>
      <c r="H283" s="43" t="n">
        <v>2013.0</v>
      </c>
      <c r="I283" s="44" t="inlineStr">
        <is>
          <t/>
        </is>
      </c>
      <c r="J283" s="45" t="inlineStr">
        <is>
          <t/>
        </is>
      </c>
      <c r="K283" s="46" t="n">
        <v>1.4635418679632528</v>
      </c>
      <c r="L283" s="47" t="n">
        <v>41.33075282</v>
      </c>
      <c r="M283" s="48" t="n">
        <v>35.96182836</v>
      </c>
      <c r="N283" s="49" t="n">
        <v>40.5</v>
      </c>
      <c r="O283" s="50" t="inlineStr">
        <is>
          <t/>
        </is>
      </c>
      <c r="P283" s="51" t="n">
        <v>30.11</v>
      </c>
      <c r="Q283" s="52" t="inlineStr">
        <is>
          <t/>
        </is>
      </c>
      <c r="R283" s="53" t="inlineStr">
        <is>
          <t/>
        </is>
      </c>
      <c r="S283" s="54" t="inlineStr">
        <is>
          <t/>
        </is>
      </c>
      <c r="T283" s="55" t="inlineStr">
        <is>
          <t/>
        </is>
      </c>
      <c r="U283" s="56" t="inlineStr">
        <is>
          <t/>
        </is>
      </c>
      <c r="V283" s="57" t="inlineStr">
        <is>
          <t/>
        </is>
      </c>
      <c r="W283" s="58" t="inlineStr">
        <is>
          <t/>
        </is>
      </c>
      <c r="X283" s="59" t="inlineStr">
        <is>
          <t>GP Self Reporting</t>
        </is>
      </c>
      <c r="Y283" s="60" t="inlineStr">
        <is>
          <t>2018 Y</t>
        </is>
      </c>
      <c r="Z283" s="61" t="inlineStr">
        <is>
          <t>0 - 99M</t>
        </is>
      </c>
      <c r="AA283" s="62" t="inlineStr">
        <is>
          <t>YL Ventures</t>
        </is>
      </c>
      <c r="AB283" s="63" t="inlineStr">
        <is>
          <t>Mill Valley, CA</t>
        </is>
      </c>
      <c r="AC283" s="64" t="inlineStr">
        <is>
          <t>Software</t>
        </is>
      </c>
      <c r="AD283" s="65" t="inlineStr">
        <is>
          <t>Early Stage VC</t>
        </is>
      </c>
      <c r="AE283" s="66" t="inlineStr">
        <is>
          <t>Israel</t>
        </is>
      </c>
      <c r="AF283" s="67" t="inlineStr">
        <is>
          <t>YL Ventures</t>
        </is>
      </c>
      <c r="AG283" s="232">
        <f>HYPERLINK("https://my.pitchbook.com?i=52171-66", "View Investor Online")</f>
      </c>
    </row>
    <row r="284">
      <c r="A284" s="69" t="inlineStr">
        <is>
          <t>15958-36F</t>
        </is>
      </c>
      <c r="B284" s="70" t="inlineStr">
        <is>
          <t>YLV III</t>
        </is>
      </c>
      <c r="C284" s="71" t="inlineStr">
        <is>
          <t/>
        </is>
      </c>
      <c r="D284" s="72" t="inlineStr">
        <is>
          <t>Venture Capital - Early Stage</t>
        </is>
      </c>
      <c r="E284" s="73" t="n">
        <v>75.0</v>
      </c>
      <c r="F284" s="74" t="inlineStr">
        <is>
          <t>Mill Valley, CA</t>
        </is>
      </c>
      <c r="G284" s="75" t="inlineStr">
        <is>
          <t/>
        </is>
      </c>
      <c r="H284" s="76" t="n">
        <v>2017.0</v>
      </c>
      <c r="I284" s="77" t="inlineStr">
        <is>
          <t/>
        </is>
      </c>
      <c r="J284" s="78" t="inlineStr">
        <is>
          <t/>
        </is>
      </c>
      <c r="K284" s="79" t="n">
        <v>8.39423452870807</v>
      </c>
      <c r="L284" s="80" t="n">
        <v>0.0</v>
      </c>
      <c r="M284" s="81" t="n">
        <v>11.6</v>
      </c>
      <c r="N284" s="82" t="inlineStr">
        <is>
          <t/>
        </is>
      </c>
      <c r="O284" s="83" t="inlineStr">
        <is>
          <t/>
        </is>
      </c>
      <c r="P284" s="84" t="inlineStr">
        <is>
          <t/>
        </is>
      </c>
      <c r="Q284" s="85" t="n">
        <v>0.0</v>
      </c>
      <c r="R284" s="86" t="n">
        <v>0.0</v>
      </c>
      <c r="S284" s="87" t="inlineStr">
        <is>
          <t/>
        </is>
      </c>
      <c r="T284" s="88" t="inlineStr">
        <is>
          <t/>
        </is>
      </c>
      <c r="U284" s="89" t="inlineStr">
        <is>
          <t/>
        </is>
      </c>
      <c r="V284" s="90" t="inlineStr">
        <is>
          <t/>
        </is>
      </c>
      <c r="W284" s="91" t="inlineStr">
        <is>
          <t/>
        </is>
      </c>
      <c r="X284" s="92" t="inlineStr">
        <is>
          <t>GP Self Reporting</t>
        </is>
      </c>
      <c r="Y284" s="93" t="inlineStr">
        <is>
          <t>2018 Y</t>
        </is>
      </c>
      <c r="Z284" s="94" t="inlineStr">
        <is>
          <t>0 - 99M</t>
        </is>
      </c>
      <c r="AA284" s="95" t="inlineStr">
        <is>
          <t>YL Ventures</t>
        </is>
      </c>
      <c r="AB284" s="96" t="inlineStr">
        <is>
          <t>Mill Valley, CA</t>
        </is>
      </c>
      <c r="AC284" s="97" t="inlineStr">
        <is>
          <t>Software</t>
        </is>
      </c>
      <c r="AD284" s="98" t="inlineStr">
        <is>
          <t>Seed Round</t>
        </is>
      </c>
      <c r="AE284" s="99" t="inlineStr">
        <is>
          <t>Israel</t>
        </is>
      </c>
      <c r="AF284" s="100" t="inlineStr">
        <is>
          <t>YL Ventures</t>
        </is>
      </c>
      <c r="AG284" s="233">
        <f>HYPERLINK("https://my.pitchbook.com?i=52171-66", "View Investor Online")</f>
      </c>
    </row>
    <row r="287">
      <c r="A287" s="234" t="inlineStr">
        <is>
          <t>© PitchBook Data, Inc. 2020</t>
        </is>
      </c>
    </row>
  </sheetData>
  <mergeCells count="3">
    <mergeCell ref="B4:E6"/>
    <mergeCell ref="E1:H1"/>
    <mergeCell ref="B3:C3"/>
  </mergeCells>
  <phoneticPr fontId="0" type="noConversion"/>
  <hyperlinks>
    <hyperlink display="https://my.pitchbook.com/?pcc=361665-01" ref="B3" r:id="rId5"/>
  </hyperlinks>
  <pageMargins left="0.75" right="0.75" top="1" bottom="1" header="0.5" footer="0.5"/>
  <pageSetup paperSize="9" firstPageNumber="0" fitToWidth="0" fitToHeight="0" pageOrder="overThenDown" orientation="portrait" horizontalDpi="300" verticalDpi="300" r:id="rId1"/>
  <headerFooter alignWithMargins="0"/>
  <drawing r:id="rId2"/>
  <legacyDrawing r:id="rId4"/>
</worksheet>
</file>

<file path=xl/worksheets/sheet2.xml><?xml version="1.0" encoding="utf-8"?>
<worksheet xmlns="http://schemas.openxmlformats.org/spreadsheetml/2006/main" xmlns:r="http://schemas.openxmlformats.org/officeDocument/2006/relationships">
  <dimension ref="A1:I21"/>
  <sheetViews>
    <sheetView workbookViewId="0" showGridLines="false" tabSelected="false">
      <selection activeCell="A100" sqref="A100"/>
    </sheetView>
  </sheetViews>
  <sheetFormatPr defaultRowHeight="15.0"/>
  <cols>
    <col min="1" max="1" width="19.1640625" customWidth="true"/>
    <col min="2" max="2" width="23.1640625" customWidth="true"/>
    <col min="3" max="3" width="9.1640625" customWidth="true"/>
    <col min="4" max="4" width="9.1640625" customWidth="true"/>
    <col min="5" max="5" width="9.1640625" customWidth="true"/>
    <col min="6" max="6" width="9.1640625" customWidth="true"/>
    <col min="7" max="7" width="9.1640625" customWidth="true"/>
    <col min="8" max="8" width="2.83203125" customWidth="true"/>
    <col min="9" max="9" width="26.5" customWidth="true"/>
    <col min="10" max="10" width="9.1640625" customWidth="true"/>
    <col min="11" max="11" width="9.1640625" customWidth="true"/>
    <col min="12" max="12" width="9.1640625" customWidth="true"/>
    <col min="13" max="13" width="9.1640625" customWidth="true"/>
    <col min="14" max="14" width="9.1640625" customWidth="true"/>
    <col min="15" max="15" width="9.1640625" customWidth="true"/>
    <col min="16" max="16" width="9.1640625" customWidth="true"/>
    <col min="17" max="17" width="9.1640625" customWidth="true"/>
  </cols>
  <sheetData>
    <row r="1">
      <c r="A1" t="s" s="235">
        <v>43</v>
      </c>
    </row>
    <row r="3">
      <c r="A3" t="s" s="236">
        <v>44</v>
      </c>
    </row>
    <row r="4">
      <c r="A4" t="s" s="244">
        <v>45</v>
      </c>
    </row>
    <row r="6">
      <c r="A6" t="s" s="238">
        <v>46</v>
      </c>
      <c r="B6" t="s" s="243">
        <v>47</v>
      </c>
      <c r="C6" t="s" s="240">
        <v>48</v>
      </c>
    </row>
    <row r="8">
      <c r="A8" t="s" s="241">
        <v>49</v>
      </c>
      <c r="I8" t="s" s="245">
        <v>50</v>
      </c>
    </row>
    <row r="10">
      <c r="A10" t="s" s="246">
        <v>51</v>
      </c>
    </row>
    <row r="21">
      <c r="A21"/>
    </row>
  </sheetData>
  <sheetProtection password="C9C1" sheet="true" scenarios="true" objects="true"/>
  <hyperlinks>
    <hyperlink display="PitchBook User Agreement" ref="B6" r:id="rId1"/>
    <hyperlink display="clientservices@pitchbook.com " ref="A4" r:id="rId2"/>
    <hyperlink display="clientservices@pitchbook.com." ref="I8" r:id="rId3"/>
  </hyperlink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Data</vt:lpstr>
      <vt:lpstr>CreatedFor</vt:lpstr>
      <vt:lpstr>CreatedForTitle</vt:lpstr>
      <vt:lpstr>DownloadedOn</vt:lpstr>
      <vt:lpstr>SearchCriteria</vt:lpstr>
      <vt:lpstr>SearchCriteriaType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2011-01-13T13:16:13Z</dcterms:created>
  <dc:creator>PitchBook</dc:creator>
  <cp:lastModifiedBy>PitchBook</cp:lastModifiedBy>
  <dcterms:modified xsi:type="dcterms:W3CDTF">2020-01-21T14:46:14Z</dcterms:modified>
</cp:coreProperties>
</file>