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325"/>
  <workbookPr defaultThemeVersion="124226"/>
  <mc:AlternateContent>
    <mc:Choice Requires="x15">
      <x15ac:absPath xmlns:x15ac="http://schemas.microsoft.com/office/spreadsheetml/2010/11/ac" url="C:\Projects\PitchBook\legacy\legacy-trash\src\main\resources\com\pitchbook\excel\processor\preloaded\"/>
    </mc:Choice>
  </mc:AlternateContent>
  <xr:revisionPtr revIDLastSave="0" documentId="13_ncr:1_{C63241A8-0879-4FFD-ACB5-5759F2A62CA5}" xr6:coauthVersionLast="45" xr6:coauthVersionMax="45" xr10:uidLastSave="{00000000-0000-0000-0000-000000000000}"/>
  <bookViews>
    <workbookView xWindow="-120" yWindow="-120" windowWidth="29040" windowHeight="15840" xr2:uid="{00000000-000D-0000-FFFF-FFFF00000000}" activeTab="0" firstSheet="0"/>
  </bookViews>
  <sheets>
    <sheet name="Data" sheetId="1" r:id="rId1"/>
    <sheet name="Disclaimer" r:id="rId5" sheetId="2"/>
  </sheets>
  <definedNames>
    <definedName name="Copyright">#REF!</definedName>
    <definedName name="CreatedFor">Data!$G$5</definedName>
    <definedName name="CreatedForTitle">Data!$F$5</definedName>
    <definedName name="DownloadedOn">Data!$G$4</definedName>
    <definedName name="SearchCriteria">Data!$B$4</definedName>
    <definedName name="SearchCriteriaType">Data!$A$4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authors>
    <author/>
  </authors>
  <commentList>
    <comment ref="K40" authorId="0">
      <text>
        <t>Estimated</t>
      </text>
    </comment>
    <comment ref="K42" authorId="0">
      <text>
        <t>Estimated</t>
      </text>
    </comment>
    <comment ref="K137" authorId="0">
      <text>
        <t>Estimated</t>
      </text>
    </comment>
    <comment ref="K41" authorId="0">
      <text>
        <t>Estimated</t>
      </text>
    </comment>
    <comment ref="K138" authorId="0">
      <text>
        <t>Estimated</t>
      </text>
    </comment>
    <comment ref="K44" authorId="0">
      <text>
        <t>Estimated</t>
      </text>
    </comment>
    <comment ref="K136" authorId="0">
      <text>
        <t>Estimated</t>
      </text>
    </comment>
    <comment ref="K139" authorId="0">
      <text>
        <t>Estimated</t>
      </text>
    </comment>
    <comment ref="K122" authorId="0">
      <text>
        <t>Estimated</t>
      </text>
    </comment>
    <comment ref="K120" authorId="0">
      <text>
        <t>Estimated</t>
      </text>
    </comment>
    <comment ref="K50" authorId="0">
      <text>
        <t>Estimated</t>
      </text>
    </comment>
    <comment ref="K126" authorId="0">
      <text>
        <t>Estimated</t>
      </text>
    </comment>
    <comment ref="K127" authorId="0">
      <text>
        <t>Estimated</t>
      </text>
    </comment>
    <comment ref="K124" authorId="0">
      <text>
        <t>Estimated</t>
      </text>
    </comment>
    <comment ref="K54" authorId="0">
      <text>
        <t>Estimated</t>
      </text>
    </comment>
    <comment ref="K59" authorId="0">
      <text>
        <t>Estimated</t>
      </text>
    </comment>
    <comment ref="K151" authorId="0">
      <text>
        <t>Estimated</t>
      </text>
    </comment>
    <comment ref="K152" authorId="0">
      <text>
        <t>Estimated</t>
      </text>
    </comment>
    <comment ref="K150" authorId="0">
      <text>
        <t>Estimated</t>
      </text>
    </comment>
    <comment ref="K62" authorId="0">
      <text>
        <t>Estimated</t>
      </text>
    </comment>
    <comment ref="K61" authorId="0">
      <text>
        <t>Estimated</t>
      </text>
    </comment>
    <comment ref="K154" authorId="0">
      <text>
        <t>Estimated</t>
      </text>
    </comment>
    <comment ref="K159" authorId="0">
      <text>
        <t>Estimated</t>
      </text>
    </comment>
    <comment ref="K63" authorId="0">
      <text>
        <t>Estimated</t>
      </text>
    </comment>
    <comment ref="K66" authorId="0">
      <text>
        <t>Estimated</t>
      </text>
    </comment>
    <comment ref="K157" authorId="0">
      <text>
        <t>Estimated</t>
      </text>
    </comment>
    <comment ref="K65" authorId="0">
      <text>
        <t>Estimated</t>
      </text>
    </comment>
    <comment ref="K158" authorId="0">
      <text>
        <t>Estimated</t>
      </text>
    </comment>
    <comment ref="K68" authorId="0">
      <text>
        <t>Estimated</t>
      </text>
    </comment>
    <comment ref="K141" authorId="0">
      <text>
        <t>Estimated</t>
      </text>
    </comment>
    <comment ref="K71" authorId="0">
      <text>
        <t>Estimated</t>
      </text>
    </comment>
    <comment ref="K70" authorId="0">
      <text>
        <t>Estimated</t>
      </text>
    </comment>
    <comment ref="K145" authorId="0">
      <text>
        <t>Estimated</t>
      </text>
    </comment>
    <comment ref="K73" authorId="0">
      <text>
        <t>Estimated</t>
      </text>
    </comment>
    <comment ref="K142" authorId="0">
      <text>
        <t>Estimated</t>
      </text>
    </comment>
    <comment ref="K74" authorId="0">
      <text>
        <t>Estimated</t>
      </text>
    </comment>
    <comment ref="K77" authorId="0">
      <text>
        <t>Estimated</t>
      </text>
    </comment>
    <comment ref="K76" authorId="0">
      <text>
        <t>Estimated</t>
      </text>
    </comment>
    <comment ref="K210" authorId="0">
      <text>
        <t>Estimated</t>
      </text>
    </comment>
    <comment ref="K81" authorId="0">
      <text>
        <t>Estimated</t>
      </text>
    </comment>
    <comment ref="K178" authorId="0">
      <text>
        <t>Estimated</t>
      </text>
    </comment>
    <comment ref="K175" authorId="0">
      <text>
        <t>Estimated</t>
      </text>
    </comment>
    <comment ref="K176" authorId="0">
      <text>
        <t>Estimated</t>
      </text>
    </comment>
    <comment ref="K86" authorId="0">
      <text>
        <t>Estimated</t>
      </text>
    </comment>
    <comment ref="K88" authorId="0">
      <text>
        <t>Estimated</t>
      </text>
    </comment>
    <comment ref="K179" authorId="0">
      <text>
        <t>Estimated</t>
      </text>
    </comment>
    <comment ref="K87" authorId="0">
      <text>
        <t>Estimated</t>
      </text>
    </comment>
    <comment ref="K218" authorId="0">
      <text>
        <t>Estimated</t>
      </text>
    </comment>
    <comment ref="K217" authorId="0">
      <text>
        <t>Estimated</t>
      </text>
    </comment>
    <comment ref="K181" authorId="0">
      <text>
        <t>Estimated</t>
      </text>
    </comment>
    <comment ref="K162" authorId="0">
      <text>
        <t>Estimated</t>
      </text>
    </comment>
    <comment ref="K163" authorId="0">
      <text>
        <t>Estimated</t>
      </text>
    </comment>
    <comment ref="K161" authorId="0">
      <text>
        <t>Estimated</t>
      </text>
    </comment>
    <comment ref="K166" authorId="0">
      <text>
        <t>Estimated</t>
      </text>
    </comment>
    <comment ref="K92" authorId="0">
      <text>
        <t>Estimated</t>
      </text>
    </comment>
    <comment ref="K167" authorId="0">
      <text>
        <t>Estimated</t>
      </text>
    </comment>
    <comment ref="K200" authorId="0">
      <text>
        <t>Estimated</t>
      </text>
    </comment>
    <comment ref="K95" authorId="0">
      <text>
        <t>Estimated</t>
      </text>
    </comment>
    <comment ref="K94" authorId="0">
      <text>
        <t>Estimated</t>
      </text>
    </comment>
    <comment ref="K165" authorId="0">
      <text>
        <t>Estimated</t>
      </text>
    </comment>
    <comment ref="K96" authorId="0">
      <text>
        <t>Estimated</t>
      </text>
    </comment>
    <comment ref="K99" authorId="0">
      <text>
        <t>Estimated</t>
      </text>
    </comment>
    <comment ref="K201" authorId="0">
      <text>
        <t>Estimated</t>
      </text>
    </comment>
    <comment ref="K98" authorId="0">
      <text>
        <t>Estimated</t>
      </text>
    </comment>
    <comment ref="K206" authorId="0">
      <text>
        <t>Estimated</t>
      </text>
    </comment>
    <comment ref="K209" authorId="0">
      <text>
        <t>Estimated</t>
      </text>
    </comment>
    <comment ref="K195" authorId="0">
      <text>
        <t>Estimated</t>
      </text>
    </comment>
    <comment ref="K196" authorId="0">
      <text>
        <t>Estimated</t>
      </text>
    </comment>
    <comment ref="K193" authorId="0">
      <text>
        <t>Estimated</t>
      </text>
    </comment>
    <comment ref="K194" authorId="0">
      <text>
        <t>Estimated</t>
      </text>
    </comment>
    <comment ref="K111" authorId="0">
      <text>
        <t>Estimated</t>
      </text>
    </comment>
    <comment ref="K199" authorId="0">
      <text>
        <t>Estimated</t>
      </text>
    </comment>
    <comment ref="K197" authorId="0">
      <text>
        <t>Estimated</t>
      </text>
    </comment>
    <comment ref="K198" authorId="0">
      <text>
        <t>Estimated</t>
      </text>
    </comment>
    <comment ref="K117" authorId="0">
      <text>
        <t>Estimated</t>
      </text>
    </comment>
    <comment ref="K118" authorId="0">
      <text>
        <t>Estimated</t>
      </text>
    </comment>
    <comment ref="K28" authorId="0">
      <text>
        <t>Estimated</t>
      </text>
    </comment>
    <comment ref="K183" authorId="0">
      <text>
        <t>Estimated</t>
      </text>
    </comment>
    <comment ref="K100" authorId="0">
      <text>
        <t>Estimated</t>
      </text>
    </comment>
    <comment ref="K101" authorId="0">
      <text>
        <t>Estimated</t>
      </text>
    </comment>
    <comment ref="K189" authorId="0">
      <text>
        <t>Estimated</t>
      </text>
    </comment>
    <comment ref="K222" authorId="0">
      <text>
        <t>Estimated</t>
      </text>
    </comment>
    <comment ref="K220" authorId="0">
      <text>
        <t>Estimated</t>
      </text>
    </comment>
    <comment ref="K104" authorId="0">
      <text>
        <t>Estimated</t>
      </text>
    </comment>
    <comment ref="K225" authorId="0">
      <text>
        <t>Estimated</t>
      </text>
    </comment>
    <comment ref="K33" authorId="0">
      <text>
        <t>Estimated</t>
      </text>
    </comment>
    <comment ref="K223" authorId="0">
      <text>
        <t>Estimated</t>
      </text>
    </comment>
    <comment ref="K32" authorId="0">
      <text>
        <t>Estimated</t>
      </text>
    </comment>
    <comment ref="K224" authorId="0">
      <text>
        <t>Estimated</t>
      </text>
    </comment>
    <comment ref="K35" authorId="0">
      <text>
        <t>Estimated</t>
      </text>
    </comment>
    <comment ref="K108" authorId="0">
      <text>
        <t>Estimated</t>
      </text>
    </comment>
    <comment ref="K109" authorId="0">
      <text>
        <t>Estimated</t>
      </text>
    </comment>
    <comment ref="K107" authorId="0">
      <text>
        <t>Estimated</t>
      </text>
    </comment>
    <comment ref="K39" authorId="0">
      <text>
        <t>Estimated</t>
      </text>
    </comment>
    <comment ref="K38" authorId="0">
      <text>
        <t>Estimated</t>
      </text>
    </comment>
    <comment ref="K191" authorId="0">
      <text>
        <t>Estimated</t>
      </text>
    </comment>
    <comment ref="K192" authorId="0">
      <text>
        <t>Estimated</t>
      </text>
    </comment>
    <comment ref="K190" authorId="0">
      <text>
        <t>Estimated</t>
      </text>
    </comment>
  </commentList>
</comments>
</file>

<file path=xl/sharedStrings.xml><?xml version="1.0" encoding="utf-8"?>
<sst xmlns="http://schemas.openxmlformats.org/spreadsheetml/2006/main" count="58" uniqueCount="52">
  <si>
    <t>Search Criteria:</t>
  </si>
  <si>
    <t>Downloaded on:</t>
  </si>
  <si>
    <t xml:space="preserve"> </t>
  </si>
  <si>
    <t xml:space="preserve">Fund Returns Data Download </t>
  </si>
  <si>
    <t xml:space="preserve"> Search Link:</t>
  </si>
  <si>
    <t>PitchBook Link</t>
  </si>
  <si>
    <t>View Company Online</t>
  </si>
  <si>
    <t xml:space="preserve">Include Active Positions; Fund Type: Venture Capital; Fund Size: Min: 100M; Max: 250M; Fund Vintage Year: From: 2009; To: 2020; </t>
  </si>
  <si>
    <t>Created for:</t>
  </si>
  <si>
    <t>Vishal Tripathi, Plexo Capital</t>
  </si>
  <si>
    <t>https://my.pitchbook.com/?pcc=361667-44</t>
  </si>
  <si>
    <t>Fund ID</t>
  </si>
  <si>
    <t>Fund Name</t>
  </si>
  <si>
    <t>Fund Former Name</t>
  </si>
  <si>
    <t>Fund Type</t>
  </si>
  <si>
    <t>Fund Size</t>
  </si>
  <si>
    <t>Fund Location</t>
  </si>
  <si>
    <t>Quartile</t>
  </si>
  <si>
    <t>Vintage</t>
  </si>
  <si>
    <t>Called %</t>
  </si>
  <si>
    <t>Contributions</t>
  </si>
  <si>
    <t>Dry Powder</t>
  </si>
  <si>
    <t>Distributions</t>
  </si>
  <si>
    <t>NAV</t>
  </si>
  <si>
    <t>IRR</t>
  </si>
  <si>
    <t>Benchmark %</t>
  </si>
  <si>
    <t>Difference % (from Benchmark)</t>
  </si>
  <si>
    <t>DPI</t>
  </si>
  <si>
    <t>DPI Difference (from Benchmark)</t>
  </si>
  <si>
    <t>RVPI</t>
  </si>
  <si>
    <t>RVPI Difference (from Benchmark)</t>
  </si>
  <si>
    <t>TVPI</t>
  </si>
  <si>
    <t>TVPI Difference (from Benchmark)</t>
  </si>
  <si>
    <t>Benchmark Definition</t>
  </si>
  <si>
    <t>Calculations based on</t>
  </si>
  <si>
    <t>As of Period</t>
  </si>
  <si>
    <t>Fund Size Group</t>
  </si>
  <si>
    <t>Investor Name</t>
  </si>
  <si>
    <t>Investor Location</t>
  </si>
  <si>
    <t>Fund Industry Preferences</t>
  </si>
  <si>
    <t>Fund Financing Type Preferences</t>
  </si>
  <si>
    <t>Fund Regional Preferences</t>
  </si>
  <si>
    <t>LP Returns Source</t>
  </si>
  <si>
    <t>All data copyright PitchBook Data, Inc.</t>
  </si>
  <si>
    <t>For customized data reports and analyses, contact us at:</t>
  </si>
  <si>
    <t xml:space="preserve">clientservices@pitchbook.com </t>
  </si>
  <si>
    <t xml:space="preserve">In accordance with the </t>
  </si>
  <si>
    <t>PitchBook User Agreement</t>
  </si>
  <si>
    <t>, this document and its contents are meant for data purposes only. This file must be deleted by all recipients after 30 days of download unless express written consent has been given by PitchBook Data, Inc.</t>
  </si>
  <si>
    <t>If you have any further questions or concerns, please contact client services at 1-877-267-5593 or by email at</t>
  </si>
  <si>
    <t>clientservices@pitchbook.com.</t>
  </si>
  <si>
    <t>© PitchBook Data, Inc.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</si>
</sst>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
    <numFmt numFmtId="165" formatCode="#,##0.00;(#,##0.00)"/>
    <numFmt numFmtId="166" formatCode="#,##0.00&quot;%&quot;;-#,##0.00&quot;%&quot;"/>
    <numFmt numFmtId="167" formatCode="#,##0.00x"/>
  </numFmts>
  <fonts count="226" x14ac:knownFonts="1">
    <font>
      <sz val="10"/>
      <name val="Arial"/>
    </font>
    <font>
      <sz val="8"/>
      <color indexed="8"/>
      <name val="Arial"/>
      <family val="2"/>
    </font>
    <font>
      <b/>
      <sz val="16"/>
      <color indexed="8"/>
      <name val="Arial"/>
      <family val="2"/>
    </font>
    <font>
      <b/>
      <sz val="10"/>
      <color indexed="8"/>
      <name val="Arial"/>
      <family val="2"/>
    </font>
    <font>
      <b/>
      <sz val="8"/>
      <color indexed="16"/>
      <name val="Arial"/>
      <family val="2"/>
    </font>
    <font>
      <u/>
      <sz val="11"/>
      <color indexed="12"/>
      <name val="Calibri"/>
      <family val="2"/>
    </font>
    <font>
      <sz val="6"/>
      <color indexed="8"/>
      <name val="Arial"/>
      <family val="2"/>
    </font>
    <font>
      <b/>
      <sz val="8"/>
      <color indexed="9"/>
      <name val="Arial"/>
      <family val="2"/>
    </font>
    <font>
      <b/>
      <sz val="8"/>
      <color indexed="8"/>
      <name val="Arial"/>
      <family val="2"/>
    </font>
    <font>
      <sz val="14"/>
      <color indexed="8"/>
      <name val="Arial"/>
      <family val="2"/>
    </font>
    <font>
      <u/>
      <sz val="14"/>
      <color indexed="12"/>
      <name val="Arial"/>
      <family val="2"/>
      <charset val="204"/>
    </font>
    <font>
      <u/>
      <sz val="8"/>
      <color indexed="12"/>
      <name val="Calibri"/>
      <family val="2"/>
    </font>
    <font>
      <name val="Arial"/>
      <sz val="8.0"/>
      <color indexed="12"/>
    </font>
    <font>
      <name val="Arial"/>
      <sz val="8.0"/>
      <color indexed="9"/>
      <b val="true"/>
    </font>
    <font>
      <name val="Arial"/>
      <sz val="8.0"/>
      <color indexed="9"/>
      <b val="true"/>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Arial"/>
      <sz val="8.0"/>
    </font>
    <font xmlns:main="http://schemas.openxmlformats.org/spreadsheetml/2006/main">
      <main:b/>
      <main:sz val="14"/>
      <main:color indexed="8"/>
      <main:name val="Arial"/>
      <main:family val="2"/>
    </font>
    <font xmlns:main="http://schemas.openxmlformats.org/spreadsheetml/2006/main">
      <main:i/>
      <main:sz val="10"/>
      <main:color indexed="8"/>
      <main:name val="Arial"/>
      <main:family val="2"/>
      <main:charset val="204"/>
    </font>
    <font xmlns:main="http://schemas.openxmlformats.org/spreadsheetml/2006/main">
      <main:i/>
      <main:u/>
      <main:sz val="10"/>
      <main:color indexed="12"/>
      <main:name val="Arial"/>
      <main:family val="2"/>
      <main:charset val="204"/>
    </font>
    <font xmlns:main="http://schemas.openxmlformats.org/spreadsheetml/2006/main">
      <main:i/>
      <main:sz val="10"/>
      <main:name val="Arial"/>
      <main:family val="2"/>
      <main:charset val="204"/>
    </font>
    <font xmlns:main="http://schemas.openxmlformats.org/spreadsheetml/2006/main">
      <main:i/>
      <main:sz val="10"/>
      <main:color theme="3" tint="0.39997558519241921"/>
      <main:name val="Arial"/>
      <main:family val="2"/>
      <main:charset val="204"/>
    </font>
    <font xmlns:main="http://schemas.openxmlformats.org/spreadsheetml/2006/main">
      <main:i/>
      <main:sz val="10"/>
      <main:name val="Arial"/>
      <main:family val="2"/>
      <main:charset val="204"/>
    </font>
    <font xmlns:main="http://schemas.openxmlformats.org/spreadsheetml/2006/main">
      <main:i/>
      <main:sz val="10"/>
      <main:name val="Arial"/>
      <main:family val="2"/>
      <main:charset val="204"/>
    </font>
    <font xmlns:main="http://schemas.openxmlformats.org/spreadsheetml/2006/main">
      <main:i/>
      <main:sz val="10"/>
      <main:color theme="3" tint="0.39997558519241921"/>
      <main:name val="Arial"/>
      <main:family val="2"/>
      <main:charset val="204"/>
    </font>
    <font xmlns:main="http://schemas.openxmlformats.org/spreadsheetml/2006/main">
      <main:i/>
      <main:sz val="10"/>
      <main:color theme="3" tint="0.39997558519241921"/>
      <main:name val="Arial"/>
      <main:family val="2"/>
      <main:charset val="204"/>
    </font>
    <font xmlns:main="http://schemas.openxmlformats.org/spreadsheetml/2006/main">
      <main:i/>
      <main:u/>
      <main:sz val="10"/>
      <main:color indexed="12"/>
      <main:name val="Arial"/>
      <main:family val="2"/>
      <main:charset val="204"/>
    </font>
    <font xmlns:main="http://schemas.openxmlformats.org/spreadsheetml/2006/main">
      <main:i/>
      <main:sz val="10"/>
      <main:color theme="3" tint="0.39997558519241921"/>
      <main:name val="Arial"/>
      <main:family val="2"/>
      <main:charset val="204"/>
    </font>
    <font>
      <name val="Arial"/>
      <sz val="8.0"/>
    </font>
  </fonts>
  <fills count="11">
    <fill>
      <patternFill patternType="none"/>
    </fill>
    <fill>
      <patternFill patternType="gray125"/>
    </fill>
    <fill>
      <patternFill patternType="solid">
        <fgColor indexed="9"/>
        <bgColor indexed="64"/>
      </patternFill>
    </fill>
    <fill>
      <patternFill patternType="solid">
        <fgColor indexed="62"/>
        <bgColor indexed="64"/>
      </patternFill>
    </fill>
    <fill>
      <patternFill patternType="solid">
        <fgColor indexed="13"/>
        <bgColor indexed="64"/>
      </patternFill>
    </fill>
    <fill>
      <patternFill patternType="none">
        <fgColor rgb="4F81BD"/>
      </patternFill>
    </fill>
    <fill>
      <patternFill patternType="solid">
        <fgColor rgb="4F81BD"/>
      </patternFill>
    </fill>
    <fill>
      <patternFill patternType="none">
        <fgColor rgb="EEF3F8"/>
      </patternFill>
    </fill>
    <fill>
      <patternFill patternType="solid">
        <fgColor rgb="EEF3F8"/>
      </patternFill>
    </fill>
    <fill>
      <patternFill patternType="none">
        <fgColor rgb="FFFFFF"/>
      </patternFill>
    </fill>
    <fill>
      <patternFill patternType="solid">
        <fgColor rgb="FFFFFF"/>
      </patternFill>
    </fill>
  </fills>
  <borders count="13">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hair">
        <color indexed="55"/>
      </left>
      <right style="hair">
        <color indexed="55"/>
      </right>
      <top/>
      <bottom/>
      <diagonal/>
    </border>
    <border>
      <left/>
      <right style="thin">
        <color indexed="64"/>
      </right>
      <top style="thin">
        <color indexed="64"/>
      </top>
      <bottom/>
      <diagonal/>
    </border>
    <border>
      <left style="hair">
        <color indexed="64"/>
      </left>
      <right style="hair">
        <color indexed="64"/>
      </right>
      <top/>
      <bottom/>
      <diagonal/>
    </border>
    <border>
      <top style="thin"/>
    </border>
    <border>
      <top style="thin">
        <color indexed="8"/>
      </top>
    </border>
    <border>
      <right style="thin"/>
      <top style="thin">
        <color indexed="8"/>
      </top>
    </border>
    <border>
      <right style="thin">
        <color indexed="8"/>
      </right>
      <top style="thin">
        <color indexed="8"/>
      </top>
    </border>
    <border>
      <right style="dotted"/>
    </border>
    <border>
      <right style="dotted">
        <color rgb="969696"/>
      </right>
    </border>
  </borders>
  <cellStyleXfs count="2">
    <xf numFmtId="0" fontId="0" fillId="0" borderId="0"/>
    <xf numFmtId="0" fontId="5" fillId="0" borderId="0" applyNumberFormat="0" applyFill="0" applyBorder="0" applyAlignment="0" applyProtection="0">
      <alignment vertical="top"/>
      <protection locked="0"/>
    </xf>
  </cellStyleXfs>
  <cellXfs count="247">
    <xf numFmtId="0" fontId="0" fillId="0" borderId="0" xfId="0"/>
    <xf numFmtId="0" fontId="1" fillId="2" borderId="0" xfId="0" applyFont="1" applyFill="1">
      <alignment wrapText="false"/>
    </xf>
    <xf numFmtId="164" fontId="1" fillId="2" borderId="0" xfId="0" applyNumberFormat="1" applyFont="1" applyFill="1"/>
    <xf numFmtId="0" fontId="3" fillId="2" borderId="0" xfId="0" applyFont="1" applyFill="1"/>
    <xf numFmtId="0" fontId="4" fillId="2" borderId="0" xfId="0" applyFont="1" applyFill="1"/>
    <xf numFmtId="0" fontId="1" fillId="2" borderId="0" xfId="0" applyFont="1" applyFill="1" applyAlignment="1">
      <alignment horizontal="right"/>
    </xf>
    <xf numFmtId="0" fontId="6" fillId="2" borderId="0" xfId="0" applyFont="1" applyFill="1"/>
    <xf numFmtId="0" fontId="7" fillId="3" borderId="1" xfId="0" applyFont="1" applyFill="1" applyBorder="1" applyAlignment="1">
      <alignment horizontal="left"/>
    </xf>
    <xf numFmtId="0" fontId="7" fillId="3" borderId="2" xfId="0" applyFont="1" applyFill="1" applyBorder="1" applyAlignment="1">
      <alignment horizontal="left"/>
    </xf>
    <xf numFmtId="164" fontId="7" fillId="3" borderId="2" xfId="0" applyNumberFormat="1" applyFont="1" applyFill="1" applyBorder="1" applyAlignment="1">
      <alignment horizontal="left" wrapText="1"/>
    </xf>
    <xf numFmtId="0" fontId="1" fillId="0" borderId="0" xfId="0" applyFont="1"/>
    <xf numFmtId="164" fontId="1" fillId="0" borderId="0" xfId="0" applyNumberFormat="1" applyFont="1"/>
    <xf numFmtId="0" fontId="9" fillId="2" borderId="0" xfId="0" applyFont="1" applyFill="1" applyAlignment="1">
      <alignment horizontal="right"/>
    </xf>
    <xf numFmtId="14" fontId="1" fillId="2" borderId="0" xfId="0" applyNumberFormat="1" applyFont="1" applyFill="1" applyAlignment="1">
      <alignment horizontal="left"/>
    </xf>
    <xf numFmtId="0" fontId="1" fillId="4" borderId="3" xfId="0" applyNumberFormat="1" applyFont="1" applyFill="1" applyBorder="1"/>
    <xf numFmtId="0" fontId="1" fillId="4" borderId="4" xfId="0" applyNumberFormat="1" applyFont="1" applyFill="1" applyBorder="1"/>
    <xf numFmtId="0" fontId="1" fillId="4" borderId="0" xfId="0" applyNumberFormat="1" applyFont="1" applyFill="1" applyBorder="1"/>
    <xf numFmtId="0" fontId="1" fillId="2" borderId="3" xfId="0" applyNumberFormat="1" applyFont="1" applyFill="1" applyBorder="1"/>
    <xf numFmtId="0" fontId="1" fillId="2" borderId="4" xfId="0" applyNumberFormat="1" applyFont="1" applyFill="1" applyBorder="1"/>
    <xf numFmtId="0" fontId="1" fillId="2" borderId="0" xfId="0" applyNumberFormat="1" applyFont="1" applyFill="1" applyBorder="1"/>
    <xf numFmtId="0" fontId="10" fillId="2" borderId="0" xfId="1" applyFont="1" applyFill="1" applyAlignment="1" applyProtection="1"/>
    <xf numFmtId="14" fontId="1" fillId="4" borderId="4" xfId="0" applyNumberFormat="1" applyFont="1" applyFill="1" applyBorder="1"/>
    <xf numFmtId="14" fontId="1" fillId="2" borderId="4" xfId="0" applyNumberFormat="1" applyFont="1" applyFill="1" applyBorder="1"/>
    <xf numFmtId="0" fontId="8" fillId="0" borderId="0" xfId="0" applyFont="1" applyFill="1" applyAlignment="1">
      <alignment horizontal="left"/>
    </xf>
    <xf numFmtId="0" fontId="1" fillId="0" borderId="0" xfId="0" applyFont="1" applyFill="1"/>
    <xf numFmtId="0" fontId="4" fillId="2" borderId="0" xfId="0" applyFont="1" applyFill="1" applyAlignment="1">
      <alignment horizontal="left" vertical="top" wrapText="1"/>
    </xf>
    <xf numFmtId="0" fontId="1" fillId="2" borderId="0" xfId="0" applyFont="1" applyFill="1" applyAlignment="1">
      <alignment horizontal="right" vertical="top"/>
    </xf>
    <xf numFmtId="0" fontId="4" fillId="2" borderId="0" xfId="0" applyFont="1" applyFill="1" applyAlignment="1">
      <alignment horizontal="left" vertical="top" wrapText="true"/>
    </xf>
    <xf numFmtId="0" fontId="2" fillId="2" borderId="0" xfId="0" applyFont="1" applyFill="1" applyAlignment="1">
      <alignment horizontal="center"/>
    </xf>
    <xf numFmtId="0" fontId="1" fillId="2" borderId="0" xfId="0" applyFont="1" applyFill="1" applyAlignment="1">
      <alignment horizontal="left"/>
    </xf>
    <xf numFmtId="0" fontId="7" fillId="3" borderId="5" xfId="0" applyFont="1" applyFill="1" applyBorder="1" applyAlignment="1">
      <alignment horizontal="left" wrapText="1"/>
    </xf>
    <xf numFmtId="0" fontId="11" fillId="4" borderId="6" xfId="1" applyFont="1" applyFill="1" applyBorder="1" applyAlignment="1" applyProtection="1"/>
    <xf numFmtId="0" fontId="11" fillId="2" borderId="6" xfId="1" applyFont="1" applyFill="1" applyBorder="1" applyAlignment="1" applyProtection="1"/>
    <xf numFmtId="0" fontId="12" fillId="0" borderId="0" xfId="0" applyFont="true">
      <alignment wrapText="true"/>
    </xf>
    <xf numFmtId="0" fontId="13" fillId="6" borderId="8" xfId="0" applyFill="true" applyFont="true" applyBorder="true">
      <alignment horizontal="center" vertical="center" wrapText="true"/>
    </xf>
    <xf numFmtId="0" fontId="14" fillId="6" borderId="10" xfId="0" applyFill="true" applyFont="true" applyBorder="true">
      <alignment horizontal="center" vertical="center" wrapText="true"/>
    </xf>
    <xf numFmtId="0" fontId="15" fillId="8" borderId="12" xfId="0" applyFill="true" applyFont="true" applyBorder="true">
      <alignment horizontal="left" vertical="top" indent="1" wrapText="false"/>
    </xf>
    <xf numFmtId="0" fontId="16" fillId="8" borderId="12" xfId="0" applyFill="true" applyFont="true" applyBorder="true">
      <alignment horizontal="left" vertical="top" indent="1" wrapText="false"/>
    </xf>
    <xf numFmtId="0" fontId="17" fillId="8" borderId="12" xfId="0" applyFill="true" applyFont="true" applyBorder="true">
      <alignment horizontal="left" vertical="top" indent="1" wrapText="false"/>
    </xf>
    <xf numFmtId="0" fontId="18" fillId="8" borderId="12" xfId="0" applyFill="true" applyFont="true" applyBorder="true">
      <alignment horizontal="left" vertical="top" indent="1" wrapText="false"/>
    </xf>
    <xf numFmtId="165" fontId="19" fillId="8" borderId="12" xfId="0" applyFill="true" applyFont="true" applyBorder="true" applyNumberFormat="true">
      <alignment horizontal="right" vertical="top" indent="1" wrapText="false"/>
    </xf>
    <xf numFmtId="0" fontId="20" fillId="8" borderId="12" xfId="0" applyFill="true" applyFont="true" applyBorder="true">
      <alignment horizontal="left" vertical="top" indent="1" wrapText="false"/>
    </xf>
    <xf numFmtId="0" fontId="21" fillId="8" borderId="12" xfId="0" applyFill="true" applyFont="true" applyBorder="true">
      <alignment horizontal="right" vertical="top" indent="1" wrapText="false"/>
    </xf>
    <xf numFmtId="0" fontId="22" fillId="8" borderId="12" xfId="0" applyFill="true" applyFont="true" applyBorder="true">
      <alignment horizontal="right" vertical="top" indent="1" wrapText="false"/>
    </xf>
    <xf numFmtId="166" fontId="23" fillId="8" borderId="12" xfId="0" applyFill="true" applyFont="true" applyBorder="true" applyNumberFormat="true">
      <alignment horizontal="right" vertical="top" indent="1" wrapText="false"/>
    </xf>
    <xf numFmtId="165" fontId="24" fillId="8" borderId="12" xfId="0" applyFill="true" applyFont="true" applyBorder="true" applyNumberFormat="true">
      <alignment horizontal="right" vertical="top" indent="1" wrapText="false"/>
    </xf>
    <xf numFmtId="165" fontId="25" fillId="8" borderId="12" xfId="0" applyFill="true" applyFont="true" applyBorder="true" applyNumberFormat="true">
      <alignment horizontal="right" vertical="top" indent="1" wrapText="false"/>
    </xf>
    <xf numFmtId="165" fontId="26" fillId="8" borderId="12" xfId="0" applyFill="true" applyFont="true" applyBorder="true" applyNumberFormat="true">
      <alignment horizontal="right" vertical="top" indent="1" wrapText="false"/>
    </xf>
    <xf numFmtId="165" fontId="27" fillId="8" borderId="12" xfId="0" applyFill="true" applyFont="true" applyBorder="true" applyNumberFormat="true">
      <alignment horizontal="right" vertical="top" indent="1" wrapText="false"/>
    </xf>
    <xf numFmtId="166" fontId="28" fillId="8" borderId="12" xfId="0" applyFill="true" applyFont="true" applyBorder="true" applyNumberFormat="true">
      <alignment horizontal="right" vertical="top" indent="1" wrapText="false"/>
    </xf>
    <xf numFmtId="166" fontId="29" fillId="8" borderId="12" xfId="0" applyFill="true" applyFont="true" applyBorder="true" applyNumberFormat="true">
      <alignment horizontal="right" vertical="top" indent="1" wrapText="false"/>
    </xf>
    <xf numFmtId="166" fontId="30" fillId="8" borderId="12" xfId="0" applyFill="true" applyFont="true" applyBorder="true" applyNumberFormat="true">
      <alignment horizontal="right" vertical="top" indent="1" wrapText="false"/>
    </xf>
    <xf numFmtId="167" fontId="31" fillId="8" borderId="12" xfId="0" applyFill="true" applyFont="true" applyBorder="true" applyNumberFormat="true">
      <alignment horizontal="right" vertical="top" indent="1" wrapText="false"/>
    </xf>
    <xf numFmtId="167" fontId="32" fillId="8" borderId="12" xfId="0" applyFill="true" applyFont="true" applyBorder="true" applyNumberFormat="true">
      <alignment horizontal="right" vertical="top" indent="1" wrapText="false"/>
    </xf>
    <xf numFmtId="167" fontId="33" fillId="8" borderId="12" xfId="0" applyFill="true" applyFont="true" applyBorder="true" applyNumberFormat="true">
      <alignment horizontal="right" vertical="top" indent="1" wrapText="false"/>
    </xf>
    <xf numFmtId="167" fontId="34" fillId="8" borderId="12" xfId="0" applyFill="true" applyFont="true" applyBorder="true" applyNumberFormat="true">
      <alignment horizontal="right" vertical="top" indent="1" wrapText="false"/>
    </xf>
    <xf numFmtId="167" fontId="35" fillId="8" borderId="12" xfId="0" applyFill="true" applyFont="true" applyBorder="true" applyNumberFormat="true">
      <alignment horizontal="right" vertical="top" indent="1" wrapText="false"/>
    </xf>
    <xf numFmtId="167" fontId="36" fillId="8" borderId="12" xfId="0" applyFill="true" applyFont="true" applyBorder="true" applyNumberFormat="true">
      <alignment horizontal="right" vertical="top" indent="1" wrapText="false"/>
    </xf>
    <xf numFmtId="0" fontId="37" fillId="8" borderId="12" xfId="0" applyFill="true" applyFont="true" applyBorder="true">
      <alignment horizontal="left" vertical="top" indent="1" wrapText="false"/>
    </xf>
    <xf numFmtId="0" fontId="38" fillId="8" borderId="12" xfId="0" applyFill="true" applyFont="true" applyBorder="true">
      <alignment horizontal="left" vertical="top" indent="1" wrapText="false"/>
    </xf>
    <xf numFmtId="0" fontId="39" fillId="8" borderId="12" xfId="0" applyFill="true" applyFont="true" applyBorder="true">
      <alignment horizontal="right" vertical="top" indent="1" wrapText="false"/>
    </xf>
    <xf numFmtId="0" fontId="40" fillId="8" borderId="12" xfId="0" applyFill="true" applyFont="true" applyBorder="true">
      <alignment horizontal="left" vertical="top" indent="1" wrapText="false"/>
    </xf>
    <xf numFmtId="0" fontId="41" fillId="8" borderId="12" xfId="0" applyFill="true" applyFont="true" applyBorder="true">
      <alignment horizontal="left" vertical="top" indent="1" wrapText="false"/>
    </xf>
    <xf numFmtId="0" fontId="42" fillId="8" borderId="12" xfId="0" applyFill="true" applyFont="true" applyBorder="true">
      <alignment horizontal="left" vertical="top" indent="1" wrapText="false"/>
    </xf>
    <xf numFmtId="0" fontId="43" fillId="8" borderId="12" xfId="0" applyFill="true" applyFont="true" applyBorder="true">
      <alignment horizontal="left" vertical="top" indent="1" wrapText="false"/>
    </xf>
    <xf numFmtId="0" fontId="44" fillId="8" borderId="12" xfId="0" applyFill="true" applyFont="true" applyBorder="true">
      <alignment horizontal="left" vertical="top" indent="1" wrapText="false"/>
    </xf>
    <xf numFmtId="0" fontId="45" fillId="8" borderId="12" xfId="0" applyFill="true" applyFont="true" applyBorder="true">
      <alignment horizontal="left" vertical="top" indent="1" wrapText="false"/>
    </xf>
    <xf numFmtId="0" fontId="46" fillId="8" borderId="12" xfId="0" applyFill="true" applyFont="true" applyBorder="true">
      <alignment horizontal="left" vertical="top" indent="1" wrapText="false"/>
    </xf>
    <xf numFmtId="0" fontId="47" fillId="8" borderId="12" xfId="0" applyFill="true" applyFont="true" applyBorder="true">
      <alignment horizontal="left" vertical="top" indent="1" wrapText="false"/>
    </xf>
    <xf numFmtId="0" fontId="48" fillId="10" borderId="12" xfId="0" applyFill="true" applyFont="true" applyBorder="true">
      <alignment horizontal="left" vertical="top" indent="1" wrapText="false"/>
    </xf>
    <xf numFmtId="0" fontId="49" fillId="10" borderId="12" xfId="0" applyFill="true" applyFont="true" applyBorder="true">
      <alignment horizontal="left" vertical="top" indent="1" wrapText="false"/>
    </xf>
    <xf numFmtId="0" fontId="50" fillId="10" borderId="12" xfId="0" applyFill="true" applyFont="true" applyBorder="true">
      <alignment horizontal="left" vertical="top" indent="1" wrapText="false"/>
    </xf>
    <xf numFmtId="0" fontId="51" fillId="10" borderId="12" xfId="0" applyFill="true" applyFont="true" applyBorder="true">
      <alignment horizontal="left" vertical="top" indent="1" wrapText="false"/>
    </xf>
    <xf numFmtId="165" fontId="52" fillId="10" borderId="12" xfId="0" applyFill="true" applyFont="true" applyBorder="true" applyNumberFormat="true">
      <alignment horizontal="right" vertical="top" indent="1" wrapText="false"/>
    </xf>
    <xf numFmtId="0" fontId="53" fillId="10" borderId="12" xfId="0" applyFill="true" applyFont="true" applyBorder="true">
      <alignment horizontal="left" vertical="top" indent="1" wrapText="false"/>
    </xf>
    <xf numFmtId="0" fontId="54" fillId="10" borderId="12" xfId="0" applyFill="true" applyFont="true" applyBorder="true">
      <alignment horizontal="right" vertical="top" indent="1" wrapText="false"/>
    </xf>
    <xf numFmtId="0" fontId="55" fillId="10" borderId="12" xfId="0" applyFill="true" applyFont="true" applyBorder="true">
      <alignment horizontal="right" vertical="top" indent="1" wrapText="false"/>
    </xf>
    <xf numFmtId="166" fontId="56" fillId="10" borderId="12" xfId="0" applyFill="true" applyFont="true" applyBorder="true" applyNumberFormat="true">
      <alignment horizontal="right" vertical="top" indent="1" wrapText="false"/>
    </xf>
    <xf numFmtId="165" fontId="57" fillId="10" borderId="12" xfId="0" applyFill="true" applyFont="true" applyBorder="true" applyNumberFormat="true">
      <alignment horizontal="right" vertical="top" indent="1" wrapText="false"/>
    </xf>
    <xf numFmtId="165" fontId="58" fillId="10" borderId="12" xfId="0" applyFill="true" applyFont="true" applyBorder="true" applyNumberFormat="true">
      <alignment horizontal="right" vertical="top" indent="1" wrapText="false"/>
    </xf>
    <xf numFmtId="165" fontId="59" fillId="10" borderId="12" xfId="0" applyFill="true" applyFont="true" applyBorder="true" applyNumberFormat="true">
      <alignment horizontal="right" vertical="top" indent="1" wrapText="false"/>
    </xf>
    <xf numFmtId="165" fontId="60" fillId="10" borderId="12" xfId="0" applyFill="true" applyFont="true" applyBorder="true" applyNumberFormat="true">
      <alignment horizontal="right" vertical="top" indent="1" wrapText="false"/>
    </xf>
    <xf numFmtId="166" fontId="61" fillId="10" borderId="12" xfId="0" applyFill="true" applyFont="true" applyBorder="true" applyNumberFormat="true">
      <alignment horizontal="right" vertical="top" indent="1" wrapText="false"/>
    </xf>
    <xf numFmtId="166" fontId="62" fillId="10" borderId="12" xfId="0" applyFill="true" applyFont="true" applyBorder="true" applyNumberFormat="true">
      <alignment horizontal="right" vertical="top" indent="1" wrapText="false"/>
    </xf>
    <xf numFmtId="166" fontId="63" fillId="10" borderId="12" xfId="0" applyFill="true" applyFont="true" applyBorder="true" applyNumberFormat="true">
      <alignment horizontal="right" vertical="top" indent="1" wrapText="false"/>
    </xf>
    <xf numFmtId="167" fontId="64" fillId="10" borderId="12" xfId="0" applyFill="true" applyFont="true" applyBorder="true" applyNumberFormat="true">
      <alignment horizontal="right" vertical="top" indent="1" wrapText="false"/>
    </xf>
    <xf numFmtId="167" fontId="65" fillId="10" borderId="12" xfId="0" applyFill="true" applyFont="true" applyBorder="true" applyNumberFormat="true">
      <alignment horizontal="right" vertical="top" indent="1" wrapText="false"/>
    </xf>
    <xf numFmtId="167" fontId="66" fillId="10" borderId="12" xfId="0" applyFill="true" applyFont="true" applyBorder="true" applyNumberFormat="true">
      <alignment horizontal="right" vertical="top" indent="1" wrapText="false"/>
    </xf>
    <xf numFmtId="167" fontId="67" fillId="10" borderId="12" xfId="0" applyFill="true" applyFont="true" applyBorder="true" applyNumberFormat="true">
      <alignment horizontal="right" vertical="top" indent="1" wrapText="false"/>
    </xf>
    <xf numFmtId="167" fontId="68" fillId="10" borderId="12" xfId="0" applyFill="true" applyFont="true" applyBorder="true" applyNumberFormat="true">
      <alignment horizontal="right" vertical="top" indent="1" wrapText="false"/>
    </xf>
    <xf numFmtId="167" fontId="69" fillId="10" borderId="12" xfId="0" applyFill="true" applyFont="true" applyBorder="true" applyNumberFormat="true">
      <alignment horizontal="right" vertical="top" indent="1" wrapText="false"/>
    </xf>
    <xf numFmtId="0" fontId="70" fillId="10" borderId="12" xfId="0" applyFill="true" applyFont="true" applyBorder="true">
      <alignment horizontal="left" vertical="top" indent="1" wrapText="false"/>
    </xf>
    <xf numFmtId="0" fontId="71" fillId="10" borderId="12" xfId="0" applyFill="true" applyFont="true" applyBorder="true">
      <alignment horizontal="left" vertical="top" indent="1" wrapText="false"/>
    </xf>
    <xf numFmtId="0" fontId="72" fillId="10" borderId="12" xfId="0" applyFill="true" applyFont="true" applyBorder="true">
      <alignment horizontal="right" vertical="top" indent="1" wrapText="false"/>
    </xf>
    <xf numFmtId="0" fontId="73" fillId="10" borderId="12" xfId="0" applyFill="true" applyFont="true" applyBorder="true">
      <alignment horizontal="left" vertical="top" indent="1" wrapText="false"/>
    </xf>
    <xf numFmtId="0" fontId="74" fillId="10" borderId="12" xfId="0" applyFill="true" applyFont="true" applyBorder="true">
      <alignment horizontal="left" vertical="top" indent="1" wrapText="false"/>
    </xf>
    <xf numFmtId="0" fontId="75" fillId="10" borderId="12" xfId="0" applyFill="true" applyFont="true" applyBorder="true">
      <alignment horizontal="left" vertical="top" indent="1" wrapText="false"/>
    </xf>
    <xf numFmtId="0" fontId="76" fillId="10" borderId="12" xfId="0" applyFill="true" applyFont="true" applyBorder="true">
      <alignment horizontal="left" vertical="top" indent="1" wrapText="false"/>
    </xf>
    <xf numFmtId="0" fontId="77" fillId="10" borderId="12" xfId="0" applyFill="true" applyFont="true" applyBorder="true">
      <alignment horizontal="left" vertical="top" indent="1" wrapText="false"/>
    </xf>
    <xf numFmtId="0" fontId="78" fillId="10" borderId="12" xfId="0" applyFill="true" applyFont="true" applyBorder="true">
      <alignment horizontal="left" vertical="top" indent="1" wrapText="false"/>
    </xf>
    <xf numFmtId="0" fontId="79" fillId="10" borderId="12" xfId="0" applyFill="true" applyFont="true" applyBorder="true">
      <alignment horizontal="left" vertical="top" indent="1" wrapText="false"/>
    </xf>
    <xf numFmtId="0" fontId="80" fillId="10" borderId="12" xfId="0" applyFill="true" applyFont="true" applyBorder="true">
      <alignment horizontal="left" vertical="top" indent="1" wrapText="false"/>
    </xf>
    <xf numFmtId="0" fontId="81" fillId="8" borderId="12" xfId="0" applyFill="true" applyFont="true" applyBorder="true">
      <alignment horizontal="left" vertical="top" indent="1" wrapText="false"/>
    </xf>
    <xf numFmtId="0" fontId="82" fillId="8" borderId="12" xfId="0" applyFill="true" applyFont="true" applyBorder="true">
      <alignment horizontal="left" vertical="top" indent="1" wrapText="false"/>
    </xf>
    <xf numFmtId="0" fontId="83" fillId="8" borderId="12" xfId="0" applyFill="true" applyFont="true" applyBorder="true">
      <alignment horizontal="left" vertical="top" indent="1" wrapText="false"/>
    </xf>
    <xf numFmtId="0" fontId="84" fillId="8" borderId="12" xfId="0" applyFill="true" applyFont="true" applyBorder="true">
      <alignment horizontal="left" vertical="top" indent="1" wrapText="false"/>
    </xf>
    <xf numFmtId="165" fontId="85" fillId="8" borderId="12" xfId="0" applyFill="true" applyFont="true" applyBorder="true" applyNumberFormat="true">
      <alignment horizontal="right" vertical="top" indent="1" wrapText="false"/>
    </xf>
    <xf numFmtId="0" fontId="86" fillId="8" borderId="12" xfId="0" applyFill="true" applyFont="true" applyBorder="true">
      <alignment horizontal="left" vertical="top" indent="1" wrapText="false"/>
    </xf>
    <xf numFmtId="0" fontId="87" fillId="8" borderId="12" xfId="0" applyFill="true" applyFont="true" applyBorder="true">
      <alignment horizontal="right" vertical="top" indent="1" wrapText="false"/>
    </xf>
    <xf numFmtId="0" fontId="88" fillId="8" borderId="12" xfId="0" applyFill="true" applyFont="true" applyBorder="true">
      <alignment horizontal="right" vertical="top" indent="1" wrapText="false"/>
    </xf>
    <xf numFmtId="166" fontId="89" fillId="8" borderId="12" xfId="0" applyFill="true" applyFont="true" applyBorder="true" applyNumberFormat="true">
      <alignment horizontal="right" vertical="top" indent="1" wrapText="false"/>
    </xf>
    <xf numFmtId="165" fontId="90" fillId="8" borderId="12" xfId="0" applyFill="true" applyFont="true" applyBorder="true" applyNumberFormat="true">
      <alignment horizontal="right" vertical="top" indent="1" wrapText="false"/>
    </xf>
    <xf numFmtId="165" fontId="91" fillId="8" borderId="12" xfId="0" applyFill="true" applyFont="true" applyBorder="true" applyNumberFormat="true">
      <alignment horizontal="right" vertical="top" indent="1" wrapText="false"/>
    </xf>
    <xf numFmtId="165" fontId="92" fillId="8" borderId="12" xfId="0" applyFill="true" applyFont="true" applyBorder="true" applyNumberFormat="true">
      <alignment horizontal="right" vertical="top" indent="1" wrapText="false"/>
    </xf>
    <xf numFmtId="165" fontId="93" fillId="8" borderId="12" xfId="0" applyFill="true" applyFont="true" applyBorder="true" applyNumberFormat="true">
      <alignment horizontal="right" vertical="top" indent="1" wrapText="false"/>
    </xf>
    <xf numFmtId="166" fontId="94" fillId="8" borderId="12" xfId="0" applyFill="true" applyFont="true" applyBorder="true" applyNumberFormat="true">
      <alignment horizontal="right" vertical="top" indent="1" wrapText="false"/>
    </xf>
    <xf numFmtId="166" fontId="95" fillId="8" borderId="12" xfId="0" applyFill="true" applyFont="true" applyBorder="true" applyNumberFormat="true">
      <alignment horizontal="right" vertical="top" indent="1" wrapText="false"/>
    </xf>
    <xf numFmtId="166" fontId="96" fillId="8" borderId="12" xfId="0" applyFill="true" applyFont="true" applyBorder="true" applyNumberFormat="true">
      <alignment horizontal="right" vertical="top" indent="1" wrapText="false"/>
    </xf>
    <xf numFmtId="167" fontId="97" fillId="8" borderId="12" xfId="0" applyFill="true" applyFont="true" applyBorder="true" applyNumberFormat="true">
      <alignment horizontal="right" vertical="top" indent="1" wrapText="false"/>
    </xf>
    <xf numFmtId="167" fontId="98" fillId="8" borderId="12" xfId="0" applyFill="true" applyFont="true" applyBorder="true" applyNumberFormat="true">
      <alignment horizontal="right" vertical="top" indent="1" wrapText="false"/>
    </xf>
    <xf numFmtId="167" fontId="99" fillId="8" borderId="12" xfId="0" applyFill="true" applyFont="true" applyBorder="true" applyNumberFormat="true">
      <alignment horizontal="right" vertical="top" indent="1" wrapText="false"/>
    </xf>
    <xf numFmtId="167" fontId="100" fillId="8" borderId="12" xfId="0" applyFill="true" applyFont="true" applyBorder="true" applyNumberFormat="true">
      <alignment horizontal="right" vertical="top" indent="1" wrapText="false"/>
    </xf>
    <xf numFmtId="167" fontId="101" fillId="8" borderId="12" xfId="0" applyFill="true" applyFont="true" applyBorder="true" applyNumberFormat="true">
      <alignment horizontal="right" vertical="top" indent="1" wrapText="false"/>
    </xf>
    <xf numFmtId="167" fontId="102" fillId="8" borderId="12" xfId="0" applyFill="true" applyFont="true" applyBorder="true" applyNumberFormat="true">
      <alignment horizontal="right" vertical="top" indent="1" wrapText="false"/>
    </xf>
    <xf numFmtId="0" fontId="103" fillId="8" borderId="12" xfId="0" applyFill="true" applyFont="true" applyBorder="true">
      <alignment horizontal="left" vertical="top" indent="1" wrapText="false"/>
    </xf>
    <xf numFmtId="0" fontId="104" fillId="8" borderId="12" xfId="0" applyFill="true" applyFont="true" applyBorder="true">
      <alignment horizontal="left" vertical="top" indent="1" wrapText="false"/>
    </xf>
    <xf numFmtId="0" fontId="105" fillId="8" borderId="12" xfId="0" applyFill="true" applyFont="true" applyBorder="true">
      <alignment horizontal="right" vertical="top" indent="1" wrapText="false"/>
    </xf>
    <xf numFmtId="0" fontId="106" fillId="8" borderId="12" xfId="0" applyFill="true" applyFont="true" applyBorder="true">
      <alignment horizontal="left" vertical="top" indent="1" wrapText="false"/>
    </xf>
    <xf numFmtId="0" fontId="107" fillId="8" borderId="12" xfId="0" applyFill="true" applyFont="true" applyBorder="true">
      <alignment horizontal="left" vertical="top" indent="1" wrapText="false"/>
    </xf>
    <xf numFmtId="0" fontId="108" fillId="8" borderId="12" xfId="0" applyFill="true" applyFont="true" applyBorder="true">
      <alignment horizontal="left" vertical="top" indent="1" wrapText="false"/>
    </xf>
    <xf numFmtId="0" fontId="109" fillId="8" borderId="12" xfId="0" applyFill="true" applyFont="true" applyBorder="true">
      <alignment horizontal="left" vertical="top" indent="1" wrapText="false"/>
    </xf>
    <xf numFmtId="0" fontId="110" fillId="8" borderId="12" xfId="0" applyFill="true" applyFont="true" applyBorder="true">
      <alignment horizontal="left" vertical="top" indent="1" wrapText="false"/>
    </xf>
    <xf numFmtId="0" fontId="111" fillId="8" borderId="12" xfId="0" applyFill="true" applyFont="true" applyBorder="true">
      <alignment horizontal="left" vertical="top" indent="1" wrapText="false"/>
    </xf>
    <xf numFmtId="0" fontId="112" fillId="8" borderId="12" xfId="0" applyFill="true" applyFont="true" applyBorder="true">
      <alignment horizontal="left" vertical="top" indent="1" wrapText="false"/>
    </xf>
    <xf numFmtId="0" fontId="113" fillId="8" borderId="12" xfId="0" applyFill="true" applyFont="true" applyBorder="true">
      <alignment horizontal="left" vertical="top" indent="1" wrapText="false"/>
    </xf>
    <xf numFmtId="0" fontId="114" fillId="10" borderId="12" xfId="0" applyFill="true" applyFont="true" applyBorder="true">
      <alignment horizontal="left" vertical="top" indent="1" wrapText="false"/>
    </xf>
    <xf numFmtId="0" fontId="115" fillId="10" borderId="12" xfId="0" applyFill="true" applyFont="true" applyBorder="true">
      <alignment horizontal="left" vertical="top" indent="1" wrapText="false"/>
    </xf>
    <xf numFmtId="0" fontId="116" fillId="10" borderId="12" xfId="0" applyFill="true" applyFont="true" applyBorder="true">
      <alignment horizontal="left" vertical="top" indent="1" wrapText="false"/>
    </xf>
    <xf numFmtId="0" fontId="117" fillId="10" borderId="12" xfId="0" applyFill="true" applyFont="true" applyBorder="true">
      <alignment horizontal="left" vertical="top" indent="1" wrapText="false"/>
    </xf>
    <xf numFmtId="165" fontId="118" fillId="10" borderId="12" xfId="0" applyFill="true" applyFont="true" applyBorder="true" applyNumberFormat="true">
      <alignment horizontal="right" vertical="top" indent="1" wrapText="false"/>
    </xf>
    <xf numFmtId="0" fontId="119" fillId="10" borderId="12" xfId="0" applyFill="true" applyFont="true" applyBorder="true">
      <alignment horizontal="left" vertical="top" indent="1" wrapText="false"/>
    </xf>
    <xf numFmtId="0" fontId="120" fillId="10" borderId="12" xfId="0" applyFill="true" applyFont="true" applyBorder="true">
      <alignment horizontal="right" vertical="top" indent="1" wrapText="false"/>
    </xf>
    <xf numFmtId="0" fontId="121" fillId="10" borderId="12" xfId="0" applyFill="true" applyFont="true" applyBorder="true">
      <alignment horizontal="right" vertical="top" indent="1" wrapText="false"/>
    </xf>
    <xf numFmtId="166" fontId="122" fillId="10" borderId="12" xfId="0" applyFill="true" applyFont="true" applyBorder="true" applyNumberFormat="true">
      <alignment horizontal="right" vertical="top" indent="1" wrapText="false"/>
    </xf>
    <xf numFmtId="165" fontId="123" fillId="10" borderId="12" xfId="0" applyFill="true" applyFont="true" applyBorder="true" applyNumberFormat="true">
      <alignment horizontal="right" vertical="top" indent="1" wrapText="false"/>
    </xf>
    <xf numFmtId="165" fontId="124" fillId="10" borderId="12" xfId="0" applyFill="true" applyFont="true" applyBorder="true" applyNumberFormat="true">
      <alignment horizontal="right" vertical="top" indent="1" wrapText="false"/>
    </xf>
    <xf numFmtId="165" fontId="125" fillId="10" borderId="12" xfId="0" applyFill="true" applyFont="true" applyBorder="true" applyNumberFormat="true">
      <alignment horizontal="right" vertical="top" indent="1" wrapText="false"/>
    </xf>
    <xf numFmtId="165" fontId="126" fillId="10" borderId="12" xfId="0" applyFill="true" applyFont="true" applyBorder="true" applyNumberFormat="true">
      <alignment horizontal="right" vertical="top" indent="1" wrapText="false"/>
    </xf>
    <xf numFmtId="166" fontId="127" fillId="10" borderId="12" xfId="0" applyFill="true" applyFont="true" applyBorder="true" applyNumberFormat="true">
      <alignment horizontal="right" vertical="top" indent="1" wrapText="false"/>
    </xf>
    <xf numFmtId="166" fontId="128" fillId="10" borderId="12" xfId="0" applyFill="true" applyFont="true" applyBorder="true" applyNumberFormat="true">
      <alignment horizontal="right" vertical="top" indent="1" wrapText="false"/>
    </xf>
    <xf numFmtId="166" fontId="129" fillId="10" borderId="12" xfId="0" applyFill="true" applyFont="true" applyBorder="true" applyNumberFormat="true">
      <alignment horizontal="right" vertical="top" indent="1" wrapText="false"/>
    </xf>
    <xf numFmtId="167" fontId="130" fillId="10" borderId="12" xfId="0" applyFill="true" applyFont="true" applyBorder="true" applyNumberFormat="true">
      <alignment horizontal="right" vertical="top" indent="1" wrapText="false"/>
    </xf>
    <xf numFmtId="167" fontId="131" fillId="10" borderId="12" xfId="0" applyFill="true" applyFont="true" applyBorder="true" applyNumberFormat="true">
      <alignment horizontal="right" vertical="top" indent="1" wrapText="false"/>
    </xf>
    <xf numFmtId="167" fontId="132" fillId="10" borderId="12" xfId="0" applyFill="true" applyFont="true" applyBorder="true" applyNumberFormat="true">
      <alignment horizontal="right" vertical="top" indent="1" wrapText="false"/>
    </xf>
    <xf numFmtId="167" fontId="133" fillId="10" borderId="12" xfId="0" applyFill="true" applyFont="true" applyBorder="true" applyNumberFormat="true">
      <alignment horizontal="right" vertical="top" indent="1" wrapText="false"/>
    </xf>
    <xf numFmtId="167" fontId="134" fillId="10" borderId="12" xfId="0" applyFill="true" applyFont="true" applyBorder="true" applyNumberFormat="true">
      <alignment horizontal="right" vertical="top" indent="1" wrapText="false"/>
    </xf>
    <xf numFmtId="167" fontId="135" fillId="10" borderId="12" xfId="0" applyFill="true" applyFont="true" applyBorder="true" applyNumberFormat="true">
      <alignment horizontal="right" vertical="top" indent="1" wrapText="false"/>
    </xf>
    <xf numFmtId="0" fontId="136" fillId="10" borderId="12" xfId="0" applyFill="true" applyFont="true" applyBorder="true">
      <alignment horizontal="left" vertical="top" indent="1" wrapText="false"/>
    </xf>
    <xf numFmtId="0" fontId="137" fillId="10" borderId="12" xfId="0" applyFill="true" applyFont="true" applyBorder="true">
      <alignment horizontal="left" vertical="top" indent="1" wrapText="false"/>
    </xf>
    <xf numFmtId="0" fontId="138" fillId="10" borderId="12" xfId="0" applyFill="true" applyFont="true" applyBorder="true">
      <alignment horizontal="right" vertical="top" indent="1" wrapText="false"/>
    </xf>
    <xf numFmtId="0" fontId="139" fillId="10" borderId="12" xfId="0" applyFill="true" applyFont="true" applyBorder="true">
      <alignment horizontal="left" vertical="top" indent="1" wrapText="false"/>
    </xf>
    <xf numFmtId="0" fontId="140" fillId="10" borderId="12" xfId="0" applyFill="true" applyFont="true" applyBorder="true">
      <alignment horizontal="left" vertical="top" indent="1" wrapText="false"/>
    </xf>
    <xf numFmtId="0" fontId="141" fillId="10" borderId="12" xfId="0" applyFill="true" applyFont="true" applyBorder="true">
      <alignment horizontal="left" vertical="top" indent="1" wrapText="false"/>
    </xf>
    <xf numFmtId="0" fontId="142" fillId="10" borderId="12" xfId="0" applyFill="true" applyFont="true" applyBorder="true">
      <alignment horizontal="left" vertical="top" indent="1" wrapText="false"/>
    </xf>
    <xf numFmtId="0" fontId="143" fillId="10" borderId="12" xfId="0" applyFill="true" applyFont="true" applyBorder="true">
      <alignment horizontal="left" vertical="top" indent="1" wrapText="false"/>
    </xf>
    <xf numFmtId="0" fontId="144" fillId="10" borderId="12" xfId="0" applyFill="true" applyFont="true" applyBorder="true">
      <alignment horizontal="left" vertical="top" indent="1" wrapText="false"/>
    </xf>
    <xf numFmtId="0" fontId="145" fillId="10" borderId="12" xfId="0" applyFill="true" applyFont="true" applyBorder="true">
      <alignment horizontal="left" vertical="top" indent="1" wrapText="false"/>
    </xf>
    <xf numFmtId="0" fontId="146" fillId="10" borderId="12" xfId="0" applyFill="true" applyFont="true" applyBorder="true">
      <alignment horizontal="left" vertical="top" indent="1" wrapText="false"/>
    </xf>
    <xf numFmtId="0" fontId="147" fillId="8" borderId="12" xfId="0" applyFill="true" applyFont="true" applyBorder="true">
      <alignment horizontal="left" vertical="top" indent="1" wrapText="false"/>
    </xf>
    <xf numFmtId="0" fontId="148" fillId="10" borderId="12" xfId="0" applyFill="true" applyFont="true" applyBorder="true">
      <alignment horizontal="left" vertical="top" indent="1" wrapText="false"/>
    </xf>
    <xf numFmtId="0" fontId="149" fillId="8" borderId="12" xfId="0" applyFill="true" applyFont="true" applyBorder="true">
      <alignment horizontal="left" vertical="top" indent="1" wrapText="false"/>
    </xf>
    <xf numFmtId="0" fontId="150" fillId="10" borderId="12" xfId="0" applyFill="true" applyFont="true" applyBorder="true">
      <alignment horizontal="left" vertical="top" indent="1" wrapText="false"/>
    </xf>
    <xf numFmtId="0" fontId="151" fillId="8" borderId="12" xfId="0" applyFill="true" applyFont="true" applyBorder="true">
      <alignment horizontal="left" vertical="top" indent="1" wrapText="false"/>
    </xf>
    <xf numFmtId="0" fontId="152" fillId="10" borderId="12" xfId="0" applyFill="true" applyFont="true" applyBorder="true">
      <alignment horizontal="left" vertical="top" indent="1" wrapText="false"/>
    </xf>
    <xf numFmtId="0" fontId="153" fillId="8" borderId="12" xfId="0" applyFill="true" applyFont="true" applyBorder="true">
      <alignment horizontal="left" vertical="top" indent="1" wrapText="false"/>
    </xf>
    <xf numFmtId="0" fontId="154" fillId="10" borderId="12" xfId="0" applyFill="true" applyFont="true" applyBorder="true">
      <alignment horizontal="left" vertical="top" indent="1" wrapText="false"/>
    </xf>
    <xf numFmtId="165" fontId="155" fillId="8" borderId="12" xfId="0" applyFill="true" applyFont="true" applyBorder="true" applyNumberFormat="true">
      <alignment horizontal="left" vertical="top" indent="1" wrapText="false"/>
    </xf>
    <xf numFmtId="165" fontId="156" fillId="10" borderId="12" xfId="0" applyFill="true" applyFont="true" applyBorder="true" applyNumberFormat="true">
      <alignment horizontal="left" vertical="top" indent="1" wrapText="false"/>
    </xf>
    <xf numFmtId="0" fontId="157" fillId="8" borderId="12" xfId="0" applyFill="true" applyFont="true" applyBorder="true">
      <alignment horizontal="left" vertical="top" indent="1" wrapText="false"/>
    </xf>
    <xf numFmtId="0" fontId="158" fillId="10" borderId="12" xfId="0" applyFill="true" applyFont="true" applyBorder="true">
      <alignment horizontal="left" vertical="top" indent="1" wrapText="false"/>
    </xf>
    <xf numFmtId="0" fontId="159" fillId="8" borderId="12" xfId="0" applyFill="true" applyFont="true" applyBorder="true">
      <alignment horizontal="left" vertical="top" indent="1" wrapText="false"/>
    </xf>
    <xf numFmtId="0" fontId="160" fillId="10" borderId="12" xfId="0" applyFill="true" applyFont="true" applyBorder="true">
      <alignment horizontal="left" vertical="top" indent="1" wrapText="false"/>
    </xf>
    <xf numFmtId="0" fontId="161" fillId="8" borderId="12" xfId="0" applyFill="true" applyFont="true" applyBorder="true">
      <alignment horizontal="left" vertical="top" indent="1" wrapText="false"/>
    </xf>
    <xf numFmtId="0" fontId="162" fillId="10" borderId="12" xfId="0" applyFill="true" applyFont="true" applyBorder="true">
      <alignment horizontal="left" vertical="top" indent="1" wrapText="false"/>
    </xf>
    <xf numFmtId="166" fontId="163" fillId="8" borderId="12" xfId="0" applyFill="true" applyFont="true" applyBorder="true" applyNumberFormat="true">
      <alignment horizontal="left" vertical="top" indent="1" wrapText="false"/>
    </xf>
    <xf numFmtId="166" fontId="164" fillId="10" borderId="12" xfId="0" applyFill="true" applyFont="true" applyBorder="true" applyNumberFormat="true">
      <alignment horizontal="left" vertical="top" indent="1" wrapText="false"/>
    </xf>
    <xf numFmtId="165" fontId="165" fillId="8" borderId="12" xfId="0" applyFill="true" applyFont="true" applyBorder="true" applyNumberFormat="true">
      <alignment horizontal="left" vertical="top" indent="1" wrapText="false"/>
    </xf>
    <xf numFmtId="165" fontId="166" fillId="10" borderId="12" xfId="0" applyFill="true" applyFont="true" applyBorder="true" applyNumberFormat="true">
      <alignment horizontal="left" vertical="top" indent="1" wrapText="false"/>
    </xf>
    <xf numFmtId="165" fontId="167" fillId="8" borderId="12" xfId="0" applyFill="true" applyFont="true" applyBorder="true" applyNumberFormat="true">
      <alignment horizontal="left" vertical="top" indent="1" wrapText="false"/>
    </xf>
    <xf numFmtId="165" fontId="168" fillId="10" borderId="12" xfId="0" applyFill="true" applyFont="true" applyBorder="true" applyNumberFormat="true">
      <alignment horizontal="left" vertical="top" indent="1" wrapText="false"/>
    </xf>
    <xf numFmtId="165" fontId="169" fillId="8" borderId="12" xfId="0" applyFill="true" applyFont="true" applyBorder="true" applyNumberFormat="true">
      <alignment horizontal="left" vertical="top" indent="1" wrapText="false"/>
    </xf>
    <xf numFmtId="165" fontId="170" fillId="10" borderId="12" xfId="0" applyFill="true" applyFont="true" applyBorder="true" applyNumberFormat="true">
      <alignment horizontal="left" vertical="top" indent="1" wrapText="false"/>
    </xf>
    <xf numFmtId="165" fontId="171" fillId="8" borderId="12" xfId="0" applyFill="true" applyFont="true" applyBorder="true" applyNumberFormat="true">
      <alignment horizontal="left" vertical="top" indent="1" wrapText="false"/>
    </xf>
    <xf numFmtId="165" fontId="172" fillId="10" borderId="12" xfId="0" applyFill="true" applyFont="true" applyBorder="true" applyNumberFormat="true">
      <alignment horizontal="left" vertical="top" indent="1" wrapText="false"/>
    </xf>
    <xf numFmtId="166" fontId="173" fillId="8" borderId="12" xfId="0" applyFill="true" applyFont="true" applyBorder="true" applyNumberFormat="true">
      <alignment horizontal="left" vertical="top" indent="1" wrapText="false"/>
    </xf>
    <xf numFmtId="166" fontId="174" fillId="10" borderId="12" xfId="0" applyFill="true" applyFont="true" applyBorder="true" applyNumberFormat="true">
      <alignment horizontal="left" vertical="top" indent="1" wrapText="false"/>
    </xf>
    <xf numFmtId="166" fontId="175" fillId="8" borderId="12" xfId="0" applyFill="true" applyFont="true" applyBorder="true" applyNumberFormat="true">
      <alignment horizontal="left" vertical="top" indent="1" wrapText="false"/>
    </xf>
    <xf numFmtId="166" fontId="176" fillId="10" borderId="12" xfId="0" applyFill="true" applyFont="true" applyBorder="true" applyNumberFormat="true">
      <alignment horizontal="left" vertical="top" indent="1" wrapText="false"/>
    </xf>
    <xf numFmtId="166" fontId="177" fillId="8" borderId="12" xfId="0" applyFill="true" applyFont="true" applyBorder="true" applyNumberFormat="true">
      <alignment horizontal="left" vertical="top" indent="1" wrapText="false"/>
    </xf>
    <xf numFmtId="166" fontId="178" fillId="10" borderId="12" xfId="0" applyFill="true" applyFont="true" applyBorder="true" applyNumberFormat="true">
      <alignment horizontal="left" vertical="top" indent="1" wrapText="false"/>
    </xf>
    <xf numFmtId="167" fontId="179" fillId="8" borderId="12" xfId="0" applyFill="true" applyFont="true" applyBorder="true" applyNumberFormat="true">
      <alignment horizontal="left" vertical="top" indent="1" wrapText="false"/>
    </xf>
    <xf numFmtId="167" fontId="180" fillId="10" borderId="12" xfId="0" applyFill="true" applyFont="true" applyBorder="true" applyNumberFormat="true">
      <alignment horizontal="left" vertical="top" indent="1" wrapText="false"/>
    </xf>
    <xf numFmtId="167" fontId="181" fillId="8" borderId="12" xfId="0" applyFill="true" applyFont="true" applyBorder="true" applyNumberFormat="true">
      <alignment horizontal="left" vertical="top" indent="1" wrapText="false"/>
    </xf>
    <xf numFmtId="167" fontId="182" fillId="10" borderId="12" xfId="0" applyFill="true" applyFont="true" applyBorder="true" applyNumberFormat="true">
      <alignment horizontal="left" vertical="top" indent="1" wrapText="false"/>
    </xf>
    <xf numFmtId="167" fontId="183" fillId="8" borderId="12" xfId="0" applyFill="true" applyFont="true" applyBorder="true" applyNumberFormat="true">
      <alignment horizontal="left" vertical="top" indent="1" wrapText="false"/>
    </xf>
    <xf numFmtId="167" fontId="184" fillId="10" borderId="12" xfId="0" applyFill="true" applyFont="true" applyBorder="true" applyNumberFormat="true">
      <alignment horizontal="left" vertical="top" indent="1" wrapText="false"/>
    </xf>
    <xf numFmtId="167" fontId="185" fillId="8" borderId="12" xfId="0" applyFill="true" applyFont="true" applyBorder="true" applyNumberFormat="true">
      <alignment horizontal="left" vertical="top" indent="1" wrapText="false"/>
    </xf>
    <xf numFmtId="167" fontId="186" fillId="10" borderId="12" xfId="0" applyFill="true" applyFont="true" applyBorder="true" applyNumberFormat="true">
      <alignment horizontal="left" vertical="top" indent="1" wrapText="false"/>
    </xf>
    <xf numFmtId="167" fontId="187" fillId="8" borderId="12" xfId="0" applyFill="true" applyFont="true" applyBorder="true" applyNumberFormat="true">
      <alignment horizontal="left" vertical="top" indent="1" wrapText="false"/>
    </xf>
    <xf numFmtId="167" fontId="188" fillId="10" borderId="12" xfId="0" applyFill="true" applyFont="true" applyBorder="true" applyNumberFormat="true">
      <alignment horizontal="left" vertical="top" indent="1" wrapText="false"/>
    </xf>
    <xf numFmtId="167" fontId="189" fillId="8" borderId="12" xfId="0" applyFill="true" applyFont="true" applyBorder="true" applyNumberFormat="true">
      <alignment horizontal="left" vertical="top" indent="1" wrapText="false"/>
    </xf>
    <xf numFmtId="167" fontId="190" fillId="10" borderId="12" xfId="0" applyFill="true" applyFont="true" applyBorder="true" applyNumberFormat="true">
      <alignment horizontal="left" vertical="top" indent="1" wrapText="false"/>
    </xf>
    <xf numFmtId="0" fontId="191" fillId="8" borderId="12" xfId="0" applyFill="true" applyFont="true" applyBorder="true">
      <alignment horizontal="left" vertical="top" indent="1" wrapText="false"/>
    </xf>
    <xf numFmtId="0" fontId="192" fillId="10" borderId="12" xfId="0" applyFill="true" applyFont="true" applyBorder="true">
      <alignment horizontal="left" vertical="top" indent="1" wrapText="false"/>
    </xf>
    <xf numFmtId="0" fontId="193" fillId="8" borderId="12" xfId="0" applyFill="true" applyFont="true" applyBorder="true">
      <alignment horizontal="left" vertical="top" indent="1" wrapText="false"/>
    </xf>
    <xf numFmtId="0" fontId="194" fillId="10" borderId="12" xfId="0" applyFill="true" applyFont="true" applyBorder="true">
      <alignment horizontal="left" vertical="top" indent="1" wrapText="false"/>
    </xf>
    <xf numFmtId="0" fontId="195" fillId="8" borderId="12" xfId="0" applyFill="true" applyFont="true" applyBorder="true">
      <alignment horizontal="left" vertical="top" indent="1" wrapText="false"/>
    </xf>
    <xf numFmtId="0" fontId="196" fillId="10" borderId="12" xfId="0" applyFill="true" applyFont="true" applyBorder="true">
      <alignment horizontal="left" vertical="top" indent="1" wrapText="false"/>
    </xf>
    <xf numFmtId="0" fontId="197" fillId="8" borderId="12" xfId="0" applyFill="true" applyFont="true" applyBorder="true">
      <alignment horizontal="left" vertical="top" indent="1" wrapText="false"/>
    </xf>
    <xf numFmtId="0" fontId="198" fillId="10" borderId="12" xfId="0" applyFill="true" applyFont="true" applyBorder="true">
      <alignment horizontal="left" vertical="top" indent="1" wrapText="false"/>
    </xf>
    <xf numFmtId="0" fontId="199" fillId="8" borderId="12" xfId="0" applyFill="true" applyFont="true" applyBorder="true">
      <alignment horizontal="left" vertical="top" indent="1" wrapText="false"/>
    </xf>
    <xf numFmtId="0" fontId="200" fillId="10" borderId="12" xfId="0" applyFill="true" applyFont="true" applyBorder="true">
      <alignment horizontal="left" vertical="top" indent="1" wrapText="false"/>
    </xf>
    <xf numFmtId="0" fontId="201" fillId="8" borderId="12" xfId="0" applyFill="true" applyFont="true" applyBorder="true">
      <alignment horizontal="left" vertical="top" indent="1" wrapText="false"/>
    </xf>
    <xf numFmtId="0" fontId="202" fillId="10" borderId="12" xfId="0" applyFill="true" applyFont="true" applyBorder="true">
      <alignment horizontal="left" vertical="top" indent="1" wrapText="false"/>
    </xf>
    <xf numFmtId="0" fontId="203" fillId="8" borderId="12" xfId="0" applyFill="true" applyFont="true" applyBorder="true">
      <alignment horizontal="left" vertical="top" indent="1" wrapText="false"/>
    </xf>
    <xf numFmtId="0" fontId="204" fillId="10" borderId="12" xfId="0" applyFill="true" applyFont="true" applyBorder="true">
      <alignment horizontal="left" vertical="top" indent="1" wrapText="false"/>
    </xf>
    <xf numFmtId="0" fontId="205" fillId="8" borderId="12" xfId="0" applyFill="true" applyFont="true" applyBorder="true">
      <alignment horizontal="left" vertical="top" indent="1" wrapText="false"/>
    </xf>
    <xf numFmtId="0" fontId="206" fillId="10" borderId="12" xfId="0" applyFill="true" applyFont="true" applyBorder="true">
      <alignment horizontal="left" vertical="top" indent="1" wrapText="false"/>
    </xf>
    <xf numFmtId="0" fontId="207" fillId="8" borderId="12" xfId="0" applyFill="true" applyFont="true" applyBorder="true">
      <alignment horizontal="left" vertical="top" indent="1" wrapText="false"/>
    </xf>
    <xf numFmtId="0" fontId="208" fillId="10" borderId="12" xfId="0" applyFill="true" applyFont="true" applyBorder="true">
      <alignment horizontal="left" vertical="top" indent="1" wrapText="false"/>
    </xf>
    <xf numFmtId="0" fontId="209" fillId="8" borderId="12" xfId="0" applyFill="true" applyFont="true" applyBorder="true">
      <alignment horizontal="left" vertical="top" indent="1" wrapText="false"/>
    </xf>
    <xf numFmtId="0" fontId="210" fillId="10" borderId="12" xfId="0" applyFill="true" applyFont="true" applyBorder="true">
      <alignment horizontal="left" vertical="top" indent="1" wrapText="false"/>
    </xf>
    <xf numFmtId="0" fontId="211" fillId="8" borderId="12" xfId="0" applyFill="true" applyFont="true" applyBorder="true">
      <alignment horizontal="left" vertical="top" indent="1" wrapText="false"/>
    </xf>
    <xf numFmtId="0" fontId="212" fillId="10" borderId="12" xfId="0" applyFill="true" applyFont="true" applyBorder="true">
      <alignment horizontal="left" vertical="top" indent="1" wrapText="false"/>
    </xf>
    <xf numFmtId="0" fontId="213" fillId="0" borderId="0" xfId="0" applyFont="true">
      <alignment horizontal="general" vertical="bottom" wrapText="true"/>
    </xf>
    <xf numFmtId="0" fontId="214" fillId="2" borderId="0" xfId="0" applyFont="true" applyFill="true" applyBorder="true" applyNumberFormat="true"/>
    <xf numFmtId="0" fontId="215" fillId="2" borderId="0" xfId="0" applyFont="true" applyFill="true" applyBorder="true" applyNumberFormat="true"/>
    <xf numFmtId="0" fontId="216" fillId="2" borderId="0" xfId="1" applyFont="true" applyFill="true" applyAlignment="1" applyProtection="1" applyBorder="true" applyNumberFormat="true"/>
    <xf numFmtId="0" fontId="217" fillId="2" borderId="0" xfId="0" applyFont="true" applyFill="true" applyBorder="true" applyNumberFormat="true"/>
    <xf numFmtId="0" fontId="218" fillId="2" borderId="0" xfId="2" applyFont="true" applyFill="true" applyAlignment="1" applyProtection="1" applyBorder="true" applyNumberFormat="true"/>
    <xf numFmtId="0" fontId="219" fillId="2" borderId="0" xfId="0" applyFont="true" applyFill="true" applyBorder="true" applyNumberFormat="true"/>
    <xf numFmtId="0" fontId="220" fillId="2" borderId="0" xfId="0" applyFont="true" applyFill="true" applyBorder="true" applyNumberFormat="true"/>
    <xf numFmtId="0" fontId="221" fillId="2" borderId="0" xfId="2" applyFont="true" applyFill="true" applyAlignment="1" applyProtection="1" applyBorder="true" applyNumberFormat="true"/>
    <xf numFmtId="0" fontId="222" fillId="2" borderId="0" xfId="2" applyFont="true" applyFill="true" applyAlignment="1" applyProtection="1" applyBorder="true" applyNumberFormat="true"/>
    <xf numFmtId="0" fontId="223" fillId="2" borderId="0" xfId="1" applyFont="true" applyFill="true" applyAlignment="1" applyProtection="1" applyBorder="true" applyNumberFormat="true"/>
    <xf numFmtId="0" fontId="224" fillId="2" borderId="0" xfId="2" applyFont="true" applyFill="true" applyAlignment="1" applyProtection="1" applyBorder="true" applyNumberFormat="true"/>
    <xf numFmtId="0" fontId="225" fillId="0" borderId="0" xfId="0" applyFont="true">
      <alignment horizontal="general" vertical="bottom" wrapText="true"/>
    </xf>
  </cellXfs>
  <cellStyles count="2">
    <cellStyle name="Comma" xfId="1" builtinId="3"/>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FF0000"/>
      <rgbColor rgb="0000FF00"/>
      <rgbColor rgb="000000FF"/>
      <rgbColor rgb="00EEF3F8"/>
      <rgbColor rgb="00FF00FF"/>
      <rgbColor rgb="0000FFFF"/>
      <rgbColor rgb="00800000"/>
      <rgbColor rgb="00008000"/>
      <rgbColor rgb="00000080"/>
      <rgbColor rgb="00808000"/>
      <rgbColor rgb="0080800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CC"/>
      <rgbColor rgb="00969696"/>
      <rgbColor rgb="00003366"/>
      <rgbColor rgb="00339966"/>
      <rgbColor rgb="00003300"/>
      <rgbColor rgb="00333300"/>
      <rgbColor rgb="00993300"/>
      <rgbColor rgb="00993366"/>
      <rgbColor rgb="004F81BD"/>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worksheets/sheet2.xml" Type="http://schemas.openxmlformats.org/officeDocument/2006/relationships/worksheet"/></Relationships>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0</xdr:colOff>
      <xdr:row>0</xdr:row>
      <xdr:rowOff>0</xdr:rowOff>
    </xdr:from>
    <xdr:to>
      <xdr:col>1</xdr:col>
      <xdr:colOff>1009488</xdr:colOff>
      <xdr:row>1</xdr:row>
      <xdr:rowOff>9525</xdr:rowOff>
    </xdr:to>
    <xdr:pic>
      <xdr:nvPicPr>
        <xdr:cNvPr id="1" name="Picture 1" descr="Picture"/>
        <xdr:cNvPicPr>
          <a:picLocks noChangeAspect="true"/>
        </xdr:cNvPicPr>
      </xdr:nvPicPr>
      <xdr:blipFill>
        <a:blip r:embed="rId1"/>
        <a:stretch>
          <a:fillRect/>
        </a:stretch>
      </xdr:blipFill>
      <xdr:spPr>
        <a:xfrm>
          <a:off x="0" y="0"/>
          <a:ext cx="1828800" cy="3143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 Id="rId3" Target="../comments1.xml" Type="http://schemas.openxmlformats.org/officeDocument/2006/relationships/comments"/><Relationship Id="rId4" Target="../drawings/vmlDrawing1.vml" Type="http://schemas.openxmlformats.org/officeDocument/2006/relationships/vmlDrawing"/><Relationship Id="rId5" Target="https://my.pitchbook.com/?pcc=361667-44" TargetMode="External" Type="http://schemas.openxmlformats.org/officeDocument/2006/relationships/hyperlink"/></Relationships>
</file>

<file path=xl/worksheets/_rels/sheet2.xml.rels><?xml version="1.0" encoding="UTF-8" standalone="yes"?><Relationships xmlns="http://schemas.openxmlformats.org/package/2006/relationships"><Relationship Id="rId1" Target="https://pitchbook.com/subscription-agreement" TargetMode="External" Type="http://schemas.openxmlformats.org/officeDocument/2006/relationships/hyperlink"/><Relationship Id="rId2" Target="mailto:clientservices@pitchbook.com" TargetMode="External" Type="http://schemas.openxmlformats.org/officeDocument/2006/relationships/hyperlink"/><Relationship Id="rId3" Target="mailto:clientservices@pitchbook.com"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225"/>
  <sheetViews>
    <sheetView showGridLines="0" tabSelected="false" workbookViewId="0">
      <selection activeCell="A1" sqref="A1"/>
    </sheetView>
  </sheetViews>
  <sheetFormatPr defaultColWidth="0" defaultRowHeight="11.25" customHeight="1" x14ac:dyDescent="0.2"/>
  <cols>
    <col min="32" max="32" customWidth="true" style="10" width="108.3984375" collapsed="true"/>
    <col min="31" max="31" customWidth="true" style="10" width="26.015625" collapsed="true"/>
    <col min="30" max="30" customWidth="true" style="10" width="26.015625" collapsed="true"/>
    <col min="29" max="29" customWidth="true" style="10" width="26.015625" collapsed="true"/>
    <col min="28" max="28" customWidth="true" style="10" width="28.90625" collapsed="true"/>
    <col min="27" max="27" customWidth="true" style="10" width="28.90625" collapsed="true"/>
    <col min="26" max="26" customWidth="true" style="10" width="14.453125" collapsed="true"/>
    <col min="25" max="25" customWidth="true" style="10" width="14.453125" collapsed="true"/>
    <col min="24" max="24" customWidth="true" style="10" width="20.234375" collapsed="true"/>
    <col min="23" max="23" customWidth="true" style="10" width="20.234375" collapsed="true"/>
    <col min="22" max="22" customWidth="true" style="10" width="14.453125" collapsed="true"/>
    <col min="21" max="21" customWidth="true" style="10" width="12.28515625" collapsed="true"/>
    <col min="20" max="20" customWidth="true" style="10" width="14.453125" collapsed="true"/>
    <col min="19" max="19" customWidth="true" style="10" width="12.28515625" collapsed="true"/>
    <col min="18" max="18" customWidth="true" style="10" width="14.453125" collapsed="true"/>
    <col min="15" max="15" customWidth="true" style="11" width="12.28515625" collapsed="true"/>
    <col min="13" max="13" bestFit="true" customWidth="true" style="10" width="12.28515625" collapsed="true"/>
    <col min="12" max="12" bestFit="true" customWidth="true" style="10" width="12.28515625" collapsed="true"/>
    <col min="1" max="1" customWidth="true" style="10" width="12.28515625" collapsed="false"/>
    <col min="2" max="2" bestFit="true" customWidth="true" style="10" width="26.015625" collapsed="false"/>
    <col min="3" max="3" customWidth="true" style="10" width="33.2421875" collapsed="false"/>
    <col min="4" max="4" customWidth="true" style="10" width="18.7890625" collapsed="false"/>
    <col min="5" max="5" bestFit="true" customWidth="true" style="10" width="14.453125" collapsed="false"/>
    <col min="6" max="6" bestFit="true" customWidth="true" style="10" width="17.34375" collapsed="false"/>
    <col min="7" max="7" bestFit="true" customWidth="true" style="10" width="10.1171875" collapsed="false"/>
    <col min="8" max="8" bestFit="true" customWidth="true" style="10" width="10.1171875" collapsed="false"/>
    <col min="9" max="9" bestFit="true" customWidth="true" style="10" width="10.1171875" collapsed="false"/>
    <col min="10" max="10" customWidth="true" style="10" width="11.5625" collapsed="false"/>
    <col min="11" max="11" bestFit="true" customWidth="true" style="10" width="12.28515625" collapsed="false"/>
    <col min="14" max="14" customWidth="true" style="11" width="12.28515625" collapsed="false"/>
    <col min="16" max="16" bestFit="true" customWidth="true" style="11" width="14.453125" collapsed="false"/>
    <col min="17" max="17" customWidth="true" style="10" width="12.28515625" collapsed="false"/>
    <col min="33" max="33" customWidth="true" style="24" width="17.34375" collapsed="false"/>
    <col min="34" max="16384" hidden="true" style="24" width="0.0" collapsed="false"/>
  </cols>
  <sheetData>
    <row r="1" spans="1:33" ht="24" customHeight="1" x14ac:dyDescent="0.3">
      <c r="A1" s="1"/>
      <c r="B1" s="1"/>
      <c r="C1" s="1"/>
      <c r="D1" s="1"/>
      <c r="E1" s="28" t="s">
        <v>3</v>
      </c>
      <c r="F1" s="28"/>
      <c r="G1" s="28"/>
      <c r="H1" s="28"/>
      <c r="I1" s="1"/>
      <c r="J1" s="1"/>
      <c r="K1" s="1"/>
      <c r="L1" s="1"/>
      <c r="M1" s="1"/>
      <c r="N1" s="2"/>
      <c r="O1" s="2"/>
      <c r="P1" s="2"/>
      <c r="Q1" s="1"/>
      <c r="R1" s="1"/>
      <c r="S1" s="1"/>
      <c r="T1" s="1"/>
      <c r="U1" s="1"/>
      <c r="V1" s="1"/>
      <c r="W1" s="1"/>
      <c r="X1" s="1"/>
      <c r="Y1" s="1"/>
      <c r="Z1" s="1"/>
      <c r="AA1" s="1"/>
      <c r="AB1" s="1"/>
      <c r="AC1" s="1"/>
      <c r="AD1" s="1"/>
      <c r="AE1" s="1"/>
      <c r="AF1" s="1"/>
    </row>
    <row r="2" spans="1:33" ht="18" customHeight="1" x14ac:dyDescent="0.25">
      <c r="A2" s="3"/>
      <c r="B2" s="4"/>
      <c r="C2" s="1"/>
      <c r="D2" s="1"/>
      <c r="E2" s="1"/>
      <c r="F2" s="1"/>
      <c r="G2" s="1"/>
      <c r="H2" s="12"/>
      <c r="I2" s="20"/>
      <c r="J2" s="20"/>
      <c r="K2" s="1"/>
      <c r="L2" s="1"/>
      <c r="M2" s="1"/>
      <c r="N2" s="2"/>
      <c r="O2" s="2"/>
      <c r="P2" s="2"/>
      <c r="Q2" s="1"/>
      <c r="R2" s="1"/>
      <c r="S2" s="1"/>
      <c r="T2" s="1"/>
      <c r="U2" s="1"/>
      <c r="V2" s="1"/>
      <c r="W2" s="1"/>
      <c r="X2" s="1"/>
      <c r="Y2" s="1"/>
      <c r="Z2" s="1"/>
      <c r="AA2" s="1"/>
      <c r="AB2" s="1"/>
      <c r="AC2" s="1"/>
      <c r="AD2" s="1"/>
      <c r="AE2" s="1"/>
      <c r="AF2" s="1"/>
    </row>
    <row r="3" spans="1:33" x14ac:dyDescent="0.2">
      <c r="A3" s="5" t="s">
        <v>4</v>
      </c>
      <c r="B3" s="33" t="s">
        <v>10</v>
      </c>
      <c r="C3" s="29"/>
      <c r="D3" s="1"/>
      <c r="E3" s="1"/>
      <c r="F3" s="1"/>
      <c r="G3" s="1"/>
      <c r="H3" s="1"/>
      <c r="I3" s="1"/>
      <c r="J3" s="1"/>
      <c r="K3" s="1"/>
      <c r="L3" s="1"/>
      <c r="M3" s="1"/>
      <c r="N3" s="2"/>
      <c r="O3" s="2"/>
      <c r="P3" s="2"/>
      <c r="Q3" s="1"/>
      <c r="R3" s="1"/>
      <c r="S3" s="1"/>
      <c r="T3" s="1"/>
      <c r="U3" s="1"/>
      <c r="V3" s="1"/>
      <c r="W3" s="1"/>
      <c r="X3" s="1"/>
      <c r="Y3" s="1"/>
      <c r="Z3" s="1"/>
      <c r="AA3" s="1"/>
      <c r="AB3" s="1"/>
      <c r="AC3" s="1"/>
      <c r="AD3" s="1"/>
      <c r="AE3" s="1"/>
      <c r="AF3" s="1"/>
    </row>
    <row r="4" spans="1:33" ht="11.25" customHeight="1" x14ac:dyDescent="0.2">
      <c r="A4" s="26" t="s">
        <v>0</v>
      </c>
      <c r="B4" s="27" t="s">
        <v>7</v>
      </c>
      <c r="C4" s="27"/>
      <c r="D4" s="27"/>
      <c r="E4" s="27"/>
      <c r="F4" s="5" t="s">
        <v>1</v>
      </c>
      <c r="G4" s="13" t="n">
        <v>44066.85555972222</v>
      </c>
      <c r="J4" s="13"/>
      <c r="K4" s="1"/>
      <c r="L4" s="1"/>
      <c r="M4" s="1"/>
      <c r="N4" s="2"/>
      <c r="O4" s="2"/>
      <c r="P4" s="2"/>
      <c r="Q4" s="1"/>
      <c r="R4" s="1"/>
      <c r="S4" s="1"/>
      <c r="T4" s="1"/>
      <c r="U4" s="1"/>
      <c r="V4" s="1"/>
      <c r="W4" s="1"/>
      <c r="X4" s="1"/>
      <c r="Y4" s="1"/>
      <c r="Z4" s="1"/>
      <c r="AA4" s="1"/>
      <c r="AB4" s="1"/>
      <c r="AC4" s="1"/>
      <c r="AD4" s="1"/>
      <c r="AE4" s="1"/>
      <c r="AF4" s="1"/>
    </row>
    <row r="5" spans="1:33" x14ac:dyDescent="0.2">
      <c r="A5" s="1"/>
      <c r="B5" s="27"/>
      <c r="C5" s="27"/>
      <c r="D5" s="27"/>
      <c r="E5" s="27"/>
      <c r="F5" s="5" t="s">
        <v>8</v>
      </c>
      <c r="G5" s="1" t="s">
        <v>9</v>
      </c>
      <c r="J5" s="1"/>
      <c r="K5" s="1"/>
      <c r="L5" s="1"/>
      <c r="M5" s="1"/>
      <c r="N5" s="2"/>
      <c r="O5" s="2"/>
      <c r="P5" s="2"/>
      <c r="Q5" s="1"/>
      <c r="R5" s="1"/>
      <c r="S5" s="1"/>
      <c r="T5" s="1"/>
      <c r="U5" s="1"/>
      <c r="V5" s="1"/>
      <c r="W5" s="1"/>
      <c r="X5" s="1"/>
      <c r="Y5" s="1"/>
      <c r="Z5" s="1"/>
      <c r="AA5" s="1"/>
      <c r="AB5" s="1"/>
      <c r="AC5" s="1"/>
      <c r="AD5" s="1"/>
      <c r="AE5" s="1"/>
      <c r="AF5" s="1"/>
    </row>
    <row r="6" spans="1:33" x14ac:dyDescent="0.2">
      <c r="A6" s="1"/>
      <c r="B6" s="27"/>
      <c r="C6" s="27"/>
      <c r="D6" s="27"/>
      <c r="E6" s="27"/>
      <c r="F6" s="25"/>
      <c r="G6" s="1"/>
      <c r="H6" s="1"/>
      <c r="I6" s="1"/>
      <c r="J6" s="1"/>
      <c r="K6" s="1"/>
      <c r="L6" s="1"/>
      <c r="M6" s="1"/>
      <c r="N6" s="2"/>
      <c r="O6" s="2"/>
      <c r="P6" s="2"/>
      <c r="Q6" s="1"/>
      <c r="R6" s="1"/>
      <c r="S6" s="1"/>
      <c r="T6" s="1"/>
      <c r="U6" s="1"/>
      <c r="V6" s="1"/>
      <c r="W6" s="1"/>
      <c r="X6" s="1"/>
      <c r="Y6" s="1"/>
      <c r="Z6" s="1"/>
      <c r="AA6" s="1"/>
      <c r="AB6" s="1"/>
      <c r="AC6" s="1"/>
      <c r="AD6" s="1"/>
      <c r="AE6" s="1"/>
      <c r="AF6" s="1"/>
    </row>
    <row r="7" spans="1:33" x14ac:dyDescent="0.2">
      <c r="A7" s="1"/>
      <c r="B7" s="1"/>
      <c r="C7" s="1"/>
      <c r="D7" s="1"/>
      <c r="E7" s="1"/>
      <c r="F7" s="1"/>
      <c r="G7" s="6"/>
      <c r="H7" s="1"/>
      <c r="I7" s="1"/>
      <c r="J7" s="1"/>
      <c r="K7" s="1"/>
      <c r="L7" s="1"/>
      <c r="M7" s="1"/>
      <c r="N7" s="2"/>
      <c r="O7" s="2"/>
      <c r="P7" s="2"/>
      <c r="Q7" s="1"/>
      <c r="R7" s="1"/>
      <c r="S7" s="1"/>
      <c r="T7" s="1"/>
      <c r="U7" s="1"/>
      <c r="V7" s="1"/>
      <c r="W7" s="1"/>
      <c r="X7" s="1"/>
      <c r="Y7" s="1"/>
      <c r="Z7" s="1"/>
      <c r="AA7" s="1"/>
      <c r="AB7" s="1"/>
      <c r="AC7" s="1"/>
      <c r="AD7" s="1"/>
      <c r="AE7" s="1"/>
      <c r="AF7" s="1"/>
    </row>
    <row r="8" spans="1:33" s="23" customFormat="1" ht="35.0" customHeight="true" x14ac:dyDescent="0.2">
      <c r="A8" t="s" s="34">
        <v>11</v>
      </c>
      <c r="B8" t="s" s="34">
        <v>12</v>
      </c>
      <c r="C8" t="s" s="34">
        <v>13</v>
      </c>
      <c r="D8" t="s" s="34">
        <v>14</v>
      </c>
      <c r="E8" t="s" s="34">
        <v>15</v>
      </c>
      <c r="F8" t="s" s="34">
        <v>16</v>
      </c>
      <c r="G8" t="s" s="34">
        <v>17</v>
      </c>
      <c r="H8" t="s" s="34">
        <v>18</v>
      </c>
      <c r="I8" t="s" s="34">
        <v>19</v>
      </c>
      <c r="J8" t="s" s="34">
        <v>20</v>
      </c>
      <c r="K8" t="s" s="34">
        <v>21</v>
      </c>
      <c r="L8" t="s" s="34">
        <v>22</v>
      </c>
      <c r="M8" t="s" s="34">
        <v>23</v>
      </c>
      <c r="N8" t="s" s="34">
        <v>24</v>
      </c>
      <c r="O8" t="s" s="34">
        <v>25</v>
      </c>
      <c r="P8" t="s" s="34">
        <v>26</v>
      </c>
      <c r="Q8" t="s" s="34">
        <v>27</v>
      </c>
      <c r="R8" t="s" s="34">
        <v>28</v>
      </c>
      <c r="S8" t="s" s="34">
        <v>29</v>
      </c>
      <c r="T8" t="s" s="34">
        <v>30</v>
      </c>
      <c r="U8" t="s" s="34">
        <v>31</v>
      </c>
      <c r="V8" t="s" s="34">
        <v>32</v>
      </c>
      <c r="W8" t="s" s="34">
        <v>33</v>
      </c>
      <c r="X8" t="s" s="34">
        <v>34</v>
      </c>
      <c r="Y8" t="s" s="34">
        <v>35</v>
      </c>
      <c r="Z8" t="s" s="34">
        <v>36</v>
      </c>
      <c r="AA8" t="s" s="34">
        <v>37</v>
      </c>
      <c r="AB8" t="s" s="34">
        <v>38</v>
      </c>
      <c r="AC8" t="s" s="34">
        <v>39</v>
      </c>
      <c r="AD8" t="s" s="34">
        <v>40</v>
      </c>
      <c r="AE8" t="s" s="34">
        <v>41</v>
      </c>
      <c r="AF8" t="s" s="34">
        <v>42</v>
      </c>
      <c r="AG8" t="s" s="35">
        <v>5</v>
      </c>
    </row>
    <row r="9">
      <c r="A9" s="36" t="inlineStr">
        <is>
          <t>14199-13F</t>
        </is>
      </c>
      <c r="B9" s="37" t="inlineStr">
        <is>
          <t>Earlybird Digital East Fund</t>
        </is>
      </c>
      <c r="C9" s="38" t="inlineStr">
        <is>
          <t/>
        </is>
      </c>
      <c r="D9" s="39" t="inlineStr">
        <is>
          <t>Venture Capital - Early Stage</t>
        </is>
      </c>
      <c r="E9" s="40" t="n">
        <v>150.0</v>
      </c>
      <c r="F9" s="41" t="inlineStr">
        <is>
          <t>Munich, Germany</t>
        </is>
      </c>
      <c r="G9" s="42" t="inlineStr">
        <is>
          <t/>
        </is>
      </c>
      <c r="H9" s="43" t="n">
        <v>2014.0</v>
      </c>
      <c r="I9" s="44" t="n">
        <v>81.95133333333334</v>
      </c>
      <c r="J9" s="45" t="n">
        <v>122.92699999999999</v>
      </c>
      <c r="K9" s="46" t="n">
        <v>27.073</v>
      </c>
      <c r="L9" s="47" t="n">
        <v>109.83</v>
      </c>
      <c r="M9" s="48" t="n">
        <v>702.3</v>
      </c>
      <c r="N9" s="49" t="n">
        <v>62.0</v>
      </c>
      <c r="O9" s="50" t="inlineStr">
        <is>
          <t/>
        </is>
      </c>
      <c r="P9" s="51" t="inlineStr">
        <is>
          <t/>
        </is>
      </c>
      <c r="Q9" s="52" t="n">
        <v>0.893457092</v>
      </c>
      <c r="R9" s="53" t="inlineStr">
        <is>
          <t/>
        </is>
      </c>
      <c r="S9" s="54" t="n">
        <v>5.713146827</v>
      </c>
      <c r="T9" s="55" t="inlineStr">
        <is>
          <t/>
        </is>
      </c>
      <c r="U9" s="56" t="n">
        <v>6.6</v>
      </c>
      <c r="V9" s="57" t="inlineStr">
        <is>
          <t/>
        </is>
      </c>
      <c r="W9" s="58" t="inlineStr">
        <is>
          <t/>
        </is>
      </c>
      <c r="X9" s="59" t="inlineStr">
        <is>
          <t>GP Self Reporting</t>
        </is>
      </c>
      <c r="Y9" s="60" t="inlineStr">
        <is>
          <t>2019 Y</t>
        </is>
      </c>
      <c r="Z9" s="61" t="inlineStr">
        <is>
          <t>100M - 249M</t>
        </is>
      </c>
      <c r="AA9" s="62" t="inlineStr">
        <is>
          <t>Earlybird Venture Capital</t>
        </is>
      </c>
      <c r="AB9" s="63" t="inlineStr">
        <is>
          <t>Berlin, Germany</t>
        </is>
      </c>
      <c r="AC9" s="64" t="inlineStr">
        <is>
          <t>Commercial Services, Software</t>
        </is>
      </c>
      <c r="AD9" s="65" t="inlineStr">
        <is>
          <t>Seed Round, Early Stage VC</t>
        </is>
      </c>
      <c r="AE9" s="66" t="inlineStr">
        <is>
          <t>Bosnia-Herzegovina, Kosovo, Serbia, Slovenia, Turkey, Latvia, Romania, Ukraine, Croatia, Moldova, Slovakia, Hungary, Lithuania, Albania, Estonia, Montenegro, Poland, Bulgaria, Jordan, Macedonia</t>
        </is>
      </c>
      <c r="AF9" s="67" t="inlineStr">
        <is>
          <t>Earlybird</t>
        </is>
      </c>
      <c r="AG9" s="232">
        <f>HYPERLINK("https://my.pitchbook.com?i=11159-74", "View Investor Online")</f>
      </c>
    </row>
    <row r="10">
      <c r="A10" s="69" t="inlineStr">
        <is>
          <t>13378-24F</t>
        </is>
      </c>
      <c r="B10" s="70" t="inlineStr">
        <is>
          <t>IA Venture Strategies Fund II</t>
        </is>
      </c>
      <c r="C10" s="71" t="inlineStr">
        <is>
          <t/>
        </is>
      </c>
      <c r="D10" s="72" t="inlineStr">
        <is>
          <t>Venture Capital</t>
        </is>
      </c>
      <c r="E10" s="73" t="n">
        <v>105.0</v>
      </c>
      <c r="F10" s="74" t="inlineStr">
        <is>
          <t>New York, NY</t>
        </is>
      </c>
      <c r="G10" s="75" t="n">
        <v>1.0</v>
      </c>
      <c r="H10" s="76" t="n">
        <v>2012.0</v>
      </c>
      <c r="I10" s="77" t="n">
        <v>96.62438796666667</v>
      </c>
      <c r="J10" s="78" t="n">
        <v>101.455607365</v>
      </c>
      <c r="K10" s="79" t="n">
        <v>3.5443926350000003</v>
      </c>
      <c r="L10" s="80" t="n">
        <v>52.5</v>
      </c>
      <c r="M10" s="81" t="n">
        <v>600.9776535</v>
      </c>
      <c r="N10" s="82" t="n">
        <v>40.12</v>
      </c>
      <c r="O10" s="83" t="inlineStr">
        <is>
          <t/>
        </is>
      </c>
      <c r="P10" s="84" t="n">
        <v>28.009999999999998</v>
      </c>
      <c r="Q10" s="85" t="n">
        <v>0.52</v>
      </c>
      <c r="R10" s="86" t="n">
        <v>0.405</v>
      </c>
      <c r="S10" s="87" t="n">
        <v>5.92</v>
      </c>
      <c r="T10" s="88" t="n">
        <v>5.0405</v>
      </c>
      <c r="U10" s="89" t="n">
        <v>6.4399999999999995</v>
      </c>
      <c r="V10" s="90" t="n">
        <v>5.5</v>
      </c>
      <c r="W10" s="91" t="inlineStr">
        <is>
          <t/>
        </is>
      </c>
      <c r="X10" s="92" t="inlineStr">
        <is>
          <t>LP Original Commitments</t>
        </is>
      </c>
      <c r="Y10" s="93" t="inlineStr">
        <is>
          <t>2019 Y</t>
        </is>
      </c>
      <c r="Z10" s="94" t="inlineStr">
        <is>
          <t>100M - 249M</t>
        </is>
      </c>
      <c r="AA10" s="95" t="inlineStr">
        <is>
          <t>IA Ventures</t>
        </is>
      </c>
      <c r="AB10" s="96" t="inlineStr">
        <is>
          <t>New York, NY</t>
        </is>
      </c>
      <c r="AC10" s="97" t="inlineStr">
        <is>
          <t>Software</t>
        </is>
      </c>
      <c r="AD10" s="98" t="inlineStr">
        <is>
          <t>Seed Round, Early Stage VC, Later Stage VC</t>
        </is>
      </c>
      <c r="AE10" s="99" t="inlineStr">
        <is>
          <t/>
        </is>
      </c>
      <c r="AF10" s="100" t="inlineStr">
        <is>
          <t>UTIMCO</t>
        </is>
      </c>
      <c r="AG10" s="233">
        <f>HYPERLINK("https://my.pitchbook.com?i=50986-90", "View Investor Online")</f>
      </c>
    </row>
    <row r="11">
      <c r="A11" s="36" t="inlineStr">
        <is>
          <t>13620-25F</t>
        </is>
      </c>
      <c r="B11" s="37" t="inlineStr">
        <is>
          <t>Foresite Capital Fund I</t>
        </is>
      </c>
      <c r="C11" s="38" t="inlineStr">
        <is>
          <t/>
        </is>
      </c>
      <c r="D11" s="39" t="inlineStr">
        <is>
          <t>Venture Capital - Later Stage</t>
        </is>
      </c>
      <c r="E11" s="40" t="n">
        <v>100.0</v>
      </c>
      <c r="F11" s="41" t="inlineStr">
        <is>
          <t>San Francisco, CA</t>
        </is>
      </c>
      <c r="G11" s="42" t="inlineStr">
        <is>
          <t/>
        </is>
      </c>
      <c r="H11" s="43" t="n">
        <v>2013.0</v>
      </c>
      <c r="I11" s="44" t="n">
        <v>83.125</v>
      </c>
      <c r="J11" s="45" t="n">
        <v>83.125</v>
      </c>
      <c r="K11" s="46" t="n">
        <v>16.875</v>
      </c>
      <c r="L11" s="47" t="n">
        <v>196.692</v>
      </c>
      <c r="M11" s="48" t="n">
        <v>301.956</v>
      </c>
      <c r="N11" s="49" t="n">
        <v>72.2</v>
      </c>
      <c r="O11" s="50" t="inlineStr">
        <is>
          <t/>
        </is>
      </c>
      <c r="P11" s="51" t="inlineStr">
        <is>
          <t/>
        </is>
      </c>
      <c r="Q11" s="52" t="n">
        <v>2.37</v>
      </c>
      <c r="R11" s="53" t="inlineStr">
        <is>
          <t/>
        </is>
      </c>
      <c r="S11" s="54" t="n">
        <v>3.63</v>
      </c>
      <c r="T11" s="55" t="inlineStr">
        <is>
          <t/>
        </is>
      </c>
      <c r="U11" s="56" t="n">
        <v>6.0</v>
      </c>
      <c r="V11" s="57" t="inlineStr">
        <is>
          <t/>
        </is>
      </c>
      <c r="W11" s="58" t="inlineStr">
        <is>
          <t/>
        </is>
      </c>
      <c r="X11" s="59" t="inlineStr">
        <is>
          <t>GP Self Reporting</t>
        </is>
      </c>
      <c r="Y11" s="60" t="inlineStr">
        <is>
          <t>2020 Y</t>
        </is>
      </c>
      <c r="Z11" s="61" t="inlineStr">
        <is>
          <t>100M - 249M</t>
        </is>
      </c>
      <c r="AA11" s="62" t="inlineStr">
        <is>
          <t>Foresite Capital Management</t>
        </is>
      </c>
      <c r="AB11" s="63" t="inlineStr">
        <is>
          <t>San Francisco, CA</t>
        </is>
      </c>
      <c r="AC11" s="64" t="inlineStr">
        <is>
          <t>Pharmaceuticals and Biotechnology</t>
        </is>
      </c>
      <c r="AD11" s="65" t="inlineStr">
        <is>
          <t>Later Stage VC</t>
        </is>
      </c>
      <c r="AE11" s="66" t="inlineStr">
        <is>
          <t/>
        </is>
      </c>
      <c r="AF11" s="67" t="inlineStr">
        <is>
          <t>Foresite Capital</t>
        </is>
      </c>
      <c r="AG11" s="232">
        <f>HYPERLINK("https://my.pitchbook.com?i=54064-81", "View Investor Online")</f>
      </c>
    </row>
    <row r="12">
      <c r="A12" s="69" t="inlineStr">
        <is>
          <t>15879-97F</t>
        </is>
      </c>
      <c r="B12" s="70" t="inlineStr">
        <is>
          <t>Alta Partners NextGen Fund I</t>
        </is>
      </c>
      <c r="C12" s="71" t="inlineStr">
        <is>
          <t>Alta Partners IX</t>
        </is>
      </c>
      <c r="D12" s="72" t="inlineStr">
        <is>
          <t>Venture Capital</t>
        </is>
      </c>
      <c r="E12" s="73" t="n">
        <v>130.0</v>
      </c>
      <c r="F12" s="74" t="inlineStr">
        <is>
          <t>San Francisco, CA</t>
        </is>
      </c>
      <c r="G12" s="75" t="n">
        <v>1.0</v>
      </c>
      <c r="H12" s="76" t="n">
        <v>2017.0</v>
      </c>
      <c r="I12" s="77" t="n">
        <v>76.04923076923076</v>
      </c>
      <c r="J12" s="78" t="n">
        <v>98.864</v>
      </c>
      <c r="K12" s="79" t="n">
        <v>31.136</v>
      </c>
      <c r="L12" s="80" t="n">
        <v>108.872</v>
      </c>
      <c r="M12" s="81" t="n">
        <v>361.083</v>
      </c>
      <c r="N12" s="82" t="n">
        <v>98.21</v>
      </c>
      <c r="O12" s="83" t="inlineStr">
        <is>
          <t/>
        </is>
      </c>
      <c r="P12" s="84" t="n">
        <v>84.41</v>
      </c>
      <c r="Q12" s="85" t="n">
        <v>1.1</v>
      </c>
      <c r="R12" s="86" t="n">
        <v>1.09</v>
      </c>
      <c r="S12" s="87" t="n">
        <v>3.65</v>
      </c>
      <c r="T12" s="88" t="n">
        <v>2.4349999999999996</v>
      </c>
      <c r="U12" s="89" t="n">
        <v>4.75</v>
      </c>
      <c r="V12" s="90" t="n">
        <v>3.25</v>
      </c>
      <c r="W12" s="91" t="inlineStr">
        <is>
          <t/>
        </is>
      </c>
      <c r="X12" s="92" t="inlineStr">
        <is>
          <t>GP Self Reporting</t>
        </is>
      </c>
      <c r="Y12" s="93" t="inlineStr">
        <is>
          <t>2020 Y</t>
        </is>
      </c>
      <c r="Z12" s="94" t="inlineStr">
        <is>
          <t>100M - 249M</t>
        </is>
      </c>
      <c r="AA12" s="95" t="inlineStr">
        <is>
          <t>Alta Partners</t>
        </is>
      </c>
      <c r="AB12" s="96" t="inlineStr">
        <is>
          <t>San Francisco, CA</t>
        </is>
      </c>
      <c r="AC12" s="97" t="inlineStr">
        <is>
          <t>Pharmaceuticals and Biotechnology</t>
        </is>
      </c>
      <c r="AD12" s="98" t="inlineStr">
        <is>
          <t>Seed Round, Early Stage VC, Later Stage VC</t>
        </is>
      </c>
      <c r="AE12" s="99" t="inlineStr">
        <is>
          <t/>
        </is>
      </c>
      <c r="AF12" s="100" t="inlineStr">
        <is>
          <t>Alta</t>
        </is>
      </c>
      <c r="AG12" s="233">
        <f>HYPERLINK("https://my.pitchbook.com?i=11114-11", "View Investor Online")</f>
      </c>
    </row>
    <row r="13">
      <c r="A13" s="36" t="inlineStr">
        <is>
          <t>12817-90F</t>
        </is>
      </c>
      <c r="B13" s="37" t="inlineStr">
        <is>
          <t>DCM Hybrid RMB Fund</t>
        </is>
      </c>
      <c r="C13" s="38" t="inlineStr">
        <is>
          <t/>
        </is>
      </c>
      <c r="D13" s="39" t="inlineStr">
        <is>
          <t>Venture Capital</t>
        </is>
      </c>
      <c r="E13" s="40" t="n">
        <v>150.51</v>
      </c>
      <c r="F13" s="41" t="inlineStr">
        <is>
          <t>Beijing, China</t>
        </is>
      </c>
      <c r="G13" s="42" t="inlineStr">
        <is>
          <t/>
        </is>
      </c>
      <c r="H13" s="43" t="n">
        <v>2011.0</v>
      </c>
      <c r="I13" s="44" t="n">
        <v>100.0</v>
      </c>
      <c r="J13" s="45" t="n">
        <v>150.51</v>
      </c>
      <c r="K13" s="46" t="n">
        <v>0.0</v>
      </c>
      <c r="L13" s="47" t="n">
        <v>338.64</v>
      </c>
      <c r="M13" s="48" t="n">
        <v>347.8</v>
      </c>
      <c r="N13" s="49" t="n">
        <v>70.3</v>
      </c>
      <c r="O13" s="50" t="inlineStr">
        <is>
          <t/>
        </is>
      </c>
      <c r="P13" s="51" t="inlineStr">
        <is>
          <t/>
        </is>
      </c>
      <c r="Q13" s="52" t="n">
        <v>2.25</v>
      </c>
      <c r="R13" s="53" t="inlineStr">
        <is>
          <t/>
        </is>
      </c>
      <c r="S13" s="54" t="n">
        <v>2.31</v>
      </c>
      <c r="T13" s="55" t="inlineStr">
        <is>
          <t/>
        </is>
      </c>
      <c r="U13" s="56" t="n">
        <v>4.5600000000000005</v>
      </c>
      <c r="V13" s="57" t="inlineStr">
        <is>
          <t/>
        </is>
      </c>
      <c r="W13" s="58" t="inlineStr">
        <is>
          <t/>
        </is>
      </c>
      <c r="X13" s="59" t="inlineStr">
        <is>
          <t>GP Self Reporting</t>
        </is>
      </c>
      <c r="Y13" s="60" t="inlineStr">
        <is>
          <t>2016 Y</t>
        </is>
      </c>
      <c r="Z13" s="61" t="inlineStr">
        <is>
          <t>100M - 249M</t>
        </is>
      </c>
      <c r="AA13" s="62" t="inlineStr">
        <is>
          <t>DCM Ventures</t>
        </is>
      </c>
      <c r="AB13" s="63" t="inlineStr">
        <is>
          <t>Menlo Park, CA</t>
        </is>
      </c>
      <c r="AC13" s="64" t="inlineStr">
        <is>
          <t>Software</t>
        </is>
      </c>
      <c r="AD13" s="65" t="inlineStr">
        <is>
          <t>Seed Round, Early Stage VC, Later Stage VC</t>
        </is>
      </c>
      <c r="AE13" s="66" t="inlineStr">
        <is>
          <t/>
        </is>
      </c>
      <c r="AF13" s="67" t="inlineStr">
        <is>
          <t>DCM</t>
        </is>
      </c>
      <c r="AG13" s="232">
        <f>HYPERLINK("https://my.pitchbook.com?i=11165-50", "View Investor Online")</f>
      </c>
    </row>
    <row r="14">
      <c r="A14" s="69" t="inlineStr">
        <is>
          <t>13357-81F</t>
        </is>
      </c>
      <c r="B14" s="70" t="inlineStr">
        <is>
          <t>Union Square Ventures 2012 Fund</t>
        </is>
      </c>
      <c r="C14" s="71" t="inlineStr">
        <is>
          <t/>
        </is>
      </c>
      <c r="D14" s="72" t="inlineStr">
        <is>
          <t>Venture Capital - Early Stage</t>
        </is>
      </c>
      <c r="E14" s="73" t="n">
        <v>200.0</v>
      </c>
      <c r="F14" s="74" t="inlineStr">
        <is>
          <t>New York, NY</t>
        </is>
      </c>
      <c r="G14" s="75" t="inlineStr">
        <is>
          <t/>
        </is>
      </c>
      <c r="H14" s="76" t="n">
        <v>2011.0</v>
      </c>
      <c r="I14" s="77" t="n">
        <v>93.6</v>
      </c>
      <c r="J14" s="78" t="n">
        <v>187.2</v>
      </c>
      <c r="K14" s="79" t="n">
        <v>12.8</v>
      </c>
      <c r="L14" s="80" t="n">
        <v>97.6</v>
      </c>
      <c r="M14" s="81" t="n">
        <v>629.6</v>
      </c>
      <c r="N14" s="82" t="n">
        <v>26.0</v>
      </c>
      <c r="O14" s="83" t="inlineStr">
        <is>
          <t/>
        </is>
      </c>
      <c r="P14" s="84" t="inlineStr">
        <is>
          <t/>
        </is>
      </c>
      <c r="Q14" s="85" t="n">
        <v>0.52</v>
      </c>
      <c r="R14" s="86" t="inlineStr">
        <is>
          <t/>
        </is>
      </c>
      <c r="S14" s="87" t="n">
        <v>3.36</v>
      </c>
      <c r="T14" s="88" t="n">
        <v>1.9999999999999998</v>
      </c>
      <c r="U14" s="89" t="n">
        <v>3.88</v>
      </c>
      <c r="V14" s="90" t="inlineStr">
        <is>
          <t/>
        </is>
      </c>
      <c r="W14" s="91" t="inlineStr">
        <is>
          <t/>
        </is>
      </c>
      <c r="X14" s="92" t="inlineStr">
        <is>
          <t>LP Original Commitments</t>
        </is>
      </c>
      <c r="Y14" s="93" t="inlineStr">
        <is>
          <t>2020 Y</t>
        </is>
      </c>
      <c r="Z14" s="94" t="inlineStr">
        <is>
          <t>100M - 249M</t>
        </is>
      </c>
      <c r="AA14" s="95" t="inlineStr">
        <is>
          <t>Union Square Ventures</t>
        </is>
      </c>
      <c r="AB14" s="96" t="inlineStr">
        <is>
          <t>New York, NY</t>
        </is>
      </c>
      <c r="AC14" s="97" t="inlineStr">
        <is>
          <t>Software</t>
        </is>
      </c>
      <c r="AD14" s="98" t="inlineStr">
        <is>
          <t>Seed Round, Early Stage VC</t>
        </is>
      </c>
      <c r="AE14" s="99" t="inlineStr">
        <is>
          <t>United States</t>
        </is>
      </c>
      <c r="AF14" s="100" t="inlineStr">
        <is>
          <t>PERS</t>
        </is>
      </c>
      <c r="AG14" s="233">
        <f>HYPERLINK("https://my.pitchbook.com?i=11323-45", "View Investor Online")</f>
      </c>
    </row>
    <row r="15">
      <c r="A15" s="36" t="inlineStr">
        <is>
          <t>12963-79F</t>
        </is>
      </c>
      <c r="B15" s="37" t="inlineStr">
        <is>
          <t>Union Square Ventures Opportunity Fund</t>
        </is>
      </c>
      <c r="C15" s="38" t="inlineStr">
        <is>
          <t/>
        </is>
      </c>
      <c r="D15" s="39" t="inlineStr">
        <is>
          <t>Venture Capital - Later Stage</t>
        </is>
      </c>
      <c r="E15" s="40" t="n">
        <v>135.0</v>
      </c>
      <c r="F15" s="41" t="inlineStr">
        <is>
          <t>New York, NY</t>
        </is>
      </c>
      <c r="G15" s="42" t="inlineStr">
        <is>
          <t/>
        </is>
      </c>
      <c r="H15" s="43" t="n">
        <v>2010.0</v>
      </c>
      <c r="I15" s="44" t="n">
        <v>73.2</v>
      </c>
      <c r="J15" s="45" t="n">
        <v>98.82</v>
      </c>
      <c r="K15" s="46" t="n">
        <v>36.18</v>
      </c>
      <c r="L15" s="47" t="n">
        <v>281.34</v>
      </c>
      <c r="M15" s="48" t="n">
        <v>76.68</v>
      </c>
      <c r="N15" s="49" t="n">
        <v>58.8</v>
      </c>
      <c r="O15" s="50" t="inlineStr">
        <is>
          <t/>
        </is>
      </c>
      <c r="P15" s="51" t="inlineStr">
        <is>
          <t/>
        </is>
      </c>
      <c r="Q15" s="52" t="n">
        <v>2.85</v>
      </c>
      <c r="R15" s="53" t="inlineStr">
        <is>
          <t/>
        </is>
      </c>
      <c r="S15" s="54" t="n">
        <v>0.78</v>
      </c>
      <c r="T15" s="55" t="inlineStr">
        <is>
          <t/>
        </is>
      </c>
      <c r="U15" s="56" t="n">
        <v>3.63</v>
      </c>
      <c r="V15" s="57" t="inlineStr">
        <is>
          <t/>
        </is>
      </c>
      <c r="W15" s="58" t="inlineStr">
        <is>
          <t/>
        </is>
      </c>
      <c r="X15" s="59" t="inlineStr">
        <is>
          <t>LP Original Commitments</t>
        </is>
      </c>
      <c r="Y15" s="60" t="inlineStr">
        <is>
          <t>2020 Y</t>
        </is>
      </c>
      <c r="Z15" s="61" t="inlineStr">
        <is>
          <t>100M - 249M</t>
        </is>
      </c>
      <c r="AA15" s="62" t="inlineStr">
        <is>
          <t>Union Square Ventures</t>
        </is>
      </c>
      <c r="AB15" s="63" t="inlineStr">
        <is>
          <t>New York, NY</t>
        </is>
      </c>
      <c r="AC15" s="64" t="inlineStr">
        <is>
          <t>Software</t>
        </is>
      </c>
      <c r="AD15" s="65" t="inlineStr">
        <is>
          <t>Later Stage VC, Angel (individual), Early Stage VC</t>
        </is>
      </c>
      <c r="AE15" s="66" t="inlineStr">
        <is>
          <t>Canada, United States</t>
        </is>
      </c>
      <c r="AF15" s="67" t="inlineStr">
        <is>
          <t>PERS</t>
        </is>
      </c>
      <c r="AG15" s="232">
        <f>HYPERLINK("https://my.pitchbook.com?i=11323-45", "View Investor Online")</f>
      </c>
    </row>
    <row r="16">
      <c r="A16" s="69" t="inlineStr">
        <is>
          <t>15651-19F</t>
        </is>
      </c>
      <c r="B16" s="70" t="inlineStr">
        <is>
          <t>Joy Capital I</t>
        </is>
      </c>
      <c r="C16" s="71" t="inlineStr">
        <is>
          <t/>
        </is>
      </c>
      <c r="D16" s="72" t="inlineStr">
        <is>
          <t>Venture Capital</t>
        </is>
      </c>
      <c r="E16" s="73" t="n">
        <v>200.0</v>
      </c>
      <c r="F16" s="74" t="inlineStr">
        <is>
          <t>Beijing, China</t>
        </is>
      </c>
      <c r="G16" s="75" t="inlineStr">
        <is>
          <t/>
        </is>
      </c>
      <c r="H16" s="76" t="n">
        <v>2016.0</v>
      </c>
      <c r="I16" s="77" t="n">
        <v>91.93333333333334</v>
      </c>
      <c r="J16" s="78" t="n">
        <v>183.86666666666667</v>
      </c>
      <c r="K16" s="79" t="n">
        <v>16.133333333333333</v>
      </c>
      <c r="L16" s="80" t="n">
        <v>185.82666666666668</v>
      </c>
      <c r="M16" s="81" t="n">
        <v>464.6933333333333</v>
      </c>
      <c r="N16" s="82" t="n">
        <v>61.08</v>
      </c>
      <c r="O16" s="83" t="inlineStr">
        <is>
          <t/>
        </is>
      </c>
      <c r="P16" s="84" t="inlineStr">
        <is>
          <t/>
        </is>
      </c>
      <c r="Q16" s="85" t="n">
        <v>1.01</v>
      </c>
      <c r="R16" s="86" t="inlineStr">
        <is>
          <t/>
        </is>
      </c>
      <c r="S16" s="87" t="n">
        <v>2.53</v>
      </c>
      <c r="T16" s="88" t="inlineStr">
        <is>
          <t/>
        </is>
      </c>
      <c r="U16" s="89" t="n">
        <v>3.54</v>
      </c>
      <c r="V16" s="90" t="inlineStr">
        <is>
          <t/>
        </is>
      </c>
      <c r="W16" s="91" t="inlineStr">
        <is>
          <t/>
        </is>
      </c>
      <c r="X16" s="92" t="inlineStr">
        <is>
          <t>LP Original Commitments</t>
        </is>
      </c>
      <c r="Y16" s="93" t="inlineStr">
        <is>
          <t>2019 Y</t>
        </is>
      </c>
      <c r="Z16" s="94" t="inlineStr">
        <is>
          <t>100M - 249M</t>
        </is>
      </c>
      <c r="AA16" s="95" t="inlineStr">
        <is>
          <t>Joy Capital (Beijing)</t>
        </is>
      </c>
      <c r="AB16" s="96" t="inlineStr">
        <is>
          <t>Beijing, China</t>
        </is>
      </c>
      <c r="AC16" s="97" t="inlineStr">
        <is>
          <t>Software</t>
        </is>
      </c>
      <c r="AD16" s="98" t="inlineStr">
        <is>
          <t>Seed Round, Early Stage VC, Later Stage VC</t>
        </is>
      </c>
      <c r="AE16" s="99" t="inlineStr">
        <is>
          <t/>
        </is>
      </c>
      <c r="AF16" s="100" t="inlineStr">
        <is>
          <t>TCDRS</t>
        </is>
      </c>
      <c r="AG16" s="233">
        <f>HYPERLINK("https://my.pitchbook.com?i=234932-23", "View Investor Online")</f>
      </c>
    </row>
    <row r="17">
      <c r="A17" s="36" t="inlineStr">
        <is>
          <t>13006-63F</t>
        </is>
      </c>
      <c r="B17" s="37" t="inlineStr">
        <is>
          <t>Sante Health Ventures II</t>
        </is>
      </c>
      <c r="C17" s="38" t="inlineStr">
        <is>
          <t/>
        </is>
      </c>
      <c r="D17" s="39" t="inlineStr">
        <is>
          <t>Venture Capital - Early Stage</t>
        </is>
      </c>
      <c r="E17" s="40" t="n">
        <v>139.00263</v>
      </c>
      <c r="F17" s="41" t="inlineStr">
        <is>
          <t>Austin, TX</t>
        </is>
      </c>
      <c r="G17" s="42" t="inlineStr">
        <is>
          <t/>
        </is>
      </c>
      <c r="H17" s="43" t="n">
        <v>2011.0</v>
      </c>
      <c r="I17" s="44" t="n">
        <v>81.2408895155757</v>
      </c>
      <c r="J17" s="45" t="n">
        <v>112.926969</v>
      </c>
      <c r="K17" s="46" t="n">
        <v>26.07565693795553</v>
      </c>
      <c r="L17" s="47" t="n">
        <v>268.534439</v>
      </c>
      <c r="M17" s="48" t="n">
        <v>130.499831</v>
      </c>
      <c r="N17" s="49" t="n">
        <v>38.61</v>
      </c>
      <c r="O17" s="50" t="inlineStr">
        <is>
          <t/>
        </is>
      </c>
      <c r="P17" s="51" t="inlineStr">
        <is>
          <t/>
        </is>
      </c>
      <c r="Q17" s="52" t="n">
        <v>2.38</v>
      </c>
      <c r="R17" s="53" t="inlineStr">
        <is>
          <t/>
        </is>
      </c>
      <c r="S17" s="54" t="n">
        <v>1.16</v>
      </c>
      <c r="T17" s="55" t="n">
        <v>-0.20000000000000018</v>
      </c>
      <c r="U17" s="56" t="n">
        <v>3.54</v>
      </c>
      <c r="V17" s="57" t="inlineStr">
        <is>
          <t/>
        </is>
      </c>
      <c r="W17" s="58" t="inlineStr">
        <is>
          <t/>
        </is>
      </c>
      <c r="X17" s="59" t="inlineStr">
        <is>
          <t>GP Self Reporting, LP Original Commitments</t>
        </is>
      </c>
      <c r="Y17" s="60" t="inlineStr">
        <is>
          <t>2019 Y</t>
        </is>
      </c>
      <c r="Z17" s="61" t="inlineStr">
        <is>
          <t>100M - 249M</t>
        </is>
      </c>
      <c r="AA17" s="62" t="inlineStr">
        <is>
          <t>Santé</t>
        </is>
      </c>
      <c r="AB17" s="63" t="inlineStr">
        <is>
          <t>Austin, TX</t>
        </is>
      </c>
      <c r="AC17" s="64" t="inlineStr">
        <is>
          <t>Healthcare Devices and Supplies, Pharmaceuticals and Biotechnology, Healthcare Technology Systems, Healthcare Services</t>
        </is>
      </c>
      <c r="AD17" s="65" t="inlineStr">
        <is>
          <t>Early Stage VC, Seed Round</t>
        </is>
      </c>
      <c r="AE17" s="66" t="inlineStr">
        <is>
          <t>United States, United States</t>
        </is>
      </c>
      <c r="AF17" s="67" t="inlineStr">
        <is>
          <t>PUF, Santé Ventures, UTIMCO</t>
        </is>
      </c>
      <c r="AG17" s="232">
        <f>HYPERLINK("https://my.pitchbook.com?i=11456-92", "View Investor Online")</f>
      </c>
    </row>
    <row r="18">
      <c r="A18" s="69" t="inlineStr">
        <is>
          <t>13696-21F</t>
        </is>
      </c>
      <c r="B18" s="70" t="inlineStr">
        <is>
          <t>Dawn Capital II</t>
        </is>
      </c>
      <c r="C18" s="71" t="inlineStr">
        <is>
          <t/>
        </is>
      </c>
      <c r="D18" s="72" t="inlineStr">
        <is>
          <t>Venture Capital - Early Stage</t>
        </is>
      </c>
      <c r="E18" s="73" t="n">
        <v>114.31626</v>
      </c>
      <c r="F18" s="74" t="inlineStr">
        <is>
          <t>London, United Kingdom</t>
        </is>
      </c>
      <c r="G18" s="75" t="inlineStr">
        <is>
          <t/>
        </is>
      </c>
      <c r="H18" s="76" t="n">
        <v>2013.0</v>
      </c>
      <c r="I18" s="77" t="n">
        <v>100.0</v>
      </c>
      <c r="J18" s="78" t="n">
        <v>130.5022402575244</v>
      </c>
      <c r="K18" s="79" t="n">
        <v>0.0</v>
      </c>
      <c r="L18" s="80" t="n">
        <v>109.44539095024683</v>
      </c>
      <c r="M18" s="81" t="n">
        <v>322.4094359260186</v>
      </c>
      <c r="N18" s="82" t="n">
        <v>32.2</v>
      </c>
      <c r="O18" s="83" t="inlineStr">
        <is>
          <t/>
        </is>
      </c>
      <c r="P18" s="84" t="inlineStr">
        <is>
          <t/>
        </is>
      </c>
      <c r="Q18" s="85" t="n">
        <v>0.838647603</v>
      </c>
      <c r="R18" s="86" t="inlineStr">
        <is>
          <t/>
        </is>
      </c>
      <c r="S18" s="87" t="n">
        <v>2.470527979</v>
      </c>
      <c r="T18" s="88" t="inlineStr">
        <is>
          <t/>
        </is>
      </c>
      <c r="U18" s="89" t="n">
        <v>3.31</v>
      </c>
      <c r="V18" s="90" t="inlineStr">
        <is>
          <t/>
        </is>
      </c>
      <c r="W18" s="91" t="inlineStr">
        <is>
          <t/>
        </is>
      </c>
      <c r="X18" s="92" t="inlineStr">
        <is>
          <t>GP Self Reporting</t>
        </is>
      </c>
      <c r="Y18" s="93" t="inlineStr">
        <is>
          <t>2020 Y</t>
        </is>
      </c>
      <c r="Z18" s="94" t="inlineStr">
        <is>
          <t>100M - 249M</t>
        </is>
      </c>
      <c r="AA18" s="95" t="inlineStr">
        <is>
          <t>Dawn Capital</t>
        </is>
      </c>
      <c r="AB18" s="96" t="inlineStr">
        <is>
          <t>London, United Kingdom</t>
        </is>
      </c>
      <c r="AC18" s="97" t="inlineStr">
        <is>
          <t>Information Technology, Business Products and Services (B2B)</t>
        </is>
      </c>
      <c r="AD18" s="98" t="inlineStr">
        <is>
          <t>Early Stage VC</t>
        </is>
      </c>
      <c r="AE18" s="99" t="inlineStr">
        <is>
          <t>Europe</t>
        </is>
      </c>
      <c r="AF18" s="100" t="inlineStr">
        <is>
          <t>Dawn</t>
        </is>
      </c>
      <c r="AG18" s="233">
        <f>HYPERLINK("https://my.pitchbook.com?i=42995-26", "View Investor Online")</f>
      </c>
    </row>
    <row r="19">
      <c r="A19" s="36" t="inlineStr">
        <is>
          <t>13569-58F</t>
        </is>
      </c>
      <c r="B19" s="37" t="inlineStr">
        <is>
          <t>Tribeca Venture Fund II</t>
        </is>
      </c>
      <c r="C19" s="38" t="inlineStr">
        <is>
          <t/>
        </is>
      </c>
      <c r="D19" s="39" t="inlineStr">
        <is>
          <t>Venture Capital - Early Stage</t>
        </is>
      </c>
      <c r="E19" s="40" t="n">
        <v>101.5</v>
      </c>
      <c r="F19" s="41" t="inlineStr">
        <is>
          <t>New York, NY</t>
        </is>
      </c>
      <c r="G19" s="42" t="n">
        <v>1.0</v>
      </c>
      <c r="H19" s="43" t="n">
        <v>2016.0</v>
      </c>
      <c r="I19" s="44" t="n">
        <v>42.0</v>
      </c>
      <c r="J19" s="45" t="n">
        <v>42.63</v>
      </c>
      <c r="K19" s="46" t="n">
        <v>58.87</v>
      </c>
      <c r="L19" s="47" t="n">
        <v>0.0</v>
      </c>
      <c r="M19" s="48" t="n">
        <v>84.14199374</v>
      </c>
      <c r="N19" s="49" t="n">
        <v>55.5</v>
      </c>
      <c r="O19" s="50" t="inlineStr">
        <is>
          <t/>
        </is>
      </c>
      <c r="P19" s="51" t="n">
        <v>34.2</v>
      </c>
      <c r="Q19" s="52" t="n">
        <v>0.0</v>
      </c>
      <c r="R19" s="53" t="n">
        <v>0.0</v>
      </c>
      <c r="S19" s="54" t="n">
        <v>1.97</v>
      </c>
      <c r="T19" s="55" t="n">
        <v>0.6199999999999999</v>
      </c>
      <c r="U19" s="56" t="n">
        <v>3.1</v>
      </c>
      <c r="V19" s="57" t="n">
        <v>1.74</v>
      </c>
      <c r="W19" s="58" t="inlineStr">
        <is>
          <t/>
        </is>
      </c>
      <c r="X19" s="59" t="inlineStr">
        <is>
          <t>GP Self Reporting, LP Original Commitments</t>
        </is>
      </c>
      <c r="Y19" s="60" t="inlineStr">
        <is>
          <t>2019 Y</t>
        </is>
      </c>
      <c r="Z19" s="61" t="inlineStr">
        <is>
          <t>100M - 249M</t>
        </is>
      </c>
      <c r="AA19" s="62" t="inlineStr">
        <is>
          <t>Tribeca Venture Partners</t>
        </is>
      </c>
      <c r="AB19" s="63" t="inlineStr">
        <is>
          <t>New York, NY</t>
        </is>
      </c>
      <c r="AC19" s="64" t="inlineStr">
        <is>
          <t>Consumer Products and Services (B2C), Software</t>
        </is>
      </c>
      <c r="AD19" s="65" t="inlineStr">
        <is>
          <t>Seed Round, Early Stage VC</t>
        </is>
      </c>
      <c r="AE19" s="66" t="inlineStr">
        <is>
          <t>New York</t>
        </is>
      </c>
      <c r="AF19" s="67" t="inlineStr">
        <is>
          <t>NYSCRF, TVP</t>
        </is>
      </c>
      <c r="AG19" s="232">
        <f>HYPERLINK("https://my.pitchbook.com?i=11877-94", "View Investor Online")</f>
      </c>
    </row>
    <row r="20">
      <c r="A20" s="69" t="inlineStr">
        <is>
          <t>13905-91F</t>
        </is>
      </c>
      <c r="B20" s="70" t="inlineStr">
        <is>
          <t>Decheng Capital China Life Sciences USD Fund I</t>
        </is>
      </c>
      <c r="C20" s="71" t="inlineStr">
        <is>
          <t/>
        </is>
      </c>
      <c r="D20" s="72" t="inlineStr">
        <is>
          <t>Venture Capital</t>
        </is>
      </c>
      <c r="E20" s="73" t="n">
        <v>136.0</v>
      </c>
      <c r="F20" s="74" t="inlineStr">
        <is>
          <t>Shanghai, China</t>
        </is>
      </c>
      <c r="G20" s="75" t="inlineStr">
        <is>
          <t/>
        </is>
      </c>
      <c r="H20" s="76" t="n">
        <v>2011.0</v>
      </c>
      <c r="I20" s="77" t="n">
        <v>80.1970131094709</v>
      </c>
      <c r="J20" s="78" t="n">
        <v>109.06793782888042</v>
      </c>
      <c r="K20" s="79" t="n">
        <v>0.0</v>
      </c>
      <c r="L20" s="80" t="n">
        <v>57.768013206600365</v>
      </c>
      <c r="M20" s="81" t="n">
        <v>140.5793765190568</v>
      </c>
      <c r="N20" s="82" t="n">
        <v>26.87</v>
      </c>
      <c r="O20" s="83" t="inlineStr">
        <is>
          <t/>
        </is>
      </c>
      <c r="P20" s="84" t="inlineStr">
        <is>
          <t/>
        </is>
      </c>
      <c r="Q20" s="85" t="n">
        <v>0.73</v>
      </c>
      <c r="R20" s="86" t="inlineStr">
        <is>
          <t/>
        </is>
      </c>
      <c r="S20" s="87" t="n">
        <v>2.09</v>
      </c>
      <c r="T20" s="88" t="inlineStr">
        <is>
          <t/>
        </is>
      </c>
      <c r="U20" s="89" t="n">
        <v>2.82</v>
      </c>
      <c r="V20" s="90" t="inlineStr">
        <is>
          <t/>
        </is>
      </c>
      <c r="W20" s="91" t="inlineStr">
        <is>
          <t/>
        </is>
      </c>
      <c r="X20" s="92" t="inlineStr">
        <is>
          <t>GP Self Reporting</t>
        </is>
      </c>
      <c r="Y20" s="93" t="inlineStr">
        <is>
          <t>2015 Y</t>
        </is>
      </c>
      <c r="Z20" s="94" t="inlineStr">
        <is>
          <t>100M - 249M</t>
        </is>
      </c>
      <c r="AA20" s="95" t="inlineStr">
        <is>
          <t>Bay City Capital, Decheng Capital</t>
        </is>
      </c>
      <c r="AB20" s="96" t="inlineStr">
        <is>
          <t>San Francisco, CA</t>
        </is>
      </c>
      <c r="AC20" s="97" t="inlineStr">
        <is>
          <t>Healthcare Devices and Supplies, Pharmaceuticals and Biotechnology</t>
        </is>
      </c>
      <c r="AD20" s="98" t="inlineStr">
        <is>
          <t>Seed Round, Early Stage VC, Later Stage VC</t>
        </is>
      </c>
      <c r="AE20" s="99" t="inlineStr">
        <is>
          <t>East Asia</t>
        </is>
      </c>
      <c r="AF20" s="100" t="inlineStr">
        <is>
          <t>Bay City</t>
        </is>
      </c>
      <c r="AG20" s="233">
        <f>HYPERLINK("https://my.pitchbook.com?i=11128-42", "View Investor Online")</f>
      </c>
    </row>
    <row r="21">
      <c r="A21" s="36" t="inlineStr">
        <is>
          <t>12495-07F</t>
        </is>
      </c>
      <c r="B21" s="37" t="inlineStr">
        <is>
          <t>5AM Fund III</t>
        </is>
      </c>
      <c r="C21" s="38" t="inlineStr">
        <is>
          <t/>
        </is>
      </c>
      <c r="D21" s="39" t="inlineStr">
        <is>
          <t>Venture Capital</t>
        </is>
      </c>
      <c r="E21" s="40" t="n">
        <v>221.0</v>
      </c>
      <c r="F21" s="41" t="inlineStr">
        <is>
          <t>Boston, MA</t>
        </is>
      </c>
      <c r="G21" s="42" t="n">
        <v>1.0</v>
      </c>
      <c r="H21" s="43" t="n">
        <v>2009.0</v>
      </c>
      <c r="I21" s="44" t="n">
        <v>100.0</v>
      </c>
      <c r="J21" s="45" t="n">
        <v>221.0</v>
      </c>
      <c r="K21" s="46" t="n">
        <v>0.0</v>
      </c>
      <c r="L21" s="47" t="n">
        <v>406.0</v>
      </c>
      <c r="M21" s="48" t="n">
        <v>165.0</v>
      </c>
      <c r="N21" s="49" t="n">
        <v>29.9</v>
      </c>
      <c r="O21" s="50" t="inlineStr">
        <is>
          <t/>
        </is>
      </c>
      <c r="P21" s="51" t="n">
        <v>19.769999999999996</v>
      </c>
      <c r="Q21" s="52" t="n">
        <v>1.837104072</v>
      </c>
      <c r="R21" s="53" t="n">
        <v>1.247104072</v>
      </c>
      <c r="S21" s="54" t="n">
        <v>0.746606335</v>
      </c>
      <c r="T21" s="55" t="n">
        <v>0.05330633499999993</v>
      </c>
      <c r="U21" s="56" t="n">
        <v>2.59</v>
      </c>
      <c r="V21" s="57" t="n">
        <v>0.9999999999999998</v>
      </c>
      <c r="W21" s="58" t="inlineStr">
        <is>
          <t/>
        </is>
      </c>
      <c r="X21" s="59" t="inlineStr">
        <is>
          <t>GP Self Reporting</t>
        </is>
      </c>
      <c r="Y21" s="60" t="inlineStr">
        <is>
          <t>2019 Y</t>
        </is>
      </c>
      <c r="Z21" s="61" t="inlineStr">
        <is>
          <t>100M - 249M</t>
        </is>
      </c>
      <c r="AA21" s="62" t="inlineStr">
        <is>
          <t>5AM Ventures</t>
        </is>
      </c>
      <c r="AB21" s="63" t="inlineStr">
        <is>
          <t>San Francisco, CA</t>
        </is>
      </c>
      <c r="AC21" s="64" t="inlineStr">
        <is>
          <t>Pharmaceuticals and Biotechnology</t>
        </is>
      </c>
      <c r="AD21" s="65" t="inlineStr">
        <is>
          <t>Later Stage VC, Convertible Debt, Early Stage VC</t>
        </is>
      </c>
      <c r="AE21" s="66" t="inlineStr">
        <is>
          <t>United States, Canada</t>
        </is>
      </c>
      <c r="AF21" s="67" t="inlineStr">
        <is>
          <t>5AM</t>
        </is>
      </c>
      <c r="AG21" s="232">
        <f>HYPERLINK("https://my.pitchbook.com?i=11104-03", "View Investor Online")</f>
      </c>
    </row>
    <row r="22">
      <c r="A22" s="69" t="inlineStr">
        <is>
          <t>13941-64F</t>
        </is>
      </c>
      <c r="B22" s="70" t="inlineStr">
        <is>
          <t>iTech Fund I</t>
        </is>
      </c>
      <c r="C22" s="71" t="inlineStr">
        <is>
          <t/>
        </is>
      </c>
      <c r="D22" s="72" t="inlineStr">
        <is>
          <t>Venture Capital</t>
        </is>
      </c>
      <c r="E22" s="73" t="n">
        <v>100.0</v>
      </c>
      <c r="F22" s="74" t="inlineStr">
        <is>
          <t>Rīga, Latvia</t>
        </is>
      </c>
      <c r="G22" s="75" t="n">
        <v>1.0</v>
      </c>
      <c r="H22" s="76" t="n">
        <v>2011.0</v>
      </c>
      <c r="I22" s="77" t="n">
        <v>90.0</v>
      </c>
      <c r="J22" s="78" t="n">
        <v>90.0</v>
      </c>
      <c r="K22" s="79" t="n">
        <v>0.0</v>
      </c>
      <c r="L22" s="80" t="n">
        <v>64.0</v>
      </c>
      <c r="M22" s="81" t="n">
        <v>167.0</v>
      </c>
      <c r="N22" s="82" t="n">
        <v>22.0</v>
      </c>
      <c r="O22" s="83" t="inlineStr">
        <is>
          <t/>
        </is>
      </c>
      <c r="P22" s="84" t="n">
        <v>8.275</v>
      </c>
      <c r="Q22" s="85" t="n">
        <v>0.711</v>
      </c>
      <c r="R22" s="86" t="n">
        <v>0.0</v>
      </c>
      <c r="S22" s="87" t="n">
        <v>1.856</v>
      </c>
      <c r="T22" s="88" t="n">
        <v>0.6060000000000001</v>
      </c>
      <c r="U22" s="89" t="n">
        <v>2.5700000000000003</v>
      </c>
      <c r="V22" s="90" t="n">
        <v>0.6100000000000003</v>
      </c>
      <c r="W22" s="91" t="inlineStr">
        <is>
          <t/>
        </is>
      </c>
      <c r="X22" s="92" t="inlineStr">
        <is>
          <t>GP Self Reporting</t>
        </is>
      </c>
      <c r="Y22" s="93" t="inlineStr">
        <is>
          <t>2019 Y</t>
        </is>
      </c>
      <c r="Z22" s="94" t="inlineStr">
        <is>
          <t>100M - 249M</t>
        </is>
      </c>
      <c r="AA22" s="95" t="inlineStr">
        <is>
          <t>iTech Capital</t>
        </is>
      </c>
      <c r="AB22" s="96" t="inlineStr">
        <is>
          <t>Rīga, Latvia</t>
        </is>
      </c>
      <c r="AC22" s="97" t="inlineStr">
        <is>
          <t/>
        </is>
      </c>
      <c r="AD22" s="98" t="inlineStr">
        <is>
          <t>PE Growth/Expansion</t>
        </is>
      </c>
      <c r="AE22" s="99" t="inlineStr">
        <is>
          <t/>
        </is>
      </c>
      <c r="AF22" s="100" t="inlineStr">
        <is>
          <t>iTech</t>
        </is>
      </c>
      <c r="AG22" s="233">
        <f>HYPERLINK("https://my.pitchbook.com?i=52507-54", "View Investor Online")</f>
      </c>
    </row>
    <row r="23">
      <c r="A23" s="36" t="inlineStr">
        <is>
          <t>13343-68F</t>
        </is>
      </c>
      <c r="B23" s="37" t="inlineStr">
        <is>
          <t>Hatteras Venture Partners IV</t>
        </is>
      </c>
      <c r="C23" s="38" t="inlineStr">
        <is>
          <t/>
        </is>
      </c>
      <c r="D23" s="39" t="inlineStr">
        <is>
          <t>Venture Capital - Early Stage</t>
        </is>
      </c>
      <c r="E23" s="40" t="n">
        <v>125.0</v>
      </c>
      <c r="F23" s="41" t="inlineStr">
        <is>
          <t>Durham, NC</t>
        </is>
      </c>
      <c r="G23" s="42" t="inlineStr">
        <is>
          <t/>
        </is>
      </c>
      <c r="H23" s="43" t="n">
        <v>2012.0</v>
      </c>
      <c r="I23" s="44" t="inlineStr">
        <is>
          <t/>
        </is>
      </c>
      <c r="J23" s="45" t="inlineStr">
        <is>
          <t/>
        </is>
      </c>
      <c r="K23" s="46" t="n">
        <v>93.125</v>
      </c>
      <c r="L23" s="47" t="inlineStr">
        <is>
          <t/>
        </is>
      </c>
      <c r="M23" s="48" t="inlineStr">
        <is>
          <t/>
        </is>
      </c>
      <c r="N23" s="49" t="n">
        <v>28.9</v>
      </c>
      <c r="O23" s="50" t="inlineStr">
        <is>
          <t/>
        </is>
      </c>
      <c r="P23" s="51" t="inlineStr">
        <is>
          <t/>
        </is>
      </c>
      <c r="Q23" s="52" t="n">
        <v>0.4</v>
      </c>
      <c r="R23" s="53" t="inlineStr">
        <is>
          <t/>
        </is>
      </c>
      <c r="S23" s="54" t="inlineStr">
        <is>
          <t/>
        </is>
      </c>
      <c r="T23" s="55" t="inlineStr">
        <is>
          <t/>
        </is>
      </c>
      <c r="U23" s="56" t="n">
        <v>2.5</v>
      </c>
      <c r="V23" s="57" t="inlineStr">
        <is>
          <t/>
        </is>
      </c>
      <c r="W23" s="58" t="inlineStr">
        <is>
          <t/>
        </is>
      </c>
      <c r="X23" s="59" t="inlineStr">
        <is>
          <t>GP Self Reporting</t>
        </is>
      </c>
      <c r="Y23" s="60" t="inlineStr">
        <is>
          <t>2018 Y</t>
        </is>
      </c>
      <c r="Z23" s="61" t="inlineStr">
        <is>
          <t>100M - 249M</t>
        </is>
      </c>
      <c r="AA23" s="62" t="inlineStr">
        <is>
          <t>Hatteras Venture Partners</t>
        </is>
      </c>
      <c r="AB23" s="63" t="inlineStr">
        <is>
          <t>Durham, NC</t>
        </is>
      </c>
      <c r="AC23" s="64" t="inlineStr">
        <is>
          <t>Pharmaceuticals and Biotechnology</t>
        </is>
      </c>
      <c r="AD23" s="65" t="inlineStr">
        <is>
          <t>Seed Round, Early Stage VC</t>
        </is>
      </c>
      <c r="AE23" s="66" t="inlineStr">
        <is>
          <t/>
        </is>
      </c>
      <c r="AF23" s="67" t="inlineStr">
        <is>
          <t>HVP, Hatteras</t>
        </is>
      </c>
      <c r="AG23" s="232">
        <f>HYPERLINK("https://my.pitchbook.com?i=51375-97", "View Investor Online")</f>
      </c>
    </row>
    <row r="24">
      <c r="A24" s="69" t="inlineStr">
        <is>
          <t>13547-71F</t>
        </is>
      </c>
      <c r="B24" s="70" t="inlineStr">
        <is>
          <t>DN Capital - Global Venture Capital III</t>
        </is>
      </c>
      <c r="C24" s="71" t="inlineStr">
        <is>
          <t/>
        </is>
      </c>
      <c r="D24" s="72" t="inlineStr">
        <is>
          <t>Venture Capital - Early Stage</t>
        </is>
      </c>
      <c r="E24" s="73" t="n">
        <v>192.01246</v>
      </c>
      <c r="F24" s="74" t="inlineStr">
        <is>
          <t>London, United Kingdom</t>
        </is>
      </c>
      <c r="G24" s="75" t="inlineStr">
        <is>
          <t/>
        </is>
      </c>
      <c r="H24" s="76" t="n">
        <v>2012.0</v>
      </c>
      <c r="I24" s="77" t="n">
        <v>90.94484362628663</v>
      </c>
      <c r="J24" s="78" t="n">
        <v>174.6254310126605</v>
      </c>
      <c r="K24" s="79" t="n">
        <v>17.38702851001386</v>
      </c>
      <c r="L24" s="80" t="n">
        <v>124.34490470721852</v>
      </c>
      <c r="M24" s="81" t="n">
        <v>303.9017911084638</v>
      </c>
      <c r="N24" s="82" t="n">
        <v>29.8</v>
      </c>
      <c r="O24" s="83" t="inlineStr">
        <is>
          <t/>
        </is>
      </c>
      <c r="P24" s="84" t="inlineStr">
        <is>
          <t/>
        </is>
      </c>
      <c r="Q24" s="85" t="n">
        <v>0.71</v>
      </c>
      <c r="R24" s="86" t="inlineStr">
        <is>
          <t/>
        </is>
      </c>
      <c r="S24" s="87" t="n">
        <v>1.74</v>
      </c>
      <c r="T24" s="88" t="inlineStr">
        <is>
          <t/>
        </is>
      </c>
      <c r="U24" s="89" t="n">
        <v>2.45</v>
      </c>
      <c r="V24" s="90" t="inlineStr">
        <is>
          <t/>
        </is>
      </c>
      <c r="W24" s="91" t="inlineStr">
        <is>
          <t/>
        </is>
      </c>
      <c r="X24" s="92" t="inlineStr">
        <is>
          <t>LP Original Commitments</t>
        </is>
      </c>
      <c r="Y24" s="93" t="inlineStr">
        <is>
          <t>2019 Y</t>
        </is>
      </c>
      <c r="Z24" s="94" t="inlineStr">
        <is>
          <t>100M - 249M</t>
        </is>
      </c>
      <c r="AA24" s="95" t="inlineStr">
        <is>
          <t>DN Capital</t>
        </is>
      </c>
      <c r="AB24" s="96" t="inlineStr">
        <is>
          <t>London, United Kingdom</t>
        </is>
      </c>
      <c r="AC24" s="97" t="inlineStr">
        <is>
          <t>Software</t>
        </is>
      </c>
      <c r="AD24" s="98" t="inlineStr">
        <is>
          <t>Early Stage VC, Seed Round, Later Stage VC, PE Growth/Expansion</t>
        </is>
      </c>
      <c r="AE24" s="99" t="inlineStr">
        <is>
          <t>Northern Europe, Germany, United Kingdom</t>
        </is>
      </c>
      <c r="AF24" s="100" t="inlineStr">
        <is>
          <t>SDCERS</t>
        </is>
      </c>
      <c r="AG24" s="233">
        <f>HYPERLINK("https://my.pitchbook.com?i=11165-23", "View Investor Online")</f>
      </c>
    </row>
    <row r="25">
      <c r="A25" s="36" t="inlineStr">
        <is>
          <t>13623-85F</t>
        </is>
      </c>
      <c r="B25" s="37" t="inlineStr">
        <is>
          <t>Battery Ventures X Side Fund</t>
        </is>
      </c>
      <c r="C25" s="38" t="inlineStr">
        <is>
          <t/>
        </is>
      </c>
      <c r="D25" s="39" t="inlineStr">
        <is>
          <t>Venture Capital</t>
        </is>
      </c>
      <c r="E25" s="40" t="n">
        <v>250.0</v>
      </c>
      <c r="F25" s="41" t="inlineStr">
        <is>
          <t>Boston, MA</t>
        </is>
      </c>
      <c r="G25" s="42" t="n">
        <v>1.0</v>
      </c>
      <c r="H25" s="43" t="n">
        <v>2013.0</v>
      </c>
      <c r="I25" s="44" t="n">
        <v>91.25</v>
      </c>
      <c r="J25" s="45" t="n">
        <v>228.125</v>
      </c>
      <c r="K25" s="46" t="n">
        <v>21.875</v>
      </c>
      <c r="L25" s="47" t="n">
        <v>135.40473394495413</v>
      </c>
      <c r="M25" s="48" t="n">
        <v>258.3333333333333</v>
      </c>
      <c r="N25" s="49" t="n">
        <v>23.665</v>
      </c>
      <c r="O25" s="50" t="inlineStr">
        <is>
          <t/>
        </is>
      </c>
      <c r="P25" s="51" t="n">
        <v>6.195</v>
      </c>
      <c r="Q25" s="52" t="n">
        <v>1.21</v>
      </c>
      <c r="R25" s="53" t="n">
        <v>0.9099999999999999</v>
      </c>
      <c r="S25" s="54" t="n">
        <v>1.13</v>
      </c>
      <c r="T25" s="55" t="n">
        <v>-0.4474300000000002</v>
      </c>
      <c r="U25" s="56" t="n">
        <v>2.34</v>
      </c>
      <c r="V25" s="57" t="n">
        <v>0.46999999999999975</v>
      </c>
      <c r="W25" s="58" t="inlineStr">
        <is>
          <t/>
        </is>
      </c>
      <c r="X25" s="59" t="inlineStr">
        <is>
          <t>LP Original Commitments</t>
        </is>
      </c>
      <c r="Y25" s="60" t="inlineStr">
        <is>
          <t>2019 Y</t>
        </is>
      </c>
      <c r="Z25" s="61" t="inlineStr">
        <is>
          <t>250M - 499M</t>
        </is>
      </c>
      <c r="AA25" s="62" t="inlineStr">
        <is>
          <t>Battery Ventures</t>
        </is>
      </c>
      <c r="AB25" s="63" t="inlineStr">
        <is>
          <t>Boston, MA</t>
        </is>
      </c>
      <c r="AC25" s="64" t="inlineStr">
        <is>
          <t>Software</t>
        </is>
      </c>
      <c r="AD25" s="65" t="inlineStr">
        <is>
          <t>Seed Round, Early Stage VC, Buyout/LBO, PE Growth/Expansion</t>
        </is>
      </c>
      <c r="AE25" s="66" t="inlineStr">
        <is>
          <t>Europe, Israel, North America</t>
        </is>
      </c>
      <c r="AF25" s="67" t="inlineStr">
        <is>
          <t>ARMB, HIERS, IPERS, Mass PRIT, SFERS</t>
        </is>
      </c>
      <c r="AG25" s="232">
        <f>HYPERLINK("https://my.pitchbook.com?i=10052-20", "View Investor Online")</f>
      </c>
    </row>
    <row r="26">
      <c r="A26" s="69" t="inlineStr">
        <is>
          <t>13010-23F</t>
        </is>
      </c>
      <c r="B26" s="70" t="inlineStr">
        <is>
          <t>FirstMark Capital II</t>
        </is>
      </c>
      <c r="C26" s="71" t="inlineStr">
        <is>
          <t>FirstMark Capital V</t>
        </is>
      </c>
      <c r="D26" s="72" t="inlineStr">
        <is>
          <t>Venture Capital</t>
        </is>
      </c>
      <c r="E26" s="73" t="n">
        <v>225.0</v>
      </c>
      <c r="F26" s="74" t="inlineStr">
        <is>
          <t>New York, NY</t>
        </is>
      </c>
      <c r="G26" s="75" t="inlineStr">
        <is>
          <t/>
        </is>
      </c>
      <c r="H26" s="76" t="n">
        <v>2011.0</v>
      </c>
      <c r="I26" s="77" t="n">
        <v>50.22365</v>
      </c>
      <c r="J26" s="78" t="n">
        <v>113.00321249999999</v>
      </c>
      <c r="K26" s="79" t="n">
        <v>112.5</v>
      </c>
      <c r="L26" s="80" t="n">
        <v>35.8460775</v>
      </c>
      <c r="M26" s="81" t="n">
        <v>450.25892999999996</v>
      </c>
      <c r="N26" s="82" t="inlineStr">
        <is>
          <t/>
        </is>
      </c>
      <c r="O26" s="83" t="inlineStr">
        <is>
          <t/>
        </is>
      </c>
      <c r="P26" s="84" t="inlineStr">
        <is>
          <t/>
        </is>
      </c>
      <c r="Q26" s="85" t="n">
        <v>0.32</v>
      </c>
      <c r="R26" s="86" t="n">
        <v>0.04999999999999999</v>
      </c>
      <c r="S26" s="87" t="n">
        <v>1.99</v>
      </c>
      <c r="T26" s="88" t="n">
        <v>0.9099999999999999</v>
      </c>
      <c r="U26" s="89" t="n">
        <v>2.31</v>
      </c>
      <c r="V26" s="90" t="n">
        <v>1.145</v>
      </c>
      <c r="W26" s="91" t="inlineStr">
        <is>
          <t/>
        </is>
      </c>
      <c r="X26" s="92" t="inlineStr">
        <is>
          <t>LP Original Commitments</t>
        </is>
      </c>
      <c r="Y26" s="93" t="inlineStr">
        <is>
          <t>2020 Y</t>
        </is>
      </c>
      <c r="Z26" s="94" t="inlineStr">
        <is>
          <t>100M - 249M</t>
        </is>
      </c>
      <c r="AA26" s="95" t="inlineStr">
        <is>
          <t>FirstMark Capital</t>
        </is>
      </c>
      <c r="AB26" s="96" t="inlineStr">
        <is>
          <t>New York, NY</t>
        </is>
      </c>
      <c r="AC26" s="97" t="inlineStr">
        <is>
          <t>Software</t>
        </is>
      </c>
      <c r="AD26" s="98" t="inlineStr">
        <is>
          <t>Early Stage VC, Angel (individual), Later Stage VC, Seed Round</t>
        </is>
      </c>
      <c r="AE26" s="99" t="inlineStr">
        <is>
          <t>United States</t>
        </is>
      </c>
      <c r="AF26" s="100" t="inlineStr">
        <is>
          <t>OCERS, OPPRS</t>
        </is>
      </c>
      <c r="AG26" s="233">
        <f>HYPERLINK("https://my.pitchbook.com?i=11270-53", "View Investor Online")</f>
      </c>
    </row>
    <row r="27">
      <c r="A27" s="36" t="inlineStr">
        <is>
          <t>17810-65F</t>
        </is>
      </c>
      <c r="B27" s="37" t="inlineStr">
        <is>
          <t>Heartcore Capital Fund II</t>
        </is>
      </c>
      <c r="C27" s="38" t="inlineStr">
        <is>
          <t/>
        </is>
      </c>
      <c r="D27" s="39" t="inlineStr">
        <is>
          <t>Venture Capital</t>
        </is>
      </c>
      <c r="E27" s="40" t="n">
        <v>111.03777</v>
      </c>
      <c r="F27" s="41" t="inlineStr">
        <is>
          <t>Copenhagen, Denmark</t>
        </is>
      </c>
      <c r="G27" s="42" t="n">
        <v>1.0</v>
      </c>
      <c r="H27" s="43" t="n">
        <v>2011.0</v>
      </c>
      <c r="I27" s="44" t="n">
        <v>100.0</v>
      </c>
      <c r="J27" s="45" t="n">
        <v>743.9425612408336</v>
      </c>
      <c r="K27" s="46" t="n">
        <v>0.0</v>
      </c>
      <c r="L27" s="47" t="n">
        <v>318.69447671770905</v>
      </c>
      <c r="M27" s="48" t="n">
        <v>1379.920870645053</v>
      </c>
      <c r="N27" s="49" t="n">
        <v>21.4</v>
      </c>
      <c r="O27" s="50" t="inlineStr">
        <is>
          <t/>
        </is>
      </c>
      <c r="P27" s="51" t="n">
        <v>7.674999999999999</v>
      </c>
      <c r="Q27" s="52" t="n">
        <v>0.43</v>
      </c>
      <c r="R27" s="53" t="n">
        <v>-0.28099999999999997</v>
      </c>
      <c r="S27" s="54" t="n">
        <v>1.85</v>
      </c>
      <c r="T27" s="55" t="n">
        <v>0.6000000000000001</v>
      </c>
      <c r="U27" s="56" t="n">
        <v>2.2800000000000002</v>
      </c>
      <c r="V27" s="57" t="n">
        <v>0.3200000000000003</v>
      </c>
      <c r="W27" s="58" t="inlineStr">
        <is>
          <t/>
        </is>
      </c>
      <c r="X27" s="59" t="inlineStr">
        <is>
          <t>GP Self Reporting</t>
        </is>
      </c>
      <c r="Y27" s="60" t="inlineStr">
        <is>
          <t>2019 Y</t>
        </is>
      </c>
      <c r="Z27" s="61" t="inlineStr">
        <is>
          <t>100M - 249M</t>
        </is>
      </c>
      <c r="AA27" s="62" t="inlineStr">
        <is>
          <t>Heartcore Capital</t>
        </is>
      </c>
      <c r="AB27" s="63" t="inlineStr">
        <is>
          <t>Copenhagen, Denmark</t>
        </is>
      </c>
      <c r="AC27" s="64" t="inlineStr">
        <is>
          <t>Software, Pharmaceuticals and Biotechnology</t>
        </is>
      </c>
      <c r="AD27" s="65" t="inlineStr">
        <is>
          <t>Early Stage VC, Seed Round, Later Stage VC</t>
        </is>
      </c>
      <c r="AE27" s="66" t="inlineStr">
        <is>
          <t>Western Europe, United States</t>
        </is>
      </c>
      <c r="AF27" s="67" t="inlineStr">
        <is>
          <t>Heartcore</t>
        </is>
      </c>
      <c r="AG27" s="232">
        <f>HYPERLINK("https://my.pitchbook.com?i=228319-66", "View Investor Online")</f>
      </c>
    </row>
    <row r="28">
      <c r="A28" s="69" t="inlineStr">
        <is>
          <t>13601-71F</t>
        </is>
      </c>
      <c r="B28" s="70" t="inlineStr">
        <is>
          <t>LiveOak Venture Partners I</t>
        </is>
      </c>
      <c r="C28" s="71" t="inlineStr">
        <is>
          <t/>
        </is>
      </c>
      <c r="D28" s="72" t="inlineStr">
        <is>
          <t>Venture Capital</t>
        </is>
      </c>
      <c r="E28" s="73" t="n">
        <v>109.0</v>
      </c>
      <c r="F28" s="74" t="inlineStr">
        <is>
          <t>Austin, TX</t>
        </is>
      </c>
      <c r="G28" s="75" t="n">
        <v>1.0</v>
      </c>
      <c r="H28" s="76" t="n">
        <v>2013.0</v>
      </c>
      <c r="I28" s="77" t="n">
        <v>86.0</v>
      </c>
      <c r="J28" s="78" t="n">
        <v>93.74</v>
      </c>
      <c r="K28" s="79" t="n">
        <v>2.18</v>
      </c>
      <c r="L28" s="80" t="n">
        <v>42.006269907000004</v>
      </c>
      <c r="M28" s="81" t="n">
        <v>171.30200200000002</v>
      </c>
      <c r="N28" s="82" t="n">
        <v>30.27</v>
      </c>
      <c r="O28" s="83" t="inlineStr">
        <is>
          <t/>
        </is>
      </c>
      <c r="P28" s="84" t="n">
        <v>25.67</v>
      </c>
      <c r="Q28" s="85" t="n">
        <v>0.45</v>
      </c>
      <c r="R28" s="86" t="n">
        <v>0.33</v>
      </c>
      <c r="S28" s="87" t="n">
        <v>1.83</v>
      </c>
      <c r="T28" s="88" t="n">
        <v>0.7613700000000001</v>
      </c>
      <c r="U28" s="89" t="n">
        <v>2.2800000000000002</v>
      </c>
      <c r="V28" s="90" t="n">
        <v>1.0900000000000003</v>
      </c>
      <c r="W28" s="91" t="inlineStr">
        <is>
          <t/>
        </is>
      </c>
      <c r="X28" s="92" t="inlineStr">
        <is>
          <t>LP Original Commitments</t>
        </is>
      </c>
      <c r="Y28" s="93" t="inlineStr">
        <is>
          <t>2019 Y</t>
        </is>
      </c>
      <c r="Z28" s="94" t="inlineStr">
        <is>
          <t>100M - 249M</t>
        </is>
      </c>
      <c r="AA28" s="95" t="inlineStr">
        <is>
          <t>LiveOak Venture Partners</t>
        </is>
      </c>
      <c r="AB28" s="96" t="inlineStr">
        <is>
          <t>Austin, TX</t>
        </is>
      </c>
      <c r="AC28" s="97" t="inlineStr">
        <is>
          <t>Software</t>
        </is>
      </c>
      <c r="AD28" s="98" t="inlineStr">
        <is>
          <t>Early Stage VC</t>
        </is>
      </c>
      <c r="AE28" s="99" t="inlineStr">
        <is>
          <t>Canada, United States, North America</t>
        </is>
      </c>
      <c r="AF28" s="100" t="inlineStr">
        <is>
          <t>Teachers Retirement System of the State of Illinois, UH System Endowment</t>
        </is>
      </c>
      <c r="AG28" s="233">
        <f>HYPERLINK("https://my.pitchbook.com?i=42728-77", "View Investor Online")</f>
      </c>
    </row>
    <row r="29">
      <c r="A29" s="36" t="inlineStr">
        <is>
          <t>12964-15F</t>
        </is>
      </c>
      <c r="B29" s="37" t="inlineStr">
        <is>
          <t>Forbion Capital Fund II</t>
        </is>
      </c>
      <c r="C29" s="38" t="inlineStr">
        <is>
          <t/>
        </is>
      </c>
      <c r="D29" s="39" t="inlineStr">
        <is>
          <t>Venture Capital</t>
        </is>
      </c>
      <c r="E29" s="40" t="n">
        <v>210.9035</v>
      </c>
      <c r="F29" s="41" t="inlineStr">
        <is>
          <t>Naarden, Netherlands</t>
        </is>
      </c>
      <c r="G29" s="42" t="inlineStr">
        <is>
          <t/>
        </is>
      </c>
      <c r="H29" s="43" t="n">
        <v>2010.0</v>
      </c>
      <c r="I29" s="44" t="n">
        <v>100.0</v>
      </c>
      <c r="J29" s="45" t="n">
        <v>242.54499947043215</v>
      </c>
      <c r="K29" s="46" t="n">
        <v>0.0</v>
      </c>
      <c r="L29" s="47" t="n">
        <v>342.7897969147574</v>
      </c>
      <c r="M29" s="48" t="n">
        <v>202.7777389163631</v>
      </c>
      <c r="N29" s="49" t="n">
        <v>17.45</v>
      </c>
      <c r="O29" s="50" t="inlineStr">
        <is>
          <t/>
        </is>
      </c>
      <c r="P29" s="51" t="inlineStr">
        <is>
          <t/>
        </is>
      </c>
      <c r="Q29" s="52" t="n">
        <v>1.4418711655</v>
      </c>
      <c r="R29" s="53" t="n">
        <v>1.4041611655000001</v>
      </c>
      <c r="S29" s="54" t="n">
        <v>0.833190184</v>
      </c>
      <c r="T29" s="55" t="inlineStr">
        <is>
          <t/>
        </is>
      </c>
      <c r="U29" s="56" t="n">
        <v>2.27</v>
      </c>
      <c r="V29" s="57" t="inlineStr">
        <is>
          <t/>
        </is>
      </c>
      <c r="W29" s="58" t="inlineStr">
        <is>
          <t/>
        </is>
      </c>
      <c r="X29" s="59" t="inlineStr">
        <is>
          <t>GP Self Reporting, LP Original Commitments</t>
        </is>
      </c>
      <c r="Y29" s="60" t="inlineStr">
        <is>
          <t>2019 Y</t>
        </is>
      </c>
      <c r="Z29" s="61" t="inlineStr">
        <is>
          <t>100M - 249M</t>
        </is>
      </c>
      <c r="AA29" s="62" t="inlineStr">
        <is>
          <t>Forbion</t>
        </is>
      </c>
      <c r="AB29" s="63" t="inlineStr">
        <is>
          <t>Naarden, Netherlands</t>
        </is>
      </c>
      <c r="AC29" s="64" t="inlineStr">
        <is>
          <t>Healthcare Devices and Supplies, Pharmaceuticals and Biotechnology</t>
        </is>
      </c>
      <c r="AD29" s="65" t="inlineStr">
        <is>
          <t>Seed Round, Early Stage VC, Later Stage VC</t>
        </is>
      </c>
      <c r="AE29" s="66" t="inlineStr">
        <is>
          <t/>
        </is>
      </c>
      <c r="AF29" s="67" t="inlineStr">
        <is>
          <t>Forbion Capital Partners, INPRS, KLP</t>
        </is>
      </c>
      <c r="AG29" s="232">
        <f>HYPERLINK("https://my.pitchbook.com?i=10346-14", "View Investor Online")</f>
      </c>
    </row>
    <row r="30">
      <c r="A30" s="69" t="inlineStr">
        <is>
          <t>13932-01F</t>
        </is>
      </c>
      <c r="B30" s="70" t="inlineStr">
        <is>
          <t>Union Square Ventures 2014 Fund</t>
        </is>
      </c>
      <c r="C30" s="71" t="inlineStr">
        <is>
          <t/>
        </is>
      </c>
      <c r="D30" s="72" t="inlineStr">
        <is>
          <t>Venture Capital - Early Stage</t>
        </is>
      </c>
      <c r="E30" s="73" t="n">
        <v>166.025</v>
      </c>
      <c r="F30" s="74" t="inlineStr">
        <is>
          <t>New York, NY</t>
        </is>
      </c>
      <c r="G30" s="75" t="inlineStr">
        <is>
          <t/>
        </is>
      </c>
      <c r="H30" s="76" t="n">
        <v>2014.0</v>
      </c>
      <c r="I30" s="77" t="n">
        <v>92.55319148936168</v>
      </c>
      <c r="J30" s="78" t="n">
        <v>153.66143617021277</v>
      </c>
      <c r="K30" s="79" t="n">
        <v>12.363563829787234</v>
      </c>
      <c r="L30" s="80" t="n">
        <v>16.77912234042553</v>
      </c>
      <c r="M30" s="81" t="n">
        <v>332.05</v>
      </c>
      <c r="N30" s="82" t="n">
        <v>23.8</v>
      </c>
      <c r="O30" s="83" t="inlineStr">
        <is>
          <t/>
        </is>
      </c>
      <c r="P30" s="84" t="inlineStr">
        <is>
          <t/>
        </is>
      </c>
      <c r="Q30" s="85" t="n">
        <v>0.11</v>
      </c>
      <c r="R30" s="86" t="inlineStr">
        <is>
          <t/>
        </is>
      </c>
      <c r="S30" s="87" t="n">
        <v>2.16</v>
      </c>
      <c r="T30" s="88" t="inlineStr">
        <is>
          <t/>
        </is>
      </c>
      <c r="U30" s="89" t="n">
        <v>2.27</v>
      </c>
      <c r="V30" s="90" t="inlineStr">
        <is>
          <t/>
        </is>
      </c>
      <c r="W30" s="91" t="inlineStr">
        <is>
          <t/>
        </is>
      </c>
      <c r="X30" s="92" t="inlineStr">
        <is>
          <t>LP Original Commitments</t>
        </is>
      </c>
      <c r="Y30" s="93" t="inlineStr">
        <is>
          <t>2020 Y</t>
        </is>
      </c>
      <c r="Z30" s="94" t="inlineStr">
        <is>
          <t>100M - 249M</t>
        </is>
      </c>
      <c r="AA30" s="95" t="inlineStr">
        <is>
          <t>Union Square Ventures</t>
        </is>
      </c>
      <c r="AB30" s="96" t="inlineStr">
        <is>
          <t>New York, NY</t>
        </is>
      </c>
      <c r="AC30" s="97" t="inlineStr">
        <is>
          <t>Software</t>
        </is>
      </c>
      <c r="AD30" s="98" t="inlineStr">
        <is>
          <t>Early Stage VC</t>
        </is>
      </c>
      <c r="AE30" s="99" t="inlineStr">
        <is>
          <t/>
        </is>
      </c>
      <c r="AF30" s="100" t="inlineStr">
        <is>
          <t>PERS</t>
        </is>
      </c>
      <c r="AG30" s="233">
        <f>HYPERLINK("https://my.pitchbook.com?i=11323-45", "View Investor Online")</f>
      </c>
    </row>
    <row r="31">
      <c r="A31" s="36" t="inlineStr">
        <is>
          <t>14055-58F</t>
        </is>
      </c>
      <c r="B31" s="37" t="inlineStr">
        <is>
          <t>Maveron Equity Partners V</t>
        </is>
      </c>
      <c r="C31" s="38" t="inlineStr">
        <is>
          <t/>
        </is>
      </c>
      <c r="D31" s="39" t="inlineStr">
        <is>
          <t>Venture Capital</t>
        </is>
      </c>
      <c r="E31" s="40" t="n">
        <v>140.0</v>
      </c>
      <c r="F31" s="41" t="inlineStr">
        <is>
          <t>Seattle, WA</t>
        </is>
      </c>
      <c r="G31" s="42" t="n">
        <v>2.0</v>
      </c>
      <c r="H31" s="43" t="n">
        <v>2014.0</v>
      </c>
      <c r="I31" s="44" t="n">
        <v>100.0</v>
      </c>
      <c r="J31" s="45" t="n">
        <v>140.0</v>
      </c>
      <c r="K31" s="46" t="n">
        <v>0.0</v>
      </c>
      <c r="L31" s="47" t="inlineStr">
        <is>
          <t/>
        </is>
      </c>
      <c r="M31" s="48" t="inlineStr">
        <is>
          <t/>
        </is>
      </c>
      <c r="N31" s="49" t="n">
        <v>21.38</v>
      </c>
      <c r="O31" s="50" t="inlineStr">
        <is>
          <t/>
        </is>
      </c>
      <c r="P31" s="51" t="n">
        <v>0.0</v>
      </c>
      <c r="Q31" s="52" t="n">
        <v>0.27</v>
      </c>
      <c r="R31" s="53" t="n">
        <v>0.27</v>
      </c>
      <c r="S31" s="54" t="inlineStr">
        <is>
          <t/>
        </is>
      </c>
      <c r="T31" s="55" t="inlineStr">
        <is>
          <t/>
        </is>
      </c>
      <c r="U31" s="56" t="n">
        <v>2.26</v>
      </c>
      <c r="V31" s="57" t="n">
        <v>0.6749999999999998</v>
      </c>
      <c r="W31" s="58" t="inlineStr">
        <is>
          <t/>
        </is>
      </c>
      <c r="X31" s="59" t="inlineStr">
        <is>
          <t>GP Self Reporting</t>
        </is>
      </c>
      <c r="Y31" s="60" t="inlineStr">
        <is>
          <t>2020 Y</t>
        </is>
      </c>
      <c r="Z31" s="61" t="inlineStr">
        <is>
          <t>100M - 249M</t>
        </is>
      </c>
      <c r="AA31" s="62" t="inlineStr">
        <is>
          <t>Maveron</t>
        </is>
      </c>
      <c r="AB31" s="63" t="inlineStr">
        <is>
          <t>Seattle, WA</t>
        </is>
      </c>
      <c r="AC31" s="64" t="inlineStr">
        <is>
          <t>Software</t>
        </is>
      </c>
      <c r="AD31" s="65" t="inlineStr">
        <is>
          <t>Seed Round, Early Stage VC, Later Stage VC</t>
        </is>
      </c>
      <c r="AE31" s="66" t="inlineStr">
        <is>
          <t/>
        </is>
      </c>
      <c r="AF31" s="67" t="inlineStr">
        <is>
          <t>Maveron</t>
        </is>
      </c>
      <c r="AG31" s="232">
        <f>HYPERLINK("https://my.pitchbook.com?i=11237-68", "View Investor Online")</f>
      </c>
    </row>
    <row r="32">
      <c r="A32" s="69" t="inlineStr">
        <is>
          <t>12952-45F</t>
        </is>
      </c>
      <c r="B32" s="70" t="inlineStr">
        <is>
          <t>Point 406 Ventures II</t>
        </is>
      </c>
      <c r="C32" s="71" t="inlineStr">
        <is>
          <t/>
        </is>
      </c>
      <c r="D32" s="72" t="inlineStr">
        <is>
          <t>Venture Capital - Early Stage</t>
        </is>
      </c>
      <c r="E32" s="73" t="n">
        <v>175.0</v>
      </c>
      <c r="F32" s="74" t="inlineStr">
        <is>
          <t>Boston, MA</t>
        </is>
      </c>
      <c r="G32" s="75" t="inlineStr">
        <is>
          <t/>
        </is>
      </c>
      <c r="H32" s="76" t="n">
        <v>2011.0</v>
      </c>
      <c r="I32" s="77" t="n">
        <v>100.0</v>
      </c>
      <c r="J32" s="78" t="n">
        <v>176.496901</v>
      </c>
      <c r="K32" s="79" t="n">
        <v>7.873820981713186</v>
      </c>
      <c r="L32" s="80" t="n">
        <v>110.393591</v>
      </c>
      <c r="M32" s="81" t="n">
        <v>274.53797</v>
      </c>
      <c r="N32" s="82" t="n">
        <v>20.6</v>
      </c>
      <c r="O32" s="83" t="inlineStr">
        <is>
          <t/>
        </is>
      </c>
      <c r="P32" s="84" t="inlineStr">
        <is>
          <t/>
        </is>
      </c>
      <c r="Q32" s="85" t="n">
        <v>0.63</v>
      </c>
      <c r="R32" s="86" t="inlineStr">
        <is>
          <t/>
        </is>
      </c>
      <c r="S32" s="87" t="n">
        <v>1.56</v>
      </c>
      <c r="T32" s="88" t="n">
        <v>0.19999999999999996</v>
      </c>
      <c r="U32" s="89" t="n">
        <v>2.19</v>
      </c>
      <c r="V32" s="90" t="inlineStr">
        <is>
          <t/>
        </is>
      </c>
      <c r="W32" s="91" t="inlineStr">
        <is>
          <t/>
        </is>
      </c>
      <c r="X32" s="92" t="inlineStr">
        <is>
          <t>LP Original Commitments</t>
        </is>
      </c>
      <c r="Y32" s="93" t="inlineStr">
        <is>
          <t>2019 Y</t>
        </is>
      </c>
      <c r="Z32" s="94" t="inlineStr">
        <is>
          <t>100M - 249M</t>
        </is>
      </c>
      <c r="AA32" s="95" t="inlineStr">
        <is>
          <t>.406 Ventures</t>
        </is>
      </c>
      <c r="AB32" s="96" t="inlineStr">
        <is>
          <t>Boston, MA</t>
        </is>
      </c>
      <c r="AC32" s="97" t="inlineStr">
        <is>
          <t>Software</t>
        </is>
      </c>
      <c r="AD32" s="98" t="inlineStr">
        <is>
          <t>Seed Round, Early Stage VC</t>
        </is>
      </c>
      <c r="AE32" s="99" t="inlineStr">
        <is>
          <t/>
        </is>
      </c>
      <c r="AF32" s="100" t="inlineStr">
        <is>
          <t>Maryland SRPS</t>
        </is>
      </c>
      <c r="AG32" s="233">
        <f>HYPERLINK("https://my.pitchbook.com?i=42183-19", "View Investor Online")</f>
      </c>
    </row>
    <row r="33">
      <c r="A33" s="36" t="inlineStr">
        <is>
          <t>14687-47F</t>
        </is>
      </c>
      <c r="B33" s="37" t="inlineStr">
        <is>
          <t>Clarus Defined Exit I</t>
        </is>
      </c>
      <c r="C33" s="38" t="inlineStr">
        <is>
          <t/>
        </is>
      </c>
      <c r="D33" s="39" t="inlineStr">
        <is>
          <t>Venture Capital</t>
        </is>
      </c>
      <c r="E33" s="40" t="n">
        <v>100.0</v>
      </c>
      <c r="F33" s="41" t="inlineStr">
        <is>
          <t>Cambridge, MA</t>
        </is>
      </c>
      <c r="G33" s="42" t="n">
        <v>1.0</v>
      </c>
      <c r="H33" s="43" t="n">
        <v>2014.0</v>
      </c>
      <c r="I33" s="44" t="n">
        <v>17.2</v>
      </c>
      <c r="J33" s="45" t="n">
        <v>17.2</v>
      </c>
      <c r="K33" s="46" t="n">
        <v>0.25</v>
      </c>
      <c r="L33" s="47" t="n">
        <v>0.0</v>
      </c>
      <c r="M33" s="48" t="n">
        <v>37.207</v>
      </c>
      <c r="N33" s="49" t="n">
        <v>105.54</v>
      </c>
      <c r="O33" s="50" t="inlineStr">
        <is>
          <t/>
        </is>
      </c>
      <c r="P33" s="51" t="n">
        <v>84.16000000000001</v>
      </c>
      <c r="Q33" s="52" t="n">
        <v>0.0</v>
      </c>
      <c r="R33" s="53" t="n">
        <v>0.0</v>
      </c>
      <c r="S33" s="54" t="n">
        <v>2.16</v>
      </c>
      <c r="T33" s="55" t="n">
        <v>0.9200000000000002</v>
      </c>
      <c r="U33" s="56" t="n">
        <v>2.16</v>
      </c>
      <c r="V33" s="57" t="n">
        <v>0.5750000000000002</v>
      </c>
      <c r="W33" s="58" t="inlineStr">
        <is>
          <t/>
        </is>
      </c>
      <c r="X33" s="59" t="inlineStr">
        <is>
          <t>GP Self Reporting</t>
        </is>
      </c>
      <c r="Y33" s="60" t="inlineStr">
        <is>
          <t>2016 Y</t>
        </is>
      </c>
      <c r="Z33" s="61" t="inlineStr">
        <is>
          <t>100M - 249M</t>
        </is>
      </c>
      <c r="AA33" s="62" t="inlineStr">
        <is>
          <t>Blackstone Life Sciences</t>
        </is>
      </c>
      <c r="AB33" s="63" t="inlineStr">
        <is>
          <t>Cambridge, MA</t>
        </is>
      </c>
      <c r="AC33" s="64" t="inlineStr">
        <is>
          <t>Pharmaceuticals and Biotechnology</t>
        </is>
      </c>
      <c r="AD33" s="65" t="inlineStr">
        <is>
          <t>Seed Round, Early Stage VC, Later Stage VC</t>
        </is>
      </c>
      <c r="AE33" s="66" t="inlineStr">
        <is>
          <t/>
        </is>
      </c>
      <c r="AF33" s="67" t="inlineStr">
        <is>
          <t>Blackstone Life Sciences</t>
        </is>
      </c>
      <c r="AG33" s="232">
        <f>HYPERLINK("https://my.pitchbook.com?i=11151-91", "View Investor Online")</f>
      </c>
    </row>
    <row r="34">
      <c r="A34" s="69" t="inlineStr">
        <is>
          <t>12521-98F</t>
        </is>
      </c>
      <c r="B34" s="70" t="inlineStr">
        <is>
          <t>Greycroft II</t>
        </is>
      </c>
      <c r="C34" s="71" t="inlineStr">
        <is>
          <t/>
        </is>
      </c>
      <c r="D34" s="72" t="inlineStr">
        <is>
          <t>Venture Capital - Early Stage</t>
        </is>
      </c>
      <c r="E34" s="73" t="n">
        <v>130.7</v>
      </c>
      <c r="F34" s="74" t="inlineStr">
        <is>
          <t>New York, NY</t>
        </is>
      </c>
      <c r="G34" s="75" t="n">
        <v>1.0</v>
      </c>
      <c r="H34" s="76" t="n">
        <v>2010.0</v>
      </c>
      <c r="I34" s="77" t="n">
        <v>100.0</v>
      </c>
      <c r="J34" s="78" t="n">
        <v>155.2</v>
      </c>
      <c r="K34" s="79" t="n">
        <v>0.0</v>
      </c>
      <c r="L34" s="80" t="n">
        <v>155.6</v>
      </c>
      <c r="M34" s="81" t="n">
        <v>179.1</v>
      </c>
      <c r="N34" s="82" t="n">
        <v>19.0</v>
      </c>
      <c r="O34" s="83" t="inlineStr">
        <is>
          <t/>
        </is>
      </c>
      <c r="P34" s="84" t="n">
        <v>6.32</v>
      </c>
      <c r="Q34" s="85" t="n">
        <v>1.00257732</v>
      </c>
      <c r="R34" s="86" t="inlineStr">
        <is>
          <t/>
        </is>
      </c>
      <c r="S34" s="87" t="n">
        <v>1.153994845</v>
      </c>
      <c r="T34" s="88" t="inlineStr">
        <is>
          <t/>
        </is>
      </c>
      <c r="U34" s="89" t="n">
        <v>2.15</v>
      </c>
      <c r="V34" s="90" t="inlineStr">
        <is>
          <t/>
        </is>
      </c>
      <c r="W34" s="91" t="inlineStr">
        <is>
          <t/>
        </is>
      </c>
      <c r="X34" s="92" t="inlineStr">
        <is>
          <t>GP Self Reporting, LP Original Commitments</t>
        </is>
      </c>
      <c r="Y34" s="93" t="inlineStr">
        <is>
          <t>2017 Y</t>
        </is>
      </c>
      <c r="Z34" s="94" t="inlineStr">
        <is>
          <t>100M - 249M</t>
        </is>
      </c>
      <c r="AA34" s="95" t="inlineStr">
        <is>
          <t>Greycroft</t>
        </is>
      </c>
      <c r="AB34" s="96" t="inlineStr">
        <is>
          <t>New York, NY</t>
        </is>
      </c>
      <c r="AC34" s="97" t="inlineStr">
        <is>
          <t>Software</t>
        </is>
      </c>
      <c r="AD34" s="98" t="inlineStr">
        <is>
          <t>Seed Round, Acquisition Financing, Add-on, Angel (individual), Debt - General, Corporate Divestiture, Buyout/LBO, PE Growth/Expansion, Early Stage VC, Later Stage VC</t>
        </is>
      </c>
      <c r="AE34" s="99" t="inlineStr">
        <is>
          <t>United States, Germany</t>
        </is>
      </c>
      <c r="AF34" s="100" t="inlineStr">
        <is>
          <t>DuPont Pension Trust Fund, Greycroft, SBC Master Pension Trust, The Eisner Foundation</t>
        </is>
      </c>
      <c r="AG34" s="233">
        <f>HYPERLINK("https://my.pitchbook.com?i=11191-87", "View Investor Online")</f>
      </c>
    </row>
    <row r="35">
      <c r="A35" s="36" t="inlineStr">
        <is>
          <t>15482-17F</t>
        </is>
      </c>
      <c r="B35" s="37" t="inlineStr">
        <is>
          <t>Ithaca Fund</t>
        </is>
      </c>
      <c r="C35" s="38" t="inlineStr">
        <is>
          <t/>
        </is>
      </c>
      <c r="D35" s="39" t="inlineStr">
        <is>
          <t>Venture Capital</t>
        </is>
      </c>
      <c r="E35" s="40" t="n">
        <v>120.0</v>
      </c>
      <c r="F35" s="41" t="inlineStr">
        <is>
          <t>New York, NY</t>
        </is>
      </c>
      <c r="G35" s="42" t="n">
        <v>2.0</v>
      </c>
      <c r="H35" s="43" t="n">
        <v>2017.0</v>
      </c>
      <c r="I35" s="44" t="n">
        <v>91.98304004815594</v>
      </c>
      <c r="J35" s="45" t="n">
        <v>110.37964805778715</v>
      </c>
      <c r="K35" s="46" t="n">
        <v>38.970461538461535</v>
      </c>
      <c r="L35" s="47" t="n">
        <v>7.780532333333334</v>
      </c>
      <c r="M35" s="48" t="n">
        <v>223.6835338113835</v>
      </c>
      <c r="N35" s="49" t="n">
        <v>17.9</v>
      </c>
      <c r="O35" s="50" t="inlineStr">
        <is>
          <t/>
        </is>
      </c>
      <c r="P35" s="51" t="n">
        <v>4.099999999999998</v>
      </c>
      <c r="Q35" s="52" t="n">
        <v>0.065</v>
      </c>
      <c r="R35" s="53" t="n">
        <v>0.055</v>
      </c>
      <c r="S35" s="54" t="n">
        <v>2.04</v>
      </c>
      <c r="T35" s="55" t="n">
        <v>0.825</v>
      </c>
      <c r="U35" s="56" t="n">
        <v>2.11</v>
      </c>
      <c r="V35" s="57" t="n">
        <v>0.6099999999999999</v>
      </c>
      <c r="W35" s="58" t="inlineStr">
        <is>
          <t/>
        </is>
      </c>
      <c r="X35" s="59" t="inlineStr">
        <is>
          <t>LP Original Commitments</t>
        </is>
      </c>
      <c r="Y35" s="60" t="inlineStr">
        <is>
          <t>2019 Y</t>
        </is>
      </c>
      <c r="Z35" s="61" t="inlineStr">
        <is>
          <t>100M - 249M</t>
        </is>
      </c>
      <c r="AA35" s="62" t="inlineStr">
        <is>
          <t>Scooter Braun Project</t>
        </is>
      </c>
      <c r="AB35" s="63" t="inlineStr">
        <is>
          <t>New York, NY</t>
        </is>
      </c>
      <c r="AC35" s="64" t="inlineStr">
        <is>
          <t/>
        </is>
      </c>
      <c r="AD35" s="65" t="inlineStr">
        <is>
          <t>Seed Round, Early Stage VC, Later Stage VC</t>
        </is>
      </c>
      <c r="AE35" s="66" t="inlineStr">
        <is>
          <t/>
        </is>
      </c>
      <c r="AF35" s="67" t="inlineStr">
        <is>
          <t>LPFA, TRS of Texas</t>
        </is>
      </c>
      <c r="AG35" s="232">
        <f>HYPERLINK("https://my.pitchbook.com?i=121899-25", "View Investor Online")</f>
      </c>
    </row>
    <row r="36">
      <c r="A36" s="69" t="inlineStr">
        <is>
          <t>13818-43F</t>
        </is>
      </c>
      <c r="B36" s="70" t="inlineStr">
        <is>
          <t>Flint Capital Fund</t>
        </is>
      </c>
      <c r="C36" s="71" t="inlineStr">
        <is>
          <t/>
        </is>
      </c>
      <c r="D36" s="72" t="inlineStr">
        <is>
          <t>Venture Capital</t>
        </is>
      </c>
      <c r="E36" s="73" t="n">
        <v>100.0</v>
      </c>
      <c r="F36" s="74" t="inlineStr">
        <is>
          <t>Cambridge, MA</t>
        </is>
      </c>
      <c r="G36" s="75" t="n">
        <v>2.0</v>
      </c>
      <c r="H36" s="76" t="n">
        <v>2013.0</v>
      </c>
      <c r="I36" s="77" t="inlineStr">
        <is>
          <t/>
        </is>
      </c>
      <c r="J36" s="78" t="inlineStr">
        <is>
          <t/>
        </is>
      </c>
      <c r="K36" s="79" t="n">
        <v>30.0</v>
      </c>
      <c r="L36" s="80" t="inlineStr">
        <is>
          <t/>
        </is>
      </c>
      <c r="M36" s="81" t="inlineStr">
        <is>
          <t/>
        </is>
      </c>
      <c r="N36" s="82" t="n">
        <v>19.3</v>
      </c>
      <c r="O36" s="83" t="inlineStr">
        <is>
          <t/>
        </is>
      </c>
      <c r="P36" s="84" t="n">
        <v>14.700000000000001</v>
      </c>
      <c r="Q36" s="85" t="n">
        <v>0.43</v>
      </c>
      <c r="R36" s="86" t="n">
        <v>0.31</v>
      </c>
      <c r="S36" s="87" t="n">
        <v>1.64</v>
      </c>
      <c r="T36" s="88" t="n">
        <v>0.5713699999999999</v>
      </c>
      <c r="U36" s="89" t="n">
        <v>2.07</v>
      </c>
      <c r="V36" s="90" t="n">
        <v>0.8799999999999999</v>
      </c>
      <c r="W36" s="91" t="inlineStr">
        <is>
          <t/>
        </is>
      </c>
      <c r="X36" s="92" t="inlineStr">
        <is>
          <t>GP Self Reporting</t>
        </is>
      </c>
      <c r="Y36" s="93" t="inlineStr">
        <is>
          <t>2020 Y</t>
        </is>
      </c>
      <c r="Z36" s="94" t="inlineStr">
        <is>
          <t>100M - 249M</t>
        </is>
      </c>
      <c r="AA36" s="95" t="inlineStr">
        <is>
          <t>Flint Capital</t>
        </is>
      </c>
      <c r="AB36" s="96" t="inlineStr">
        <is>
          <t>Cambridge, MA</t>
        </is>
      </c>
      <c r="AC36" s="97" t="inlineStr">
        <is>
          <t/>
        </is>
      </c>
      <c r="AD36" s="98" t="inlineStr">
        <is>
          <t>Early Stage VC</t>
        </is>
      </c>
      <c r="AE36" s="99" t="inlineStr">
        <is>
          <t>Eastern Europe, Israel, United States</t>
        </is>
      </c>
      <c r="AF36" s="100" t="inlineStr">
        <is>
          <t>Flint Capital</t>
        </is>
      </c>
      <c r="AG36" s="233">
        <f>HYPERLINK("https://my.pitchbook.com?i=59286-07", "View Investor Online")</f>
      </c>
    </row>
    <row r="37">
      <c r="A37" s="36" t="inlineStr">
        <is>
          <t>15652-81F</t>
        </is>
      </c>
      <c r="B37" s="37" t="inlineStr">
        <is>
          <t>Forerunner Partners III</t>
        </is>
      </c>
      <c r="C37" s="38" t="inlineStr">
        <is>
          <t/>
        </is>
      </c>
      <c r="D37" s="39" t="inlineStr">
        <is>
          <t>Venture Capital - Early Stage</t>
        </is>
      </c>
      <c r="E37" s="40" t="n">
        <v>122.0</v>
      </c>
      <c r="F37" s="41" t="inlineStr">
        <is>
          <t>San Francisco, CA</t>
        </is>
      </c>
      <c r="G37" s="42" t="n">
        <v>1.0</v>
      </c>
      <c r="H37" s="43" t="n">
        <v>2016.0</v>
      </c>
      <c r="I37" s="44" t="n">
        <v>76.91999590163934</v>
      </c>
      <c r="J37" s="45" t="n">
        <v>93.842395</v>
      </c>
      <c r="K37" s="46" t="n">
        <v>28.157605</v>
      </c>
      <c r="L37" s="47" t="n">
        <v>0.0</v>
      </c>
      <c r="M37" s="48" t="n">
        <v>193.68679</v>
      </c>
      <c r="N37" s="49" t="n">
        <v>55.3</v>
      </c>
      <c r="O37" s="50" t="inlineStr">
        <is>
          <t/>
        </is>
      </c>
      <c r="P37" s="51" t="n">
        <v>34.0</v>
      </c>
      <c r="Q37" s="52" t="n">
        <v>0.0</v>
      </c>
      <c r="R37" s="53" t="n">
        <v>0.0</v>
      </c>
      <c r="S37" s="54" t="n">
        <v>2.06</v>
      </c>
      <c r="T37" s="55" t="n">
        <v>0.71</v>
      </c>
      <c r="U37" s="56" t="n">
        <v>2.06</v>
      </c>
      <c r="V37" s="57" t="n">
        <v>0.7</v>
      </c>
      <c r="W37" s="58" t="inlineStr">
        <is>
          <t/>
        </is>
      </c>
      <c r="X37" s="59" t="inlineStr">
        <is>
          <t>GP Self Reporting, LP Original Commitments</t>
        </is>
      </c>
      <c r="Y37" s="60" t="inlineStr">
        <is>
          <t>2019 Y</t>
        </is>
      </c>
      <c r="Z37" s="61" t="inlineStr">
        <is>
          <t>100M - 249M</t>
        </is>
      </c>
      <c r="AA37" s="62" t="inlineStr">
        <is>
          <t>Forerunner Ventures</t>
        </is>
      </c>
      <c r="AB37" s="63" t="inlineStr">
        <is>
          <t>San Francisco, CA</t>
        </is>
      </c>
      <c r="AC37" s="64" t="inlineStr">
        <is>
          <t>Software, Consumer Products and Services (B2C)</t>
        </is>
      </c>
      <c r="AD37" s="65" t="inlineStr">
        <is>
          <t>Seed Round, Early Stage VC</t>
        </is>
      </c>
      <c r="AE37" s="66" t="inlineStr">
        <is>
          <t/>
        </is>
      </c>
      <c r="AF37" s="67" t="inlineStr">
        <is>
          <t>Forerunner, UTIMCO</t>
        </is>
      </c>
      <c r="AG37" s="232">
        <f>HYPERLINK("https://my.pitchbook.com?i=52507-90", "View Investor Online")</f>
      </c>
    </row>
    <row r="38">
      <c r="A38" s="69" t="inlineStr">
        <is>
          <t>13407-94F</t>
        </is>
      </c>
      <c r="B38" s="70" t="inlineStr">
        <is>
          <t>True Ventures III</t>
        </is>
      </c>
      <c r="C38" s="71" t="inlineStr">
        <is>
          <t/>
        </is>
      </c>
      <c r="D38" s="72" t="inlineStr">
        <is>
          <t>Venture Capital</t>
        </is>
      </c>
      <c r="E38" s="73" t="n">
        <v>226.0</v>
      </c>
      <c r="F38" s="74" t="inlineStr">
        <is>
          <t>Palo Alto, CA</t>
        </is>
      </c>
      <c r="G38" s="75" t="n">
        <v>1.0</v>
      </c>
      <c r="H38" s="76" t="n">
        <v>2011.0</v>
      </c>
      <c r="I38" s="77" t="n">
        <v>97.31430088495574</v>
      </c>
      <c r="J38" s="78" t="n">
        <v>219.93032</v>
      </c>
      <c r="K38" s="79" t="n">
        <v>10.604667747826086</v>
      </c>
      <c r="L38" s="80" t="n">
        <v>177.975578</v>
      </c>
      <c r="M38" s="81" t="n">
        <v>273.447281</v>
      </c>
      <c r="N38" s="82" t="n">
        <v>13.45</v>
      </c>
      <c r="O38" s="83" t="inlineStr">
        <is>
          <t/>
        </is>
      </c>
      <c r="P38" s="84" t="n">
        <v>9.85</v>
      </c>
      <c r="Q38" s="85" t="n">
        <v>0.81</v>
      </c>
      <c r="R38" s="86" t="n">
        <v>0.54</v>
      </c>
      <c r="S38" s="87" t="n">
        <v>1.24</v>
      </c>
      <c r="T38" s="88" t="n">
        <v>0.15999999999999992</v>
      </c>
      <c r="U38" s="89" t="n">
        <v>2.05</v>
      </c>
      <c r="V38" s="90" t="n">
        <v>0.8849999999999998</v>
      </c>
      <c r="W38" s="91" t="inlineStr">
        <is>
          <t/>
        </is>
      </c>
      <c r="X38" s="92" t="inlineStr">
        <is>
          <t>GP Self Reporting, LP Original Commitments</t>
        </is>
      </c>
      <c r="Y38" s="93" t="inlineStr">
        <is>
          <t>2019 Y</t>
        </is>
      </c>
      <c r="Z38" s="94" t="inlineStr">
        <is>
          <t>100M - 249M</t>
        </is>
      </c>
      <c r="AA38" s="95" t="inlineStr">
        <is>
          <t>True Ventures</t>
        </is>
      </c>
      <c r="AB38" s="96" t="inlineStr">
        <is>
          <t>Palo Alto, CA</t>
        </is>
      </c>
      <c r="AC38" s="97" t="inlineStr">
        <is>
          <t>Software</t>
        </is>
      </c>
      <c r="AD38" s="98" t="inlineStr">
        <is>
          <t>Early Stage VC</t>
        </is>
      </c>
      <c r="AE38" s="99" t="inlineStr">
        <is>
          <t/>
        </is>
      </c>
      <c r="AF38" s="100" t="inlineStr">
        <is>
          <t>True, UTIMCO</t>
        </is>
      </c>
      <c r="AG38" s="233">
        <f>HYPERLINK("https://my.pitchbook.com?i=11321-29", "View Investor Online")</f>
      </c>
    </row>
    <row r="39">
      <c r="A39" s="36" t="inlineStr">
        <is>
          <t>15065-11F</t>
        </is>
      </c>
      <c r="B39" s="37" t="inlineStr">
        <is>
          <t>True Ventures Select I</t>
        </is>
      </c>
      <c r="C39" s="38" t="inlineStr">
        <is>
          <t/>
        </is>
      </c>
      <c r="D39" s="39" t="inlineStr">
        <is>
          <t>Venture Capital</t>
        </is>
      </c>
      <c r="E39" s="40" t="n">
        <v>102.0</v>
      </c>
      <c r="F39" s="41" t="inlineStr">
        <is>
          <t>Palo Alto, CA</t>
        </is>
      </c>
      <c r="G39" s="42" t="n">
        <v>1.0</v>
      </c>
      <c r="H39" s="43" t="n">
        <v>2015.0</v>
      </c>
      <c r="I39" s="44" t="n">
        <v>100.0</v>
      </c>
      <c r="J39" s="45" t="n">
        <v>102.0</v>
      </c>
      <c r="K39" s="46" t="n">
        <v>24.257414498469373</v>
      </c>
      <c r="L39" s="47" t="n">
        <v>80.785213</v>
      </c>
      <c r="M39" s="48" t="n">
        <v>128.424793</v>
      </c>
      <c r="N39" s="49" t="n">
        <v>26.23</v>
      </c>
      <c r="O39" s="50" t="inlineStr">
        <is>
          <t/>
        </is>
      </c>
      <c r="P39" s="51" t="n">
        <v>16.585</v>
      </c>
      <c r="Q39" s="52" t="n">
        <v>0.79</v>
      </c>
      <c r="R39" s="53" t="n">
        <v>0.785</v>
      </c>
      <c r="S39" s="54" t="n">
        <v>1.26</v>
      </c>
      <c r="T39" s="55" t="n">
        <v>0.07000000000000006</v>
      </c>
      <c r="U39" s="56" t="n">
        <v>2.05</v>
      </c>
      <c r="V39" s="57" t="n">
        <v>0.7549999999999999</v>
      </c>
      <c r="W39" s="58" t="inlineStr">
        <is>
          <t/>
        </is>
      </c>
      <c r="X39" s="59" t="inlineStr">
        <is>
          <t>GP Self Reporting, LP Original Commitments</t>
        </is>
      </c>
      <c r="Y39" s="60" t="inlineStr">
        <is>
          <t>2019 Y</t>
        </is>
      </c>
      <c r="Z39" s="61" t="inlineStr">
        <is>
          <t>100M - 249M</t>
        </is>
      </c>
      <c r="AA39" s="62" t="inlineStr">
        <is>
          <t>True Ventures</t>
        </is>
      </c>
      <c r="AB39" s="63" t="inlineStr">
        <is>
          <t>Palo Alto, CA</t>
        </is>
      </c>
      <c r="AC39" s="64" t="inlineStr">
        <is>
          <t>Software</t>
        </is>
      </c>
      <c r="AD39" s="65" t="inlineStr">
        <is>
          <t>Seed Round, Early Stage VC, Later Stage VC</t>
        </is>
      </c>
      <c r="AE39" s="66" t="inlineStr">
        <is>
          <t/>
        </is>
      </c>
      <c r="AF39" s="67" t="inlineStr">
        <is>
          <t>True, UTIMCO</t>
        </is>
      </c>
      <c r="AG39" s="232">
        <f>HYPERLINK("https://my.pitchbook.com?i=11321-29", "View Investor Online")</f>
      </c>
    </row>
    <row r="40">
      <c r="A40" s="69" t="inlineStr">
        <is>
          <t>14402-44F</t>
        </is>
      </c>
      <c r="B40" s="70" t="inlineStr">
        <is>
          <t>Forbion Capital Fund III</t>
        </is>
      </c>
      <c r="C40" s="71" t="inlineStr">
        <is>
          <t/>
        </is>
      </c>
      <c r="D40" s="72" t="inlineStr">
        <is>
          <t>Venture Capital</t>
        </is>
      </c>
      <c r="E40" s="73" t="n">
        <v>168.6121</v>
      </c>
      <c r="F40" s="74" t="inlineStr">
        <is>
          <t>Naarden, Netherlands</t>
        </is>
      </c>
      <c r="G40" s="75" t="inlineStr">
        <is>
          <t/>
        </is>
      </c>
      <c r="H40" s="76" t="n">
        <v>2015.0</v>
      </c>
      <c r="I40" s="77" t="n">
        <v>78.68852459016394</v>
      </c>
      <c r="J40" s="78" t="n">
        <v>132.67837015507942</v>
      </c>
      <c r="K40" s="79" t="n">
        <v>52.08706456565159</v>
      </c>
      <c r="L40" s="80" t="n">
        <v>60.8109196544114</v>
      </c>
      <c r="M40" s="81" t="n">
        <v>206.38857579679024</v>
      </c>
      <c r="N40" s="82" t="n">
        <v>45.0</v>
      </c>
      <c r="O40" s="83" t="inlineStr">
        <is>
          <t/>
        </is>
      </c>
      <c r="P40" s="84" t="inlineStr">
        <is>
          <t/>
        </is>
      </c>
      <c r="Q40" s="85" t="n">
        <v>0.458333333</v>
      </c>
      <c r="R40" s="86" t="n">
        <v>0.22333333300000002</v>
      </c>
      <c r="S40" s="87" t="n">
        <v>1.555555556</v>
      </c>
      <c r="T40" s="88" t="n">
        <v>0.4805555560000001</v>
      </c>
      <c r="U40" s="89" t="n">
        <v>2.02</v>
      </c>
      <c r="V40" s="90" t="n">
        <v>0.8200000000000001</v>
      </c>
      <c r="W40" s="91" t="inlineStr">
        <is>
          <t/>
        </is>
      </c>
      <c r="X40" s="92" t="inlineStr">
        <is>
          <t>GP Self Reporting, LP Original Commitments</t>
        </is>
      </c>
      <c r="Y40" s="93" t="inlineStr">
        <is>
          <t>2019 Y</t>
        </is>
      </c>
      <c r="Z40" s="94" t="inlineStr">
        <is>
          <t>100M - 249M</t>
        </is>
      </c>
      <c r="AA40" s="95" t="inlineStr">
        <is>
          <t>Forbion</t>
        </is>
      </c>
      <c r="AB40" s="96" t="inlineStr">
        <is>
          <t>Naarden, Netherlands</t>
        </is>
      </c>
      <c r="AC40" s="97" t="inlineStr">
        <is>
          <t>Pharmaceuticals and Biotechnology</t>
        </is>
      </c>
      <c r="AD40" s="98" t="inlineStr">
        <is>
          <t>Seed Round, Early Stage VC, Later Stage VC</t>
        </is>
      </c>
      <c r="AE40" s="99" t="inlineStr">
        <is>
          <t>Canada, Europe, United States</t>
        </is>
      </c>
      <c r="AF40" s="100" t="inlineStr">
        <is>
          <t>Forbion Capital Partners, KLP</t>
        </is>
      </c>
      <c r="AG40" s="233">
        <f>HYPERLINK("https://my.pitchbook.com?i=10346-14", "View Investor Online")</f>
      </c>
    </row>
    <row r="41">
      <c r="A41" s="36" t="inlineStr">
        <is>
          <t>16162-03F</t>
        </is>
      </c>
      <c r="B41" s="37" t="inlineStr">
        <is>
          <t>New Science Ventures 2014A</t>
        </is>
      </c>
      <c r="C41" s="38" t="inlineStr">
        <is>
          <t/>
        </is>
      </c>
      <c r="D41" s="39" t="inlineStr">
        <is>
          <t>Venture Capital</t>
        </is>
      </c>
      <c r="E41" s="40" t="n">
        <v>117.0</v>
      </c>
      <c r="F41" s="41" t="inlineStr">
        <is>
          <t>New York, NY</t>
        </is>
      </c>
      <c r="G41" s="42" t="n">
        <v>2.0</v>
      </c>
      <c r="H41" s="43" t="n">
        <v>2014.0</v>
      </c>
      <c r="I41" s="44" t="n">
        <v>100.0</v>
      </c>
      <c r="J41" s="45" t="n">
        <v>117.0</v>
      </c>
      <c r="K41" s="46" t="n">
        <v>0.2925</v>
      </c>
      <c r="L41" s="47" t="n">
        <v>9.861015121256655</v>
      </c>
      <c r="M41" s="48" t="n">
        <v>227.17215775739243</v>
      </c>
      <c r="N41" s="49" t="n">
        <v>40.05378664</v>
      </c>
      <c r="O41" s="50" t="inlineStr">
        <is>
          <t/>
        </is>
      </c>
      <c r="P41" s="51" t="n">
        <v>18.67378664</v>
      </c>
      <c r="Q41" s="52" t="n">
        <v>0.084282181</v>
      </c>
      <c r="R41" s="53" t="n">
        <v>0.084282181</v>
      </c>
      <c r="S41" s="54" t="n">
        <v>1.941642374</v>
      </c>
      <c r="T41" s="55" t="n">
        <v>0.701642374</v>
      </c>
      <c r="U41" s="56" t="n">
        <v>2.02</v>
      </c>
      <c r="V41" s="57" t="n">
        <v>0.43500000000000005</v>
      </c>
      <c r="W41" s="58" t="inlineStr">
        <is>
          <t/>
        </is>
      </c>
      <c r="X41" s="59" t="inlineStr">
        <is>
          <t>GP Self Reporting</t>
        </is>
      </c>
      <c r="Y41" s="60" t="inlineStr">
        <is>
          <t>2018 Y</t>
        </is>
      </c>
      <c r="Z41" s="61" t="inlineStr">
        <is>
          <t>100M - 249M</t>
        </is>
      </c>
      <c r="AA41" s="62" t="inlineStr">
        <is>
          <t>New Science Ventures</t>
        </is>
      </c>
      <c r="AB41" s="63" t="inlineStr">
        <is>
          <t>New York, NY</t>
        </is>
      </c>
      <c r="AC41" s="64" t="inlineStr">
        <is>
          <t/>
        </is>
      </c>
      <c r="AD41" s="65" t="inlineStr">
        <is>
          <t>Seed Round, Early Stage VC, Later Stage VC</t>
        </is>
      </c>
      <c r="AE41" s="66" t="inlineStr">
        <is>
          <t/>
        </is>
      </c>
      <c r="AF41" s="67" t="inlineStr">
        <is>
          <t>NSV</t>
        </is>
      </c>
      <c r="AG41" s="232">
        <f>HYPERLINK("https://my.pitchbook.com?i=11252-98", "View Investor Online")</f>
      </c>
    </row>
    <row r="42">
      <c r="A42" s="69" t="inlineStr">
        <is>
          <t>15451-75F</t>
        </is>
      </c>
      <c r="B42" s="70" t="inlineStr">
        <is>
          <t>General Catalyst Group VIII Supplemental</t>
        </is>
      </c>
      <c r="C42" s="71" t="inlineStr">
        <is>
          <t/>
        </is>
      </c>
      <c r="D42" s="72" t="inlineStr">
        <is>
          <t>Venture Capital</t>
        </is>
      </c>
      <c r="E42" s="73" t="n">
        <v>165.0</v>
      </c>
      <c r="F42" s="74" t="inlineStr">
        <is>
          <t>Cambridge, MA</t>
        </is>
      </c>
      <c r="G42" s="75" t="inlineStr">
        <is>
          <t/>
        </is>
      </c>
      <c r="H42" s="76" t="n">
        <v>2016.0</v>
      </c>
      <c r="I42" s="77" t="n">
        <v>97.5</v>
      </c>
      <c r="J42" s="78" t="n">
        <v>160.875</v>
      </c>
      <c r="K42" s="79" t="n">
        <v>52.329472800000005</v>
      </c>
      <c r="L42" s="80" t="n">
        <v>0.0</v>
      </c>
      <c r="M42" s="81" t="n">
        <v>321.21342</v>
      </c>
      <c r="N42" s="82" t="inlineStr">
        <is>
          <t/>
        </is>
      </c>
      <c r="O42" s="83" t="inlineStr">
        <is>
          <t/>
        </is>
      </c>
      <c r="P42" s="84" t="inlineStr">
        <is>
          <t/>
        </is>
      </c>
      <c r="Q42" s="85" t="n">
        <v>0.0</v>
      </c>
      <c r="R42" s="86" t="n">
        <v>-0.02852</v>
      </c>
      <c r="S42" s="87" t="n">
        <v>2.0</v>
      </c>
      <c r="T42" s="88" t="n">
        <v>0.885</v>
      </c>
      <c r="U42" s="89" t="n">
        <v>2.0</v>
      </c>
      <c r="V42" s="90" t="n">
        <v>0.74</v>
      </c>
      <c r="W42" s="91" t="inlineStr">
        <is>
          <t/>
        </is>
      </c>
      <c r="X42" s="92" t="inlineStr">
        <is>
          <t>LP Original Commitments</t>
        </is>
      </c>
      <c r="Y42" s="93" t="inlineStr">
        <is>
          <t>2019 Y</t>
        </is>
      </c>
      <c r="Z42" s="94" t="inlineStr">
        <is>
          <t>100M - 249M</t>
        </is>
      </c>
      <c r="AA42" s="95" t="inlineStr">
        <is>
          <t>General Catalyst</t>
        </is>
      </c>
      <c r="AB42" s="96" t="inlineStr">
        <is>
          <t>Cambridge, MA</t>
        </is>
      </c>
      <c r="AC42" s="97" t="inlineStr">
        <is>
          <t>Software</t>
        </is>
      </c>
      <c r="AD42" s="98" t="inlineStr">
        <is>
          <t>Seed Round, Early Stage VC, Later Stage VC</t>
        </is>
      </c>
      <c r="AE42" s="99" t="inlineStr">
        <is>
          <t/>
        </is>
      </c>
      <c r="AF42" s="100" t="inlineStr">
        <is>
          <t>Industriens Pensionsforsikring, STRS Ohio</t>
        </is>
      </c>
      <c r="AG42" s="233">
        <f>HYPERLINK("https://my.pitchbook.com?i=10123-03", "View Investor Online")</f>
      </c>
    </row>
    <row r="43">
      <c r="A43" s="36" t="inlineStr">
        <is>
          <t>15467-05F</t>
        </is>
      </c>
      <c r="B43" s="37" t="inlineStr">
        <is>
          <t>Mayfield Select</t>
        </is>
      </c>
      <c r="C43" s="38" t="inlineStr">
        <is>
          <t/>
        </is>
      </c>
      <c r="D43" s="39" t="inlineStr">
        <is>
          <t>Venture Capital</t>
        </is>
      </c>
      <c r="E43" s="40" t="n">
        <v>125.0</v>
      </c>
      <c r="F43" s="41" t="inlineStr">
        <is>
          <t>Menlo Park, CA</t>
        </is>
      </c>
      <c r="G43" s="42" t="inlineStr">
        <is>
          <t/>
        </is>
      </c>
      <c r="H43" s="43" t="n">
        <v>2016.0</v>
      </c>
      <c r="I43" s="44" t="n">
        <v>58.4</v>
      </c>
      <c r="J43" s="45" t="n">
        <v>73.0</v>
      </c>
      <c r="K43" s="46" t="n">
        <v>52.0</v>
      </c>
      <c r="L43" s="47" t="n">
        <v>0.0</v>
      </c>
      <c r="M43" s="48" t="n">
        <v>146.0</v>
      </c>
      <c r="N43" s="49" t="inlineStr">
        <is>
          <t/>
        </is>
      </c>
      <c r="O43" s="50" t="inlineStr">
        <is>
          <t/>
        </is>
      </c>
      <c r="P43" s="51" t="inlineStr">
        <is>
          <t/>
        </is>
      </c>
      <c r="Q43" s="52" t="n">
        <v>0.0</v>
      </c>
      <c r="R43" s="53" t="n">
        <v>-0.02852</v>
      </c>
      <c r="S43" s="54" t="n">
        <v>2.0</v>
      </c>
      <c r="T43" s="55" t="n">
        <v>0.885</v>
      </c>
      <c r="U43" s="56" t="n">
        <v>2.0</v>
      </c>
      <c r="V43" s="57" t="n">
        <v>0.74</v>
      </c>
      <c r="W43" s="58" t="inlineStr">
        <is>
          <t/>
        </is>
      </c>
      <c r="X43" s="59" t="inlineStr">
        <is>
          <t>LP Original Commitments</t>
        </is>
      </c>
      <c r="Y43" s="60" t="inlineStr">
        <is>
          <t>2020 Y</t>
        </is>
      </c>
      <c r="Z43" s="61" t="inlineStr">
        <is>
          <t>100M - 249M</t>
        </is>
      </c>
      <c r="AA43" s="62" t="inlineStr">
        <is>
          <t>Mayfield Fund</t>
        </is>
      </c>
      <c r="AB43" s="63" t="inlineStr">
        <is>
          <t>Menlo Park, CA</t>
        </is>
      </c>
      <c r="AC43" s="64" t="inlineStr">
        <is>
          <t>Software</t>
        </is>
      </c>
      <c r="AD43" s="65" t="inlineStr">
        <is>
          <t>Later Stage VC</t>
        </is>
      </c>
      <c r="AE43" s="66" t="inlineStr">
        <is>
          <t/>
        </is>
      </c>
      <c r="AF43" s="67" t="inlineStr">
        <is>
          <t>PERS</t>
        </is>
      </c>
      <c r="AG43" s="232">
        <f>HYPERLINK("https://my.pitchbook.com?i=11237-95", "View Investor Online")</f>
      </c>
    </row>
    <row r="44">
      <c r="A44" s="69" t="inlineStr">
        <is>
          <t>14471-20F</t>
        </is>
      </c>
      <c r="B44" s="70" t="inlineStr">
        <is>
          <t>Biomark Capital Fund I</t>
        </is>
      </c>
      <c r="C44" s="71" t="inlineStr">
        <is>
          <t>Burrill Capital Fund IV</t>
        </is>
      </c>
      <c r="D44" s="72" t="inlineStr">
        <is>
          <t>Venture Capital</t>
        </is>
      </c>
      <c r="E44" s="73" t="n">
        <v>190.6</v>
      </c>
      <c r="F44" s="74" t="inlineStr">
        <is>
          <t>Greenwich, CT</t>
        </is>
      </c>
      <c r="G44" s="75" t="n">
        <v>1.0</v>
      </c>
      <c r="H44" s="76" t="n">
        <v>2012.0</v>
      </c>
      <c r="I44" s="77" t="n">
        <v>100.0</v>
      </c>
      <c r="J44" s="78" t="n">
        <v>190.60000000000002</v>
      </c>
      <c r="K44" s="79" t="n">
        <v>16.51590932</v>
      </c>
      <c r="L44" s="80" t="n">
        <v>205.8</v>
      </c>
      <c r="M44" s="81" t="n">
        <v>173.2</v>
      </c>
      <c r="N44" s="82" t="n">
        <v>17.3</v>
      </c>
      <c r="O44" s="83" t="inlineStr">
        <is>
          <t/>
        </is>
      </c>
      <c r="P44" s="84" t="n">
        <v>5.190000000000001</v>
      </c>
      <c r="Q44" s="85" t="n">
        <v>1.08</v>
      </c>
      <c r="R44" s="86" t="n">
        <v>0.9650000000000001</v>
      </c>
      <c r="S44" s="87" t="n">
        <v>0.909</v>
      </c>
      <c r="T44" s="88" t="n">
        <v>0.02950000000000008</v>
      </c>
      <c r="U44" s="89" t="n">
        <v>1.9900000000000002</v>
      </c>
      <c r="V44" s="90" t="n">
        <v>1.0500000000000003</v>
      </c>
      <c r="W44" s="91" t="inlineStr">
        <is>
          <t/>
        </is>
      </c>
      <c r="X44" s="92" t="inlineStr">
        <is>
          <t>GP Self Reporting</t>
        </is>
      </c>
      <c r="Y44" s="93" t="inlineStr">
        <is>
          <t>2018 Y</t>
        </is>
      </c>
      <c r="Z44" s="94" t="inlineStr">
        <is>
          <t>100M - 249M</t>
        </is>
      </c>
      <c r="AA44" s="95" t="inlineStr">
        <is>
          <t>Biomark Capital</t>
        </is>
      </c>
      <c r="AB44" s="96" t="inlineStr">
        <is>
          <t>Greenwich, CT</t>
        </is>
      </c>
      <c r="AC44" s="97" t="inlineStr">
        <is>
          <t>Healthcare Devices and Supplies, Pharmaceuticals and Biotechnology, Software</t>
        </is>
      </c>
      <c r="AD44" s="98" t="inlineStr">
        <is>
          <t>Seed Round, Early Stage VC, Later Stage VC</t>
        </is>
      </c>
      <c r="AE44" s="99" t="inlineStr">
        <is>
          <t>Asia, North America</t>
        </is>
      </c>
      <c r="AF44" s="100" t="inlineStr">
        <is>
          <t>Biomark Capital</t>
        </is>
      </c>
      <c r="AG44" s="233">
        <f>HYPERLINK("https://my.pitchbook.com?i=60865-39", "View Investor Online")</f>
      </c>
    </row>
    <row r="45">
      <c r="A45" s="36" t="inlineStr">
        <is>
          <t>13834-27F</t>
        </is>
      </c>
      <c r="B45" s="37" t="inlineStr">
        <is>
          <t>FirstMark Capital III</t>
        </is>
      </c>
      <c r="C45" s="38" t="inlineStr">
        <is>
          <t/>
        </is>
      </c>
      <c r="D45" s="39" t="inlineStr">
        <is>
          <t>Venture Capital</t>
        </is>
      </c>
      <c r="E45" s="40" t="n">
        <v>225.575</v>
      </c>
      <c r="F45" s="41" t="inlineStr">
        <is>
          <t>New York, NY</t>
        </is>
      </c>
      <c r="G45" s="42" t="inlineStr">
        <is>
          <t/>
        </is>
      </c>
      <c r="H45" s="43" t="n">
        <v>2013.0</v>
      </c>
      <c r="I45" s="44" t="n">
        <v>98.00000000000001</v>
      </c>
      <c r="J45" s="45" t="n">
        <v>221.06350000000003</v>
      </c>
      <c r="K45" s="46" t="n">
        <v>4.5115</v>
      </c>
      <c r="L45" s="47" t="n">
        <v>6.4052923549999985</v>
      </c>
      <c r="M45" s="48" t="n">
        <v>433.22711883499994</v>
      </c>
      <c r="N45" s="49" t="inlineStr">
        <is>
          <t/>
        </is>
      </c>
      <c r="O45" s="50" t="inlineStr">
        <is>
          <t/>
        </is>
      </c>
      <c r="P45" s="51" t="inlineStr">
        <is>
          <t/>
        </is>
      </c>
      <c r="Q45" s="52" t="n">
        <v>0.03</v>
      </c>
      <c r="R45" s="53" t="n">
        <v>-0.09</v>
      </c>
      <c r="S45" s="54" t="n">
        <v>1.96</v>
      </c>
      <c r="T45" s="55" t="n">
        <v>0.89137</v>
      </c>
      <c r="U45" s="56" t="n">
        <v>1.99</v>
      </c>
      <c r="V45" s="57" t="n">
        <v>0.8</v>
      </c>
      <c r="W45" s="58" t="inlineStr">
        <is>
          <t/>
        </is>
      </c>
      <c r="X45" s="59" t="inlineStr">
        <is>
          <t>LP Original Commitments</t>
        </is>
      </c>
      <c r="Y45" s="60" t="inlineStr">
        <is>
          <t>2020 Y</t>
        </is>
      </c>
      <c r="Z45" s="61" t="inlineStr">
        <is>
          <t>100M - 249M</t>
        </is>
      </c>
      <c r="AA45" s="62" t="inlineStr">
        <is>
          <t>FirstMark Capital</t>
        </is>
      </c>
      <c r="AB45" s="63" t="inlineStr">
        <is>
          <t>New York, NY</t>
        </is>
      </c>
      <c r="AC45" s="64" t="inlineStr">
        <is>
          <t>Software</t>
        </is>
      </c>
      <c r="AD45" s="65" t="inlineStr">
        <is>
          <t>Early Stage VC</t>
        </is>
      </c>
      <c r="AE45" s="66" t="inlineStr">
        <is>
          <t/>
        </is>
      </c>
      <c r="AF45" s="67" t="inlineStr">
        <is>
          <t>OPPRS</t>
        </is>
      </c>
      <c r="AG45" s="232">
        <f>HYPERLINK("https://my.pitchbook.com?i=11270-53", "View Investor Online")</f>
      </c>
    </row>
    <row r="46">
      <c r="A46" s="69" t="inlineStr">
        <is>
          <t>13344-67F</t>
        </is>
      </c>
      <c r="B46" s="70" t="inlineStr">
        <is>
          <t>LC Fund V</t>
        </is>
      </c>
      <c r="C46" s="71" t="inlineStr">
        <is>
          <t/>
        </is>
      </c>
      <c r="D46" s="72" t="inlineStr">
        <is>
          <t>Venture Capital</t>
        </is>
      </c>
      <c r="E46" s="73" t="n">
        <v>215.0</v>
      </c>
      <c r="F46" s="74" t="inlineStr">
        <is>
          <t>Paris, France</t>
        </is>
      </c>
      <c r="G46" s="75" t="n">
        <v>2.0</v>
      </c>
      <c r="H46" s="76" t="n">
        <v>2011.0</v>
      </c>
      <c r="I46" s="77" t="n">
        <v>99.99999497500013</v>
      </c>
      <c r="J46" s="78" t="n">
        <v>214.99998919625028</v>
      </c>
      <c r="K46" s="79" t="n">
        <v>0.0</v>
      </c>
      <c r="L46" s="80" t="n">
        <v>176.2713331856821</v>
      </c>
      <c r="M46" s="81" t="n">
        <v>244.908000461496</v>
      </c>
      <c r="N46" s="82" t="n">
        <v>13.725</v>
      </c>
      <c r="O46" s="83" t="inlineStr">
        <is>
          <t/>
        </is>
      </c>
      <c r="P46" s="84" t="n">
        <v>0.0</v>
      </c>
      <c r="Q46" s="85" t="n">
        <v>0.8200000000000001</v>
      </c>
      <c r="R46" s="86" t="n">
        <v>0.1090000000000001</v>
      </c>
      <c r="S46" s="87" t="n">
        <v>1.135</v>
      </c>
      <c r="T46" s="88" t="n">
        <v>-0.11499999999999999</v>
      </c>
      <c r="U46" s="89" t="n">
        <v>1.96</v>
      </c>
      <c r="V46" s="90" t="n">
        <v>0.0</v>
      </c>
      <c r="W46" s="91" t="inlineStr">
        <is>
          <t/>
        </is>
      </c>
      <c r="X46" s="92" t="inlineStr">
        <is>
          <t>LP Original Commitments</t>
        </is>
      </c>
      <c r="Y46" s="93" t="inlineStr">
        <is>
          <t>2019 Y</t>
        </is>
      </c>
      <c r="Z46" s="94" t="inlineStr">
        <is>
          <t>100M - 249M</t>
        </is>
      </c>
      <c r="AA46" s="95" t="inlineStr">
        <is>
          <t>LC Capital</t>
        </is>
      </c>
      <c r="AB46" s="96" t="inlineStr">
        <is>
          <t>Paris, France</t>
        </is>
      </c>
      <c r="AC46" s="97" t="inlineStr">
        <is>
          <t/>
        </is>
      </c>
      <c r="AD46" s="98" t="inlineStr">
        <is>
          <t>Seed Round, Early Stage VC, Later Stage VC</t>
        </is>
      </c>
      <c r="AE46" s="99" t="inlineStr">
        <is>
          <t/>
        </is>
      </c>
      <c r="AF46" s="100" t="inlineStr">
        <is>
          <t>CalPERS, TCDRS</t>
        </is>
      </c>
      <c r="AG46" s="233">
        <f>HYPERLINK("https://my.pitchbook.com?i=11161-54", "View Investor Online")</f>
      </c>
    </row>
    <row r="47">
      <c r="A47" s="36" t="inlineStr">
        <is>
          <t>15156-46F</t>
        </is>
      </c>
      <c r="B47" s="37" t="inlineStr">
        <is>
          <t>TLV Partners</t>
        </is>
      </c>
      <c r="C47" s="38" t="inlineStr">
        <is>
          <t/>
        </is>
      </c>
      <c r="D47" s="39" t="inlineStr">
        <is>
          <t>Venture Capital - Early Stage</t>
        </is>
      </c>
      <c r="E47" s="40" t="n">
        <v>115.0</v>
      </c>
      <c r="F47" s="41" t="inlineStr">
        <is>
          <t>Tel Aviv-Yafo, Israel</t>
        </is>
      </c>
      <c r="G47" s="42" t="inlineStr">
        <is>
          <t/>
        </is>
      </c>
      <c r="H47" s="43" t="n">
        <v>2016.0</v>
      </c>
      <c r="I47" s="44" t="n">
        <v>80.17114</v>
      </c>
      <c r="J47" s="45" t="n">
        <v>92.196811</v>
      </c>
      <c r="K47" s="46" t="n">
        <v>22.803188999999996</v>
      </c>
      <c r="L47" s="47" t="n">
        <v>7.20840907</v>
      </c>
      <c r="M47" s="48" t="n">
        <v>169.073023</v>
      </c>
      <c r="N47" s="49" t="n">
        <v>32.18</v>
      </c>
      <c r="O47" s="50" t="inlineStr">
        <is>
          <t/>
        </is>
      </c>
      <c r="P47" s="51" t="inlineStr">
        <is>
          <t/>
        </is>
      </c>
      <c r="Q47" s="52" t="n">
        <v>0.08</v>
      </c>
      <c r="R47" s="53" t="inlineStr">
        <is>
          <t/>
        </is>
      </c>
      <c r="S47" s="54" t="n">
        <v>1.83</v>
      </c>
      <c r="T47" s="55" t="inlineStr">
        <is>
          <t/>
        </is>
      </c>
      <c r="U47" s="56" t="n">
        <v>1.9100000000000001</v>
      </c>
      <c r="V47" s="57" t="inlineStr">
        <is>
          <t/>
        </is>
      </c>
      <c r="W47" s="58" t="inlineStr">
        <is>
          <t/>
        </is>
      </c>
      <c r="X47" s="59" t="inlineStr">
        <is>
          <t>LP Original Commitments</t>
        </is>
      </c>
      <c r="Y47" s="60" t="inlineStr">
        <is>
          <t>2019 Y</t>
        </is>
      </c>
      <c r="Z47" s="61" t="inlineStr">
        <is>
          <t>100M - 249M</t>
        </is>
      </c>
      <c r="AA47" s="62" t="inlineStr">
        <is>
          <t>TLV Partners</t>
        </is>
      </c>
      <c r="AB47" s="63" t="inlineStr">
        <is>
          <t>Tel Aviv-Yafo, Israel</t>
        </is>
      </c>
      <c r="AC47" s="64" t="inlineStr">
        <is>
          <t>Financial Software</t>
        </is>
      </c>
      <c r="AD47" s="65" t="inlineStr">
        <is>
          <t>Early Stage VC</t>
        </is>
      </c>
      <c r="AE47" s="66" t="inlineStr">
        <is>
          <t/>
        </is>
      </c>
      <c r="AF47" s="67" t="inlineStr">
        <is>
          <t>UTIMCO</t>
        </is>
      </c>
      <c r="AG47" s="232">
        <f>HYPERLINK("https://my.pitchbook.com?i=120589-93", "View Investor Online")</f>
      </c>
    </row>
    <row r="48">
      <c r="A48" s="69" t="inlineStr">
        <is>
          <t>13713-22F</t>
        </is>
      </c>
      <c r="B48" s="70" t="inlineStr">
        <is>
          <t>Mayfield India II</t>
        </is>
      </c>
      <c r="C48" s="71" t="inlineStr">
        <is>
          <t>Mayfeld India II</t>
        </is>
      </c>
      <c r="D48" s="72" t="inlineStr">
        <is>
          <t>Venture Capital</t>
        </is>
      </c>
      <c r="E48" s="73" t="n">
        <v>108.1</v>
      </c>
      <c r="F48" s="74" t="inlineStr">
        <is>
          <t>Mumbai, India</t>
        </is>
      </c>
      <c r="G48" s="75" t="inlineStr">
        <is>
          <t/>
        </is>
      </c>
      <c r="H48" s="76" t="n">
        <v>2014.0</v>
      </c>
      <c r="I48" s="77" t="n">
        <v>68.99999688450009</v>
      </c>
      <c r="J48" s="78" t="n">
        <v>74.58899663214459</v>
      </c>
      <c r="K48" s="79" t="n">
        <v>38.916003911057906</v>
      </c>
      <c r="L48" s="80" t="n">
        <v>0.0</v>
      </c>
      <c r="M48" s="81" t="n">
        <v>141.95292217310342</v>
      </c>
      <c r="N48" s="82" t="n">
        <v>24.1</v>
      </c>
      <c r="O48" s="83" t="inlineStr">
        <is>
          <t/>
        </is>
      </c>
      <c r="P48" s="84" t="inlineStr">
        <is>
          <t/>
        </is>
      </c>
      <c r="Q48" s="85" t="n">
        <v>0.0</v>
      </c>
      <c r="R48" s="86" t="inlineStr">
        <is>
          <t/>
        </is>
      </c>
      <c r="S48" s="87" t="n">
        <v>1.9</v>
      </c>
      <c r="T48" s="88" t="inlineStr">
        <is>
          <t/>
        </is>
      </c>
      <c r="U48" s="89" t="n">
        <v>1.9</v>
      </c>
      <c r="V48" s="90" t="inlineStr">
        <is>
          <t/>
        </is>
      </c>
      <c r="W48" s="91" t="inlineStr">
        <is>
          <t/>
        </is>
      </c>
      <c r="X48" s="92" t="inlineStr">
        <is>
          <t>LP Original Commitments</t>
        </is>
      </c>
      <c r="Y48" s="93" t="inlineStr">
        <is>
          <t>2019 Y</t>
        </is>
      </c>
      <c r="Z48" s="94" t="inlineStr">
        <is>
          <t>100M - 249M</t>
        </is>
      </c>
      <c r="AA48" s="95" t="inlineStr">
        <is>
          <t>Mayfield Fund</t>
        </is>
      </c>
      <c r="AB48" s="96" t="inlineStr">
        <is>
          <t>Menlo Park, CA</t>
        </is>
      </c>
      <c r="AC48" s="97" t="inlineStr">
        <is>
          <t>Media, Software</t>
        </is>
      </c>
      <c r="AD48" s="98" t="inlineStr">
        <is>
          <t>Early Stage VC</t>
        </is>
      </c>
      <c r="AE48" s="99" t="inlineStr">
        <is>
          <t>India</t>
        </is>
      </c>
      <c r="AF48" s="100" t="inlineStr">
        <is>
          <t>CalPERS, Industriens Pensionsforsikring</t>
        </is>
      </c>
      <c r="AG48" s="233">
        <f>HYPERLINK("https://my.pitchbook.com?i=11237-95", "View Investor Online")</f>
      </c>
    </row>
    <row r="49">
      <c r="A49" s="36" t="inlineStr">
        <is>
          <t>13340-53F</t>
        </is>
      </c>
      <c r="B49" s="37" t="inlineStr">
        <is>
          <t>RRE Ventures V</t>
        </is>
      </c>
      <c r="C49" s="38" t="inlineStr">
        <is>
          <t/>
        </is>
      </c>
      <c r="D49" s="39" t="inlineStr">
        <is>
          <t>Venture Capital</t>
        </is>
      </c>
      <c r="E49" s="40" t="n">
        <v>230.0</v>
      </c>
      <c r="F49" s="41" t="inlineStr">
        <is>
          <t>New York, NY</t>
        </is>
      </c>
      <c r="G49" s="42" t="n">
        <v>1.0</v>
      </c>
      <c r="H49" s="43" t="n">
        <v>2011.0</v>
      </c>
      <c r="I49" s="44" t="n">
        <v>93.30103739130435</v>
      </c>
      <c r="J49" s="45" t="n">
        <v>214.592386</v>
      </c>
      <c r="K49" s="46" t="n">
        <v>15.407614</v>
      </c>
      <c r="L49" s="47" t="n">
        <v>137.498917</v>
      </c>
      <c r="M49" s="48" t="n">
        <v>262.934444</v>
      </c>
      <c r="N49" s="49" t="n">
        <v>15.3</v>
      </c>
      <c r="O49" s="50" t="inlineStr">
        <is>
          <t/>
        </is>
      </c>
      <c r="P49" s="51" t="n">
        <v>11.700000000000001</v>
      </c>
      <c r="Q49" s="52" t="n">
        <v>0.640744621</v>
      </c>
      <c r="R49" s="53" t="n">
        <v>0.37074462099999994</v>
      </c>
      <c r="S49" s="54" t="n">
        <v>1.225273873</v>
      </c>
      <c r="T49" s="55" t="n">
        <v>0.14527387299999983</v>
      </c>
      <c r="U49" s="56" t="n">
        <v>1.87</v>
      </c>
      <c r="V49" s="57" t="n">
        <v>0.7050000000000001</v>
      </c>
      <c r="W49" s="58" t="inlineStr">
        <is>
          <t/>
        </is>
      </c>
      <c r="X49" s="59" t="inlineStr">
        <is>
          <t>GP Self Reporting</t>
        </is>
      </c>
      <c r="Y49" s="60" t="inlineStr">
        <is>
          <t>2020 Y</t>
        </is>
      </c>
      <c r="Z49" s="61" t="inlineStr">
        <is>
          <t>100M - 249M</t>
        </is>
      </c>
      <c r="AA49" s="62" t="inlineStr">
        <is>
          <t>RRE Ventures</t>
        </is>
      </c>
      <c r="AB49" s="63" t="inlineStr">
        <is>
          <t>New York, NY</t>
        </is>
      </c>
      <c r="AC49" s="64" t="inlineStr">
        <is>
          <t>Software</t>
        </is>
      </c>
      <c r="AD49" s="65" t="inlineStr">
        <is>
          <t>Seed Round, Early Stage VC, Later Stage VC</t>
        </is>
      </c>
      <c r="AE49" s="66" t="inlineStr">
        <is>
          <t/>
        </is>
      </c>
      <c r="AF49" s="67" t="inlineStr">
        <is>
          <t>RRE</t>
        </is>
      </c>
      <c r="AG49" s="232">
        <f>HYPERLINK("https://my.pitchbook.com?i=11290-51", "View Investor Online")</f>
      </c>
    </row>
    <row r="50">
      <c r="A50" s="69" t="inlineStr">
        <is>
          <t>15991-66F</t>
        </is>
      </c>
      <c r="B50" s="70" t="inlineStr">
        <is>
          <t>Ponoi Capital</t>
        </is>
      </c>
      <c r="C50" s="71" t="inlineStr">
        <is>
          <t/>
        </is>
      </c>
      <c r="D50" s="72" t="inlineStr">
        <is>
          <t>Venture Capital</t>
        </is>
      </c>
      <c r="E50" s="73" t="n">
        <v>150.0</v>
      </c>
      <c r="F50" s="74" t="inlineStr">
        <is>
          <t>San Francisco, CA</t>
        </is>
      </c>
      <c r="G50" s="75" t="n">
        <v>1.0</v>
      </c>
      <c r="H50" s="76" t="n">
        <v>2017.0</v>
      </c>
      <c r="I50" s="77" t="n">
        <v>49.70666666666667</v>
      </c>
      <c r="J50" s="78" t="n">
        <v>74.56</v>
      </c>
      <c r="K50" s="79" t="n">
        <v>48.71307692307691</v>
      </c>
      <c r="L50" s="80" t="n">
        <v>27.160000000000004</v>
      </c>
      <c r="M50" s="81" t="n">
        <v>111.28999999999999</v>
      </c>
      <c r="N50" s="82" t="n">
        <v>52.62</v>
      </c>
      <c r="O50" s="83" t="inlineStr">
        <is>
          <t/>
        </is>
      </c>
      <c r="P50" s="84" t="n">
        <v>38.81999999999999</v>
      </c>
      <c r="Q50" s="85" t="n">
        <v>0.36</v>
      </c>
      <c r="R50" s="86" t="n">
        <v>0.35</v>
      </c>
      <c r="S50" s="87" t="n">
        <v>1.49</v>
      </c>
      <c r="T50" s="88" t="n">
        <v>0.2749999999999999</v>
      </c>
      <c r="U50" s="89" t="n">
        <v>1.85</v>
      </c>
      <c r="V50" s="90" t="n">
        <v>0.3500000000000001</v>
      </c>
      <c r="W50" s="91" t="inlineStr">
        <is>
          <t/>
        </is>
      </c>
      <c r="X50" s="92" t="inlineStr">
        <is>
          <t>LP Original Commitments</t>
        </is>
      </c>
      <c r="Y50" s="93" t="inlineStr">
        <is>
          <t>2019 Y</t>
        </is>
      </c>
      <c r="Z50" s="94" t="inlineStr">
        <is>
          <t>100M - 249M</t>
        </is>
      </c>
      <c r="AA50" s="95" t="inlineStr">
        <is>
          <t>Ponoi Capital</t>
        </is>
      </c>
      <c r="AB50" s="96" t="inlineStr">
        <is>
          <t>San Francisco, CA</t>
        </is>
      </c>
      <c r="AC50" s="97" t="inlineStr">
        <is>
          <t/>
        </is>
      </c>
      <c r="AD50" s="98" t="inlineStr">
        <is>
          <t>Seed Round, Early Stage VC, Later Stage VC</t>
        </is>
      </c>
      <c r="AE50" s="99" t="inlineStr">
        <is>
          <t/>
        </is>
      </c>
      <c r="AF50" s="100" t="inlineStr">
        <is>
          <t>TCDRS</t>
        </is>
      </c>
      <c r="AG50" s="233">
        <f>HYPERLINK("https://my.pitchbook.com?i=181981-90", "View Investor Online")</f>
      </c>
    </row>
    <row r="51">
      <c r="A51" s="36" t="inlineStr">
        <is>
          <t>12951-55F</t>
        </is>
      </c>
      <c r="B51" s="37" t="inlineStr">
        <is>
          <t>Adams Street 2009 Direct Fund</t>
        </is>
      </c>
      <c r="C51" s="38" t="inlineStr">
        <is>
          <t/>
        </is>
      </c>
      <c r="D51" s="39" t="inlineStr">
        <is>
          <t>Venture Capital</t>
        </is>
      </c>
      <c r="E51" s="40" t="n">
        <v>185.58979</v>
      </c>
      <c r="F51" s="41" t="inlineStr">
        <is>
          <t>Chicago, IL</t>
        </is>
      </c>
      <c r="G51" s="42" t="n">
        <v>2.0</v>
      </c>
      <c r="H51" s="43" t="n">
        <v>2009.0</v>
      </c>
      <c r="I51" s="44" t="n">
        <v>94.52099999999999</v>
      </c>
      <c r="J51" s="45" t="n">
        <v>175.4213254059</v>
      </c>
      <c r="K51" s="46" t="n">
        <v>15.641507501200001</v>
      </c>
      <c r="L51" s="47" t="n">
        <v>211.69344092557756</v>
      </c>
      <c r="M51" s="48" t="n">
        <v>112.66828430262493</v>
      </c>
      <c r="N51" s="49" t="n">
        <v>11.56</v>
      </c>
      <c r="O51" s="50" t="inlineStr">
        <is>
          <t/>
        </is>
      </c>
      <c r="P51" s="51" t="n">
        <v>1.4299999999999997</v>
      </c>
      <c r="Q51" s="52" t="n">
        <v>1.2000000000000002</v>
      </c>
      <c r="R51" s="53" t="n">
        <v>0.6100000000000002</v>
      </c>
      <c r="S51" s="54" t="n">
        <v>0.64</v>
      </c>
      <c r="T51" s="55" t="n">
        <v>-0.053300000000000014</v>
      </c>
      <c r="U51" s="56" t="n">
        <v>1.8399999999999999</v>
      </c>
      <c r="V51" s="57" t="n">
        <v>0.24999999999999978</v>
      </c>
      <c r="W51" s="58" t="inlineStr">
        <is>
          <t/>
        </is>
      </c>
      <c r="X51" s="59" t="inlineStr">
        <is>
          <t>LP Original Commitments</t>
        </is>
      </c>
      <c r="Y51" s="60" t="inlineStr">
        <is>
          <t>2020 Y</t>
        </is>
      </c>
      <c r="Z51" s="61" t="inlineStr">
        <is>
          <t>100M - 249M</t>
        </is>
      </c>
      <c r="AA51" s="62" t="inlineStr">
        <is>
          <t>Adams Street Partners</t>
        </is>
      </c>
      <c r="AB51" s="63" t="inlineStr">
        <is>
          <t>Chicago, IL</t>
        </is>
      </c>
      <c r="AC51" s="64" t="inlineStr">
        <is>
          <t>Software</t>
        </is>
      </c>
      <c r="AD51" s="65" t="inlineStr">
        <is>
          <t>Later Stage VC</t>
        </is>
      </c>
      <c r="AE51" s="66" t="inlineStr">
        <is>
          <t>United States</t>
        </is>
      </c>
      <c r="AF51" s="67" t="inlineStr">
        <is>
          <t>MC-ERS, RBWM</t>
        </is>
      </c>
      <c r="AG51" s="232">
        <f>HYPERLINK("https://my.pitchbook.com?i=11105-47", "View Investor Online")</f>
      </c>
    </row>
    <row r="52">
      <c r="A52" s="69" t="inlineStr">
        <is>
          <t>13708-27F</t>
        </is>
      </c>
      <c r="B52" s="70" t="inlineStr">
        <is>
          <t>Foundry Group Select Fund</t>
        </is>
      </c>
      <c r="C52" s="71" t="inlineStr">
        <is>
          <t/>
        </is>
      </c>
      <c r="D52" s="72" t="inlineStr">
        <is>
          <t>Venture Capital - Later Stage</t>
        </is>
      </c>
      <c r="E52" s="73" t="n">
        <v>225.0</v>
      </c>
      <c r="F52" s="74" t="inlineStr">
        <is>
          <t>Boulder, CO</t>
        </is>
      </c>
      <c r="G52" s="75" t="inlineStr">
        <is>
          <t/>
        </is>
      </c>
      <c r="H52" s="76" t="n">
        <v>2013.0</v>
      </c>
      <c r="I52" s="77" t="n">
        <v>88.9375</v>
      </c>
      <c r="J52" s="78" t="n">
        <v>200.109375</v>
      </c>
      <c r="K52" s="79" t="n">
        <v>24.890625</v>
      </c>
      <c r="L52" s="80" t="n">
        <v>182.951742825</v>
      </c>
      <c r="M52" s="81" t="n">
        <v>179.58693599999998</v>
      </c>
      <c r="N52" s="82" t="n">
        <v>20.855</v>
      </c>
      <c r="O52" s="83" t="inlineStr">
        <is>
          <t/>
        </is>
      </c>
      <c r="P52" s="84" t="inlineStr">
        <is>
          <t/>
        </is>
      </c>
      <c r="Q52" s="85" t="n">
        <v>0.915</v>
      </c>
      <c r="R52" s="86" t="inlineStr">
        <is>
          <t/>
        </is>
      </c>
      <c r="S52" s="87" t="n">
        <v>0.895</v>
      </c>
      <c r="T52" s="88" t="inlineStr">
        <is>
          <t/>
        </is>
      </c>
      <c r="U52" s="89" t="n">
        <v>1.82</v>
      </c>
      <c r="V52" s="90" t="inlineStr">
        <is>
          <t/>
        </is>
      </c>
      <c r="W52" s="91" t="inlineStr">
        <is>
          <t/>
        </is>
      </c>
      <c r="X52" s="92" t="inlineStr">
        <is>
          <t>LP Original Commitments</t>
        </is>
      </c>
      <c r="Y52" s="93" t="inlineStr">
        <is>
          <t>2019 Y</t>
        </is>
      </c>
      <c r="Z52" s="94" t="inlineStr">
        <is>
          <t>100M - 249M</t>
        </is>
      </c>
      <c r="AA52" s="95" t="inlineStr">
        <is>
          <t>Foundry Group</t>
        </is>
      </c>
      <c r="AB52" s="96" t="inlineStr">
        <is>
          <t>Boulder, CO</t>
        </is>
      </c>
      <c r="AC52" s="97" t="inlineStr">
        <is>
          <t>Software</t>
        </is>
      </c>
      <c r="AD52" s="98" t="inlineStr">
        <is>
          <t>PE Growth/Expansion, Later Stage VC</t>
        </is>
      </c>
      <c r="AE52" s="99" t="inlineStr">
        <is>
          <t>North America</t>
        </is>
      </c>
      <c r="AF52" s="100" t="inlineStr">
        <is>
          <t>SDCERS, UTIMCO</t>
        </is>
      </c>
      <c r="AG52" s="233">
        <f>HYPERLINK("https://my.pitchbook.com?i=42240-79", "View Investor Online")</f>
      </c>
    </row>
    <row r="53">
      <c r="A53" s="36" t="inlineStr">
        <is>
          <t>12932-56F</t>
        </is>
      </c>
      <c r="B53" s="37" t="inlineStr">
        <is>
          <t>Foundry Venture Capital 2010</t>
        </is>
      </c>
      <c r="C53" s="38" t="inlineStr">
        <is>
          <t/>
        </is>
      </c>
      <c r="D53" s="39" t="inlineStr">
        <is>
          <t>Venture Capital - Early Stage</t>
        </is>
      </c>
      <c r="E53" s="40" t="n">
        <v>225.0</v>
      </c>
      <c r="F53" s="41" t="inlineStr">
        <is>
          <t>Boulder, CO</t>
        </is>
      </c>
      <c r="G53" s="42" t="n">
        <v>3.0</v>
      </c>
      <c r="H53" s="43" t="n">
        <v>2010.0</v>
      </c>
      <c r="I53" s="44" t="n">
        <v>97.75000004444446</v>
      </c>
      <c r="J53" s="45" t="n">
        <v>219.93750010000002</v>
      </c>
      <c r="K53" s="46" t="n">
        <v>5.062499900000001</v>
      </c>
      <c r="L53" s="47" t="n">
        <v>124.28127505</v>
      </c>
      <c r="M53" s="48" t="n">
        <v>262.88239000000004</v>
      </c>
      <c r="N53" s="49" t="n">
        <v>9.96</v>
      </c>
      <c r="O53" s="50" t="inlineStr">
        <is>
          <t/>
        </is>
      </c>
      <c r="P53" s="51" t="n">
        <v>-2.719999999999999</v>
      </c>
      <c r="Q53" s="52" t="n">
        <v>0.57</v>
      </c>
      <c r="R53" s="53" t="inlineStr">
        <is>
          <t/>
        </is>
      </c>
      <c r="S53" s="54" t="n">
        <v>1.2</v>
      </c>
      <c r="T53" s="55" t="inlineStr">
        <is>
          <t/>
        </is>
      </c>
      <c r="U53" s="56" t="n">
        <v>1.77</v>
      </c>
      <c r="V53" s="57" t="inlineStr">
        <is>
          <t/>
        </is>
      </c>
      <c r="W53" s="58" t="inlineStr">
        <is>
          <t/>
        </is>
      </c>
      <c r="X53" s="59" t="inlineStr">
        <is>
          <t>LP Original Commitments</t>
        </is>
      </c>
      <c r="Y53" s="60" t="inlineStr">
        <is>
          <t>2019 Y</t>
        </is>
      </c>
      <c r="Z53" s="61" t="inlineStr">
        <is>
          <t>100M - 249M</t>
        </is>
      </c>
      <c r="AA53" s="62" t="inlineStr">
        <is>
          <t>Foundry Group</t>
        </is>
      </c>
      <c r="AB53" s="63" t="inlineStr">
        <is>
          <t>Boulder, CO</t>
        </is>
      </c>
      <c r="AC53" s="64" t="inlineStr">
        <is>
          <t>Software</t>
        </is>
      </c>
      <c r="AD53" s="65" t="inlineStr">
        <is>
          <t>Seed Round, Early Stage VC</t>
        </is>
      </c>
      <c r="AE53" s="66" t="inlineStr">
        <is>
          <t>North America</t>
        </is>
      </c>
      <c r="AF53" s="67" t="inlineStr">
        <is>
          <t>MWRAERS, UTIMCO</t>
        </is>
      </c>
      <c r="AG53" s="232">
        <f>HYPERLINK("https://my.pitchbook.com?i=42240-79", "View Investor Online")</f>
      </c>
    </row>
    <row r="54">
      <c r="A54" s="69" t="inlineStr">
        <is>
          <t>12707-02F</t>
        </is>
      </c>
      <c r="B54" s="70" t="inlineStr">
        <is>
          <t>I2BF Venture Fund II</t>
        </is>
      </c>
      <c r="C54" s="71" t="inlineStr">
        <is>
          <t/>
        </is>
      </c>
      <c r="D54" s="72" t="inlineStr">
        <is>
          <t>Venture Capital</t>
        </is>
      </c>
      <c r="E54" s="73" t="n">
        <v>150.0</v>
      </c>
      <c r="F54" s="74" t="inlineStr">
        <is>
          <t>London, United Kingdom</t>
        </is>
      </c>
      <c r="G54" s="75" t="inlineStr">
        <is>
          <t/>
        </is>
      </c>
      <c r="H54" s="76" t="n">
        <v>2010.0</v>
      </c>
      <c r="I54" s="77" t="n">
        <v>37.0</v>
      </c>
      <c r="J54" s="78" t="n">
        <v>55.49999999999999</v>
      </c>
      <c r="K54" s="79" t="n">
        <v>0.0</v>
      </c>
      <c r="L54" s="80" t="n">
        <v>0.5761901681759378</v>
      </c>
      <c r="M54" s="81" t="n">
        <v>97.45480595084088</v>
      </c>
      <c r="N54" s="82" t="n">
        <v>43.9</v>
      </c>
      <c r="O54" s="83" t="inlineStr">
        <is>
          <t/>
        </is>
      </c>
      <c r="P54" s="84" t="inlineStr">
        <is>
          <t/>
        </is>
      </c>
      <c r="Q54" s="85" t="n">
        <v>0.01</v>
      </c>
      <c r="R54" s="86" t="n">
        <v>-0.02771</v>
      </c>
      <c r="S54" s="87" t="n">
        <v>1.76</v>
      </c>
      <c r="T54" s="88" t="inlineStr">
        <is>
          <t/>
        </is>
      </c>
      <c r="U54" s="89" t="n">
        <v>1.77</v>
      </c>
      <c r="V54" s="90" t="inlineStr">
        <is>
          <t/>
        </is>
      </c>
      <c r="W54" s="91" t="inlineStr">
        <is>
          <t/>
        </is>
      </c>
      <c r="X54" s="92" t="inlineStr">
        <is>
          <t>LP Original Commitments</t>
        </is>
      </c>
      <c r="Y54" s="93" t="inlineStr">
        <is>
          <t>2011 Y</t>
        </is>
      </c>
      <c r="Z54" s="94" t="inlineStr">
        <is>
          <t>100M - 249M</t>
        </is>
      </c>
      <c r="AA54" s="95" t="inlineStr">
        <is>
          <t>I2BF Global Ventures</t>
        </is>
      </c>
      <c r="AB54" s="96" t="inlineStr">
        <is>
          <t>New York, NY</t>
        </is>
      </c>
      <c r="AC54" s="97" t="inlineStr">
        <is>
          <t>Metals, Minerals and Mining, Other Energy, Exploration, Production and Refining</t>
        </is>
      </c>
      <c r="AD54" s="98" t="inlineStr">
        <is>
          <t>Early Stage VC, Later Stage VC</t>
        </is>
      </c>
      <c r="AE54" s="99" t="inlineStr">
        <is>
          <t/>
        </is>
      </c>
      <c r="AF54" s="100" t="inlineStr">
        <is>
          <t>Pantheon</t>
        </is>
      </c>
      <c r="AG54" s="233">
        <f>HYPERLINK("https://my.pitchbook.com?i=42864-40", "View Investor Online")</f>
      </c>
    </row>
    <row r="55">
      <c r="A55" s="36" t="inlineStr">
        <is>
          <t>13404-97F</t>
        </is>
      </c>
      <c r="B55" s="37" t="inlineStr">
        <is>
          <t>iNovia Investment Fund III</t>
        </is>
      </c>
      <c r="C55" s="38" t="inlineStr">
        <is>
          <t/>
        </is>
      </c>
      <c r="D55" s="39" t="inlineStr">
        <is>
          <t>Venture Capital - Early Stage</t>
        </is>
      </c>
      <c r="E55" s="40" t="n">
        <v>111.54935</v>
      </c>
      <c r="F55" s="41" t="inlineStr">
        <is>
          <t>Montreal, Canada</t>
        </is>
      </c>
      <c r="G55" s="42" t="inlineStr">
        <is>
          <t/>
        </is>
      </c>
      <c r="H55" s="43" t="n">
        <v>2011.0</v>
      </c>
      <c r="I55" s="44" t="n">
        <v>95.62403976502486</v>
      </c>
      <c r="J55" s="45" t="n">
        <v>106.66799291487737</v>
      </c>
      <c r="K55" s="46" t="n">
        <v>17.440612336195212</v>
      </c>
      <c r="L55" s="47" t="n">
        <v>43.93712373727784</v>
      </c>
      <c r="M55" s="48" t="inlineStr">
        <is>
          <t/>
        </is>
      </c>
      <c r="N55" s="49" t="n">
        <v>19.62</v>
      </c>
      <c r="O55" s="50" t="inlineStr">
        <is>
          <t/>
        </is>
      </c>
      <c r="P55" s="51" t="inlineStr">
        <is>
          <t/>
        </is>
      </c>
      <c r="Q55" s="52" t="n">
        <v>0.41</v>
      </c>
      <c r="R55" s="53" t="inlineStr">
        <is>
          <t/>
        </is>
      </c>
      <c r="S55" s="54" t="n">
        <v>1.35</v>
      </c>
      <c r="T55" s="55" t="inlineStr">
        <is>
          <t/>
        </is>
      </c>
      <c r="U55" s="56" t="n">
        <v>1.76</v>
      </c>
      <c r="V55" s="57" t="inlineStr">
        <is>
          <t/>
        </is>
      </c>
      <c r="W55" s="58" t="inlineStr">
        <is>
          <t/>
        </is>
      </c>
      <c r="X55" s="59" t="inlineStr">
        <is>
          <t>GP Self Reporting</t>
        </is>
      </c>
      <c r="Y55" s="60" t="inlineStr">
        <is>
          <t>2017 Y</t>
        </is>
      </c>
      <c r="Z55" s="61" t="inlineStr">
        <is>
          <t>100M - 249M</t>
        </is>
      </c>
      <c r="AA55" s="62" t="inlineStr">
        <is>
          <t>Inovia Capital</t>
        </is>
      </c>
      <c r="AB55" s="63" t="inlineStr">
        <is>
          <t>Montreal, Canada</t>
        </is>
      </c>
      <c r="AC55" s="64" t="inlineStr">
        <is>
          <t>Software</t>
        </is>
      </c>
      <c r="AD55" s="65" t="inlineStr">
        <is>
          <t>Seed Round, Early Stage VC</t>
        </is>
      </c>
      <c r="AE55" s="66" t="inlineStr">
        <is>
          <t/>
        </is>
      </c>
      <c r="AF55" s="67" t="inlineStr">
        <is>
          <t>iNovia</t>
        </is>
      </c>
      <c r="AG55" s="232">
        <f>HYPERLINK("https://my.pitchbook.com?i=10618-12", "View Investor Online")</f>
      </c>
    </row>
    <row r="56">
      <c r="A56" s="69" t="inlineStr">
        <is>
          <t>12678-49F</t>
        </is>
      </c>
      <c r="B56" s="70" t="inlineStr">
        <is>
          <t>Lumira Capital II</t>
        </is>
      </c>
      <c r="C56" s="71" t="inlineStr">
        <is>
          <t/>
        </is>
      </c>
      <c r="D56" s="72" t="inlineStr">
        <is>
          <t>Venture Capital</t>
        </is>
      </c>
      <c r="E56" s="73" t="n">
        <v>117.18873</v>
      </c>
      <c r="F56" s="74" t="inlineStr">
        <is>
          <t>Toronto, Canada</t>
        </is>
      </c>
      <c r="G56" s="75" t="inlineStr">
        <is>
          <t/>
        </is>
      </c>
      <c r="H56" s="76" t="n">
        <v>2009.0</v>
      </c>
      <c r="I56" s="77" t="n">
        <v>95.24029727497937</v>
      </c>
      <c r="J56" s="78" t="n">
        <v>111.61089307169246</v>
      </c>
      <c r="K56" s="79" t="n">
        <v>0.0</v>
      </c>
      <c r="L56" s="80" t="n">
        <v>12.01305426399381</v>
      </c>
      <c r="M56" s="81" t="n">
        <v>184.47208968027033</v>
      </c>
      <c r="N56" s="82" t="n">
        <v>23.2</v>
      </c>
      <c r="O56" s="83" t="inlineStr">
        <is>
          <t/>
        </is>
      </c>
      <c r="P56" s="84" t="inlineStr">
        <is>
          <t/>
        </is>
      </c>
      <c r="Q56" s="85" t="n">
        <v>0.10763335</v>
      </c>
      <c r="R56" s="86" t="inlineStr">
        <is>
          <t/>
        </is>
      </c>
      <c r="S56" s="87" t="n">
        <v>1.652814386</v>
      </c>
      <c r="T56" s="88" t="inlineStr">
        <is>
          <t/>
        </is>
      </c>
      <c r="U56" s="89" t="n">
        <v>1.76</v>
      </c>
      <c r="V56" s="90" t="inlineStr">
        <is>
          <t/>
        </is>
      </c>
      <c r="W56" s="91" t="inlineStr">
        <is>
          <t/>
        </is>
      </c>
      <c r="X56" s="92" t="inlineStr">
        <is>
          <t>GP Self Reporting</t>
        </is>
      </c>
      <c r="Y56" s="93" t="inlineStr">
        <is>
          <t>2018 Y</t>
        </is>
      </c>
      <c r="Z56" s="94" t="inlineStr">
        <is>
          <t>100M - 249M</t>
        </is>
      </c>
      <c r="AA56" s="95" t="inlineStr">
        <is>
          <t>Lumira Ventures</t>
        </is>
      </c>
      <c r="AB56" s="96" t="inlineStr">
        <is>
          <t>Toronto, Canada</t>
        </is>
      </c>
      <c r="AC56" s="97" t="inlineStr">
        <is>
          <t>Healthcare Devices and Supplies</t>
        </is>
      </c>
      <c r="AD56" s="98" t="inlineStr">
        <is>
          <t>Later Stage VC</t>
        </is>
      </c>
      <c r="AE56" s="99" t="inlineStr">
        <is>
          <t>United States, Canada</t>
        </is>
      </c>
      <c r="AF56" s="100" t="inlineStr">
        <is>
          <t>Lumira</t>
        </is>
      </c>
      <c r="AG56" s="233">
        <f>HYPERLINK("https://my.pitchbook.com?i=10602-46", "View Investor Online")</f>
      </c>
    </row>
    <row r="57">
      <c r="A57" s="36" t="inlineStr">
        <is>
          <t>13932-10F</t>
        </is>
      </c>
      <c r="B57" s="37" t="inlineStr">
        <is>
          <t>Union Square Ventures Opportunity 2014 Fund</t>
        </is>
      </c>
      <c r="C57" s="38" t="inlineStr">
        <is>
          <t/>
        </is>
      </c>
      <c r="D57" s="39" t="inlineStr">
        <is>
          <t>Venture Capital - Later Stage</t>
        </is>
      </c>
      <c r="E57" s="40" t="n">
        <v>175.0</v>
      </c>
      <c r="F57" s="41" t="inlineStr">
        <is>
          <t>New York, NY</t>
        </is>
      </c>
      <c r="G57" s="42" t="inlineStr">
        <is>
          <t/>
        </is>
      </c>
      <c r="H57" s="43" t="n">
        <v>2014.0</v>
      </c>
      <c r="I57" s="44" t="n">
        <v>72.87234042553192</v>
      </c>
      <c r="J57" s="45" t="n">
        <v>127.52659574468085</v>
      </c>
      <c r="K57" s="46" t="n">
        <v>47.47340425531914</v>
      </c>
      <c r="L57" s="47" t="n">
        <v>10.239361702127662</v>
      </c>
      <c r="M57" s="48" t="n">
        <v>213.16489361702125</v>
      </c>
      <c r="N57" s="49" t="n">
        <v>15.9</v>
      </c>
      <c r="O57" s="50" t="inlineStr">
        <is>
          <t/>
        </is>
      </c>
      <c r="P57" s="51" t="inlineStr">
        <is>
          <t/>
        </is>
      </c>
      <c r="Q57" s="52" t="n">
        <v>0.08</v>
      </c>
      <c r="R57" s="53" t="inlineStr">
        <is>
          <t/>
        </is>
      </c>
      <c r="S57" s="54" t="n">
        <v>1.67</v>
      </c>
      <c r="T57" s="55" t="inlineStr">
        <is>
          <t/>
        </is>
      </c>
      <c r="U57" s="56" t="n">
        <v>1.75</v>
      </c>
      <c r="V57" s="57" t="inlineStr">
        <is>
          <t/>
        </is>
      </c>
      <c r="W57" s="58" t="inlineStr">
        <is>
          <t/>
        </is>
      </c>
      <c r="X57" s="59" t="inlineStr">
        <is>
          <t>LP Original Commitments</t>
        </is>
      </c>
      <c r="Y57" s="60" t="inlineStr">
        <is>
          <t>2020 Y</t>
        </is>
      </c>
      <c r="Z57" s="61" t="inlineStr">
        <is>
          <t>100M - 249M</t>
        </is>
      </c>
      <c r="AA57" s="62" t="inlineStr">
        <is>
          <t>Union Square Ventures</t>
        </is>
      </c>
      <c r="AB57" s="63" t="inlineStr">
        <is>
          <t>New York, NY</t>
        </is>
      </c>
      <c r="AC57" s="64" t="inlineStr">
        <is>
          <t>Other Financial Services, Software</t>
        </is>
      </c>
      <c r="AD57" s="65" t="inlineStr">
        <is>
          <t>Later Stage VC</t>
        </is>
      </c>
      <c r="AE57" s="66" t="inlineStr">
        <is>
          <t/>
        </is>
      </c>
      <c r="AF57" s="67" t="inlineStr">
        <is>
          <t>PERS</t>
        </is>
      </c>
      <c r="AG57" s="232">
        <f>HYPERLINK("https://my.pitchbook.com?i=11323-45", "View Investor Online")</f>
      </c>
    </row>
    <row r="58">
      <c r="A58" s="69" t="inlineStr">
        <is>
          <t>13792-87F</t>
        </is>
      </c>
      <c r="B58" s="70" t="inlineStr">
        <is>
          <t>5AM Fund IV</t>
        </is>
      </c>
      <c r="C58" s="71" t="inlineStr">
        <is>
          <t/>
        </is>
      </c>
      <c r="D58" s="72" t="inlineStr">
        <is>
          <t>Venture Capital</t>
        </is>
      </c>
      <c r="E58" s="73" t="n">
        <v>250.0</v>
      </c>
      <c r="F58" s="74" t="inlineStr">
        <is>
          <t>Boston, MA</t>
        </is>
      </c>
      <c r="G58" s="75" t="n">
        <v>3.0</v>
      </c>
      <c r="H58" s="76" t="n">
        <v>2013.0</v>
      </c>
      <c r="I58" s="77" t="n">
        <v>96.4</v>
      </c>
      <c r="J58" s="78" t="n">
        <v>241.0</v>
      </c>
      <c r="K58" s="79" t="n">
        <v>0.0</v>
      </c>
      <c r="L58" s="80" t="n">
        <v>27.0</v>
      </c>
      <c r="M58" s="81" t="n">
        <v>394.0</v>
      </c>
      <c r="N58" s="82" t="n">
        <v>16.4</v>
      </c>
      <c r="O58" s="83" t="inlineStr">
        <is>
          <t/>
        </is>
      </c>
      <c r="P58" s="84" t="n">
        <v>-1.0700000000000003</v>
      </c>
      <c r="Q58" s="85" t="n">
        <v>0.112033195</v>
      </c>
      <c r="R58" s="86" t="n">
        <v>-0.187966805</v>
      </c>
      <c r="S58" s="87" t="n">
        <v>1.634854772</v>
      </c>
      <c r="T58" s="88" t="n">
        <v>0.057424771999999846</v>
      </c>
      <c r="U58" s="89" t="n">
        <v>1.74</v>
      </c>
      <c r="V58" s="90" t="n">
        <v>-0.13000000000000012</v>
      </c>
      <c r="W58" s="91" t="inlineStr">
        <is>
          <t/>
        </is>
      </c>
      <c r="X58" s="92" t="inlineStr">
        <is>
          <t>GP Self Reporting</t>
        </is>
      </c>
      <c r="Y58" s="93" t="inlineStr">
        <is>
          <t>2019 Y</t>
        </is>
      </c>
      <c r="Z58" s="94" t="inlineStr">
        <is>
          <t>250M - 499M</t>
        </is>
      </c>
      <c r="AA58" s="95" t="inlineStr">
        <is>
          <t>5AM Ventures</t>
        </is>
      </c>
      <c r="AB58" s="96" t="inlineStr">
        <is>
          <t>San Francisco, CA</t>
        </is>
      </c>
      <c r="AC58" s="97" t="inlineStr">
        <is>
          <t>Pharmaceuticals and Biotechnology</t>
        </is>
      </c>
      <c r="AD58" s="98" t="inlineStr">
        <is>
          <t>Early Stage VC</t>
        </is>
      </c>
      <c r="AE58" s="99" t="inlineStr">
        <is>
          <t>United States</t>
        </is>
      </c>
      <c r="AF58" s="100" t="inlineStr">
        <is>
          <t>5AM</t>
        </is>
      </c>
      <c r="AG58" s="233">
        <f>HYPERLINK("https://my.pitchbook.com?i=11104-03", "View Investor Online")</f>
      </c>
    </row>
    <row r="59">
      <c r="A59" s="36" t="inlineStr">
        <is>
          <t>14984-11F</t>
        </is>
      </c>
      <c r="B59" s="37" t="inlineStr">
        <is>
          <t>Ignition Venture Partners VI</t>
        </is>
      </c>
      <c r="C59" s="38" t="inlineStr">
        <is>
          <t/>
        </is>
      </c>
      <c r="D59" s="39" t="inlineStr">
        <is>
          <t>Venture Capital</t>
        </is>
      </c>
      <c r="E59" s="40" t="n">
        <v>200.0</v>
      </c>
      <c r="F59" s="41" t="inlineStr">
        <is>
          <t>Bellevue, WA</t>
        </is>
      </c>
      <c r="G59" s="42" t="inlineStr">
        <is>
          <t/>
        </is>
      </c>
      <c r="H59" s="43" t="n">
        <v>2015.0</v>
      </c>
      <c r="I59" s="44" t="n">
        <v>74.0</v>
      </c>
      <c r="J59" s="45" t="n">
        <v>148.0</v>
      </c>
      <c r="K59" s="46" t="n">
        <v>47.56355784013603</v>
      </c>
      <c r="L59" s="47" t="n">
        <v>0.0</v>
      </c>
      <c r="M59" s="48" t="n">
        <v>248.13333333333333</v>
      </c>
      <c r="N59" s="49" t="inlineStr">
        <is>
          <t/>
        </is>
      </c>
      <c r="O59" s="50" t="inlineStr">
        <is>
          <t/>
        </is>
      </c>
      <c r="P59" s="51" t="inlineStr">
        <is>
          <t/>
        </is>
      </c>
      <c r="Q59" s="52" t="n">
        <v>0.0</v>
      </c>
      <c r="R59" s="53" t="n">
        <v>-0.005</v>
      </c>
      <c r="S59" s="54" t="n">
        <v>1.68</v>
      </c>
      <c r="T59" s="55" t="n">
        <v>0.49</v>
      </c>
      <c r="U59" s="56" t="n">
        <v>1.68</v>
      </c>
      <c r="V59" s="57" t="n">
        <v>0.385</v>
      </c>
      <c r="W59" s="58" t="inlineStr">
        <is>
          <t/>
        </is>
      </c>
      <c r="X59" s="59" t="inlineStr">
        <is>
          <t>LP Original Commitments</t>
        </is>
      </c>
      <c r="Y59" s="60" t="inlineStr">
        <is>
          <t>2019 Y</t>
        </is>
      </c>
      <c r="Z59" s="61" t="inlineStr">
        <is>
          <t>100M - 249M</t>
        </is>
      </c>
      <c r="AA59" s="62" t="inlineStr">
        <is>
          <t>Ignition Partners</t>
        </is>
      </c>
      <c r="AB59" s="63" t="inlineStr">
        <is>
          <t>Bellevue, WA</t>
        </is>
      </c>
      <c r="AC59" s="64" t="inlineStr">
        <is>
          <t>Software</t>
        </is>
      </c>
      <c r="AD59" s="65" t="inlineStr">
        <is>
          <t>Seed Round, Early Stage VC, Later Stage VC</t>
        </is>
      </c>
      <c r="AE59" s="66" t="inlineStr">
        <is>
          <t/>
        </is>
      </c>
      <c r="AF59" s="67" t="inlineStr">
        <is>
          <t>SFERS</t>
        </is>
      </c>
      <c r="AG59" s="232">
        <f>HYPERLINK("https://my.pitchbook.com?i=11216-26", "View Investor Online")</f>
      </c>
    </row>
    <row r="60">
      <c r="A60" s="69" t="inlineStr">
        <is>
          <t>16050-34F</t>
        </is>
      </c>
      <c r="B60" s="70" t="inlineStr">
        <is>
          <t>Target Global Early Stage Fund I</t>
        </is>
      </c>
      <c r="C60" s="71" t="inlineStr">
        <is>
          <t/>
        </is>
      </c>
      <c r="D60" s="72" t="inlineStr">
        <is>
          <t>Venture Capital - Early Stage</t>
        </is>
      </c>
      <c r="E60" s="73" t="n">
        <v>141.44938</v>
      </c>
      <c r="F60" s="74" t="inlineStr">
        <is>
          <t>Berlin, Germany</t>
        </is>
      </c>
      <c r="G60" s="75" t="inlineStr">
        <is>
          <t/>
        </is>
      </c>
      <c r="H60" s="76" t="n">
        <v>2017.0</v>
      </c>
      <c r="I60" s="77" t="n">
        <v>62.5</v>
      </c>
      <c r="J60" s="78" t="n">
        <v>83.30574987393064</v>
      </c>
      <c r="K60" s="79" t="n">
        <v>53.0435175</v>
      </c>
      <c r="L60" s="80" t="n">
        <v>0.0</v>
      </c>
      <c r="M60" s="81" t="n">
        <v>139.95365978820345</v>
      </c>
      <c r="N60" s="82" t="n">
        <v>45.0</v>
      </c>
      <c r="O60" s="83" t="inlineStr">
        <is>
          <t/>
        </is>
      </c>
      <c r="P60" s="84" t="inlineStr">
        <is>
          <t/>
        </is>
      </c>
      <c r="Q60" s="85" t="n">
        <v>0.0</v>
      </c>
      <c r="R60" s="86" t="inlineStr">
        <is>
          <t/>
        </is>
      </c>
      <c r="S60" s="87" t="n">
        <v>1.68</v>
      </c>
      <c r="T60" s="88" t="inlineStr">
        <is>
          <t/>
        </is>
      </c>
      <c r="U60" s="89" t="n">
        <v>1.68</v>
      </c>
      <c r="V60" s="90" t="inlineStr">
        <is>
          <t/>
        </is>
      </c>
      <c r="W60" s="91" t="inlineStr">
        <is>
          <t/>
        </is>
      </c>
      <c r="X60" s="92" t="inlineStr">
        <is>
          <t>GP Self Reporting</t>
        </is>
      </c>
      <c r="Y60" s="93" t="inlineStr">
        <is>
          <t>2019 Y</t>
        </is>
      </c>
      <c r="Z60" s="94" t="inlineStr">
        <is>
          <t>100M - 249M</t>
        </is>
      </c>
      <c r="AA60" s="95" t="inlineStr">
        <is>
          <t>Target Global</t>
        </is>
      </c>
      <c r="AB60" s="96" t="inlineStr">
        <is>
          <t>Berlin, Germany</t>
        </is>
      </c>
      <c r="AC60" s="97" t="inlineStr">
        <is>
          <t>Software, Business Products and Services (B2B), Transportation, Healthcare</t>
        </is>
      </c>
      <c r="AD60" s="98" t="inlineStr">
        <is>
          <t>Early Stage VC</t>
        </is>
      </c>
      <c r="AE60" s="99" t="inlineStr">
        <is>
          <t>Europe, Israel</t>
        </is>
      </c>
      <c r="AF60" s="100" t="inlineStr">
        <is>
          <t>Target</t>
        </is>
      </c>
      <c r="AG60" s="233">
        <f>HYPERLINK("https://my.pitchbook.com?i=58740-40", "View Investor Online")</f>
      </c>
    </row>
    <row r="61">
      <c r="A61" s="36" t="inlineStr">
        <is>
          <t>14556-16F</t>
        </is>
      </c>
      <c r="B61" s="37" t="inlineStr">
        <is>
          <t>Signal Peak Ventures II</t>
        </is>
      </c>
      <c r="C61" s="38" t="inlineStr">
        <is>
          <t/>
        </is>
      </c>
      <c r="D61" s="39" t="inlineStr">
        <is>
          <t>Venture Capital</t>
        </is>
      </c>
      <c r="E61" s="40" t="n">
        <v>114.0</v>
      </c>
      <c r="F61" s="41" t="inlineStr">
        <is>
          <t>Salt Lake City, UT</t>
        </is>
      </c>
      <c r="G61" s="42" t="n">
        <v>3.0</v>
      </c>
      <c r="H61" s="43" t="n">
        <v>2014.0</v>
      </c>
      <c r="I61" s="44" t="n">
        <v>99.5</v>
      </c>
      <c r="J61" s="45" t="n">
        <v>113.43</v>
      </c>
      <c r="K61" s="46" t="n">
        <v>0.285</v>
      </c>
      <c r="L61" s="47" t="n">
        <v>0.0</v>
      </c>
      <c r="M61" s="48" t="n">
        <v>186.5893404</v>
      </c>
      <c r="N61" s="49" t="n">
        <v>17.7</v>
      </c>
      <c r="O61" s="50" t="inlineStr">
        <is>
          <t/>
        </is>
      </c>
      <c r="P61" s="51" t="n">
        <v>-3.6799999999999997</v>
      </c>
      <c r="Q61" s="52" t="n">
        <v>0.0</v>
      </c>
      <c r="R61" s="53" t="n">
        <v>0.0</v>
      </c>
      <c r="S61" s="54" t="n">
        <v>1.64</v>
      </c>
      <c r="T61" s="55" t="n">
        <v>0.3999999999999999</v>
      </c>
      <c r="U61" s="56" t="n">
        <v>1.64</v>
      </c>
      <c r="V61" s="57" t="n">
        <v>0.05499999999999994</v>
      </c>
      <c r="W61" s="58" t="inlineStr">
        <is>
          <t/>
        </is>
      </c>
      <c r="X61" s="59" t="inlineStr">
        <is>
          <t>LP Original Commitments</t>
        </is>
      </c>
      <c r="Y61" s="60" t="inlineStr">
        <is>
          <t>2019 Y</t>
        </is>
      </c>
      <c r="Z61" s="61" t="inlineStr">
        <is>
          <t>100M - 249M</t>
        </is>
      </c>
      <c r="AA61" s="62" t="inlineStr">
        <is>
          <t>Signal Peak Ventures</t>
        </is>
      </c>
      <c r="AB61" s="63" t="inlineStr">
        <is>
          <t>Salt Lake City, UT</t>
        </is>
      </c>
      <c r="AC61" s="64" t="inlineStr">
        <is>
          <t>Software</t>
        </is>
      </c>
      <c r="AD61" s="65" t="inlineStr">
        <is>
          <t>Seed Round, Early Stage VC, Later Stage VC</t>
        </is>
      </c>
      <c r="AE61" s="66" t="inlineStr">
        <is>
          <t/>
        </is>
      </c>
      <c r="AF61" s="67" t="inlineStr">
        <is>
          <t>SDCERS</t>
        </is>
      </c>
      <c r="AG61" s="232">
        <f>HYPERLINK("https://my.pitchbook.com?i=11331-01", "View Investor Online")</f>
      </c>
    </row>
    <row r="62">
      <c r="A62" s="69" t="inlineStr">
        <is>
          <t>15895-72F</t>
        </is>
      </c>
      <c r="B62" s="70" t="inlineStr">
        <is>
          <t>ESO Venture Fund III</t>
        </is>
      </c>
      <c r="C62" s="71" t="inlineStr">
        <is>
          <t/>
        </is>
      </c>
      <c r="D62" s="72" t="inlineStr">
        <is>
          <t>Venture Capital</t>
        </is>
      </c>
      <c r="E62" s="73" t="n">
        <v>100.0</v>
      </c>
      <c r="F62" s="74" t="inlineStr">
        <is>
          <t>San Mateo, CA</t>
        </is>
      </c>
      <c r="G62" s="75" t="inlineStr">
        <is>
          <t/>
        </is>
      </c>
      <c r="H62" s="76" t="n">
        <v>2017.0</v>
      </c>
      <c r="I62" s="77" t="n">
        <v>19.878048780487806</v>
      </c>
      <c r="J62" s="78" t="n">
        <v>19.878048780487806</v>
      </c>
      <c r="K62" s="79" t="n">
        <v>32.47538461538461</v>
      </c>
      <c r="L62" s="80" t="n">
        <v>0.13414634146341464</v>
      </c>
      <c r="M62" s="81" t="inlineStr">
        <is>
          <t/>
        </is>
      </c>
      <c r="N62" s="82" t="inlineStr">
        <is>
          <t/>
        </is>
      </c>
      <c r="O62" s="83" t="inlineStr">
        <is>
          <t/>
        </is>
      </c>
      <c r="P62" s="84" t="inlineStr">
        <is>
          <t/>
        </is>
      </c>
      <c r="Q62" s="85" t="n">
        <v>0.01</v>
      </c>
      <c r="R62" s="86" t="n">
        <v>0.0</v>
      </c>
      <c r="S62" s="87" t="n">
        <v>1.62</v>
      </c>
      <c r="T62" s="88" t="n">
        <v>0.405</v>
      </c>
      <c r="U62" s="89" t="n">
        <v>1.6300000000000001</v>
      </c>
      <c r="V62" s="90" t="n">
        <v>0.13000000000000012</v>
      </c>
      <c r="W62" s="91" t="inlineStr">
        <is>
          <t/>
        </is>
      </c>
      <c r="X62" s="92" t="inlineStr">
        <is>
          <t>GP Self Reporting</t>
        </is>
      </c>
      <c r="Y62" s="93" t="inlineStr">
        <is>
          <t>2017 Y</t>
        </is>
      </c>
      <c r="Z62" s="94" t="inlineStr">
        <is>
          <t>100M - 249M</t>
        </is>
      </c>
      <c r="AA62" s="95" t="inlineStr">
        <is>
          <t>ESO Fund</t>
        </is>
      </c>
      <c r="AB62" s="96" t="inlineStr">
        <is>
          <t>San Mateo, CA</t>
        </is>
      </c>
      <c r="AC62" s="97" t="inlineStr">
        <is>
          <t/>
        </is>
      </c>
      <c r="AD62" s="98" t="inlineStr">
        <is>
          <t>Seed Round, Early Stage VC, Later Stage VC</t>
        </is>
      </c>
      <c r="AE62" s="99" t="inlineStr">
        <is>
          <t/>
        </is>
      </c>
      <c r="AF62" s="100" t="inlineStr">
        <is>
          <t>ESO</t>
        </is>
      </c>
      <c r="AG62" s="233">
        <f>HYPERLINK("https://my.pitchbook.com?i=54960-49", "View Investor Online")</f>
      </c>
    </row>
    <row r="63">
      <c r="A63" s="36" t="inlineStr">
        <is>
          <t>12537-73F</t>
        </is>
      </c>
      <c r="B63" s="37" t="inlineStr">
        <is>
          <t>MK Capital Fund II</t>
        </is>
      </c>
      <c r="C63" s="38" t="inlineStr">
        <is>
          <t/>
        </is>
      </c>
      <c r="D63" s="39" t="inlineStr">
        <is>
          <t>Venture Capital</t>
        </is>
      </c>
      <c r="E63" s="40" t="n">
        <v>102.0</v>
      </c>
      <c r="F63" s="41" t="inlineStr">
        <is>
          <t>Deerfield, IL</t>
        </is>
      </c>
      <c r="G63" s="42" t="inlineStr">
        <is>
          <t/>
        </is>
      </c>
      <c r="H63" s="43" t="n">
        <v>2011.0</v>
      </c>
      <c r="I63" s="44" t="inlineStr">
        <is>
          <t/>
        </is>
      </c>
      <c r="J63" s="45" t="inlineStr">
        <is>
          <t/>
        </is>
      </c>
      <c r="K63" s="46" t="n">
        <v>4.786177479107349</v>
      </c>
      <c r="L63" s="47" t="inlineStr">
        <is>
          <t/>
        </is>
      </c>
      <c r="M63" s="48" t="inlineStr">
        <is>
          <t/>
        </is>
      </c>
      <c r="N63" s="49" t="inlineStr">
        <is>
          <t/>
        </is>
      </c>
      <c r="O63" s="50" t="inlineStr">
        <is>
          <t/>
        </is>
      </c>
      <c r="P63" s="51" t="inlineStr">
        <is>
          <t/>
        </is>
      </c>
      <c r="Q63" s="52" t="n">
        <v>0.54</v>
      </c>
      <c r="R63" s="53" t="n">
        <v>0.27</v>
      </c>
      <c r="S63" s="54" t="n">
        <v>1.08</v>
      </c>
      <c r="T63" s="55" t="n">
        <v>0.0</v>
      </c>
      <c r="U63" s="56" t="n">
        <v>1.62</v>
      </c>
      <c r="V63" s="57" t="n">
        <v>0.45500000000000007</v>
      </c>
      <c r="W63" s="58" t="inlineStr">
        <is>
          <t/>
        </is>
      </c>
      <c r="X63" s="59" t="inlineStr">
        <is>
          <t>LP Original Commitments</t>
        </is>
      </c>
      <c r="Y63" s="60" t="inlineStr">
        <is>
          <t>2019 Y</t>
        </is>
      </c>
      <c r="Z63" s="61" t="inlineStr">
        <is>
          <t>100M - 249M</t>
        </is>
      </c>
      <c r="AA63" s="62" t="inlineStr">
        <is>
          <t>MK Capital</t>
        </is>
      </c>
      <c r="AB63" s="63" t="inlineStr">
        <is>
          <t>Deerfield, IL</t>
        </is>
      </c>
      <c r="AC63" s="64" t="inlineStr">
        <is>
          <t>Software</t>
        </is>
      </c>
      <c r="AD63" s="65" t="inlineStr">
        <is>
          <t>Seed Round, Early Stage VC, Later Stage VC</t>
        </is>
      </c>
      <c r="AE63" s="66" t="inlineStr">
        <is>
          <t/>
        </is>
      </c>
      <c r="AF63" s="67" t="inlineStr">
        <is>
          <t>Connecticut State Employees Retirement System</t>
        </is>
      </c>
      <c r="AG63" s="232">
        <f>HYPERLINK("https://my.pitchbook.com?i=11247-85", "View Investor Online")</f>
      </c>
    </row>
    <row r="64">
      <c r="A64" s="69" t="inlineStr">
        <is>
          <t>14716-09F</t>
        </is>
      </c>
      <c r="B64" s="70" t="inlineStr">
        <is>
          <t>DCM Ventures China Turbo Fund</t>
        </is>
      </c>
      <c r="C64" s="71" t="inlineStr">
        <is>
          <t/>
        </is>
      </c>
      <c r="D64" s="72" t="inlineStr">
        <is>
          <t>Venture Capital</t>
        </is>
      </c>
      <c r="E64" s="73" t="n">
        <v>181.82</v>
      </c>
      <c r="F64" s="74" t="inlineStr">
        <is>
          <t>Beijing, China</t>
        </is>
      </c>
      <c r="G64" s="75" t="inlineStr">
        <is>
          <t/>
        </is>
      </c>
      <c r="H64" s="76" t="n">
        <v>2014.0</v>
      </c>
      <c r="I64" s="77" t="n">
        <v>100.0</v>
      </c>
      <c r="J64" s="78" t="n">
        <v>181.82</v>
      </c>
      <c r="K64" s="79" t="n">
        <v>0.0</v>
      </c>
      <c r="L64" s="80" t="n">
        <v>0.0</v>
      </c>
      <c r="M64" s="81" t="n">
        <v>293.55665454545453</v>
      </c>
      <c r="N64" s="82" t="n">
        <v>14.3</v>
      </c>
      <c r="O64" s="83" t="inlineStr">
        <is>
          <t/>
        </is>
      </c>
      <c r="P64" s="84" t="inlineStr">
        <is>
          <t/>
        </is>
      </c>
      <c r="Q64" s="85" t="n">
        <v>0.0</v>
      </c>
      <c r="R64" s="86" t="inlineStr">
        <is>
          <t/>
        </is>
      </c>
      <c r="S64" s="87" t="n">
        <v>1.61</v>
      </c>
      <c r="T64" s="88" t="inlineStr">
        <is>
          <t/>
        </is>
      </c>
      <c r="U64" s="89" t="n">
        <v>1.61</v>
      </c>
      <c r="V64" s="90" t="inlineStr">
        <is>
          <t/>
        </is>
      </c>
      <c r="W64" s="91" t="inlineStr">
        <is>
          <t/>
        </is>
      </c>
      <c r="X64" s="92" t="inlineStr">
        <is>
          <t>LP Original Commitments</t>
        </is>
      </c>
      <c r="Y64" s="93" t="inlineStr">
        <is>
          <t>2019 Y</t>
        </is>
      </c>
      <c r="Z64" s="94" t="inlineStr">
        <is>
          <t>100M - 249M</t>
        </is>
      </c>
      <c r="AA64" s="95" t="inlineStr">
        <is>
          <t>DCM Ventures</t>
        </is>
      </c>
      <c r="AB64" s="96" t="inlineStr">
        <is>
          <t>Menlo Park, CA</t>
        </is>
      </c>
      <c r="AC64" s="97" t="inlineStr">
        <is>
          <t>Software</t>
        </is>
      </c>
      <c r="AD64" s="98" t="inlineStr">
        <is>
          <t>Seed Round, Early Stage VC, Later Stage VC</t>
        </is>
      </c>
      <c r="AE64" s="99" t="inlineStr">
        <is>
          <t>Mainland China</t>
        </is>
      </c>
      <c r="AF64" s="100" t="inlineStr">
        <is>
          <t>SFERS</t>
        </is>
      </c>
      <c r="AG64" s="233">
        <f>HYPERLINK("https://my.pitchbook.com?i=11165-50", "View Investor Online")</f>
      </c>
    </row>
    <row r="65">
      <c r="A65" s="36" t="inlineStr">
        <is>
          <t>12661-93F</t>
        </is>
      </c>
      <c r="B65" s="37" t="inlineStr">
        <is>
          <t>GRP III</t>
        </is>
      </c>
      <c r="C65" s="38" t="inlineStr">
        <is>
          <t/>
        </is>
      </c>
      <c r="D65" s="39" t="inlineStr">
        <is>
          <t>Venture Capital</t>
        </is>
      </c>
      <c r="E65" s="40" t="n">
        <v>178.4</v>
      </c>
      <c r="F65" s="41" t="inlineStr">
        <is>
          <t>Santa Monica, CA</t>
        </is>
      </c>
      <c r="G65" s="42" t="n">
        <v>3.0</v>
      </c>
      <c r="H65" s="43" t="n">
        <v>2009.0</v>
      </c>
      <c r="I65" s="44" t="n">
        <v>100.0</v>
      </c>
      <c r="J65" s="45" t="n">
        <v>220.01968468394307</v>
      </c>
      <c r="K65" s="46" t="n">
        <v>0.0</v>
      </c>
      <c r="L65" s="47" t="n">
        <v>130.0187148078633</v>
      </c>
      <c r="M65" s="48" t="n">
        <v>220.1162147255425</v>
      </c>
      <c r="N65" s="49" t="n">
        <v>8.7</v>
      </c>
      <c r="O65" s="50" t="inlineStr">
        <is>
          <t/>
        </is>
      </c>
      <c r="P65" s="51" t="n">
        <v>-1.4300000000000015</v>
      </c>
      <c r="Q65" s="52" t="n">
        <v>0.59</v>
      </c>
      <c r="R65" s="53" t="n">
        <v>0.0</v>
      </c>
      <c r="S65" s="54" t="n">
        <v>1.0</v>
      </c>
      <c r="T65" s="55" t="n">
        <v>0.3067</v>
      </c>
      <c r="U65" s="56" t="n">
        <v>1.5899999999999999</v>
      </c>
      <c r="V65" s="57" t="n">
        <v>-2.220446049250313E-16</v>
      </c>
      <c r="W65" s="58" t="inlineStr">
        <is>
          <t/>
        </is>
      </c>
      <c r="X65" s="59" t="inlineStr">
        <is>
          <t>LP Original Commitments</t>
        </is>
      </c>
      <c r="Y65" s="60" t="inlineStr">
        <is>
          <t>2019 Y</t>
        </is>
      </c>
      <c r="Z65" s="61" t="inlineStr">
        <is>
          <t>100M - 249M</t>
        </is>
      </c>
      <c r="AA65" s="62" t="inlineStr">
        <is>
          <t>Upfront Ventures</t>
        </is>
      </c>
      <c r="AB65" s="63" t="inlineStr">
        <is>
          <t>Santa Monica, CA</t>
        </is>
      </c>
      <c r="AC65" s="64" t="inlineStr">
        <is>
          <t>Software</t>
        </is>
      </c>
      <c r="AD65" s="65" t="inlineStr">
        <is>
          <t>Revolving Credit Line, Early Stage VC, Angel (individual), Seed Round</t>
        </is>
      </c>
      <c r="AE65" s="66" t="inlineStr">
        <is>
          <t>United States</t>
        </is>
      </c>
      <c r="AF65" s="67" t="inlineStr">
        <is>
          <t>CalPERS</t>
        </is>
      </c>
      <c r="AG65" s="232">
        <f>HYPERLINK("https://my.pitchbook.com?i=11201-59", "View Investor Online")</f>
      </c>
    </row>
    <row r="66">
      <c r="A66" s="69" t="inlineStr">
        <is>
          <t>13613-41F</t>
        </is>
      </c>
      <c r="B66" s="70" t="inlineStr">
        <is>
          <t>Mercury Fund Ventures III</t>
        </is>
      </c>
      <c r="C66" s="71" t="inlineStr">
        <is>
          <t/>
        </is>
      </c>
      <c r="D66" s="72" t="inlineStr">
        <is>
          <t>Venture Capital - Early Stage</t>
        </is>
      </c>
      <c r="E66" s="73" t="n">
        <v>105.0</v>
      </c>
      <c r="F66" s="74" t="inlineStr">
        <is>
          <t>Houston, TX</t>
        </is>
      </c>
      <c r="G66" s="75" t="inlineStr">
        <is>
          <t/>
        </is>
      </c>
      <c r="H66" s="76" t="n">
        <v>2013.0</v>
      </c>
      <c r="I66" s="77" t="n">
        <v>89.871479</v>
      </c>
      <c r="J66" s="78" t="n">
        <v>94.36505294999999</v>
      </c>
      <c r="K66" s="79" t="n">
        <v>0.0</v>
      </c>
      <c r="L66" s="80" t="n">
        <v>18.53059215</v>
      </c>
      <c r="M66" s="81" t="n">
        <v>126.3544716</v>
      </c>
      <c r="N66" s="82" t="n">
        <v>12.56</v>
      </c>
      <c r="O66" s="83" t="inlineStr">
        <is>
          <t/>
        </is>
      </c>
      <c r="P66" s="84" t="inlineStr">
        <is>
          <t/>
        </is>
      </c>
      <c r="Q66" s="85" t="n">
        <v>0.196371343</v>
      </c>
      <c r="R66" s="86" t="n">
        <v>0.131611343</v>
      </c>
      <c r="S66" s="87" t="n">
        <v>1.338996457</v>
      </c>
      <c r="T66" s="88" t="n">
        <v>-3.543000000050256E-6</v>
      </c>
      <c r="U66" s="89" t="n">
        <v>1.54</v>
      </c>
      <c r="V66" s="90" t="n">
        <v>0.15000000000000013</v>
      </c>
      <c r="W66" s="91" t="inlineStr">
        <is>
          <t/>
        </is>
      </c>
      <c r="X66" s="92" t="inlineStr">
        <is>
          <t>GP Self Reporting</t>
        </is>
      </c>
      <c r="Y66" s="93" t="inlineStr">
        <is>
          <t>2019 Y</t>
        </is>
      </c>
      <c r="Z66" s="94" t="inlineStr">
        <is>
          <t>100M - 249M</t>
        </is>
      </c>
      <c r="AA66" s="95" t="inlineStr">
        <is>
          <t>Mercury Fund</t>
        </is>
      </c>
      <c r="AB66" s="96" t="inlineStr">
        <is>
          <t>Houston, TX</t>
        </is>
      </c>
      <c r="AC66" s="97" t="inlineStr">
        <is>
          <t>Software</t>
        </is>
      </c>
      <c r="AD66" s="98" t="inlineStr">
        <is>
          <t>Seed Round, Early Stage VC</t>
        </is>
      </c>
      <c r="AE66" s="99" t="inlineStr">
        <is>
          <t/>
        </is>
      </c>
      <c r="AF66" s="100" t="inlineStr">
        <is>
          <t>Mercury</t>
        </is>
      </c>
      <c r="AG66" s="233">
        <f>HYPERLINK("https://my.pitchbook.com?i=11170-09", "View Investor Online")</f>
      </c>
    </row>
    <row r="67">
      <c r="A67" s="36" t="inlineStr">
        <is>
          <t>14585-68F</t>
        </is>
      </c>
      <c r="B67" s="37" t="inlineStr">
        <is>
          <t>FirstMark Capital Opportunity Fund I</t>
        </is>
      </c>
      <c r="C67" s="38" t="inlineStr">
        <is>
          <t/>
        </is>
      </c>
      <c r="D67" s="39" t="inlineStr">
        <is>
          <t>Venture Capital</t>
        </is>
      </c>
      <c r="E67" s="40" t="n">
        <v>150.0</v>
      </c>
      <c r="F67" s="41" t="inlineStr">
        <is>
          <t>New York, NY</t>
        </is>
      </c>
      <c r="G67" s="42" t="inlineStr">
        <is>
          <t/>
        </is>
      </c>
      <c r="H67" s="43" t="n">
        <v>2014.0</v>
      </c>
      <c r="I67" s="44" t="n">
        <v>100.0</v>
      </c>
      <c r="J67" s="45" t="n">
        <v>154.5</v>
      </c>
      <c r="K67" s="46" t="n">
        <v>0.0</v>
      </c>
      <c r="L67" s="47" t="n">
        <v>50.65428</v>
      </c>
      <c r="M67" s="48" t="n">
        <v>185.5971</v>
      </c>
      <c r="N67" s="49" t="inlineStr">
        <is>
          <t/>
        </is>
      </c>
      <c r="O67" s="50" t="inlineStr">
        <is>
          <t/>
        </is>
      </c>
      <c r="P67" s="51" t="inlineStr">
        <is>
          <t/>
        </is>
      </c>
      <c r="Q67" s="52" t="n">
        <v>0.33</v>
      </c>
      <c r="R67" s="53" t="n">
        <v>0.33</v>
      </c>
      <c r="S67" s="54" t="n">
        <v>1.2</v>
      </c>
      <c r="T67" s="55" t="n">
        <v>-0.040000000000000036</v>
      </c>
      <c r="U67" s="56" t="n">
        <v>1.53</v>
      </c>
      <c r="V67" s="57" t="n">
        <v>-0.05499999999999994</v>
      </c>
      <c r="W67" s="58" t="inlineStr">
        <is>
          <t/>
        </is>
      </c>
      <c r="X67" s="59" t="inlineStr">
        <is>
          <t>LP Original Commitments</t>
        </is>
      </c>
      <c r="Y67" s="60" t="inlineStr">
        <is>
          <t>2020 Y</t>
        </is>
      </c>
      <c r="Z67" s="61" t="inlineStr">
        <is>
          <t>100M - 249M</t>
        </is>
      </c>
      <c r="AA67" s="62" t="inlineStr">
        <is>
          <t>FirstMark Capital</t>
        </is>
      </c>
      <c r="AB67" s="63" t="inlineStr">
        <is>
          <t>New York, NY</t>
        </is>
      </c>
      <c r="AC67" s="64" t="inlineStr">
        <is>
          <t>Software</t>
        </is>
      </c>
      <c r="AD67" s="65" t="inlineStr">
        <is>
          <t>Seed Round, Early Stage VC, Later Stage VC</t>
        </is>
      </c>
      <c r="AE67" s="66" t="inlineStr">
        <is>
          <t/>
        </is>
      </c>
      <c r="AF67" s="67" t="inlineStr">
        <is>
          <t>Michigan Department of Treasury, OPPRS</t>
        </is>
      </c>
      <c r="AG67" s="232">
        <f>HYPERLINK("https://my.pitchbook.com?i=11270-53", "View Investor Online")</f>
      </c>
    </row>
    <row r="68">
      <c r="A68" s="69" t="inlineStr">
        <is>
          <t>14042-89F</t>
        </is>
      </c>
      <c r="B68" s="70" t="inlineStr">
        <is>
          <t>Rural Impulse Fund II</t>
        </is>
      </c>
      <c r="C68" s="71" t="inlineStr">
        <is>
          <t/>
        </is>
      </c>
      <c r="D68" s="72" t="inlineStr">
        <is>
          <t>Venture Capital</t>
        </is>
      </c>
      <c r="E68" s="73" t="n">
        <v>172.25771</v>
      </c>
      <c r="F68" s="74" t="inlineStr">
        <is>
          <t>Antwerp, Belgium</t>
        </is>
      </c>
      <c r="G68" s="75" t="n">
        <v>3.0</v>
      </c>
      <c r="H68" s="76" t="n">
        <v>2011.0</v>
      </c>
      <c r="I68" s="77" t="n">
        <v>46.46666666666667</v>
      </c>
      <c r="J68" s="78" t="n">
        <v>80.04241367496502</v>
      </c>
      <c r="K68" s="79" t="n">
        <v>0.0</v>
      </c>
      <c r="L68" s="80" t="inlineStr">
        <is>
          <t/>
        </is>
      </c>
      <c r="M68" s="81" t="n">
        <v>97.46238748700891</v>
      </c>
      <c r="N68" s="82" t="n">
        <v>9.2</v>
      </c>
      <c r="O68" s="83" t="inlineStr">
        <is>
          <t/>
        </is>
      </c>
      <c r="P68" s="84" t="n">
        <v>-4.525</v>
      </c>
      <c r="Q68" s="85" t="n">
        <v>0.27</v>
      </c>
      <c r="R68" s="86" t="n">
        <v>-0.44099999999999995</v>
      </c>
      <c r="S68" s="87" t="n">
        <v>1.25</v>
      </c>
      <c r="T68" s="88" t="n">
        <v>0.0</v>
      </c>
      <c r="U68" s="89" t="n">
        <v>1.52</v>
      </c>
      <c r="V68" s="90" t="n">
        <v>-0.43999999999999995</v>
      </c>
      <c r="W68" s="91" t="inlineStr">
        <is>
          <t/>
        </is>
      </c>
      <c r="X68" s="92" t="inlineStr">
        <is>
          <t>GP Self Reporting</t>
        </is>
      </c>
      <c r="Y68" s="93" t="inlineStr">
        <is>
          <t>2017 Y</t>
        </is>
      </c>
      <c r="Z68" s="94" t="inlineStr">
        <is>
          <t>100M - 249M</t>
        </is>
      </c>
      <c r="AA68" s="95" t="inlineStr">
        <is>
          <t>Incofin Investment Management</t>
        </is>
      </c>
      <c r="AB68" s="96" t="inlineStr">
        <is>
          <t>Antwerp, Belgium</t>
        </is>
      </c>
      <c r="AC68" s="97" t="inlineStr">
        <is>
          <t>Other Financial Services</t>
        </is>
      </c>
      <c r="AD68" s="98" t="inlineStr">
        <is>
          <t>Seed Round, Early Stage VC, Later Stage VC</t>
        </is>
      </c>
      <c r="AE68" s="99" t="inlineStr">
        <is>
          <t>Eastern Europe, Africa, Central America, Central Asia, Southeast Asia</t>
        </is>
      </c>
      <c r="AF68" s="100" t="inlineStr">
        <is>
          <t>Incofin IM, Incofin</t>
        </is>
      </c>
      <c r="AG68" s="233">
        <f>HYPERLINK("https://my.pitchbook.com?i=56267-92", "View Investor Online")</f>
      </c>
    </row>
    <row r="69">
      <c r="A69" s="36" t="inlineStr">
        <is>
          <t>15423-04F</t>
        </is>
      </c>
      <c r="B69" s="37" t="inlineStr">
        <is>
          <t>Harbert Growth Partners IV</t>
        </is>
      </c>
      <c r="C69" s="38" t="inlineStr">
        <is>
          <t>Harbert Venture Partners IV, L.P.</t>
        </is>
      </c>
      <c r="D69" s="39" t="inlineStr">
        <is>
          <t>Venture Capital - Later Stage</t>
        </is>
      </c>
      <c r="E69" s="40" t="n">
        <v>120.0</v>
      </c>
      <c r="F69" s="41" t="inlineStr">
        <is>
          <t>Richmond, VA</t>
        </is>
      </c>
      <c r="G69" s="42" t="inlineStr">
        <is>
          <t/>
        </is>
      </c>
      <c r="H69" s="43" t="n">
        <v>2016.0</v>
      </c>
      <c r="I69" s="44" t="n">
        <v>74.89166666666667</v>
      </c>
      <c r="J69" s="45" t="n">
        <v>89.87000000000002</v>
      </c>
      <c r="K69" s="46" t="n">
        <v>30.13</v>
      </c>
      <c r="L69" s="47" t="n">
        <v>58.071</v>
      </c>
      <c r="M69" s="48" t="n">
        <v>77.161067</v>
      </c>
      <c r="N69" s="49" t="n">
        <v>33.5</v>
      </c>
      <c r="O69" s="50" t="inlineStr">
        <is>
          <t/>
        </is>
      </c>
      <c r="P69" s="51" t="inlineStr">
        <is>
          <t/>
        </is>
      </c>
      <c r="Q69" s="52" t="n">
        <v>0.646166685</v>
      </c>
      <c r="R69" s="53" t="inlineStr">
        <is>
          <t/>
        </is>
      </c>
      <c r="S69" s="54" t="n">
        <v>0.858585368</v>
      </c>
      <c r="T69" s="55" t="inlineStr">
        <is>
          <t/>
        </is>
      </c>
      <c r="U69" s="56" t="n">
        <v>1.51</v>
      </c>
      <c r="V69" s="57" t="inlineStr">
        <is>
          <t/>
        </is>
      </c>
      <c r="W69" s="58" t="inlineStr">
        <is>
          <t/>
        </is>
      </c>
      <c r="X69" s="59" t="inlineStr">
        <is>
          <t>GP Self Reporting</t>
        </is>
      </c>
      <c r="Y69" s="60" t="inlineStr">
        <is>
          <t>2020 Y</t>
        </is>
      </c>
      <c r="Z69" s="61" t="inlineStr">
        <is>
          <t>100M - 249M</t>
        </is>
      </c>
      <c r="AA69" s="62" t="inlineStr">
        <is>
          <t>Harbert Growth Partners</t>
        </is>
      </c>
      <c r="AB69" s="63" t="inlineStr">
        <is>
          <t>Richmond, VA</t>
        </is>
      </c>
      <c r="AC69" s="64" t="inlineStr">
        <is>
          <t>Healthcare, Information Technology</t>
        </is>
      </c>
      <c r="AD69" s="65" t="inlineStr">
        <is>
          <t>Seed Round, Early Stage VC</t>
        </is>
      </c>
      <c r="AE69" s="66" t="inlineStr">
        <is>
          <t>United States</t>
        </is>
      </c>
      <c r="AF69" s="67" t="inlineStr">
        <is>
          <t>HGP</t>
        </is>
      </c>
      <c r="AG69" s="232">
        <f>HYPERLINK("https://my.pitchbook.com?i=62255-71", "View Investor Online")</f>
      </c>
    </row>
    <row r="70">
      <c r="A70" s="69" t="inlineStr">
        <is>
          <t>16347-88F</t>
        </is>
      </c>
      <c r="B70" s="70" t="inlineStr">
        <is>
          <t>Bracket Capital I</t>
        </is>
      </c>
      <c r="C70" s="71" t="inlineStr">
        <is>
          <t/>
        </is>
      </c>
      <c r="D70" s="72" t="inlineStr">
        <is>
          <t>Venture Capital</t>
        </is>
      </c>
      <c r="E70" s="73" t="n">
        <v>150.0</v>
      </c>
      <c r="F70" s="74" t="inlineStr">
        <is>
          <t>Beverly Hills, CA</t>
        </is>
      </c>
      <c r="G70" s="75" t="inlineStr">
        <is>
          <t/>
        </is>
      </c>
      <c r="H70" s="76" t="n">
        <v>2017.0</v>
      </c>
      <c r="I70" s="77" t="inlineStr">
        <is>
          <t/>
        </is>
      </c>
      <c r="J70" s="78" t="inlineStr">
        <is>
          <t/>
        </is>
      </c>
      <c r="K70" s="79" t="n">
        <v>48.71307692307691</v>
      </c>
      <c r="L70" s="80" t="inlineStr">
        <is>
          <t/>
        </is>
      </c>
      <c r="M70" s="81" t="inlineStr">
        <is>
          <t/>
        </is>
      </c>
      <c r="N70" s="82" t="inlineStr">
        <is>
          <t/>
        </is>
      </c>
      <c r="O70" s="83" t="inlineStr">
        <is>
          <t/>
        </is>
      </c>
      <c r="P70" s="84" t="inlineStr">
        <is>
          <t/>
        </is>
      </c>
      <c r="Q70" s="85" t="inlineStr">
        <is>
          <t/>
        </is>
      </c>
      <c r="R70" s="86" t="inlineStr">
        <is>
          <t/>
        </is>
      </c>
      <c r="S70" s="87" t="inlineStr">
        <is>
          <t/>
        </is>
      </c>
      <c r="T70" s="88" t="inlineStr">
        <is>
          <t/>
        </is>
      </c>
      <c r="U70" s="89" t="n">
        <v>1.5</v>
      </c>
      <c r="V70" s="90" t="n">
        <v>0.0</v>
      </c>
      <c r="W70" s="91" t="inlineStr">
        <is>
          <t/>
        </is>
      </c>
      <c r="X70" s="92" t="inlineStr">
        <is>
          <t>GP Self Reporting</t>
        </is>
      </c>
      <c r="Y70" s="93" t="inlineStr">
        <is>
          <t>2019 Y</t>
        </is>
      </c>
      <c r="Z70" s="94" t="inlineStr">
        <is>
          <t>100M - 249M</t>
        </is>
      </c>
      <c r="AA70" s="95" t="inlineStr">
        <is>
          <t>Bracket Capital</t>
        </is>
      </c>
      <c r="AB70" s="96" t="inlineStr">
        <is>
          <t>Beverly Hills, CA</t>
        </is>
      </c>
      <c r="AC70" s="97" t="inlineStr">
        <is>
          <t/>
        </is>
      </c>
      <c r="AD70" s="98" t="inlineStr">
        <is>
          <t>PE Growth/Expansion, Early Stage VC, Later Stage VC</t>
        </is>
      </c>
      <c r="AE70" s="99" t="inlineStr">
        <is>
          <t/>
        </is>
      </c>
      <c r="AF70" s="100" t="inlineStr">
        <is>
          <t>Bracket Capital</t>
        </is>
      </c>
      <c r="AG70" s="233">
        <f>HYPERLINK("https://my.pitchbook.com?i=185512-69", "View Investor Online")</f>
      </c>
    </row>
    <row r="71">
      <c r="A71" s="36" t="inlineStr">
        <is>
          <t>15671-53F</t>
        </is>
      </c>
      <c r="B71" s="37" t="inlineStr">
        <is>
          <t>True Ventures Select II</t>
        </is>
      </c>
      <c r="C71" s="38" t="inlineStr">
        <is>
          <t/>
        </is>
      </c>
      <c r="D71" s="39" t="inlineStr">
        <is>
          <t>Venture Capital</t>
        </is>
      </c>
      <c r="E71" s="40" t="n">
        <v>114.0</v>
      </c>
      <c r="F71" s="41" t="inlineStr">
        <is>
          <t>Palo Alto, CA</t>
        </is>
      </c>
      <c r="G71" s="42" t="n">
        <v>1.0</v>
      </c>
      <c r="H71" s="43" t="n">
        <v>2016.0</v>
      </c>
      <c r="I71" s="44" t="n">
        <v>100.0</v>
      </c>
      <c r="J71" s="45" t="n">
        <v>116.03571428571429</v>
      </c>
      <c r="K71" s="46" t="n">
        <v>36.15490848</v>
      </c>
      <c r="L71" s="47" t="n">
        <v>37.994684410714285</v>
      </c>
      <c r="M71" s="48" t="n">
        <v>133.11807075</v>
      </c>
      <c r="N71" s="49" t="n">
        <v>27.1</v>
      </c>
      <c r="O71" s="50" t="inlineStr">
        <is>
          <t/>
        </is>
      </c>
      <c r="P71" s="51" t="n">
        <v>15.55</v>
      </c>
      <c r="Q71" s="52" t="n">
        <v>0.33</v>
      </c>
      <c r="R71" s="53" t="n">
        <v>0.30148</v>
      </c>
      <c r="S71" s="54" t="n">
        <v>1.15</v>
      </c>
      <c r="T71" s="55" t="n">
        <v>0.03499999999999992</v>
      </c>
      <c r="U71" s="56" t="n">
        <v>1.48</v>
      </c>
      <c r="V71" s="57" t="n">
        <v>0.21999999999999997</v>
      </c>
      <c r="W71" s="58" t="inlineStr">
        <is>
          <t/>
        </is>
      </c>
      <c r="X71" s="59" t="inlineStr">
        <is>
          <t>GP Self Reporting, LP Original Commitments</t>
        </is>
      </c>
      <c r="Y71" s="60" t="inlineStr">
        <is>
          <t>2019 Y</t>
        </is>
      </c>
      <c r="Z71" s="61" t="inlineStr">
        <is>
          <t>100M - 249M</t>
        </is>
      </c>
      <c r="AA71" s="62" t="inlineStr">
        <is>
          <t>True Ventures</t>
        </is>
      </c>
      <c r="AB71" s="63" t="inlineStr">
        <is>
          <t>Palo Alto, CA</t>
        </is>
      </c>
      <c r="AC71" s="64" t="inlineStr">
        <is>
          <t>Software</t>
        </is>
      </c>
      <c r="AD71" s="65" t="inlineStr">
        <is>
          <t>Later Stage VC</t>
        </is>
      </c>
      <c r="AE71" s="66" t="inlineStr">
        <is>
          <t/>
        </is>
      </c>
      <c r="AF71" s="67" t="inlineStr">
        <is>
          <t>True, UTIMCO</t>
        </is>
      </c>
      <c r="AG71" s="232">
        <f>HYPERLINK("https://my.pitchbook.com?i=11321-29", "View Investor Online")</f>
      </c>
    </row>
    <row r="72">
      <c r="A72" s="69" t="inlineStr">
        <is>
          <t>15258-70F</t>
        </is>
      </c>
      <c r="B72" s="70" t="inlineStr">
        <is>
          <t>IDG Ventures India Fund III</t>
        </is>
      </c>
      <c r="C72" s="71" t="inlineStr">
        <is>
          <t/>
        </is>
      </c>
      <c r="D72" s="72" t="inlineStr">
        <is>
          <t>Venture Capital - Early Stage</t>
        </is>
      </c>
      <c r="E72" s="73" t="n">
        <v>208.0</v>
      </c>
      <c r="F72" s="74" t="inlineStr">
        <is>
          <t>Bangalore, India</t>
        </is>
      </c>
      <c r="G72" s="75" t="inlineStr">
        <is>
          <t/>
        </is>
      </c>
      <c r="H72" s="76" t="n">
        <v>2016.0</v>
      </c>
      <c r="I72" s="77" t="n">
        <v>88.62516298076922</v>
      </c>
      <c r="J72" s="78" t="n">
        <v>184.340339</v>
      </c>
      <c r="K72" s="79" t="n">
        <v>23.659661</v>
      </c>
      <c r="L72" s="80" t="n">
        <v>0.0</v>
      </c>
      <c r="M72" s="81" t="n">
        <v>270.829724</v>
      </c>
      <c r="N72" s="82" t="n">
        <v>15.9</v>
      </c>
      <c r="O72" s="83" t="inlineStr">
        <is>
          <t/>
        </is>
      </c>
      <c r="P72" s="84" t="inlineStr">
        <is>
          <t/>
        </is>
      </c>
      <c r="Q72" s="85" t="n">
        <v>0.0</v>
      </c>
      <c r="R72" s="86" t="inlineStr">
        <is>
          <t/>
        </is>
      </c>
      <c r="S72" s="87" t="n">
        <v>1.469183172</v>
      </c>
      <c r="T72" s="88" t="inlineStr">
        <is>
          <t/>
        </is>
      </c>
      <c r="U72" s="89" t="n">
        <v>1.47</v>
      </c>
      <c r="V72" s="90" t="inlineStr">
        <is>
          <t/>
        </is>
      </c>
      <c r="W72" s="91" t="inlineStr">
        <is>
          <t/>
        </is>
      </c>
      <c r="X72" s="92" t="inlineStr">
        <is>
          <t>GP Self Reporting</t>
        </is>
      </c>
      <c r="Y72" s="93" t="inlineStr">
        <is>
          <t>2020 Y</t>
        </is>
      </c>
      <c r="Z72" s="94" t="inlineStr">
        <is>
          <t>100M - 249M</t>
        </is>
      </c>
      <c r="AA72" s="95" t="inlineStr">
        <is>
          <t>Chiratae Ventures India Advisors</t>
        </is>
      </c>
      <c r="AB72" s="96" t="inlineStr">
        <is>
          <t>Bangalore, India</t>
        </is>
      </c>
      <c r="AC72" s="97" t="inlineStr">
        <is>
          <t>Consumer Products and Services (B2C), Software</t>
        </is>
      </c>
      <c r="AD72" s="98" t="inlineStr">
        <is>
          <t>Early Stage VC</t>
        </is>
      </c>
      <c r="AE72" s="99" t="inlineStr">
        <is>
          <t>India</t>
        </is>
      </c>
      <c r="AF72" s="100" t="inlineStr">
        <is>
          <t>Chiratae, Chiratae Ventures</t>
        </is>
      </c>
      <c r="AG72" s="233">
        <f>HYPERLINK("https://my.pitchbook.com?i=55961-83", "View Investor Online")</f>
      </c>
    </row>
    <row r="73">
      <c r="A73" s="36" t="inlineStr">
        <is>
          <t>14799-88F</t>
        </is>
      </c>
      <c r="B73" s="37" t="inlineStr">
        <is>
          <t>Presidio Partners 2014</t>
        </is>
      </c>
      <c r="C73" s="38" t="inlineStr">
        <is>
          <t/>
        </is>
      </c>
      <c r="D73" s="39" t="inlineStr">
        <is>
          <t>Venture Capital</t>
        </is>
      </c>
      <c r="E73" s="40" t="n">
        <v>142.0</v>
      </c>
      <c r="F73" s="41" t="inlineStr">
        <is>
          <t>San Francisco, CA</t>
        </is>
      </c>
      <c r="G73" s="42" t="n">
        <v>1.0</v>
      </c>
      <c r="H73" s="43" t="n">
        <v>2014.0</v>
      </c>
      <c r="I73" s="44" t="n">
        <v>96.92772323943663</v>
      </c>
      <c r="J73" s="45" t="n">
        <v>137.637367</v>
      </c>
      <c r="K73" s="46" t="n">
        <v>0.355</v>
      </c>
      <c r="L73" s="47" t="n">
        <v>117.24045300000002</v>
      </c>
      <c r="M73" s="48" t="n">
        <v>83.630356</v>
      </c>
      <c r="N73" s="49" t="n">
        <v>41.59</v>
      </c>
      <c r="O73" s="50" t="inlineStr">
        <is>
          <t/>
        </is>
      </c>
      <c r="P73" s="51" t="n">
        <v>20.210000000000004</v>
      </c>
      <c r="Q73" s="52" t="n">
        <v>0.85</v>
      </c>
      <c r="R73" s="53" t="n">
        <v>0.85</v>
      </c>
      <c r="S73" s="54" t="n">
        <v>0.61</v>
      </c>
      <c r="T73" s="55" t="n">
        <v>-0.63</v>
      </c>
      <c r="U73" s="56" t="n">
        <v>1.46</v>
      </c>
      <c r="V73" s="57" t="n">
        <v>-0.125</v>
      </c>
      <c r="W73" s="58" t="inlineStr">
        <is>
          <t/>
        </is>
      </c>
      <c r="X73" s="59" t="inlineStr">
        <is>
          <t>GP Self Reporting</t>
        </is>
      </c>
      <c r="Y73" s="60" t="inlineStr">
        <is>
          <t>2016 Y</t>
        </is>
      </c>
      <c r="Z73" s="61" t="inlineStr">
        <is>
          <t>100M - 249M</t>
        </is>
      </c>
      <c r="AA73" s="62" t="inlineStr">
        <is>
          <t>Presidio Partners</t>
        </is>
      </c>
      <c r="AB73" s="63" t="inlineStr">
        <is>
          <t>San Francisco, CA</t>
        </is>
      </c>
      <c r="AC73" s="64" t="inlineStr">
        <is>
          <t>Apparel and Accessories</t>
        </is>
      </c>
      <c r="AD73" s="65" t="inlineStr">
        <is>
          <t>Later Stage VC, Early Stage VC, Seed Round</t>
        </is>
      </c>
      <c r="AE73" s="66" t="inlineStr">
        <is>
          <t/>
        </is>
      </c>
      <c r="AF73" s="67" t="inlineStr">
        <is>
          <t>Presidio</t>
        </is>
      </c>
      <c r="AG73" s="232">
        <f>HYPERLINK("https://my.pitchbook.com?i=11149-21", "View Investor Online")</f>
      </c>
    </row>
    <row r="74">
      <c r="A74" s="69" t="inlineStr">
        <is>
          <t>15350-32F</t>
        </is>
      </c>
      <c r="B74" s="70" t="inlineStr">
        <is>
          <t>Silicon Valley Bank Venture Overage Fund</t>
        </is>
      </c>
      <c r="C74" s="71" t="inlineStr">
        <is>
          <t/>
        </is>
      </c>
      <c r="D74" s="72" t="inlineStr">
        <is>
          <t>Venture Capital</t>
        </is>
      </c>
      <c r="E74" s="73" t="n">
        <v>125.0</v>
      </c>
      <c r="F74" s="74" t="inlineStr">
        <is>
          <t>Santa Clara, CA</t>
        </is>
      </c>
      <c r="G74" s="75" t="n">
        <v>3.0</v>
      </c>
      <c r="H74" s="76" t="n">
        <v>2015.0</v>
      </c>
      <c r="I74" s="77" t="n">
        <v>76.43644215986396</v>
      </c>
      <c r="J74" s="78" t="n">
        <v>95.54555269982995</v>
      </c>
      <c r="K74" s="79" t="n">
        <v>29.727223650085016</v>
      </c>
      <c r="L74" s="80" t="n">
        <v>1.3049919376852381</v>
      </c>
      <c r="M74" s="81" t="n">
        <v>138.51505206037893</v>
      </c>
      <c r="N74" s="82" t="n">
        <v>9.5</v>
      </c>
      <c r="O74" s="83" t="inlineStr">
        <is>
          <t/>
        </is>
      </c>
      <c r="P74" s="84" t="n">
        <v>-0.14499999999999957</v>
      </c>
      <c r="Q74" s="85" t="n">
        <v>0.01</v>
      </c>
      <c r="R74" s="86" t="n">
        <v>0.005</v>
      </c>
      <c r="S74" s="87" t="n">
        <v>1.45</v>
      </c>
      <c r="T74" s="88" t="n">
        <v>0.26</v>
      </c>
      <c r="U74" s="89" t="n">
        <v>1.46</v>
      </c>
      <c r="V74" s="90" t="n">
        <v>0.16500000000000004</v>
      </c>
      <c r="W74" s="91" t="inlineStr">
        <is>
          <t/>
        </is>
      </c>
      <c r="X74" s="92" t="inlineStr">
        <is>
          <t>LP Original Commitments</t>
        </is>
      </c>
      <c r="Y74" s="93" t="inlineStr">
        <is>
          <t>2019 Y</t>
        </is>
      </c>
      <c r="Z74" s="94" t="inlineStr">
        <is>
          <t>100M - 249M</t>
        </is>
      </c>
      <c r="AA74" s="95" t="inlineStr">
        <is>
          <t>Silicon Valley Bank</t>
        </is>
      </c>
      <c r="AB74" s="96" t="inlineStr">
        <is>
          <t>Santa Clara, CA</t>
        </is>
      </c>
      <c r="AC74" s="97" t="inlineStr">
        <is>
          <t>Software</t>
        </is>
      </c>
      <c r="AD74" s="98" t="inlineStr">
        <is>
          <t>Seed Round, Early Stage VC, Later Stage VC</t>
        </is>
      </c>
      <c r="AE74" s="99" t="inlineStr">
        <is>
          <t/>
        </is>
      </c>
      <c r="AF74" s="100" t="inlineStr">
        <is>
          <t>FSBA</t>
        </is>
      </c>
      <c r="AG74" s="233">
        <f>HYPERLINK("https://my.pitchbook.com?i=10463-23", "View Investor Online")</f>
      </c>
    </row>
    <row r="75">
      <c r="A75" s="36" t="inlineStr">
        <is>
          <t>14775-04F</t>
        </is>
      </c>
      <c r="B75" s="37" t="inlineStr">
        <is>
          <t>Storm Ventures Fund V</t>
        </is>
      </c>
      <c r="C75" s="38" t="inlineStr">
        <is>
          <t/>
        </is>
      </c>
      <c r="D75" s="39" t="inlineStr">
        <is>
          <t>Venture Capital</t>
        </is>
      </c>
      <c r="E75" s="40" t="n">
        <v>180.0</v>
      </c>
      <c r="F75" s="41" t="inlineStr">
        <is>
          <t>Menlo Park, CA</t>
        </is>
      </c>
      <c r="G75" s="42" t="n">
        <v>2.0</v>
      </c>
      <c r="H75" s="43" t="n">
        <v>2015.0</v>
      </c>
      <c r="I75" s="44" t="n">
        <v>75.33333333333333</v>
      </c>
      <c r="J75" s="45" t="n">
        <v>135.6</v>
      </c>
      <c r="K75" s="46" t="n">
        <v>0.0</v>
      </c>
      <c r="L75" s="47" t="n">
        <v>5.9</v>
      </c>
      <c r="M75" s="48" t="n">
        <v>191.9</v>
      </c>
      <c r="N75" s="49" t="n">
        <v>11.99</v>
      </c>
      <c r="O75" s="50" t="inlineStr">
        <is>
          <t/>
        </is>
      </c>
      <c r="P75" s="51" t="n">
        <v>2.3450000000000006</v>
      </c>
      <c r="Q75" s="52" t="n">
        <v>0.04</v>
      </c>
      <c r="R75" s="53" t="n">
        <v>0.035</v>
      </c>
      <c r="S75" s="54" t="n">
        <v>1.42</v>
      </c>
      <c r="T75" s="55" t="n">
        <v>0.22999999999999998</v>
      </c>
      <c r="U75" s="56" t="n">
        <v>1.46</v>
      </c>
      <c r="V75" s="57" t="n">
        <v>0.16500000000000004</v>
      </c>
      <c r="W75" s="58" t="inlineStr">
        <is>
          <t/>
        </is>
      </c>
      <c r="X75" s="59" t="inlineStr">
        <is>
          <t>GP Self Reporting</t>
        </is>
      </c>
      <c r="Y75" s="60" t="inlineStr">
        <is>
          <t>2020 Y</t>
        </is>
      </c>
      <c r="Z75" s="61" t="inlineStr">
        <is>
          <t>100M - 249M</t>
        </is>
      </c>
      <c r="AA75" s="62" t="inlineStr">
        <is>
          <t>Storm Ventures</t>
        </is>
      </c>
      <c r="AB75" s="63" t="inlineStr">
        <is>
          <t>Menlo Park, CA</t>
        </is>
      </c>
      <c r="AC75" s="64" t="inlineStr">
        <is>
          <t>Software</t>
        </is>
      </c>
      <c r="AD75" s="65" t="inlineStr">
        <is>
          <t>Seed Round, Early Stage VC, Later Stage VC</t>
        </is>
      </c>
      <c r="AE75" s="66" t="inlineStr">
        <is>
          <t/>
        </is>
      </c>
      <c r="AF75" s="67" t="inlineStr">
        <is>
          <t>Storm</t>
        </is>
      </c>
      <c r="AG75" s="232">
        <f>HYPERLINK("https://my.pitchbook.com?i=11307-34", "View Investor Online")</f>
      </c>
    </row>
    <row r="76">
      <c r="A76" s="69" t="inlineStr">
        <is>
          <t>15236-74F</t>
        </is>
      </c>
      <c r="B76" s="70" t="inlineStr">
        <is>
          <t>Amplify Partners II</t>
        </is>
      </c>
      <c r="C76" s="71" t="inlineStr">
        <is>
          <t/>
        </is>
      </c>
      <c r="D76" s="72" t="inlineStr">
        <is>
          <t>Venture Capital</t>
        </is>
      </c>
      <c r="E76" s="73" t="n">
        <v>125.0</v>
      </c>
      <c r="F76" s="74" t="inlineStr">
        <is>
          <t>Menlo Park, CA</t>
        </is>
      </c>
      <c r="G76" s="75" t="n">
        <v>1.0</v>
      </c>
      <c r="H76" s="76" t="n">
        <v>2015.0</v>
      </c>
      <c r="I76" s="77" t="n">
        <v>80.0</v>
      </c>
      <c r="J76" s="78" t="n">
        <v>100.0</v>
      </c>
      <c r="K76" s="79" t="n">
        <v>29.727223650085016</v>
      </c>
      <c r="L76" s="80" t="n">
        <v>0.0</v>
      </c>
      <c r="M76" s="81" t="n">
        <v>142.6650694444444</v>
      </c>
      <c r="N76" s="82" t="n">
        <v>15.5</v>
      </c>
      <c r="O76" s="83" t="inlineStr">
        <is>
          <t/>
        </is>
      </c>
      <c r="P76" s="84" t="n">
        <v>5.855</v>
      </c>
      <c r="Q76" s="85" t="n">
        <v>0.0</v>
      </c>
      <c r="R76" s="86" t="n">
        <v>-0.005</v>
      </c>
      <c r="S76" s="87" t="n">
        <v>1.43</v>
      </c>
      <c r="T76" s="88" t="n">
        <v>0.24</v>
      </c>
      <c r="U76" s="89" t="n">
        <v>1.43</v>
      </c>
      <c r="V76" s="90" t="n">
        <v>0.135</v>
      </c>
      <c r="W76" s="91" t="inlineStr">
        <is>
          <t/>
        </is>
      </c>
      <c r="X76" s="92" t="inlineStr">
        <is>
          <t>LP Original Commitments</t>
        </is>
      </c>
      <c r="Y76" s="93" t="inlineStr">
        <is>
          <t>2019 Y</t>
        </is>
      </c>
      <c r="Z76" s="94" t="inlineStr">
        <is>
          <t>100M - 249M</t>
        </is>
      </c>
      <c r="AA76" s="95" t="inlineStr">
        <is>
          <t>Amplify Partners</t>
        </is>
      </c>
      <c r="AB76" s="96" t="inlineStr">
        <is>
          <t>Menlo Park, CA</t>
        </is>
      </c>
      <c r="AC76" s="97" t="inlineStr">
        <is>
          <t>Software</t>
        </is>
      </c>
      <c r="AD76" s="98" t="inlineStr">
        <is>
          <t>Seed Round, Early Stage VC, Later Stage VC</t>
        </is>
      </c>
      <c r="AE76" s="99" t="inlineStr">
        <is>
          <t/>
        </is>
      </c>
      <c r="AF76" s="100" t="inlineStr">
        <is>
          <t>SDCERS</t>
        </is>
      </c>
      <c r="AG76" s="233">
        <f>HYPERLINK("https://my.pitchbook.com?i=55612-00", "View Investor Online")</f>
      </c>
    </row>
    <row r="77">
      <c r="A77" s="36" t="inlineStr">
        <is>
          <t>13606-39F</t>
        </is>
      </c>
      <c r="B77" s="37" t="inlineStr">
        <is>
          <t>HV Holtzbrinck Ventures Fund V</t>
        </is>
      </c>
      <c r="C77" s="38" t="inlineStr">
        <is>
          <t/>
        </is>
      </c>
      <c r="D77" s="39" t="inlineStr">
        <is>
          <t>Venture Capital</t>
        </is>
      </c>
      <c r="E77" s="40" t="n">
        <v>230.35277</v>
      </c>
      <c r="F77" s="41" t="inlineStr">
        <is>
          <t>Berlin, Germany</t>
        </is>
      </c>
      <c r="G77" s="42" t="inlineStr">
        <is>
          <t/>
        </is>
      </c>
      <c r="H77" s="43" t="n">
        <v>2012.0</v>
      </c>
      <c r="I77" s="44" t="n">
        <v>100.0</v>
      </c>
      <c r="J77" s="45" t="n">
        <v>232.76587589235226</v>
      </c>
      <c r="K77" s="46" t="n">
        <v>0.0</v>
      </c>
      <c r="L77" s="47" t="n">
        <v>72.4799850433097</v>
      </c>
      <c r="M77" s="48" t="n">
        <v>257.2218965362272</v>
      </c>
      <c r="N77" s="49" t="n">
        <v>10.4</v>
      </c>
      <c r="O77" s="50" t="inlineStr">
        <is>
          <t/>
        </is>
      </c>
      <c r="P77" s="51" t="inlineStr">
        <is>
          <t/>
        </is>
      </c>
      <c r="Q77" s="52" t="n">
        <v>0.31</v>
      </c>
      <c r="R77" s="53" t="inlineStr">
        <is>
          <t/>
        </is>
      </c>
      <c r="S77" s="54" t="n">
        <v>1.11</v>
      </c>
      <c r="T77" s="55" t="inlineStr">
        <is>
          <t/>
        </is>
      </c>
      <c r="U77" s="56" t="n">
        <v>1.4200000000000002</v>
      </c>
      <c r="V77" s="57" t="inlineStr">
        <is>
          <t/>
        </is>
      </c>
      <c r="W77" s="58" t="inlineStr">
        <is>
          <t/>
        </is>
      </c>
      <c r="X77" s="59" t="inlineStr">
        <is>
          <t>LP Original Commitments</t>
        </is>
      </c>
      <c r="Y77" s="60" t="inlineStr">
        <is>
          <t>2018 Y</t>
        </is>
      </c>
      <c r="Z77" s="61" t="inlineStr">
        <is>
          <t>100M - 249M</t>
        </is>
      </c>
      <c r="AA77" s="62" t="inlineStr">
        <is>
          <t>HV Holtzbrinck Ventures</t>
        </is>
      </c>
      <c r="AB77" s="63" t="inlineStr">
        <is>
          <t>Munich, Germany</t>
        </is>
      </c>
      <c r="AC77" s="64" t="inlineStr">
        <is>
          <t>Software</t>
        </is>
      </c>
      <c r="AD77" s="65" t="inlineStr">
        <is>
          <t>Seed Round, Early Stage VC, Later Stage VC</t>
        </is>
      </c>
      <c r="AE77" s="66" t="inlineStr">
        <is>
          <t>Germany, Austria, Liechtenstein, Luxembourg, Switzerland, Belgium</t>
        </is>
      </c>
      <c r="AF77" s="67" t="inlineStr">
        <is>
          <t>ARMB, IPERS, NVPERS</t>
        </is>
      </c>
      <c r="AG77" s="232">
        <f>HYPERLINK("https://my.pitchbook.com?i=51189-94", "View Investor Online")</f>
      </c>
    </row>
    <row r="78">
      <c r="A78" s="69" t="inlineStr">
        <is>
          <t>16544-98F</t>
        </is>
      </c>
      <c r="B78" s="70" t="inlineStr">
        <is>
          <t>Dawn Opportunies Fund</t>
        </is>
      </c>
      <c r="C78" s="71" t="inlineStr">
        <is>
          <t/>
        </is>
      </c>
      <c r="D78" s="72" t="inlineStr">
        <is>
          <t>Venture Capital - Later Stage</t>
        </is>
      </c>
      <c r="E78" s="73" t="n">
        <v>127.51185</v>
      </c>
      <c r="F78" s="74" t="inlineStr">
        <is>
          <t>London, United Kingdom</t>
        </is>
      </c>
      <c r="G78" s="75" t="inlineStr">
        <is>
          <t/>
        </is>
      </c>
      <c r="H78" s="76" t="n">
        <v>2019.0</v>
      </c>
      <c r="I78" s="77" t="n">
        <v>63.79877040816327</v>
      </c>
      <c r="J78" s="78" t="n">
        <v>81.3509945924565</v>
      </c>
      <c r="K78" s="79" t="n">
        <v>46.16085757529847</v>
      </c>
      <c r="L78" s="80" t="n">
        <v>0.0</v>
      </c>
      <c r="M78" s="81" t="n">
        <v>114.3576850613358</v>
      </c>
      <c r="N78" s="82" t="n">
        <v>48.1</v>
      </c>
      <c r="O78" s="83" t="inlineStr">
        <is>
          <t/>
        </is>
      </c>
      <c r="P78" s="84" t="inlineStr">
        <is>
          <t/>
        </is>
      </c>
      <c r="Q78" s="85" t="n">
        <v>0.0</v>
      </c>
      <c r="R78" s="86" t="inlineStr">
        <is>
          <t/>
        </is>
      </c>
      <c r="S78" s="87" t="n">
        <v>1.405731861</v>
      </c>
      <c r="T78" s="88" t="inlineStr">
        <is>
          <t/>
        </is>
      </c>
      <c r="U78" s="89" t="n">
        <v>1.41</v>
      </c>
      <c r="V78" s="90" t="inlineStr">
        <is>
          <t/>
        </is>
      </c>
      <c r="W78" s="91" t="inlineStr">
        <is>
          <t/>
        </is>
      </c>
      <c r="X78" s="92" t="inlineStr">
        <is>
          <t>GP Self Reporting</t>
        </is>
      </c>
      <c r="Y78" s="93" t="inlineStr">
        <is>
          <t>2020 Y</t>
        </is>
      </c>
      <c r="Z78" s="94" t="inlineStr">
        <is>
          <t>100M - 249M</t>
        </is>
      </c>
      <c r="AA78" s="95" t="inlineStr">
        <is>
          <t>Dawn Capital</t>
        </is>
      </c>
      <c r="AB78" s="96" t="inlineStr">
        <is>
          <t>London, United Kingdom</t>
        </is>
      </c>
      <c r="AC78" s="97" t="inlineStr">
        <is>
          <t>Information Technology, Business Products and Services (B2B)</t>
        </is>
      </c>
      <c r="AD78" s="98" t="inlineStr">
        <is>
          <t>Later Stage VC</t>
        </is>
      </c>
      <c r="AE78" s="99" t="inlineStr">
        <is>
          <t>Europe</t>
        </is>
      </c>
      <c r="AF78" s="100" t="inlineStr">
        <is>
          <t>Dawn</t>
        </is>
      </c>
      <c r="AG78" s="233">
        <f>HYPERLINK("https://my.pitchbook.com?i=42995-26", "View Investor Online")</f>
      </c>
    </row>
    <row r="79">
      <c r="A79" s="36" t="inlineStr">
        <is>
          <t>13559-32F</t>
        </is>
      </c>
      <c r="B79" s="37" t="inlineStr">
        <is>
          <t>Foundry Venture Capital 2013</t>
        </is>
      </c>
      <c r="C79" s="38" t="inlineStr">
        <is>
          <t/>
        </is>
      </c>
      <c r="D79" s="39" t="inlineStr">
        <is>
          <t>Venture Capital - Early Stage</t>
        </is>
      </c>
      <c r="E79" s="40" t="n">
        <v>233.82</v>
      </c>
      <c r="F79" s="41" t="inlineStr">
        <is>
          <t>Boulder, CO</t>
        </is>
      </c>
      <c r="G79" s="42" t="inlineStr">
        <is>
          <t/>
        </is>
      </c>
      <c r="H79" s="43" t="n">
        <v>2013.0</v>
      </c>
      <c r="I79" s="44" t="n">
        <v>99.00000002222221</v>
      </c>
      <c r="J79" s="45" t="n">
        <v>231.48180005195997</v>
      </c>
      <c r="K79" s="46" t="n">
        <v>2.33819994804</v>
      </c>
      <c r="L79" s="47" t="n">
        <v>0.0</v>
      </c>
      <c r="M79" s="48" t="n">
        <v>324.657583944</v>
      </c>
      <c r="N79" s="49" t="n">
        <v>6.96</v>
      </c>
      <c r="O79" s="50" t="inlineStr">
        <is>
          <t/>
        </is>
      </c>
      <c r="P79" s="51" t="inlineStr">
        <is>
          <t/>
        </is>
      </c>
      <c r="Q79" s="52" t="n">
        <v>0.0</v>
      </c>
      <c r="R79" s="53" t="n">
        <v>-0.06476</v>
      </c>
      <c r="S79" s="54" t="n">
        <v>1.4</v>
      </c>
      <c r="T79" s="55" t="n">
        <v>0.06099999999999994</v>
      </c>
      <c r="U79" s="56" t="n">
        <v>1.4</v>
      </c>
      <c r="V79" s="57" t="n">
        <v>0.010000000000000009</v>
      </c>
      <c r="W79" s="58" t="inlineStr">
        <is>
          <t/>
        </is>
      </c>
      <c r="X79" s="59" t="inlineStr">
        <is>
          <t>LP Original Commitments</t>
        </is>
      </c>
      <c r="Y79" s="60" t="inlineStr">
        <is>
          <t>2019 Y</t>
        </is>
      </c>
      <c r="Z79" s="61" t="inlineStr">
        <is>
          <t>100M - 249M</t>
        </is>
      </c>
      <c r="AA79" s="62" t="inlineStr">
        <is>
          <t>Foundry Group</t>
        </is>
      </c>
      <c r="AB79" s="63" t="inlineStr">
        <is>
          <t>Boulder, CO</t>
        </is>
      </c>
      <c r="AC79" s="64" t="inlineStr">
        <is>
          <t>Software</t>
        </is>
      </c>
      <c r="AD79" s="65" t="inlineStr">
        <is>
          <t>Early Stage VC, Seed Round</t>
        </is>
      </c>
      <c r="AE79" s="66" t="inlineStr">
        <is>
          <t>North America</t>
        </is>
      </c>
      <c r="AF79" s="67" t="inlineStr">
        <is>
          <t>UTIMCO</t>
        </is>
      </c>
      <c r="AG79" s="232">
        <f>HYPERLINK("https://my.pitchbook.com?i=42240-79", "View Investor Online")</f>
      </c>
    </row>
    <row r="80">
      <c r="A80" s="69" t="inlineStr">
        <is>
          <t>16187-95F</t>
        </is>
      </c>
      <c r="B80" s="70" t="inlineStr">
        <is>
          <t>Seaya Ventures II</t>
        </is>
      </c>
      <c r="C80" s="71" t="inlineStr">
        <is>
          <t/>
        </is>
      </c>
      <c r="D80" s="72" t="inlineStr">
        <is>
          <t>Venture Capital</t>
        </is>
      </c>
      <c r="E80" s="73" t="n">
        <v>120.15081</v>
      </c>
      <c r="F80" s="74" t="inlineStr">
        <is>
          <t>Madrid, Spain</t>
        </is>
      </c>
      <c r="G80" s="75" t="inlineStr">
        <is>
          <t/>
        </is>
      </c>
      <c r="H80" s="76" t="n">
        <v>2017.0</v>
      </c>
      <c r="I80" s="77" t="n">
        <v>80.2621359223301</v>
      </c>
      <c r="J80" s="78" t="n">
        <v>96.4356038336273</v>
      </c>
      <c r="K80" s="79" t="n">
        <v>23.71520356601942</v>
      </c>
      <c r="L80" s="80" t="n">
        <v>11.45515458626128</v>
      </c>
      <c r="M80" s="81" t="n">
        <v>123.4870330449714</v>
      </c>
      <c r="N80" s="82" t="n">
        <v>27.77</v>
      </c>
      <c r="O80" s="83" t="inlineStr">
        <is>
          <t/>
        </is>
      </c>
      <c r="P80" s="84" t="inlineStr">
        <is>
          <t/>
        </is>
      </c>
      <c r="Q80" s="85" t="n">
        <v>0.118785533</v>
      </c>
      <c r="R80" s="86" t="inlineStr">
        <is>
          <t/>
        </is>
      </c>
      <c r="S80" s="87" t="n">
        <v>1.280512883</v>
      </c>
      <c r="T80" s="88" t="n">
        <v>0.21225288300000011</v>
      </c>
      <c r="U80" s="89" t="n">
        <v>1.4</v>
      </c>
      <c r="V80" s="90" t="inlineStr">
        <is>
          <t/>
        </is>
      </c>
      <c r="W80" s="91" t="inlineStr">
        <is>
          <t/>
        </is>
      </c>
      <c r="X80" s="92" t="inlineStr">
        <is>
          <t>GP Self Reporting</t>
        </is>
      </c>
      <c r="Y80" s="93" t="inlineStr">
        <is>
          <t>2019 Y</t>
        </is>
      </c>
      <c r="Z80" s="94" t="inlineStr">
        <is>
          <t>100M - 249M</t>
        </is>
      </c>
      <c r="AA80" s="95" t="inlineStr">
        <is>
          <t>Seaya Ventures</t>
        </is>
      </c>
      <c r="AB80" s="96" t="inlineStr">
        <is>
          <t>Madrid, Spain</t>
        </is>
      </c>
      <c r="AC80" s="97" t="inlineStr">
        <is>
          <t>Information Technology</t>
        </is>
      </c>
      <c r="AD80" s="98" t="inlineStr">
        <is>
          <t>Seed Round, Early Stage VC, Later Stage VC</t>
        </is>
      </c>
      <c r="AE80" s="99" t="inlineStr">
        <is>
          <t>Europe, South America, Central America</t>
        </is>
      </c>
      <c r="AF80" s="100" t="inlineStr">
        <is>
          <t>Seaya</t>
        </is>
      </c>
      <c r="AG80" s="233">
        <f>HYPERLINK("https://my.pitchbook.com?i=59079-61", "View Investor Online")</f>
      </c>
    </row>
    <row r="81">
      <c r="A81" s="36" t="inlineStr">
        <is>
          <t>13596-13F</t>
        </is>
      </c>
      <c r="B81" s="37" t="inlineStr">
        <is>
          <t>Greycroft Partners III</t>
        </is>
      </c>
      <c r="C81" s="38" t="inlineStr">
        <is>
          <t/>
        </is>
      </c>
      <c r="D81" s="39" t="inlineStr">
        <is>
          <t>Venture Capital - Early Stage</t>
        </is>
      </c>
      <c r="E81" s="40" t="n">
        <v>175.0</v>
      </c>
      <c r="F81" s="41" t="inlineStr">
        <is>
          <t>New York, NY</t>
        </is>
      </c>
      <c r="G81" s="42" t="inlineStr">
        <is>
          <t/>
        </is>
      </c>
      <c r="H81" s="43" t="n">
        <v>2013.0</v>
      </c>
      <c r="I81" s="44" t="n">
        <v>100.0</v>
      </c>
      <c r="J81" s="45" t="n">
        <v>182.2</v>
      </c>
      <c r="K81" s="46" t="n">
        <v>0.0</v>
      </c>
      <c r="L81" s="47" t="n">
        <v>23.6</v>
      </c>
      <c r="M81" s="48" t="n">
        <v>228.2</v>
      </c>
      <c r="N81" s="49" t="n">
        <v>11.2</v>
      </c>
      <c r="O81" s="50" t="inlineStr">
        <is>
          <t/>
        </is>
      </c>
      <c r="P81" s="51" t="inlineStr">
        <is>
          <t/>
        </is>
      </c>
      <c r="Q81" s="52" t="n">
        <v>0.129527991</v>
      </c>
      <c r="R81" s="53" t="n">
        <v>0.06476799100000001</v>
      </c>
      <c r="S81" s="54" t="n">
        <v>1.252469813</v>
      </c>
      <c r="T81" s="55" t="n">
        <v>-0.08653018699999993</v>
      </c>
      <c r="U81" s="56" t="n">
        <v>1.38</v>
      </c>
      <c r="V81" s="57" t="n">
        <v>-0.010000000000000009</v>
      </c>
      <c r="W81" s="58" t="inlineStr">
        <is>
          <t/>
        </is>
      </c>
      <c r="X81" s="59" t="inlineStr">
        <is>
          <t>GP Self Reporting, LP Original Commitments</t>
        </is>
      </c>
      <c r="Y81" s="60" t="inlineStr">
        <is>
          <t>2017 Y</t>
        </is>
      </c>
      <c r="Z81" s="61" t="inlineStr">
        <is>
          <t>100M - 249M</t>
        </is>
      </c>
      <c r="AA81" s="62" t="inlineStr">
        <is>
          <t>Greycroft</t>
        </is>
      </c>
      <c r="AB81" s="63" t="inlineStr">
        <is>
          <t>New York, NY</t>
        </is>
      </c>
      <c r="AC81" s="64" t="inlineStr">
        <is>
          <t>Software</t>
        </is>
      </c>
      <c r="AD81" s="65" t="inlineStr">
        <is>
          <t>Seed Round, Early Stage VC</t>
        </is>
      </c>
      <c r="AE81" s="66" t="inlineStr">
        <is>
          <t/>
        </is>
      </c>
      <c r="AF81" s="67" t="inlineStr">
        <is>
          <t>DuPont Pension Trust Fund, Greycroft, SBC Master Pension Trust, The Eisner Foundation</t>
        </is>
      </c>
      <c r="AG81" s="232">
        <f>HYPERLINK("https://my.pitchbook.com?i=11191-87", "View Investor Online")</f>
      </c>
    </row>
    <row r="82">
      <c r="A82" s="69" t="inlineStr">
        <is>
          <t>13737-43F</t>
        </is>
      </c>
      <c r="B82" s="70" t="inlineStr">
        <is>
          <t>Prime Ventures IV</t>
        </is>
      </c>
      <c r="C82" s="71" t="inlineStr">
        <is>
          <t/>
        </is>
      </c>
      <c r="D82" s="72" t="inlineStr">
        <is>
          <t>Venture Capital</t>
        </is>
      </c>
      <c r="E82" s="73" t="n">
        <v>183.45489</v>
      </c>
      <c r="F82" s="74" t="inlineStr">
        <is>
          <t>Amsterdam, Netherlands</t>
        </is>
      </c>
      <c r="G82" s="75" t="inlineStr">
        <is>
          <t/>
        </is>
      </c>
      <c r="H82" s="76" t="n">
        <v>2013.0</v>
      </c>
      <c r="I82" s="77" t="n">
        <v>96.88995215311006</v>
      </c>
      <c r="J82" s="78" t="n">
        <v>177.74935241534953</v>
      </c>
      <c r="K82" s="79" t="n">
        <v>5.70553485645933</v>
      </c>
      <c r="L82" s="80" t="n">
        <v>16.01938608187718</v>
      </c>
      <c r="M82" s="81" t="n">
        <v>229.9769399151683</v>
      </c>
      <c r="N82" s="82" t="n">
        <v>6.0</v>
      </c>
      <c r="O82" s="83" t="inlineStr">
        <is>
          <t/>
        </is>
      </c>
      <c r="P82" s="84" t="inlineStr">
        <is>
          <t/>
        </is>
      </c>
      <c r="Q82" s="85" t="n">
        <v>0.090123457</v>
      </c>
      <c r="R82" s="86" t="inlineStr">
        <is>
          <t/>
        </is>
      </c>
      <c r="S82" s="87" t="n">
        <v>1.29382716</v>
      </c>
      <c r="T82" s="88" t="inlineStr">
        <is>
          <t/>
        </is>
      </c>
      <c r="U82" s="89" t="n">
        <v>1.3800000000000001</v>
      </c>
      <c r="V82" s="90" t="inlineStr">
        <is>
          <t/>
        </is>
      </c>
      <c r="W82" s="91" t="inlineStr">
        <is>
          <t/>
        </is>
      </c>
      <c r="X82" s="92" t="inlineStr">
        <is>
          <t>GP Self Reporting</t>
        </is>
      </c>
      <c r="Y82" s="93" t="inlineStr">
        <is>
          <t>2019 Y</t>
        </is>
      </c>
      <c r="Z82" s="94" t="inlineStr">
        <is>
          <t>100M - 249M</t>
        </is>
      </c>
      <c r="AA82" s="95" t="inlineStr">
        <is>
          <t>Prime Ventures</t>
        </is>
      </c>
      <c r="AB82" s="96" t="inlineStr">
        <is>
          <t>Amsterdam, Netherlands</t>
        </is>
      </c>
      <c r="AC82" s="97" t="inlineStr">
        <is>
          <t>Software</t>
        </is>
      </c>
      <c r="AD82" s="98" t="inlineStr">
        <is>
          <t>Seed Round, Early Stage VC, Later Stage VC</t>
        </is>
      </c>
      <c r="AE82" s="99" t="inlineStr">
        <is>
          <t>Western Europe</t>
        </is>
      </c>
      <c r="AF82" s="100" t="inlineStr">
        <is>
          <t>Prime</t>
        </is>
      </c>
      <c r="AG82" s="233">
        <f>HYPERLINK("https://my.pitchbook.com?i=11276-38", "View Investor Online")</f>
      </c>
    </row>
    <row r="83">
      <c r="A83" s="36" t="inlineStr">
        <is>
          <t>16015-60F</t>
        </is>
      </c>
      <c r="B83" s="37" t="inlineStr">
        <is>
          <t>Constitution Fund V - Series A</t>
        </is>
      </c>
      <c r="C83" s="38" t="inlineStr">
        <is>
          <t/>
        </is>
      </c>
      <c r="D83" s="39" t="inlineStr">
        <is>
          <t>Venture Capital - Early Stage</t>
        </is>
      </c>
      <c r="E83" s="40" t="n">
        <v>130.1</v>
      </c>
      <c r="F83" s="41" t="inlineStr">
        <is>
          <t>West Hartford, CT</t>
        </is>
      </c>
      <c r="G83" s="42" t="n">
        <v>3.0</v>
      </c>
      <c r="H83" s="43" t="n">
        <v>2016.0</v>
      </c>
      <c r="I83" s="44" t="n">
        <v>73.07692307692308</v>
      </c>
      <c r="J83" s="45" t="n">
        <v>95.07307692307693</v>
      </c>
      <c r="K83" s="46" t="n">
        <v>35.026923076923076</v>
      </c>
      <c r="L83" s="47" t="n">
        <v>1.301</v>
      </c>
      <c r="M83" s="48" t="n">
        <v>127.89830769230768</v>
      </c>
      <c r="N83" s="49" t="n">
        <v>19.6</v>
      </c>
      <c r="O83" s="50" t="inlineStr">
        <is>
          <t/>
        </is>
      </c>
      <c r="P83" s="51" t="n">
        <v>-1.6999999999999993</v>
      </c>
      <c r="Q83" s="52" t="n">
        <v>0.01</v>
      </c>
      <c r="R83" s="53" t="n">
        <v>0.01</v>
      </c>
      <c r="S83" s="54" t="n">
        <v>1.35</v>
      </c>
      <c r="T83" s="55" t="n">
        <v>0.0</v>
      </c>
      <c r="U83" s="56" t="n">
        <v>1.36</v>
      </c>
      <c r="V83" s="57" t="n">
        <v>0.0</v>
      </c>
      <c r="W83" s="58" t="inlineStr">
        <is>
          <t/>
        </is>
      </c>
      <c r="X83" s="59" t="inlineStr">
        <is>
          <t>LP Original Commitments</t>
        </is>
      </c>
      <c r="Y83" s="60" t="inlineStr">
        <is>
          <t>2019 Y</t>
        </is>
      </c>
      <c r="Z83" s="61" t="inlineStr">
        <is>
          <t>100M - 249M</t>
        </is>
      </c>
      <c r="AA83" s="62" t="inlineStr">
        <is>
          <t>Fairview Capital Partners</t>
        </is>
      </c>
      <c r="AB83" s="63" t="inlineStr">
        <is>
          <t>West Hartford, CT</t>
        </is>
      </c>
      <c r="AC83" s="64" t="inlineStr">
        <is>
          <t/>
        </is>
      </c>
      <c r="AD83" s="65" t="inlineStr">
        <is>
          <t>Seed Round, Early Stage VC</t>
        </is>
      </c>
      <c r="AE83" s="66" t="inlineStr">
        <is>
          <t/>
        </is>
      </c>
      <c r="AF83" s="67" t="inlineStr">
        <is>
          <t>Connecticut State Employees Retirement System</t>
        </is>
      </c>
      <c r="AG83" s="232">
        <f>HYPERLINK("https://my.pitchbook.com?i=11018-53", "View Investor Online")</f>
      </c>
    </row>
    <row r="84">
      <c r="A84" s="69" t="inlineStr">
        <is>
          <t>15459-85F</t>
        </is>
      </c>
      <c r="B84" s="70" t="inlineStr">
        <is>
          <t>GGV Discovery I</t>
        </is>
      </c>
      <c r="C84" s="71" t="inlineStr">
        <is>
          <t/>
        </is>
      </c>
      <c r="D84" s="72" t="inlineStr">
        <is>
          <t>Venture Capital</t>
        </is>
      </c>
      <c r="E84" s="73" t="n">
        <v>250.0</v>
      </c>
      <c r="F84" s="74" t="inlineStr">
        <is>
          <t>Menlo Park, CA</t>
        </is>
      </c>
      <c r="G84" s="75" t="n">
        <v>3.0</v>
      </c>
      <c r="H84" s="76" t="n">
        <v>2016.0</v>
      </c>
      <c r="I84" s="77" t="n">
        <v>87.5</v>
      </c>
      <c r="J84" s="78" t="n">
        <v>218.75</v>
      </c>
      <c r="K84" s="79" t="n">
        <v>31.25</v>
      </c>
      <c r="L84" s="80" t="n">
        <v>1.25</v>
      </c>
      <c r="M84" s="81" t="n">
        <v>292.5</v>
      </c>
      <c r="N84" s="82" t="n">
        <v>13.8</v>
      </c>
      <c r="O84" s="83" t="inlineStr">
        <is>
          <t/>
        </is>
      </c>
      <c r="P84" s="84" t="n">
        <v>-4.154999999999998</v>
      </c>
      <c r="Q84" s="85" t="n">
        <v>0.01</v>
      </c>
      <c r="R84" s="86" t="n">
        <v>0.01</v>
      </c>
      <c r="S84" s="87" t="n">
        <v>1.34</v>
      </c>
      <c r="T84" s="88" t="n">
        <v>0.08000000000000007</v>
      </c>
      <c r="U84" s="89" t="n">
        <v>1.35</v>
      </c>
      <c r="V84" s="90" t="n">
        <v>0.020000000000000018</v>
      </c>
      <c r="W84" s="91" t="inlineStr">
        <is>
          <t/>
        </is>
      </c>
      <c r="X84" s="92" t="inlineStr">
        <is>
          <t>LP Original Commitments</t>
        </is>
      </c>
      <c r="Y84" s="93" t="inlineStr">
        <is>
          <t>2020 Y</t>
        </is>
      </c>
      <c r="Z84" s="94" t="inlineStr">
        <is>
          <t>250M - 499M</t>
        </is>
      </c>
      <c r="AA84" s="95" t="inlineStr">
        <is>
          <t>GGV Capital</t>
        </is>
      </c>
      <c r="AB84" s="96" t="inlineStr">
        <is>
          <t>Menlo Park, CA</t>
        </is>
      </c>
      <c r="AC84" s="97" t="inlineStr">
        <is>
          <t>Media, Information Technology</t>
        </is>
      </c>
      <c r="AD84" s="98" t="inlineStr">
        <is>
          <t>Seed Round, Early Stage VC</t>
        </is>
      </c>
      <c r="AE84" s="99" t="inlineStr">
        <is>
          <t/>
        </is>
      </c>
      <c r="AF84" s="100" t="inlineStr">
        <is>
          <t>PERS</t>
        </is>
      </c>
      <c r="AG84" s="233">
        <f>HYPERLINK("https://my.pitchbook.com?i=11203-21", "View Investor Online")</f>
      </c>
    </row>
    <row r="85">
      <c r="A85" s="36" t="inlineStr">
        <is>
          <t>12757-42F</t>
        </is>
      </c>
      <c r="B85" s="37" t="inlineStr">
        <is>
          <t>DBL Bay Area Equity Fund II</t>
        </is>
      </c>
      <c r="C85" s="38" t="inlineStr">
        <is>
          <t/>
        </is>
      </c>
      <c r="D85" s="39" t="inlineStr">
        <is>
          <t>Venture Capital</t>
        </is>
      </c>
      <c r="E85" s="40" t="n">
        <v>150.8</v>
      </c>
      <c r="F85" s="41" t="inlineStr">
        <is>
          <t>San Francisco, CA</t>
        </is>
      </c>
      <c r="G85" s="42" t="inlineStr">
        <is>
          <t/>
        </is>
      </c>
      <c r="H85" s="43" t="n">
        <v>2009.0</v>
      </c>
      <c r="I85" s="44" t="n">
        <v>100.0</v>
      </c>
      <c r="J85" s="45" t="n">
        <v>150.8</v>
      </c>
      <c r="K85" s="46" t="n">
        <v>0.0</v>
      </c>
      <c r="L85" s="47" t="n">
        <v>55.5684428</v>
      </c>
      <c r="M85" s="48" t="n">
        <v>146.55074252</v>
      </c>
      <c r="N85" s="49" t="inlineStr">
        <is>
          <t/>
        </is>
      </c>
      <c r="O85" s="50" t="inlineStr">
        <is>
          <t/>
        </is>
      </c>
      <c r="P85" s="51" t="inlineStr">
        <is>
          <t/>
        </is>
      </c>
      <c r="Q85" s="52" t="n">
        <v>0.37</v>
      </c>
      <c r="R85" s="53" t="n">
        <v>-0.21999999999999997</v>
      </c>
      <c r="S85" s="54" t="n">
        <v>0.97</v>
      </c>
      <c r="T85" s="55" t="n">
        <v>0.27669999999999995</v>
      </c>
      <c r="U85" s="56" t="n">
        <v>1.3399999999999999</v>
      </c>
      <c r="V85" s="57" t="n">
        <v>-0.2500000000000002</v>
      </c>
      <c r="W85" s="58" t="inlineStr">
        <is>
          <t/>
        </is>
      </c>
      <c r="X85" s="59" t="inlineStr">
        <is>
          <t>LP Original Commitments</t>
        </is>
      </c>
      <c r="Y85" s="60" t="inlineStr">
        <is>
          <t>2020 Y</t>
        </is>
      </c>
      <c r="Z85" s="61" t="inlineStr">
        <is>
          <t>100M - 249M</t>
        </is>
      </c>
      <c r="AA85" s="62" t="inlineStr">
        <is>
          <t>DBL Partners</t>
        </is>
      </c>
      <c r="AB85" s="63" t="inlineStr">
        <is>
          <t>San Francisco, CA</t>
        </is>
      </c>
      <c r="AC85" s="64" t="inlineStr">
        <is>
          <t>Consumer Products and Services (B2C)</t>
        </is>
      </c>
      <c r="AD85" s="65" t="inlineStr">
        <is>
          <t>Early Stage VC, Later Stage VC</t>
        </is>
      </c>
      <c r="AE85" s="66" t="inlineStr">
        <is>
          <t>Northwest, Southwest, United States, West Coast</t>
        </is>
      </c>
      <c r="AF85" s="67" t="inlineStr">
        <is>
          <t>CCCERA</t>
        </is>
      </c>
      <c r="AG85" s="232">
        <f>HYPERLINK("https://my.pitchbook.com?i=14143-15", "View Investor Online")</f>
      </c>
    </row>
    <row r="86">
      <c r="A86" s="69" t="inlineStr">
        <is>
          <t>13522-33F</t>
        </is>
      </c>
      <c r="B86" s="70" t="inlineStr">
        <is>
          <t>River Cities Capital Fund V</t>
        </is>
      </c>
      <c r="C86" s="71" t="inlineStr">
        <is>
          <t/>
        </is>
      </c>
      <c r="D86" s="72" t="inlineStr">
        <is>
          <t>Venture Capital</t>
        </is>
      </c>
      <c r="E86" s="73" t="n">
        <v>200.0</v>
      </c>
      <c r="F86" s="74" t="inlineStr">
        <is>
          <t>Cincinnati, OH</t>
        </is>
      </c>
      <c r="G86" s="75" t="n">
        <v>2.0</v>
      </c>
      <c r="H86" s="76" t="n">
        <v>2012.0</v>
      </c>
      <c r="I86" s="77" t="n">
        <v>62.0</v>
      </c>
      <c r="J86" s="78" t="n">
        <v>124.0</v>
      </c>
      <c r="K86" s="79" t="n">
        <v>17.33044</v>
      </c>
      <c r="L86" s="80" t="n">
        <v>16.092959999999998</v>
      </c>
      <c r="M86" s="81" t="n">
        <v>148.8556</v>
      </c>
      <c r="N86" s="82" t="n">
        <v>12.11</v>
      </c>
      <c r="O86" s="83" t="inlineStr">
        <is>
          <t/>
        </is>
      </c>
      <c r="P86" s="84" t="n">
        <v>0.0</v>
      </c>
      <c r="Q86" s="85" t="n">
        <v>0.13</v>
      </c>
      <c r="R86" s="86" t="n">
        <v>0.015</v>
      </c>
      <c r="S86" s="87" t="n">
        <v>1.2</v>
      </c>
      <c r="T86" s="88" t="n">
        <v>0.3205</v>
      </c>
      <c r="U86" s="89" t="n">
        <v>1.33</v>
      </c>
      <c r="V86" s="90" t="n">
        <v>0.3900000000000001</v>
      </c>
      <c r="W86" s="91" t="inlineStr">
        <is>
          <t/>
        </is>
      </c>
      <c r="X86" s="92" t="inlineStr">
        <is>
          <t>LP Original Commitments</t>
        </is>
      </c>
      <c r="Y86" s="93" t="inlineStr">
        <is>
          <t>2017 Y</t>
        </is>
      </c>
      <c r="Z86" s="94" t="inlineStr">
        <is>
          <t>100M - 249M</t>
        </is>
      </c>
      <c r="AA86" s="95" t="inlineStr">
        <is>
          <t>River Cities Capital Funds</t>
        </is>
      </c>
      <c r="AB86" s="96" t="inlineStr">
        <is>
          <t>Cincinnati, OH</t>
        </is>
      </c>
      <c r="AC86" s="97" t="inlineStr">
        <is>
          <t>Software</t>
        </is>
      </c>
      <c r="AD86" s="98" t="inlineStr">
        <is>
          <t>Seed Round, Early Stage VC, Later Stage VC</t>
        </is>
      </c>
      <c r="AE86" s="99" t="inlineStr">
        <is>
          <t/>
        </is>
      </c>
      <c r="AF86" s="100" t="inlineStr">
        <is>
          <t>Old Dominion University Endowment</t>
        </is>
      </c>
      <c r="AG86" s="233">
        <f>HYPERLINK("https://my.pitchbook.com?i=11287-00", "View Investor Online")</f>
      </c>
    </row>
    <row r="87">
      <c r="A87" s="36" t="inlineStr">
        <is>
          <t>15406-48F</t>
        </is>
      </c>
      <c r="B87" s="37" t="inlineStr">
        <is>
          <t>HealthQuest Partners II</t>
        </is>
      </c>
      <c r="C87" s="38" t="inlineStr">
        <is>
          <t/>
        </is>
      </c>
      <c r="D87" s="39" t="inlineStr">
        <is>
          <t>Venture Capital</t>
        </is>
      </c>
      <c r="E87" s="40" t="n">
        <v>228.0</v>
      </c>
      <c r="F87" s="41" t="inlineStr">
        <is>
          <t>Belmont, CA</t>
        </is>
      </c>
      <c r="G87" s="42" t="inlineStr">
        <is>
          <t/>
        </is>
      </c>
      <c r="H87" s="43" t="n">
        <v>2016.0</v>
      </c>
      <c r="I87" s="44" t="n">
        <v>71.05263157894737</v>
      </c>
      <c r="J87" s="45" t="n">
        <v>162.0</v>
      </c>
      <c r="K87" s="46" t="n">
        <v>72.30981696</v>
      </c>
      <c r="L87" s="47" t="n">
        <v>6.0</v>
      </c>
      <c r="M87" s="48" t="n">
        <v>205.0</v>
      </c>
      <c r="N87" s="49" t="inlineStr">
        <is>
          <t/>
        </is>
      </c>
      <c r="O87" s="50" t="inlineStr">
        <is>
          <t/>
        </is>
      </c>
      <c r="P87" s="51" t="inlineStr">
        <is>
          <t/>
        </is>
      </c>
      <c r="Q87" s="52" t="n">
        <v>0.037037037</v>
      </c>
      <c r="R87" s="53" t="n">
        <v>0.008517037000000002</v>
      </c>
      <c r="S87" s="54" t="n">
        <v>1.265432099</v>
      </c>
      <c r="T87" s="55" t="n">
        <v>0.1504320990000001</v>
      </c>
      <c r="U87" s="56" t="n">
        <v>1.31</v>
      </c>
      <c r="V87" s="57" t="n">
        <v>0.050000000000000044</v>
      </c>
      <c r="W87" s="58" t="inlineStr">
        <is>
          <t/>
        </is>
      </c>
      <c r="X87" s="59" t="inlineStr">
        <is>
          <t>GP Self Reporting</t>
        </is>
      </c>
      <c r="Y87" s="60" t="inlineStr">
        <is>
          <t>2019 Y</t>
        </is>
      </c>
      <c r="Z87" s="61" t="inlineStr">
        <is>
          <t>100M - 249M</t>
        </is>
      </c>
      <c r="AA87" s="62" t="inlineStr">
        <is>
          <t>HealthQuest Capital</t>
        </is>
      </c>
      <c r="AB87" s="63" t="inlineStr">
        <is>
          <t>Belmont, CA</t>
        </is>
      </c>
      <c r="AC87" s="64" t="inlineStr">
        <is>
          <t>Healthcare Technology Systems</t>
        </is>
      </c>
      <c r="AD87" s="65" t="inlineStr">
        <is>
          <t>Seed Round, Early Stage VC, Later Stage VC</t>
        </is>
      </c>
      <c r="AE87" s="66" t="inlineStr">
        <is>
          <t/>
        </is>
      </c>
      <c r="AF87" s="67" t="inlineStr">
        <is>
          <t>HealthQuest</t>
        </is>
      </c>
      <c r="AG87" s="232">
        <f>HYPERLINK("https://my.pitchbook.com?i=54383-77", "View Investor Online")</f>
      </c>
    </row>
    <row r="88">
      <c r="A88" s="69" t="inlineStr">
        <is>
          <t>15565-33F</t>
        </is>
      </c>
      <c r="B88" s="70" t="inlineStr">
        <is>
          <t>Menlo Special Opportunities Fund</t>
        </is>
      </c>
      <c r="C88" s="71" t="inlineStr">
        <is>
          <t/>
        </is>
      </c>
      <c r="D88" s="72" t="inlineStr">
        <is>
          <t>Venture Capital</t>
        </is>
      </c>
      <c r="E88" s="73" t="n">
        <v>250.0</v>
      </c>
      <c r="F88" s="74" t="inlineStr">
        <is>
          <t>Menlo Park, CA</t>
        </is>
      </c>
      <c r="G88" s="75" t="n">
        <v>4.0</v>
      </c>
      <c r="H88" s="76" t="n">
        <v>2016.0</v>
      </c>
      <c r="I88" s="77" t="n">
        <v>88.6446</v>
      </c>
      <c r="J88" s="78" t="n">
        <v>221.6115</v>
      </c>
      <c r="K88" s="79" t="n">
        <v>39.75</v>
      </c>
      <c r="L88" s="80" t="n">
        <v>9.819051526717557</v>
      </c>
      <c r="M88" s="81" t="n">
        <v>282.4453072519084</v>
      </c>
      <c r="N88" s="82" t="n">
        <v>13.23</v>
      </c>
      <c r="O88" s="83" t="inlineStr">
        <is>
          <t/>
        </is>
      </c>
      <c r="P88" s="84" t="n">
        <v>-4.724999999999998</v>
      </c>
      <c r="Q88" s="85" t="n">
        <v>0.04</v>
      </c>
      <c r="R88" s="86" t="n">
        <v>0.04</v>
      </c>
      <c r="S88" s="87" t="n">
        <v>1.27</v>
      </c>
      <c r="T88" s="88" t="n">
        <v>0.010000000000000009</v>
      </c>
      <c r="U88" s="89" t="n">
        <v>1.31</v>
      </c>
      <c r="V88" s="90" t="n">
        <v>-0.020000000000000018</v>
      </c>
      <c r="W88" s="91" t="inlineStr">
        <is>
          <t/>
        </is>
      </c>
      <c r="X88" s="92" t="inlineStr">
        <is>
          <t>LP Original Commitments</t>
        </is>
      </c>
      <c r="Y88" s="93" t="inlineStr">
        <is>
          <t>2019 Y</t>
        </is>
      </c>
      <c r="Z88" s="94" t="inlineStr">
        <is>
          <t>250M - 499M</t>
        </is>
      </c>
      <c r="AA88" s="95" t="inlineStr">
        <is>
          <t>Menlo Ventures</t>
        </is>
      </c>
      <c r="AB88" s="96" t="inlineStr">
        <is>
          <t>Menlo Park, CA</t>
        </is>
      </c>
      <c r="AC88" s="97" t="inlineStr">
        <is>
          <t>Software</t>
        </is>
      </c>
      <c r="AD88" s="98" t="inlineStr">
        <is>
          <t>Early Stage VC, Later Stage VC</t>
        </is>
      </c>
      <c r="AE88" s="99" t="inlineStr">
        <is>
          <t/>
        </is>
      </c>
      <c r="AF88" s="100" t="inlineStr">
        <is>
          <t>WSIB</t>
        </is>
      </c>
      <c r="AG88" s="233">
        <f>HYPERLINK("https://my.pitchbook.com?i=11242-54", "View Investor Online")</f>
      </c>
    </row>
    <row r="89">
      <c r="A89" s="36" t="inlineStr">
        <is>
          <t>14847-85F</t>
        </is>
      </c>
      <c r="B89" s="37" t="inlineStr">
        <is>
          <t>Arboretum Ventures IV</t>
        </is>
      </c>
      <c r="C89" s="38" t="inlineStr">
        <is>
          <t/>
        </is>
      </c>
      <c r="D89" s="39" t="inlineStr">
        <is>
          <t>Venture Capital</t>
        </is>
      </c>
      <c r="E89" s="40" t="n">
        <v>220.0</v>
      </c>
      <c r="F89" s="41" t="inlineStr">
        <is>
          <t>Ann Arbor, MI</t>
        </is>
      </c>
      <c r="G89" s="42" t="n">
        <v>1.0</v>
      </c>
      <c r="H89" s="43" t="n">
        <v>2015.0</v>
      </c>
      <c r="I89" s="44" t="n">
        <v>66.06363636363636</v>
      </c>
      <c r="J89" s="45" t="n">
        <v>145.34</v>
      </c>
      <c r="K89" s="46" t="n">
        <v>74.66</v>
      </c>
      <c r="L89" s="47" t="n">
        <v>33.69</v>
      </c>
      <c r="M89" s="48" t="n">
        <v>155.82</v>
      </c>
      <c r="N89" s="49" t="n">
        <v>12.3</v>
      </c>
      <c r="O89" s="50" t="inlineStr">
        <is>
          <t/>
        </is>
      </c>
      <c r="P89" s="51" t="n">
        <v>2.655000000000001</v>
      </c>
      <c r="Q89" s="52" t="n">
        <v>0.23</v>
      </c>
      <c r="R89" s="53" t="n">
        <v>0.225</v>
      </c>
      <c r="S89" s="54" t="n">
        <v>1.07</v>
      </c>
      <c r="T89" s="55" t="n">
        <v>-0.11999999999999988</v>
      </c>
      <c r="U89" s="56" t="n">
        <v>1.3</v>
      </c>
      <c r="V89" s="57" t="n">
        <v>0.0050000000000001155</v>
      </c>
      <c r="W89" s="58" t="inlineStr">
        <is>
          <t/>
        </is>
      </c>
      <c r="X89" s="59" t="inlineStr">
        <is>
          <t>GP Self Reporting, LP Original Commitments</t>
        </is>
      </c>
      <c r="Y89" s="60" t="inlineStr">
        <is>
          <t>2020 Y</t>
        </is>
      </c>
      <c r="Z89" s="61" t="inlineStr">
        <is>
          <t>100M - 249M</t>
        </is>
      </c>
      <c r="AA89" s="62" t="inlineStr">
        <is>
          <t>Arboretum Ventures</t>
        </is>
      </c>
      <c r="AB89" s="63" t="inlineStr">
        <is>
          <t>Ann Arbor, MI</t>
        </is>
      </c>
      <c r="AC89" s="64" t="inlineStr">
        <is>
          <t>Healthcare Devices and Supplies</t>
        </is>
      </c>
      <c r="AD89" s="65" t="inlineStr">
        <is>
          <t>Early Stage VC, Later Stage VC</t>
        </is>
      </c>
      <c r="AE89" s="66" t="inlineStr">
        <is>
          <t/>
        </is>
      </c>
      <c r="AF89" s="67" t="inlineStr">
        <is>
          <t>Arboretum, Michigan Department of Treasury</t>
        </is>
      </c>
      <c r="AG89" s="232">
        <f>HYPERLINK("https://my.pitchbook.com?i=11111-41", "View Investor Online")</f>
      </c>
    </row>
    <row r="90">
      <c r="A90" s="69" t="inlineStr">
        <is>
          <t>12742-93F</t>
        </is>
      </c>
      <c r="B90" s="70" t="inlineStr">
        <is>
          <t>Edison Venture Fund VII</t>
        </is>
      </c>
      <c r="C90" s="71" t="inlineStr">
        <is>
          <t/>
        </is>
      </c>
      <c r="D90" s="72" t="inlineStr">
        <is>
          <t>Venture Capital - Later Stage</t>
        </is>
      </c>
      <c r="E90" s="73" t="n">
        <v>249.0</v>
      </c>
      <c r="F90" s="74" t="inlineStr">
        <is>
          <t>Princeton, NJ</t>
        </is>
      </c>
      <c r="G90" s="75" t="inlineStr">
        <is>
          <t/>
        </is>
      </c>
      <c r="H90" s="76" t="n">
        <v>2010.0</v>
      </c>
      <c r="I90" s="77" t="n">
        <v>100.0</v>
      </c>
      <c r="J90" s="78" t="n">
        <v>249.0</v>
      </c>
      <c r="K90" s="79" t="n">
        <v>0.0</v>
      </c>
      <c r="L90" s="80" t="n">
        <v>315.9679275</v>
      </c>
      <c r="M90" s="81" t="n">
        <v>7.2976920000000005</v>
      </c>
      <c r="N90" s="82" t="inlineStr">
        <is>
          <t/>
        </is>
      </c>
      <c r="O90" s="83" t="inlineStr">
        <is>
          <t/>
        </is>
      </c>
      <c r="P90" s="84" t="inlineStr">
        <is>
          <t/>
        </is>
      </c>
      <c r="Q90" s="85" t="n">
        <v>1.27</v>
      </c>
      <c r="R90" s="86" t="inlineStr">
        <is>
          <t/>
        </is>
      </c>
      <c r="S90" s="87" t="n">
        <v>0.03</v>
      </c>
      <c r="T90" s="88" t="inlineStr">
        <is>
          <t/>
        </is>
      </c>
      <c r="U90" s="89" t="n">
        <v>1.3</v>
      </c>
      <c r="V90" s="90" t="inlineStr">
        <is>
          <t/>
        </is>
      </c>
      <c r="W90" s="91" t="inlineStr">
        <is>
          <t/>
        </is>
      </c>
      <c r="X90" s="92" t="inlineStr">
        <is>
          <t>LP Original Commitments</t>
        </is>
      </c>
      <c r="Y90" s="93" t="inlineStr">
        <is>
          <t>2020 Y</t>
        </is>
      </c>
      <c r="Z90" s="94" t="inlineStr">
        <is>
          <t>100M - 249M</t>
        </is>
      </c>
      <c r="AA90" s="95" t="inlineStr">
        <is>
          <t>Edison Partners</t>
        </is>
      </c>
      <c r="AB90" s="96" t="inlineStr">
        <is>
          <t>Princeton, NJ</t>
        </is>
      </c>
      <c r="AC90" s="97" t="inlineStr">
        <is>
          <t>Software</t>
        </is>
      </c>
      <c r="AD90" s="98" t="inlineStr">
        <is>
          <t>Later Stage VC</t>
        </is>
      </c>
      <c r="AE90" s="99" t="inlineStr">
        <is>
          <t>United States, Mid Atlantic</t>
        </is>
      </c>
      <c r="AF90" s="100" t="inlineStr">
        <is>
          <t>NJEDA</t>
        </is>
      </c>
      <c r="AG90" s="233">
        <f>HYPERLINK("https://my.pitchbook.com?i=10135-81", "View Investor Online")</f>
      </c>
    </row>
    <row r="91">
      <c r="A91" s="36" t="inlineStr">
        <is>
          <t>16708-69F</t>
        </is>
      </c>
      <c r="B91" s="37" t="inlineStr">
        <is>
          <t>Heartcore Capital Fund III</t>
        </is>
      </c>
      <c r="C91" s="38" t="inlineStr">
        <is>
          <t/>
        </is>
      </c>
      <c r="D91" s="39" t="inlineStr">
        <is>
          <t>Venture Capital - Early Stage</t>
        </is>
      </c>
      <c r="E91" s="40" t="n">
        <v>131.07643</v>
      </c>
      <c r="F91" s="41" t="inlineStr">
        <is>
          <t>Copenhagen, Denmark</t>
        </is>
      </c>
      <c r="G91" s="42" t="inlineStr">
        <is>
          <t/>
        </is>
      </c>
      <c r="H91" s="43" t="n">
        <v>2016.0</v>
      </c>
      <c r="I91" s="44" t="n">
        <v>100.0</v>
      </c>
      <c r="J91" s="45" t="n">
        <v>560.3294221585708</v>
      </c>
      <c r="K91" s="46" t="n">
        <v>0.0</v>
      </c>
      <c r="L91" s="47" t="n">
        <v>0.0</v>
      </c>
      <c r="M91" s="48" t="n">
        <v>727.2833714013386</v>
      </c>
      <c r="N91" s="49" t="n">
        <v>14.8</v>
      </c>
      <c r="O91" s="50" t="inlineStr">
        <is>
          <t/>
        </is>
      </c>
      <c r="P91" s="51" t="inlineStr">
        <is>
          <t/>
        </is>
      </c>
      <c r="Q91" s="52" t="n">
        <v>0.0</v>
      </c>
      <c r="R91" s="53" t="inlineStr">
        <is>
          <t/>
        </is>
      </c>
      <c r="S91" s="54" t="n">
        <v>1.3</v>
      </c>
      <c r="T91" s="55" t="inlineStr">
        <is>
          <t/>
        </is>
      </c>
      <c r="U91" s="56" t="n">
        <v>1.3</v>
      </c>
      <c r="V91" s="57" t="inlineStr">
        <is>
          <t/>
        </is>
      </c>
      <c r="W91" s="58" t="inlineStr">
        <is>
          <t/>
        </is>
      </c>
      <c r="X91" s="59" t="inlineStr">
        <is>
          <t>GP Self Reporting</t>
        </is>
      </c>
      <c r="Y91" s="60" t="inlineStr">
        <is>
          <t>2019 Y</t>
        </is>
      </c>
      <c r="Z91" s="61" t="inlineStr">
        <is>
          <t>100M - 249M</t>
        </is>
      </c>
      <c r="AA91" s="62" t="inlineStr">
        <is>
          <t>Heartcore Capital</t>
        </is>
      </c>
      <c r="AB91" s="63" t="inlineStr">
        <is>
          <t>Copenhagen, Denmark</t>
        </is>
      </c>
      <c r="AC91" s="64" t="inlineStr">
        <is>
          <t>Software, Pharmaceuticals and Biotechnology</t>
        </is>
      </c>
      <c r="AD91" s="65" t="inlineStr">
        <is>
          <t>Seed Round, Early Stage VC</t>
        </is>
      </c>
      <c r="AE91" s="66" t="inlineStr">
        <is>
          <t>Western Europe, United States</t>
        </is>
      </c>
      <c r="AF91" s="67" t="inlineStr">
        <is>
          <t>Heartcore</t>
        </is>
      </c>
      <c r="AG91" s="232">
        <f>HYPERLINK("https://my.pitchbook.com?i=228319-66", "View Investor Online")</f>
      </c>
    </row>
    <row r="92">
      <c r="A92" s="69" t="inlineStr">
        <is>
          <t>12749-32F</t>
        </is>
      </c>
      <c r="B92" s="70" t="inlineStr">
        <is>
          <t>NeoMed Innovation V</t>
        </is>
      </c>
      <c r="C92" s="71" t="inlineStr">
        <is>
          <t/>
        </is>
      </c>
      <c r="D92" s="72" t="inlineStr">
        <is>
          <t>Venture Capital</t>
        </is>
      </c>
      <c r="E92" s="73" t="n">
        <v>120.07173</v>
      </c>
      <c r="F92" s="74" t="inlineStr">
        <is>
          <t>Oslo, Norway</t>
        </is>
      </c>
      <c r="G92" s="75" t="inlineStr">
        <is>
          <t/>
        </is>
      </c>
      <c r="H92" s="76" t="n">
        <v>2013.0</v>
      </c>
      <c r="I92" s="77" t="n">
        <v>79.99674160964484</v>
      </c>
      <c r="J92" s="78" t="n">
        <v>96.0534695430093</v>
      </c>
      <c r="K92" s="79" t="n">
        <v>3.7342882535885167</v>
      </c>
      <c r="L92" s="80" t="n">
        <v>0.0</v>
      </c>
      <c r="M92" s="81" t="n">
        <v>123.449437591697</v>
      </c>
      <c r="N92" s="82" t="n">
        <v>9.9</v>
      </c>
      <c r="O92" s="83" t="inlineStr">
        <is>
          <t/>
        </is>
      </c>
      <c r="P92" s="84" t="inlineStr">
        <is>
          <t/>
        </is>
      </c>
      <c r="Q92" s="85" t="n">
        <v>0.0</v>
      </c>
      <c r="R92" s="86" t="inlineStr">
        <is>
          <t/>
        </is>
      </c>
      <c r="S92" s="87" t="n">
        <v>1.29</v>
      </c>
      <c r="T92" s="88" t="inlineStr">
        <is>
          <t/>
        </is>
      </c>
      <c r="U92" s="89" t="n">
        <v>1.29</v>
      </c>
      <c r="V92" s="90" t="inlineStr">
        <is>
          <t/>
        </is>
      </c>
      <c r="W92" s="91" t="inlineStr">
        <is>
          <t/>
        </is>
      </c>
      <c r="X92" s="92" t="inlineStr">
        <is>
          <t>GP Self Reporting</t>
        </is>
      </c>
      <c r="Y92" s="93" t="inlineStr">
        <is>
          <t>2017 Y</t>
        </is>
      </c>
      <c r="Z92" s="94" t="inlineStr">
        <is>
          <t>100M - 249M</t>
        </is>
      </c>
      <c r="AA92" s="95" t="inlineStr">
        <is>
          <t>NeoMed Management</t>
        </is>
      </c>
      <c r="AB92" s="96" t="inlineStr">
        <is>
          <t>Oslo, Norway</t>
        </is>
      </c>
      <c r="AC92" s="97" t="inlineStr">
        <is>
          <t>Healthcare Devices and Supplies, Pharmaceuticals and Biotechnology</t>
        </is>
      </c>
      <c r="AD92" s="98" t="inlineStr">
        <is>
          <t>Seed Round, Early Stage VC, Later Stage VC</t>
        </is>
      </c>
      <c r="AE92" s="99" t="inlineStr">
        <is>
          <t>Norway</t>
        </is>
      </c>
      <c r="AF92" s="100" t="inlineStr">
        <is>
          <t>NeoMed</t>
        </is>
      </c>
      <c r="AG92" s="233">
        <f>HYPERLINK("https://my.pitchbook.com?i=11250-91", "View Investor Online")</f>
      </c>
    </row>
    <row r="93">
      <c r="A93" s="36" t="inlineStr">
        <is>
          <t>14817-07F</t>
        </is>
      </c>
      <c r="B93" s="37" t="inlineStr">
        <is>
          <t>New Leaf Ventures III</t>
        </is>
      </c>
      <c r="C93" s="38" t="inlineStr">
        <is>
          <t/>
        </is>
      </c>
      <c r="D93" s="39" t="inlineStr">
        <is>
          <t>Venture Capital</t>
        </is>
      </c>
      <c r="E93" s="40" t="n">
        <v>208.83</v>
      </c>
      <c r="F93" s="41" t="inlineStr">
        <is>
          <t>New York, NY</t>
        </is>
      </c>
      <c r="G93" s="42" t="n">
        <v>3.0</v>
      </c>
      <c r="H93" s="43" t="n">
        <v>2015.0</v>
      </c>
      <c r="I93" s="44" t="n">
        <v>98.5490590432409</v>
      </c>
      <c r="J93" s="45" t="n">
        <v>205.8</v>
      </c>
      <c r="K93" s="46" t="n">
        <v>0.0</v>
      </c>
      <c r="L93" s="47" t="n">
        <v>26.6</v>
      </c>
      <c r="M93" s="48" t="n">
        <v>239.4</v>
      </c>
      <c r="N93" s="49" t="n">
        <v>9.6</v>
      </c>
      <c r="O93" s="50" t="inlineStr">
        <is>
          <t/>
        </is>
      </c>
      <c r="P93" s="51" t="n">
        <v>-0.04499999999999993</v>
      </c>
      <c r="Q93" s="52" t="n">
        <v>0.129251701</v>
      </c>
      <c r="R93" s="53" t="n">
        <v>0.12425170099999999</v>
      </c>
      <c r="S93" s="54" t="n">
        <v>1.163265306</v>
      </c>
      <c r="T93" s="55" t="n">
        <v>-0.026734693999999948</v>
      </c>
      <c r="U93" s="56" t="n">
        <v>1.29</v>
      </c>
      <c r="V93" s="57" t="n">
        <v>-0.004999999999999893</v>
      </c>
      <c r="W93" s="58" t="inlineStr">
        <is>
          <t/>
        </is>
      </c>
      <c r="X93" s="59" t="inlineStr">
        <is>
          <t>GP Self Reporting, LP Original Commitments</t>
        </is>
      </c>
      <c r="Y93" s="60" t="inlineStr">
        <is>
          <t>2020 Y</t>
        </is>
      </c>
      <c r="Z93" s="61" t="inlineStr">
        <is>
          <t>100M - 249M</t>
        </is>
      </c>
      <c r="AA93" s="62" t="inlineStr">
        <is>
          <t>New Leaf Venture</t>
        </is>
      </c>
      <c r="AB93" s="63" t="inlineStr">
        <is>
          <t>New York, NY</t>
        </is>
      </c>
      <c r="AC93" s="64" t="inlineStr">
        <is>
          <t>Pharmaceuticals and Biotechnology</t>
        </is>
      </c>
      <c r="AD93" s="65" t="inlineStr">
        <is>
          <t>Seed Round, Early Stage VC, Later Stage VC</t>
        </is>
      </c>
      <c r="AE93" s="66" t="inlineStr">
        <is>
          <t/>
        </is>
      </c>
      <c r="AF93" s="67" t="inlineStr">
        <is>
          <t>Michigan Department of Treasury, New Leaf, NLVP, NLV Partners, NLV</t>
        </is>
      </c>
      <c r="AG93" s="232">
        <f>HYPERLINK("https://my.pitchbook.com?i=11252-44", "View Investor Online")</f>
      </c>
    </row>
    <row r="94">
      <c r="A94" s="69" t="inlineStr">
        <is>
          <t>15061-15F</t>
        </is>
      </c>
      <c r="B94" s="70" t="inlineStr">
        <is>
          <t>SVB Strategic Capital Overage Fund</t>
        </is>
      </c>
      <c r="C94" s="71" t="inlineStr">
        <is>
          <t/>
        </is>
      </c>
      <c r="D94" s="72" t="inlineStr">
        <is>
          <t>Venture Capital</t>
        </is>
      </c>
      <c r="E94" s="73" t="n">
        <v>125.0</v>
      </c>
      <c r="F94" s="74" t="inlineStr">
        <is>
          <t>Santa Clara, CA</t>
        </is>
      </c>
      <c r="G94" s="75" t="n">
        <v>2.0</v>
      </c>
      <c r="H94" s="76" t="n">
        <v>2016.0</v>
      </c>
      <c r="I94" s="77" t="n">
        <v>59.217800995024874</v>
      </c>
      <c r="J94" s="78" t="n">
        <v>74.0222512437811</v>
      </c>
      <c r="K94" s="79" t="n">
        <v>39.64354</v>
      </c>
      <c r="L94" s="80" t="n">
        <v>0.0</v>
      </c>
      <c r="M94" s="81" t="n">
        <v>94.92466293532338</v>
      </c>
      <c r="N94" s="82" t="n">
        <v>14.4</v>
      </c>
      <c r="O94" s="83" t="inlineStr">
        <is>
          <t/>
        </is>
      </c>
      <c r="P94" s="84" t="n">
        <v>2.8499999999999996</v>
      </c>
      <c r="Q94" s="85" t="n">
        <v>0.0</v>
      </c>
      <c r="R94" s="86" t="n">
        <v>-0.02852</v>
      </c>
      <c r="S94" s="87" t="n">
        <v>1.28</v>
      </c>
      <c r="T94" s="88" t="n">
        <v>0.16500000000000004</v>
      </c>
      <c r="U94" s="89" t="n">
        <v>1.28</v>
      </c>
      <c r="V94" s="90" t="n">
        <v>0.020000000000000018</v>
      </c>
      <c r="W94" s="91" t="inlineStr">
        <is>
          <t/>
        </is>
      </c>
      <c r="X94" s="92" t="inlineStr">
        <is>
          <t>LP Original Commitments</t>
        </is>
      </c>
      <c r="Y94" s="93" t="inlineStr">
        <is>
          <t>2016 Y</t>
        </is>
      </c>
      <c r="Z94" s="94" t="inlineStr">
        <is>
          <t>100M - 249M</t>
        </is>
      </c>
      <c r="AA94" s="95" t="inlineStr">
        <is>
          <t>SVB Capital</t>
        </is>
      </c>
      <c r="AB94" s="96" t="inlineStr">
        <is>
          <t>Palo Alto, CA</t>
        </is>
      </c>
      <c r="AC94" s="97" t="inlineStr">
        <is>
          <t/>
        </is>
      </c>
      <c r="AD94" s="98" t="inlineStr">
        <is>
          <t>Seed Round, Early Stage VC, Later Stage VC</t>
        </is>
      </c>
      <c r="AE94" s="99" t="inlineStr">
        <is>
          <t/>
        </is>
      </c>
      <c r="AF94" s="100" t="inlineStr">
        <is>
          <t>FSBA</t>
        </is>
      </c>
      <c r="AG94" s="233">
        <f>HYPERLINK("https://my.pitchbook.com?i=10230-94", "View Investor Online")</f>
      </c>
    </row>
    <row r="95">
      <c r="A95" s="36" t="inlineStr">
        <is>
          <t>15360-13F</t>
        </is>
      </c>
      <c r="B95" s="37" t="inlineStr">
        <is>
          <t>Greycroft Partners IV</t>
        </is>
      </c>
      <c r="C95" s="38" t="inlineStr">
        <is>
          <t/>
        </is>
      </c>
      <c r="D95" s="39" t="inlineStr">
        <is>
          <t>Venture Capital - Early Stage</t>
        </is>
      </c>
      <c r="E95" s="40" t="n">
        <v>204.0</v>
      </c>
      <c r="F95" s="41" t="inlineStr">
        <is>
          <t>New York, NY</t>
        </is>
      </c>
      <c r="G95" s="42" t="n">
        <v>1.0</v>
      </c>
      <c r="H95" s="43" t="n">
        <v>2015.0</v>
      </c>
      <c r="I95" s="44" t="n">
        <v>70.68627450980391</v>
      </c>
      <c r="J95" s="45" t="n">
        <v>144.2</v>
      </c>
      <c r="K95" s="46" t="n">
        <v>12.974400000000001</v>
      </c>
      <c r="L95" s="47" t="n">
        <v>45.0</v>
      </c>
      <c r="M95" s="48" t="n">
        <v>136.7</v>
      </c>
      <c r="N95" s="49" t="n">
        <v>23.8</v>
      </c>
      <c r="O95" s="50" t="inlineStr">
        <is>
          <t/>
        </is>
      </c>
      <c r="P95" s="51" t="n">
        <v>16.8</v>
      </c>
      <c r="Q95" s="52" t="n">
        <v>0.312066574</v>
      </c>
      <c r="R95" s="53" t="n">
        <v>0.312066574</v>
      </c>
      <c r="S95" s="54" t="n">
        <v>0.947988904</v>
      </c>
      <c r="T95" s="55" t="n">
        <v>-0.17201109600000009</v>
      </c>
      <c r="U95" s="56" t="n">
        <v>1.26</v>
      </c>
      <c r="V95" s="57" t="n">
        <v>0.1399999999999999</v>
      </c>
      <c r="W95" s="58" t="inlineStr">
        <is>
          <t/>
        </is>
      </c>
      <c r="X95" s="59" t="inlineStr">
        <is>
          <t>GP Self Reporting, LP Original Commitments</t>
        </is>
      </c>
      <c r="Y95" s="60" t="inlineStr">
        <is>
          <t>2017 Y</t>
        </is>
      </c>
      <c r="Z95" s="61" t="inlineStr">
        <is>
          <t>100M - 249M</t>
        </is>
      </c>
      <c r="AA95" s="62" t="inlineStr">
        <is>
          <t>Greycroft</t>
        </is>
      </c>
      <c r="AB95" s="63" t="inlineStr">
        <is>
          <t>New York, NY</t>
        </is>
      </c>
      <c r="AC95" s="64" t="inlineStr">
        <is>
          <t>Software</t>
        </is>
      </c>
      <c r="AD95" s="65" t="inlineStr">
        <is>
          <t>Seed Round, Early Stage VC</t>
        </is>
      </c>
      <c r="AE95" s="66" t="inlineStr">
        <is>
          <t/>
        </is>
      </c>
      <c r="AF95" s="67" t="inlineStr">
        <is>
          <t>Co-Op Retirement Plan, DuPont Pension Trust Fund, Greycroft, The Eisner Foundation</t>
        </is>
      </c>
      <c r="AG95" s="232">
        <f>HYPERLINK("https://my.pitchbook.com?i=11191-87", "View Investor Online")</f>
      </c>
    </row>
    <row r="96">
      <c r="A96" s="69" t="inlineStr">
        <is>
          <t>13239-82F</t>
        </is>
      </c>
      <c r="B96" s="70" t="inlineStr">
        <is>
          <t>Ulster Bank Diageo Venture Fund</t>
        </is>
      </c>
      <c r="C96" s="71" t="inlineStr">
        <is>
          <t/>
        </is>
      </c>
      <c r="D96" s="72" t="inlineStr">
        <is>
          <t>Venture Capital</t>
        </is>
      </c>
      <c r="E96" s="73" t="n">
        <v>107.35189</v>
      </c>
      <c r="F96" s="74" t="inlineStr">
        <is>
          <t>Dublin, Ireland</t>
        </is>
      </c>
      <c r="G96" s="75" t="n">
        <v>4.0</v>
      </c>
      <c r="H96" s="76" t="n">
        <v>2011.0</v>
      </c>
      <c r="I96" s="77" t="n">
        <v>98.66666666666667</v>
      </c>
      <c r="J96" s="78" t="n">
        <v>105.92052811402775</v>
      </c>
      <c r="K96" s="79" t="n">
        <v>0.0</v>
      </c>
      <c r="L96" s="80" t="n">
        <v>77.72276589988793</v>
      </c>
      <c r="M96" s="81" t="n">
        <v>56.252388579476886</v>
      </c>
      <c r="N96" s="82" t="n">
        <v>5.5</v>
      </c>
      <c r="O96" s="83" t="inlineStr">
        <is>
          <t/>
        </is>
      </c>
      <c r="P96" s="84" t="n">
        <v>-8.225</v>
      </c>
      <c r="Q96" s="85" t="n">
        <v>0.734</v>
      </c>
      <c r="R96" s="86" t="n">
        <v>0.02300000000000002</v>
      </c>
      <c r="S96" s="87" t="n">
        <v>0.531</v>
      </c>
      <c r="T96" s="88" t="n">
        <v>-0.719</v>
      </c>
      <c r="U96" s="89" t="n">
        <v>1.26</v>
      </c>
      <c r="V96" s="90" t="n">
        <v>-0.7</v>
      </c>
      <c r="W96" s="91" t="inlineStr">
        <is>
          <t/>
        </is>
      </c>
      <c r="X96" s="92" t="inlineStr">
        <is>
          <t>GP Self Reporting</t>
        </is>
      </c>
      <c r="Y96" s="93" t="inlineStr">
        <is>
          <t>2018 Y</t>
        </is>
      </c>
      <c r="Z96" s="94" t="inlineStr">
        <is>
          <t>100M - 249M</t>
        </is>
      </c>
      <c r="AA96" s="95" t="inlineStr">
        <is>
          <t>Investec Ventures</t>
        </is>
      </c>
      <c r="AB96" s="96" t="inlineStr">
        <is>
          <t>Dublin, Ireland</t>
        </is>
      </c>
      <c r="AC96" s="97" t="inlineStr">
        <is>
          <t>Software</t>
        </is>
      </c>
      <c r="AD96" s="98" t="inlineStr">
        <is>
          <t>Seed Round, Early Stage VC, Later Stage VC</t>
        </is>
      </c>
      <c r="AE96" s="99" t="inlineStr">
        <is>
          <t/>
        </is>
      </c>
      <c r="AF96" s="100" t="inlineStr">
        <is>
          <t>Investec Ventures</t>
        </is>
      </c>
      <c r="AG96" s="233">
        <f>HYPERLINK("https://my.pitchbook.com?i=11246-68", "View Investor Online")</f>
      </c>
    </row>
    <row r="97">
      <c r="A97" s="36" t="inlineStr">
        <is>
          <t>12979-45F</t>
        </is>
      </c>
      <c r="B97" s="37" t="inlineStr">
        <is>
          <t>Arboretum Ventures III</t>
        </is>
      </c>
      <c r="C97" s="38" t="inlineStr">
        <is>
          <t/>
        </is>
      </c>
      <c r="D97" s="39" t="inlineStr">
        <is>
          <t>Venture Capital</t>
        </is>
      </c>
      <c r="E97" s="40" t="n">
        <v>138.15</v>
      </c>
      <c r="F97" s="41" t="inlineStr">
        <is>
          <t>Ann Arbor, MI</t>
        </is>
      </c>
      <c r="G97" s="42" t="n">
        <v>2.0</v>
      </c>
      <c r="H97" s="43" t="n">
        <v>2011.0</v>
      </c>
      <c r="I97" s="44" t="n">
        <v>99.00108577633009</v>
      </c>
      <c r="J97" s="45" t="n">
        <v>136.77</v>
      </c>
      <c r="K97" s="46" t="n">
        <v>1.38</v>
      </c>
      <c r="L97" s="47" t="n">
        <v>30.079999999999995</v>
      </c>
      <c r="M97" s="48" t="n">
        <v>140.59</v>
      </c>
      <c r="N97" s="49" t="n">
        <v>3.6</v>
      </c>
      <c r="O97" s="50" t="inlineStr">
        <is>
          <t/>
        </is>
      </c>
      <c r="P97" s="51" t="n">
        <v>0.0</v>
      </c>
      <c r="Q97" s="52" t="n">
        <v>0.22</v>
      </c>
      <c r="R97" s="53" t="n">
        <v>-0.05000000000000002</v>
      </c>
      <c r="S97" s="54" t="n">
        <v>1.03</v>
      </c>
      <c r="T97" s="55" t="n">
        <v>-0.050000000000000044</v>
      </c>
      <c r="U97" s="56" t="n">
        <v>1.25</v>
      </c>
      <c r="V97" s="57" t="n">
        <v>0.08499999999999996</v>
      </c>
      <c r="W97" s="58" t="inlineStr">
        <is>
          <t/>
        </is>
      </c>
      <c r="X97" s="59" t="inlineStr">
        <is>
          <t>GP Self Reporting, LP Original Commitments</t>
        </is>
      </c>
      <c r="Y97" s="60" t="inlineStr">
        <is>
          <t>2020 Y</t>
        </is>
      </c>
      <c r="Z97" s="61" t="inlineStr">
        <is>
          <t>100M - 249M</t>
        </is>
      </c>
      <c r="AA97" s="62" t="inlineStr">
        <is>
          <t>Arboretum Ventures</t>
        </is>
      </c>
      <c r="AB97" s="63" t="inlineStr">
        <is>
          <t>Ann Arbor, MI</t>
        </is>
      </c>
      <c r="AC97" s="64" t="inlineStr">
        <is>
          <t>Healthcare Devices and Supplies, Healthcare Services</t>
        </is>
      </c>
      <c r="AD97" s="65" t="inlineStr">
        <is>
          <t>Angel (individual), Early Stage VC</t>
        </is>
      </c>
      <c r="AE97" s="66" t="inlineStr">
        <is>
          <t/>
        </is>
      </c>
      <c r="AF97" s="67" t="inlineStr">
        <is>
          <t>Arboretum, Michigan Department of Treasury</t>
        </is>
      </c>
      <c r="AG97" s="232">
        <f>HYPERLINK("https://my.pitchbook.com?i=11111-41", "View Investor Online")</f>
      </c>
    </row>
    <row r="98">
      <c r="A98" s="69" t="inlineStr">
        <is>
          <t>15912-64F</t>
        </is>
      </c>
      <c r="B98" s="70" t="inlineStr">
        <is>
          <t>Arrowroot Capital III</t>
        </is>
      </c>
      <c r="C98" s="71" t="inlineStr">
        <is>
          <t/>
        </is>
      </c>
      <c r="D98" s="72" t="inlineStr">
        <is>
          <t>Venture Capital</t>
        </is>
      </c>
      <c r="E98" s="73" t="n">
        <v>177.0</v>
      </c>
      <c r="F98" s="74" t="inlineStr">
        <is>
          <t>Santa Monica, CA</t>
        </is>
      </c>
      <c r="G98" s="75" t="n">
        <v>3.0</v>
      </c>
      <c r="H98" s="76" t="n">
        <v>2017.0</v>
      </c>
      <c r="I98" s="77" t="n">
        <v>98.7106</v>
      </c>
      <c r="J98" s="78" t="n">
        <v>174.717762</v>
      </c>
      <c r="K98" s="79" t="n">
        <v>57.48143076923076</v>
      </c>
      <c r="L98" s="80" t="n">
        <v>0.0</v>
      </c>
      <c r="M98" s="81" t="n">
        <v>216.73619909999996</v>
      </c>
      <c r="N98" s="82" t="n">
        <v>11.42</v>
      </c>
      <c r="O98" s="83" t="inlineStr">
        <is>
          <t/>
        </is>
      </c>
      <c r="P98" s="84" t="n">
        <v>-2.380000000000001</v>
      </c>
      <c r="Q98" s="85" t="n">
        <v>0.0</v>
      </c>
      <c r="R98" s="86" t="n">
        <v>-0.01</v>
      </c>
      <c r="S98" s="87" t="n">
        <v>1.24</v>
      </c>
      <c r="T98" s="88" t="n">
        <v>0.02499999999999991</v>
      </c>
      <c r="U98" s="89" t="n">
        <v>1.24</v>
      </c>
      <c r="V98" s="90" t="n">
        <v>-0.26</v>
      </c>
      <c r="W98" s="91" t="inlineStr">
        <is>
          <t/>
        </is>
      </c>
      <c r="X98" s="92" t="inlineStr">
        <is>
          <t>LP Original Commitments</t>
        </is>
      </c>
      <c r="Y98" s="93" t="inlineStr">
        <is>
          <t>2019 Y</t>
        </is>
      </c>
      <c r="Z98" s="94" t="inlineStr">
        <is>
          <t>100M - 249M</t>
        </is>
      </c>
      <c r="AA98" s="95" t="inlineStr">
        <is>
          <t>Arrowroot Capital</t>
        </is>
      </c>
      <c r="AB98" s="96" t="inlineStr">
        <is>
          <t>Santa Monica, CA</t>
        </is>
      </c>
      <c r="AC98" s="97" t="inlineStr">
        <is>
          <t>Software</t>
        </is>
      </c>
      <c r="AD98" s="98" t="inlineStr">
        <is>
          <t>Seed Round, Early Stage VC, Later Stage VC</t>
        </is>
      </c>
      <c r="AE98" s="99" t="inlineStr">
        <is>
          <t/>
        </is>
      </c>
      <c r="AF98" s="100" t="inlineStr">
        <is>
          <t>MPERS</t>
        </is>
      </c>
      <c r="AG98" s="233">
        <f>HYPERLINK("https://my.pitchbook.com?i=63987-22", "View Investor Online")</f>
      </c>
    </row>
    <row r="99">
      <c r="A99" s="36" t="inlineStr">
        <is>
          <t>14361-85F</t>
        </is>
      </c>
      <c r="B99" s="37" t="inlineStr">
        <is>
          <t>Baird Venture Partners IV</t>
        </is>
      </c>
      <c r="C99" s="38" t="inlineStr">
        <is>
          <t/>
        </is>
      </c>
      <c r="D99" s="39" t="inlineStr">
        <is>
          <t>Venture Capital</t>
        </is>
      </c>
      <c r="E99" s="40" t="n">
        <v>184.5</v>
      </c>
      <c r="F99" s="41" t="inlineStr">
        <is>
          <t>Milwaukee, WI</t>
        </is>
      </c>
      <c r="G99" s="42" t="n">
        <v>4.0</v>
      </c>
      <c r="H99" s="43" t="n">
        <v>2014.0</v>
      </c>
      <c r="I99" s="44" t="n">
        <v>23.414634146341463</v>
      </c>
      <c r="J99" s="45" t="n">
        <v>43.2</v>
      </c>
      <c r="K99" s="46" t="n">
        <v>0.46125</v>
      </c>
      <c r="L99" s="47" t="inlineStr">
        <is>
          <t/>
        </is>
      </c>
      <c r="M99" s="48" t="inlineStr">
        <is>
          <t/>
        </is>
      </c>
      <c r="N99" s="49" t="n">
        <v>6.0</v>
      </c>
      <c r="O99" s="50" t="inlineStr">
        <is>
          <t/>
        </is>
      </c>
      <c r="P99" s="51" t="n">
        <v>-15.379999999999999</v>
      </c>
      <c r="Q99" s="52" t="n">
        <v>0.0</v>
      </c>
      <c r="R99" s="53" t="n">
        <v>0.0</v>
      </c>
      <c r="S99" s="54" t="n">
        <v>1.24</v>
      </c>
      <c r="T99" s="55" t="n">
        <v>0.0</v>
      </c>
      <c r="U99" s="56" t="n">
        <v>1.24</v>
      </c>
      <c r="V99" s="57" t="n">
        <v>-0.345</v>
      </c>
      <c r="W99" s="58" t="inlineStr">
        <is>
          <t/>
        </is>
      </c>
      <c r="X99" s="59" t="inlineStr">
        <is>
          <t>GP Self Reporting</t>
        </is>
      </c>
      <c r="Y99" s="60" t="inlineStr">
        <is>
          <t>2016 Y</t>
        </is>
      </c>
      <c r="Z99" s="61" t="inlineStr">
        <is>
          <t>100M - 249M</t>
        </is>
      </c>
      <c r="AA99" s="62" t="inlineStr">
        <is>
          <t>Baird Capital</t>
        </is>
      </c>
      <c r="AB99" s="63" t="inlineStr">
        <is>
          <t>Chicago, IL</t>
        </is>
      </c>
      <c r="AC99" s="64" t="inlineStr">
        <is>
          <t>Software, Commercial Services</t>
        </is>
      </c>
      <c r="AD99" s="65" t="inlineStr">
        <is>
          <t>Seed Round, Early Stage VC, Later Stage VC</t>
        </is>
      </c>
      <c r="AE99" s="66" t="inlineStr">
        <is>
          <t/>
        </is>
      </c>
      <c r="AF99" s="67" t="inlineStr">
        <is>
          <t>Baird Capital</t>
        </is>
      </c>
      <c r="AG99" s="232">
        <f>HYPERLINK("https://my.pitchbook.com?i=10049-14", "View Investor Online")</f>
      </c>
    </row>
    <row r="100">
      <c r="A100" s="69" t="inlineStr">
        <is>
          <t>15656-77F</t>
        </is>
      </c>
      <c r="B100" s="70" t="inlineStr">
        <is>
          <t>Questa Capital Partners I</t>
        </is>
      </c>
      <c r="C100" s="71" t="inlineStr">
        <is>
          <t/>
        </is>
      </c>
      <c r="D100" s="72" t="inlineStr">
        <is>
          <t>Venture Capital</t>
        </is>
      </c>
      <c r="E100" s="73" t="n">
        <v>199.0</v>
      </c>
      <c r="F100" s="74" t="inlineStr">
        <is>
          <t>Washington, DC</t>
        </is>
      </c>
      <c r="G100" s="75" t="n">
        <v>1.0</v>
      </c>
      <c r="H100" s="76" t="n">
        <v>2016.0</v>
      </c>
      <c r="I100" s="77" t="n">
        <v>68.0</v>
      </c>
      <c r="J100" s="78" t="n">
        <v>135.32</v>
      </c>
      <c r="K100" s="79" t="n">
        <v>63.11251568000001</v>
      </c>
      <c r="L100" s="80" t="n">
        <v>21.294187233999995</v>
      </c>
      <c r="M100" s="81" t="n">
        <v>146.62452136</v>
      </c>
      <c r="N100" s="82" t="n">
        <v>14.84</v>
      </c>
      <c r="O100" s="83" t="inlineStr">
        <is>
          <t/>
        </is>
      </c>
      <c r="P100" s="84" t="n">
        <v>3.289999999999999</v>
      </c>
      <c r="Q100" s="85" t="n">
        <v>0.16</v>
      </c>
      <c r="R100" s="86" t="n">
        <v>0.13148</v>
      </c>
      <c r="S100" s="87" t="n">
        <v>1.08</v>
      </c>
      <c r="T100" s="88" t="n">
        <v>-0.03499999999999992</v>
      </c>
      <c r="U100" s="89" t="n">
        <v>1.24</v>
      </c>
      <c r="V100" s="90" t="n">
        <v>-0.020000000000000018</v>
      </c>
      <c r="W100" s="91" t="inlineStr">
        <is>
          <t/>
        </is>
      </c>
      <c r="X100" s="92" t="inlineStr">
        <is>
          <t>LP Original Commitments</t>
        </is>
      </c>
      <c r="Y100" s="93" t="inlineStr">
        <is>
          <t>2019 Y</t>
        </is>
      </c>
      <c r="Z100" s="94" t="inlineStr">
        <is>
          <t>100M - 249M</t>
        </is>
      </c>
      <c r="AA100" s="95" t="inlineStr">
        <is>
          <t>Questa Capital</t>
        </is>
      </c>
      <c r="AB100" s="96" t="inlineStr">
        <is>
          <t>Washington, DC</t>
        </is>
      </c>
      <c r="AC100" s="97" t="inlineStr">
        <is>
          <t>Healthcare Devices and Supplies, Healthcare Services, Healthcare Technology Systems, Software</t>
        </is>
      </c>
      <c r="AD100" s="98" t="inlineStr">
        <is>
          <t>Seed Round, Early Stage VC, Later Stage VC</t>
        </is>
      </c>
      <c r="AE100" s="99" t="inlineStr">
        <is>
          <t/>
        </is>
      </c>
      <c r="AF100" s="100" t="inlineStr">
        <is>
          <t>FPPA, UTIMCO</t>
        </is>
      </c>
      <c r="AG100" s="233">
        <f>HYPERLINK("https://my.pitchbook.com?i=162445-96", "View Investor Online")</f>
      </c>
    </row>
    <row r="101">
      <c r="A101" s="36" t="inlineStr">
        <is>
          <t>12570-49F</t>
        </is>
      </c>
      <c r="B101" s="37" t="inlineStr">
        <is>
          <t>DFJ Esprit III</t>
        </is>
      </c>
      <c r="C101" s="38" t="inlineStr">
        <is>
          <t/>
        </is>
      </c>
      <c r="D101" s="39" t="inlineStr">
        <is>
          <t>Venture Capital</t>
        </is>
      </c>
      <c r="E101" s="40" t="n">
        <v>100.0</v>
      </c>
      <c r="F101" s="41" t="inlineStr">
        <is>
          <t>London, United Kingdom</t>
        </is>
      </c>
      <c r="G101" s="42" t="inlineStr">
        <is>
          <t/>
        </is>
      </c>
      <c r="H101" s="43" t="n">
        <v>2010.0</v>
      </c>
      <c r="I101" s="44" t="n">
        <v>84.10344</v>
      </c>
      <c r="J101" s="45" t="n">
        <v>84.10344</v>
      </c>
      <c r="K101" s="46" t="n">
        <v>0.0</v>
      </c>
      <c r="L101" s="47" t="n">
        <v>3.09176</v>
      </c>
      <c r="M101" s="48" t="n">
        <v>102.06350499999999</v>
      </c>
      <c r="N101" s="49" t="inlineStr">
        <is>
          <t/>
        </is>
      </c>
      <c r="O101" s="50" t="inlineStr">
        <is>
          <t/>
        </is>
      </c>
      <c r="P101" s="51" t="inlineStr">
        <is>
          <t/>
        </is>
      </c>
      <c r="Q101" s="52" t="n">
        <v>0.04</v>
      </c>
      <c r="R101" s="53" t="n">
        <v>0.0022900000000000004</v>
      </c>
      <c r="S101" s="54" t="n">
        <v>1.19</v>
      </c>
      <c r="T101" s="55" t="inlineStr">
        <is>
          <t/>
        </is>
      </c>
      <c r="U101" s="56" t="n">
        <v>1.23</v>
      </c>
      <c r="V101" s="57" t="inlineStr">
        <is>
          <t/>
        </is>
      </c>
      <c r="W101" s="58" t="inlineStr">
        <is>
          <t/>
        </is>
      </c>
      <c r="X101" s="59" t="inlineStr">
        <is>
          <t>LP Original Commitments</t>
        </is>
      </c>
      <c r="Y101" s="60" t="inlineStr">
        <is>
          <t>2013 Y</t>
        </is>
      </c>
      <c r="Z101" s="61" t="inlineStr">
        <is>
          <t>100M - 249M</t>
        </is>
      </c>
      <c r="AA101" s="62" t="inlineStr">
        <is>
          <t>Draper Esprit</t>
        </is>
      </c>
      <c r="AB101" s="63" t="inlineStr">
        <is>
          <t>London, United Kingdom</t>
        </is>
      </c>
      <c r="AC101" s="64" t="inlineStr">
        <is>
          <t>Software</t>
        </is>
      </c>
      <c r="AD101" s="65" t="inlineStr">
        <is>
          <t>Later Stage VC</t>
        </is>
      </c>
      <c r="AE101" s="66" t="inlineStr">
        <is>
          <t>United Kingdom, United States</t>
        </is>
      </c>
      <c r="AF101" s="67" t="inlineStr">
        <is>
          <t>Dorinco, ISIF, JPEL</t>
        </is>
      </c>
      <c r="AG101" s="232">
        <f>HYPERLINK("https://my.pitchbook.com?i=11275-75", "View Investor Online")</f>
      </c>
    </row>
    <row r="102">
      <c r="A102" s="69" t="inlineStr">
        <is>
          <t>16216-84F</t>
        </is>
      </c>
      <c r="B102" s="70" t="inlineStr">
        <is>
          <t>TLV Partners II</t>
        </is>
      </c>
      <c r="C102" s="71" t="inlineStr">
        <is>
          <t/>
        </is>
      </c>
      <c r="D102" s="72" t="inlineStr">
        <is>
          <t>Venture Capital - Early Stage</t>
        </is>
      </c>
      <c r="E102" s="73" t="n">
        <v>152.28426</v>
      </c>
      <c r="F102" s="74" t="inlineStr">
        <is>
          <t>Tel Aviv-Yafo, Israel</t>
        </is>
      </c>
      <c r="G102" s="75" t="inlineStr">
        <is>
          <t/>
        </is>
      </c>
      <c r="H102" s="76" t="n">
        <v>2018.0</v>
      </c>
      <c r="I102" s="77" t="n">
        <v>51.099999999999994</v>
      </c>
      <c r="J102" s="78" t="n">
        <v>77.817258904</v>
      </c>
      <c r="K102" s="79" t="n">
        <v>74.46700314</v>
      </c>
      <c r="L102" s="80" t="n">
        <v>0.0</v>
      </c>
      <c r="M102" s="81" t="n">
        <v>94.64290537011718</v>
      </c>
      <c r="N102" s="82" t="n">
        <v>21.88</v>
      </c>
      <c r="O102" s="83" t="inlineStr">
        <is>
          <t/>
        </is>
      </c>
      <c r="P102" s="84" t="inlineStr">
        <is>
          <t/>
        </is>
      </c>
      <c r="Q102" s="85" t="n">
        <v>0.0</v>
      </c>
      <c r="R102" s="86" t="inlineStr">
        <is>
          <t/>
        </is>
      </c>
      <c r="S102" s="87" t="n">
        <v>1.22</v>
      </c>
      <c r="T102" s="88" t="inlineStr">
        <is>
          <t/>
        </is>
      </c>
      <c r="U102" s="89" t="n">
        <v>1.22</v>
      </c>
      <c r="V102" s="90" t="inlineStr">
        <is>
          <t/>
        </is>
      </c>
      <c r="W102" s="91" t="inlineStr">
        <is>
          <t/>
        </is>
      </c>
      <c r="X102" s="92" t="inlineStr">
        <is>
          <t>LP Original Commitments</t>
        </is>
      </c>
      <c r="Y102" s="93" t="inlineStr">
        <is>
          <t>2019 Y</t>
        </is>
      </c>
      <c r="Z102" s="94" t="inlineStr">
        <is>
          <t>100M - 249M</t>
        </is>
      </c>
      <c r="AA102" s="95" t="inlineStr">
        <is>
          <t>TLV Partners</t>
        </is>
      </c>
      <c r="AB102" s="96" t="inlineStr">
        <is>
          <t>Tel Aviv-Yafo, Israel</t>
        </is>
      </c>
      <c r="AC102" s="97" t="inlineStr">
        <is>
          <t>Software</t>
        </is>
      </c>
      <c r="AD102" s="98" t="inlineStr">
        <is>
          <t>Seed Round, Early Stage VC</t>
        </is>
      </c>
      <c r="AE102" s="99" t="inlineStr">
        <is>
          <t/>
        </is>
      </c>
      <c r="AF102" s="100" t="inlineStr">
        <is>
          <t>UTIMCO</t>
        </is>
      </c>
      <c r="AG102" s="233">
        <f>HYPERLINK("https://my.pitchbook.com?i=120589-93", "View Investor Online")</f>
      </c>
    </row>
    <row r="103">
      <c r="A103" s="36" t="inlineStr">
        <is>
          <t>13402-90F</t>
        </is>
      </c>
      <c r="B103" s="37" t="inlineStr">
        <is>
          <t>Bridges Sustainable Growth Fund III</t>
        </is>
      </c>
      <c r="C103" s="38" t="inlineStr">
        <is>
          <t>Bridges Community Ventures Fund III</t>
        </is>
      </c>
      <c r="D103" s="39" t="inlineStr">
        <is>
          <t>Venture Capital</t>
        </is>
      </c>
      <c r="E103" s="40" t="n">
        <v>200.55868</v>
      </c>
      <c r="F103" s="41" t="inlineStr">
        <is>
          <t>London, United Kingdom</t>
        </is>
      </c>
      <c r="G103" s="42" t="inlineStr">
        <is>
          <t/>
        </is>
      </c>
      <c r="H103" s="43" t="n">
        <v>2013.0</v>
      </c>
      <c r="I103" s="44" t="n">
        <v>100.0</v>
      </c>
      <c r="J103" s="45" t="n">
        <v>200.83945839530594</v>
      </c>
      <c r="K103" s="46" t="n">
        <v>0.0</v>
      </c>
      <c r="L103" s="47" t="n">
        <v>9.546592989431359</v>
      </c>
      <c r="M103" s="48" t="n">
        <v>232.8887348598255</v>
      </c>
      <c r="N103" s="49" t="inlineStr">
        <is>
          <t/>
        </is>
      </c>
      <c r="O103" s="50" t="inlineStr">
        <is>
          <t/>
        </is>
      </c>
      <c r="P103" s="51" t="inlineStr">
        <is>
          <t/>
        </is>
      </c>
      <c r="Q103" s="52" t="n">
        <v>0.05</v>
      </c>
      <c r="R103" s="53" t="inlineStr">
        <is>
          <t/>
        </is>
      </c>
      <c r="S103" s="54" t="n">
        <v>1.16</v>
      </c>
      <c r="T103" s="55" t="inlineStr">
        <is>
          <t/>
        </is>
      </c>
      <c r="U103" s="56" t="n">
        <v>1.21</v>
      </c>
      <c r="V103" s="57" t="inlineStr">
        <is>
          <t/>
        </is>
      </c>
      <c r="W103" s="58" t="inlineStr">
        <is>
          <t/>
        </is>
      </c>
      <c r="X103" s="59" t="inlineStr">
        <is>
          <t>LP Original Commitments</t>
        </is>
      </c>
      <c r="Y103" s="60" t="inlineStr">
        <is>
          <t>2020 Y</t>
        </is>
      </c>
      <c r="Z103" s="61" t="inlineStr">
        <is>
          <t>100M - 249M</t>
        </is>
      </c>
      <c r="AA103" s="62" t="inlineStr">
        <is>
          <t>Bridges Fund Management</t>
        </is>
      </c>
      <c r="AB103" s="63" t="inlineStr">
        <is>
          <t>London, United Kingdom</t>
        </is>
      </c>
      <c r="AC103" s="64" t="inlineStr">
        <is>
          <t>Healthcare Services, Consumer Products and Services (B2C), Healthcare</t>
        </is>
      </c>
      <c r="AD103" s="65" t="inlineStr">
        <is>
          <t>Seed Round, Early Stage VC, Later Stage VC</t>
        </is>
      </c>
      <c r="AE103" s="66" t="inlineStr">
        <is>
          <t>United Kingdom</t>
        </is>
      </c>
      <c r="AF103" s="67" t="inlineStr">
        <is>
          <t>CPF</t>
        </is>
      </c>
      <c r="AG103" s="232">
        <f>HYPERLINK("https://my.pitchbook.com?i=10791-37", "View Investor Online")</f>
      </c>
    </row>
    <row r="104">
      <c r="A104" s="69" t="inlineStr">
        <is>
          <t>13673-71F</t>
        </is>
      </c>
      <c r="B104" s="70" t="inlineStr">
        <is>
          <t>Albion Community Power</t>
        </is>
      </c>
      <c r="C104" s="71" t="inlineStr">
        <is>
          <t/>
        </is>
      </c>
      <c r="D104" s="72" t="inlineStr">
        <is>
          <t>Venture Capital</t>
        </is>
      </c>
      <c r="E104" s="73" t="n">
        <v>100.11198</v>
      </c>
      <c r="F104" s="74" t="inlineStr">
        <is>
          <t>London, United Kingdom</t>
        </is>
      </c>
      <c r="G104" s="75" t="inlineStr">
        <is>
          <t/>
        </is>
      </c>
      <c r="H104" s="76" t="n">
        <v>2015.0</v>
      </c>
      <c r="I104" s="77" t="n">
        <v>53.571428757142854</v>
      </c>
      <c r="J104" s="78" t="n">
        <v>53.63141900684208</v>
      </c>
      <c r="K104" s="79" t="n">
        <v>30.926245305379748</v>
      </c>
      <c r="L104" s="80" t="n">
        <v>0.04001830594957844</v>
      </c>
      <c r="M104" s="81" t="n">
        <v>64.22767644951017</v>
      </c>
      <c r="N104" s="82" t="inlineStr">
        <is>
          <t/>
        </is>
      </c>
      <c r="O104" s="83" t="inlineStr">
        <is>
          <t/>
        </is>
      </c>
      <c r="P104" s="84" t="inlineStr">
        <is>
          <t/>
        </is>
      </c>
      <c r="Q104" s="85" t="n">
        <v>0.0</v>
      </c>
      <c r="R104" s="86" t="n">
        <v>-0.235</v>
      </c>
      <c r="S104" s="87" t="n">
        <v>1.2</v>
      </c>
      <c r="T104" s="88" t="n">
        <v>0.125</v>
      </c>
      <c r="U104" s="89" t="n">
        <v>1.2</v>
      </c>
      <c r="V104" s="90" t="n">
        <v>0.0</v>
      </c>
      <c r="W104" s="91" t="inlineStr">
        <is>
          <t/>
        </is>
      </c>
      <c r="X104" s="92" t="inlineStr">
        <is>
          <t>LP Original Commitments</t>
        </is>
      </c>
      <c r="Y104" s="93" t="inlineStr">
        <is>
          <t>2019 Y</t>
        </is>
      </c>
      <c r="Z104" s="94" t="inlineStr">
        <is>
          <t>100M - 249M</t>
        </is>
      </c>
      <c r="AA104" s="95" t="inlineStr">
        <is>
          <t>Albion Capital</t>
        </is>
      </c>
      <c r="AB104" s="96" t="inlineStr">
        <is>
          <t>London, United Kingdom</t>
        </is>
      </c>
      <c r="AC104" s="97" t="inlineStr">
        <is>
          <t>Energy</t>
        </is>
      </c>
      <c r="AD104" s="98" t="inlineStr">
        <is>
          <t>Seed Round, Early Stage VC, Later Stage VC</t>
        </is>
      </c>
      <c r="AE104" s="99" t="inlineStr">
        <is>
          <t>United Kingdom</t>
        </is>
      </c>
      <c r="AF104" s="100" t="inlineStr">
        <is>
          <t>MPF, SPFO</t>
        </is>
      </c>
      <c r="AG104" s="233">
        <f>HYPERLINK("https://my.pitchbook.com?i=10563-22", "View Investor Online")</f>
      </c>
    </row>
    <row r="105">
      <c r="A105" s="36" t="inlineStr">
        <is>
          <t>13822-66F</t>
        </is>
      </c>
      <c r="B105" s="37" t="inlineStr">
        <is>
          <t>Environmental Technologies Fund II</t>
        </is>
      </c>
      <c r="C105" s="38" t="inlineStr">
        <is>
          <t/>
        </is>
      </c>
      <c r="D105" s="39" t="inlineStr">
        <is>
          <t>Venture Capital</t>
        </is>
      </c>
      <c r="E105" s="40" t="n">
        <v>122.58835</v>
      </c>
      <c r="F105" s="41" t="inlineStr">
        <is>
          <t>London, United Kingdom</t>
        </is>
      </c>
      <c r="G105" s="42" t="inlineStr">
        <is>
          <t/>
        </is>
      </c>
      <c r="H105" s="43" t="n">
        <v>2015.0</v>
      </c>
      <c r="I105" s="44" t="n">
        <v>87.17136500000001</v>
      </c>
      <c r="J105" s="45" t="n">
        <v>106.86193656700797</v>
      </c>
      <c r="K105" s="46" t="n">
        <v>15.726411974022504</v>
      </c>
      <c r="L105" s="47" t="n">
        <v>35.136260138455064</v>
      </c>
      <c r="M105" s="48" t="n">
        <v>92.52110413232366</v>
      </c>
      <c r="N105" s="49" t="inlineStr">
        <is>
          <t/>
        </is>
      </c>
      <c r="O105" s="50" t="inlineStr">
        <is>
          <t/>
        </is>
      </c>
      <c r="P105" s="51" t="inlineStr">
        <is>
          <t/>
        </is>
      </c>
      <c r="Q105" s="52" t="n">
        <v>0.33</v>
      </c>
      <c r="R105" s="53" t="n">
        <v>0.09500000000000003</v>
      </c>
      <c r="S105" s="54" t="n">
        <v>0.87</v>
      </c>
      <c r="T105" s="55" t="n">
        <v>-0.20499999999999996</v>
      </c>
      <c r="U105" s="56" t="n">
        <v>1.2</v>
      </c>
      <c r="V105" s="57" t="n">
        <v>0.0</v>
      </c>
      <c r="W105" s="58" t="inlineStr">
        <is>
          <t/>
        </is>
      </c>
      <c r="X105" s="59" t="inlineStr">
        <is>
          <t>LP Original Commitments</t>
        </is>
      </c>
      <c r="Y105" s="60" t="inlineStr">
        <is>
          <t>2020 Y</t>
        </is>
      </c>
      <c r="Z105" s="61" t="inlineStr">
        <is>
          <t>100M - 249M</t>
        </is>
      </c>
      <c r="AA105" s="62" t="inlineStr">
        <is>
          <t>ETF Partners</t>
        </is>
      </c>
      <c r="AB105" s="63" t="inlineStr">
        <is>
          <t>London, United Kingdom</t>
        </is>
      </c>
      <c r="AC105" s="64" t="inlineStr">
        <is>
          <t>Commercial Products, Consumer Products and Services (B2C), Energy, Information Technology, Materials and Resources</t>
        </is>
      </c>
      <c r="AD105" s="65" t="inlineStr">
        <is>
          <t>Seed Round, Early Stage VC, Later Stage VC</t>
        </is>
      </c>
      <c r="AE105" s="66" t="inlineStr">
        <is>
          <t/>
        </is>
      </c>
      <c r="AF105" s="67" t="inlineStr">
        <is>
          <t>CPF, WYPF</t>
        </is>
      </c>
      <c r="AG105" s="232">
        <f>HYPERLINK("https://my.pitchbook.com?i=11410-03", "View Investor Online")</f>
      </c>
    </row>
    <row r="106">
      <c r="A106" s="69" t="inlineStr">
        <is>
          <t>15560-20F</t>
        </is>
      </c>
      <c r="B106" s="70" t="inlineStr">
        <is>
          <t>FirstMark Capital Opportunity Fund II</t>
        </is>
      </c>
      <c r="C106" s="71" t="inlineStr">
        <is>
          <t/>
        </is>
      </c>
      <c r="D106" s="72" t="inlineStr">
        <is>
          <t>Venture Capital</t>
        </is>
      </c>
      <c r="E106" s="73" t="n">
        <v>205.95</v>
      </c>
      <c r="F106" s="74" t="inlineStr">
        <is>
          <t>New York, NY</t>
        </is>
      </c>
      <c r="G106" s="75" t="inlineStr">
        <is>
          <t/>
        </is>
      </c>
      <c r="H106" s="76" t="n">
        <v>2016.0</v>
      </c>
      <c r="I106" s="77" t="n">
        <v>100.0</v>
      </c>
      <c r="J106" s="78" t="n">
        <v>205.95</v>
      </c>
      <c r="K106" s="79" t="n">
        <v>0.0</v>
      </c>
      <c r="L106" s="80" t="n">
        <v>7.5477929</v>
      </c>
      <c r="M106" s="81" t="n">
        <v>237.70139388</v>
      </c>
      <c r="N106" s="82" t="inlineStr">
        <is>
          <t/>
        </is>
      </c>
      <c r="O106" s="83" t="inlineStr">
        <is>
          <t/>
        </is>
      </c>
      <c r="P106" s="84" t="inlineStr">
        <is>
          <t/>
        </is>
      </c>
      <c r="Q106" s="85" t="n">
        <v>0.04</v>
      </c>
      <c r="R106" s="86" t="n">
        <v>0.01148</v>
      </c>
      <c r="S106" s="87" t="n">
        <v>1.15</v>
      </c>
      <c r="T106" s="88" t="n">
        <v>0.03499999999999992</v>
      </c>
      <c r="U106" s="89" t="n">
        <v>1.19</v>
      </c>
      <c r="V106" s="90" t="n">
        <v>-0.07000000000000006</v>
      </c>
      <c r="W106" s="91" t="inlineStr">
        <is>
          <t/>
        </is>
      </c>
      <c r="X106" s="92" t="inlineStr">
        <is>
          <t>LP Original Commitments</t>
        </is>
      </c>
      <c r="Y106" s="93" t="inlineStr">
        <is>
          <t>2020 Y</t>
        </is>
      </c>
      <c r="Z106" s="94" t="inlineStr">
        <is>
          <t>100M - 249M</t>
        </is>
      </c>
      <c r="AA106" s="95" t="inlineStr">
        <is>
          <t>FirstMark Capital</t>
        </is>
      </c>
      <c r="AB106" s="96" t="inlineStr">
        <is>
          <t>New York, NY</t>
        </is>
      </c>
      <c r="AC106" s="97" t="inlineStr">
        <is>
          <t>Apparel and Accessories</t>
        </is>
      </c>
      <c r="AD106" s="98" t="inlineStr">
        <is>
          <t>Later Stage VC</t>
        </is>
      </c>
      <c r="AE106" s="99" t="inlineStr">
        <is>
          <t>United States</t>
        </is>
      </c>
      <c r="AF106" s="100" t="inlineStr">
        <is>
          <t>Michigan Department of Treasury, OPPRS</t>
        </is>
      </c>
      <c r="AG106" s="233">
        <f>HYPERLINK("https://my.pitchbook.com?i=11270-53", "View Investor Online")</f>
      </c>
    </row>
    <row r="107">
      <c r="A107" s="36" t="inlineStr">
        <is>
          <t>13746-43F</t>
        </is>
      </c>
      <c r="B107" s="37" t="inlineStr">
        <is>
          <t>HealthQuest Partners I</t>
        </is>
      </c>
      <c r="C107" s="38" t="inlineStr">
        <is>
          <t>Sofinnova HealthQuest Partners</t>
        </is>
      </c>
      <c r="D107" s="39" t="inlineStr">
        <is>
          <t>Venture Capital</t>
        </is>
      </c>
      <c r="E107" s="40" t="n">
        <v>110.0</v>
      </c>
      <c r="F107" s="41" t="inlineStr">
        <is>
          <t>Belmont, CA</t>
        </is>
      </c>
      <c r="G107" s="42" t="inlineStr">
        <is>
          <t/>
        </is>
      </c>
      <c r="H107" s="43" t="n">
        <v>2013.0</v>
      </c>
      <c r="I107" s="44" t="n">
        <v>92.72727272727273</v>
      </c>
      <c r="J107" s="45" t="n">
        <v>102.0</v>
      </c>
      <c r="K107" s="46" t="n">
        <v>2.2</v>
      </c>
      <c r="L107" s="47" t="n">
        <v>12.0</v>
      </c>
      <c r="M107" s="48" t="n">
        <v>109.0</v>
      </c>
      <c r="N107" s="49" t="inlineStr">
        <is>
          <t/>
        </is>
      </c>
      <c r="O107" s="50" t="inlineStr">
        <is>
          <t/>
        </is>
      </c>
      <c r="P107" s="51" t="inlineStr">
        <is>
          <t/>
        </is>
      </c>
      <c r="Q107" s="52" t="n">
        <v>0.117647059</v>
      </c>
      <c r="R107" s="53" t="n">
        <v>-0.0023529409999999973</v>
      </c>
      <c r="S107" s="54" t="n">
        <v>1.068627451</v>
      </c>
      <c r="T107" s="55" t="n">
        <v>-2.548999999962831E-6</v>
      </c>
      <c r="U107" s="56" t="n">
        <v>1.19</v>
      </c>
      <c r="V107" s="57" t="n">
        <v>0.0</v>
      </c>
      <c r="W107" s="58" t="inlineStr">
        <is>
          <t/>
        </is>
      </c>
      <c r="X107" s="59" t="inlineStr">
        <is>
          <t>GP Self Reporting</t>
        </is>
      </c>
      <c r="Y107" s="60" t="inlineStr">
        <is>
          <t>2019 Y</t>
        </is>
      </c>
      <c r="Z107" s="61" t="inlineStr">
        <is>
          <t>100M - 249M</t>
        </is>
      </c>
      <c r="AA107" s="62" t="inlineStr">
        <is>
          <t>HealthQuest Capital</t>
        </is>
      </c>
      <c r="AB107" s="63" t="inlineStr">
        <is>
          <t>Belmont, CA</t>
        </is>
      </c>
      <c r="AC107" s="64" t="inlineStr">
        <is>
          <t>Healthcare Devices and Supplies, Healthcare</t>
        </is>
      </c>
      <c r="AD107" s="65" t="inlineStr">
        <is>
          <t>Later Stage VC, Early Stage VC</t>
        </is>
      </c>
      <c r="AE107" s="66" t="inlineStr">
        <is>
          <t>United States</t>
        </is>
      </c>
      <c r="AF107" s="67" t="inlineStr">
        <is>
          <t>HealthQuest</t>
        </is>
      </c>
      <c r="AG107" s="232">
        <f>HYPERLINK("https://my.pitchbook.com?i=54383-77", "View Investor Online")</f>
      </c>
    </row>
    <row r="108">
      <c r="A108" s="69" t="inlineStr">
        <is>
          <t>15161-86F</t>
        </is>
      </c>
      <c r="B108" s="70" t="inlineStr">
        <is>
          <t>IA Venture Strategies Fund III</t>
        </is>
      </c>
      <c r="C108" s="71" t="inlineStr">
        <is>
          <t/>
        </is>
      </c>
      <c r="D108" s="72" t="inlineStr">
        <is>
          <t>Venture Capital</t>
        </is>
      </c>
      <c r="E108" s="73" t="n">
        <v>160.0</v>
      </c>
      <c r="F108" s="74" t="inlineStr">
        <is>
          <t>New York, NY</t>
        </is>
      </c>
      <c r="G108" s="75" t="n">
        <v>2.0</v>
      </c>
      <c r="H108" s="76" t="n">
        <v>2015.0</v>
      </c>
      <c r="I108" s="77" t="n">
        <v>70.00001062222222</v>
      </c>
      <c r="J108" s="78" t="n">
        <v>112.00001699555555</v>
      </c>
      <c r="K108" s="79" t="n">
        <v>38.05084627210882</v>
      </c>
      <c r="L108" s="80" t="n">
        <v>0.0</v>
      </c>
      <c r="M108" s="81" t="n">
        <v>133.37868444444445</v>
      </c>
      <c r="N108" s="82" t="n">
        <v>9.69</v>
      </c>
      <c r="O108" s="83" t="inlineStr">
        <is>
          <t/>
        </is>
      </c>
      <c r="P108" s="84" t="n">
        <v>0.04499999999999993</v>
      </c>
      <c r="Q108" s="85" t="n">
        <v>0.0</v>
      </c>
      <c r="R108" s="86" t="n">
        <v>-0.005</v>
      </c>
      <c r="S108" s="87" t="n">
        <v>1.19</v>
      </c>
      <c r="T108" s="88" t="n">
        <v>0.0</v>
      </c>
      <c r="U108" s="89" t="n">
        <v>1.19</v>
      </c>
      <c r="V108" s="90" t="n">
        <v>-0.10499999999999998</v>
      </c>
      <c r="W108" s="91" t="inlineStr">
        <is>
          <t/>
        </is>
      </c>
      <c r="X108" s="92" t="inlineStr">
        <is>
          <t>LP Original Commitments</t>
        </is>
      </c>
      <c r="Y108" s="93" t="inlineStr">
        <is>
          <t>2019 Y</t>
        </is>
      </c>
      <c r="Z108" s="94" t="inlineStr">
        <is>
          <t>100M - 249M</t>
        </is>
      </c>
      <c r="AA108" s="95" t="inlineStr">
        <is>
          <t>IA Ventures</t>
        </is>
      </c>
      <c r="AB108" s="96" t="inlineStr">
        <is>
          <t>New York, NY</t>
        </is>
      </c>
      <c r="AC108" s="97" t="inlineStr">
        <is>
          <t>Software</t>
        </is>
      </c>
      <c r="AD108" s="98" t="inlineStr">
        <is>
          <t>Seed Round, Early Stage VC, Later Stage VC</t>
        </is>
      </c>
      <c r="AE108" s="99" t="inlineStr">
        <is>
          <t/>
        </is>
      </c>
      <c r="AF108" s="100" t="inlineStr">
        <is>
          <t>UTIMCO</t>
        </is>
      </c>
      <c r="AG108" s="233">
        <f>HYPERLINK("https://my.pitchbook.com?i=50986-90", "View Investor Online")</f>
      </c>
    </row>
    <row r="109">
      <c r="A109" s="36" t="inlineStr">
        <is>
          <t>14764-87F</t>
        </is>
      </c>
      <c r="B109" s="37" t="inlineStr">
        <is>
          <t>Mercato Partners Growth III</t>
        </is>
      </c>
      <c r="C109" s="38" t="inlineStr">
        <is>
          <t/>
        </is>
      </c>
      <c r="D109" s="39" t="inlineStr">
        <is>
          <t>Venture Capital</t>
        </is>
      </c>
      <c r="E109" s="40" t="n">
        <v>246.0</v>
      </c>
      <c r="F109" s="41" t="inlineStr">
        <is>
          <t>Cottonwood Heights, UT</t>
        </is>
      </c>
      <c r="G109" s="42" t="inlineStr">
        <is>
          <t/>
        </is>
      </c>
      <c r="H109" s="43" t="n">
        <v>2015.0</v>
      </c>
      <c r="I109" s="44" t="n">
        <v>76.0</v>
      </c>
      <c r="J109" s="45" t="n">
        <v>186.95999999999998</v>
      </c>
      <c r="K109" s="46" t="n">
        <v>58.50317614336732</v>
      </c>
      <c r="L109" s="47" t="n">
        <v>0.0</v>
      </c>
      <c r="M109" s="48" t="n">
        <v>222.26403072</v>
      </c>
      <c r="N109" s="49" t="inlineStr">
        <is>
          <t/>
        </is>
      </c>
      <c r="O109" s="50" t="inlineStr">
        <is>
          <t/>
        </is>
      </c>
      <c r="P109" s="51" t="inlineStr">
        <is>
          <t/>
        </is>
      </c>
      <c r="Q109" s="52" t="n">
        <v>0.0</v>
      </c>
      <c r="R109" s="53" t="n">
        <v>-0.005</v>
      </c>
      <c r="S109" s="54" t="n">
        <v>1.19</v>
      </c>
      <c r="T109" s="55" t="n">
        <v>0.0</v>
      </c>
      <c r="U109" s="56" t="n">
        <v>1.19</v>
      </c>
      <c r="V109" s="57" t="n">
        <v>-0.10499999999999998</v>
      </c>
      <c r="W109" s="58" t="inlineStr">
        <is>
          <t/>
        </is>
      </c>
      <c r="X109" s="59" t="inlineStr">
        <is>
          <t>LP Original Commitments</t>
        </is>
      </c>
      <c r="Y109" s="60" t="inlineStr">
        <is>
          <t>2019 Y</t>
        </is>
      </c>
      <c r="Z109" s="61" t="inlineStr">
        <is>
          <t>100M - 249M</t>
        </is>
      </c>
      <c r="AA109" s="62" t="inlineStr">
        <is>
          <t>Mercato Partners</t>
        </is>
      </c>
      <c r="AB109" s="63" t="inlineStr">
        <is>
          <t>Cottonwood Heights, UT</t>
        </is>
      </c>
      <c r="AC109" s="64" t="inlineStr">
        <is>
          <t>Software</t>
        </is>
      </c>
      <c r="AD109" s="65" t="inlineStr">
        <is>
          <t>Seed Round, Early Stage VC, Later Stage VC</t>
        </is>
      </c>
      <c r="AE109" s="66" t="inlineStr">
        <is>
          <t/>
        </is>
      </c>
      <c r="AF109" s="67" t="inlineStr">
        <is>
          <t>FPPA, TMRS</t>
        </is>
      </c>
      <c r="AG109" s="232">
        <f>HYPERLINK("https://my.pitchbook.com?i=42508-00", "View Investor Online")</f>
      </c>
    </row>
    <row r="110">
      <c r="A110" s="69" t="inlineStr">
        <is>
          <t>12519-46F</t>
        </is>
      </c>
      <c r="B110" s="70" t="inlineStr">
        <is>
          <t>NGN BioMed Opportunity II</t>
        </is>
      </c>
      <c r="C110" s="71" t="inlineStr">
        <is>
          <t/>
        </is>
      </c>
      <c r="D110" s="72" t="inlineStr">
        <is>
          <t>Venture Capital</t>
        </is>
      </c>
      <c r="E110" s="73" t="n">
        <v>180.0</v>
      </c>
      <c r="F110" s="74" t="inlineStr">
        <is>
          <t>Greenwich, CT</t>
        </is>
      </c>
      <c r="G110" s="75" t="inlineStr">
        <is>
          <t/>
        </is>
      </c>
      <c r="H110" s="76" t="n">
        <v>2010.0</v>
      </c>
      <c r="I110" s="77" t="n">
        <v>95.75910583333334</v>
      </c>
      <c r="J110" s="78" t="n">
        <v>172.36639050000002</v>
      </c>
      <c r="K110" s="79" t="n">
        <v>7.633609500000001</v>
      </c>
      <c r="L110" s="80" t="n">
        <v>120.115887</v>
      </c>
      <c r="M110" s="81" t="n">
        <v>84.95587499999999</v>
      </c>
      <c r="N110" s="82" t="n">
        <v>2.6</v>
      </c>
      <c r="O110" s="83" t="inlineStr">
        <is>
          <t/>
        </is>
      </c>
      <c r="P110" s="84" t="inlineStr">
        <is>
          <t/>
        </is>
      </c>
      <c r="Q110" s="85" t="n">
        <v>0.7</v>
      </c>
      <c r="R110" s="86" t="inlineStr">
        <is>
          <t/>
        </is>
      </c>
      <c r="S110" s="87" t="n">
        <v>0.49</v>
      </c>
      <c r="T110" s="88" t="n">
        <v>-0.24</v>
      </c>
      <c r="U110" s="89" t="n">
        <v>1.19</v>
      </c>
      <c r="V110" s="90" t="inlineStr">
        <is>
          <t/>
        </is>
      </c>
      <c r="W110" s="91" t="inlineStr">
        <is>
          <t/>
        </is>
      </c>
      <c r="X110" s="92" t="inlineStr">
        <is>
          <t>LP Original Commitments</t>
        </is>
      </c>
      <c r="Y110" s="93" t="inlineStr">
        <is>
          <t>2019 Y</t>
        </is>
      </c>
      <c r="Z110" s="94" t="inlineStr">
        <is>
          <t>100M - 249M</t>
        </is>
      </c>
      <c r="AA110" s="95" t="inlineStr">
        <is>
          <t>NGN Capital</t>
        </is>
      </c>
      <c r="AB110" s="96" t="inlineStr">
        <is>
          <t>New York, NY</t>
        </is>
      </c>
      <c r="AC110" s="97" t="inlineStr">
        <is>
          <t>Healthcare Devices and Supplies, Pharmaceuticals and Biotechnology</t>
        </is>
      </c>
      <c r="AD110" s="98" t="inlineStr">
        <is>
          <t>Later Stage VC, Early Stage VC</t>
        </is>
      </c>
      <c r="AE110" s="99" t="inlineStr">
        <is>
          <t>United States, Switzerland</t>
        </is>
      </c>
      <c r="AF110" s="100" t="inlineStr">
        <is>
          <t>NYC PPF, NYCERS, NYCFDPF, TRSNYC</t>
        </is>
      </c>
      <c r="AG110" s="233">
        <f>HYPERLINK("https://my.pitchbook.com?i=11254-69", "View Investor Online")</f>
      </c>
    </row>
    <row r="111">
      <c r="A111" s="36" t="inlineStr">
        <is>
          <t>16572-43F</t>
        </is>
      </c>
      <c r="B111" s="37" t="inlineStr">
        <is>
          <t>Versant Vantage I</t>
        </is>
      </c>
      <c r="C111" s="38" t="inlineStr">
        <is>
          <t>Versant Opportunity Fund I, L.P.</t>
        </is>
      </c>
      <c r="D111" s="39" t="inlineStr">
        <is>
          <t>Venture Capital</t>
        </is>
      </c>
      <c r="E111" s="40" t="n">
        <v>102.24449</v>
      </c>
      <c r="F111" s="41" t="inlineStr">
        <is>
          <t>San Francisco, CA</t>
        </is>
      </c>
      <c r="G111" s="42" t="inlineStr">
        <is>
          <t/>
        </is>
      </c>
      <c r="H111" s="43" t="n">
        <v>2019.0</v>
      </c>
      <c r="I111" s="44" t="n">
        <v>45.650000000000006</v>
      </c>
      <c r="J111" s="45" t="n">
        <v>46.674609685</v>
      </c>
      <c r="K111" s="46" t="n">
        <v>85.34006765333334</v>
      </c>
      <c r="L111" s="47" t="n">
        <v>0.0</v>
      </c>
      <c r="M111" s="48" t="n">
        <v>55.518758070000004</v>
      </c>
      <c r="N111" s="49" t="inlineStr">
        <is>
          <t/>
        </is>
      </c>
      <c r="O111" s="50" t="inlineStr">
        <is>
          <t/>
        </is>
      </c>
      <c r="P111" s="51" t="inlineStr">
        <is>
          <t/>
        </is>
      </c>
      <c r="Q111" s="52" t="n">
        <v>0.0</v>
      </c>
      <c r="R111" s="53" t="n">
        <v>0.0</v>
      </c>
      <c r="S111" s="54" t="n">
        <v>1.19</v>
      </c>
      <c r="T111" s="55" t="n">
        <v>0.2899999999999999</v>
      </c>
      <c r="U111" s="56" t="n">
        <v>1.19</v>
      </c>
      <c r="V111" s="57" t="n">
        <v>0.2799999999999999</v>
      </c>
      <c r="W111" s="58" t="inlineStr">
        <is>
          <t/>
        </is>
      </c>
      <c r="X111" s="59" t="inlineStr">
        <is>
          <t>LP Original Commitments</t>
        </is>
      </c>
      <c r="Y111" s="60" t="inlineStr">
        <is>
          <t>2019 Y</t>
        </is>
      </c>
      <c r="Z111" s="61" t="inlineStr">
        <is>
          <t>100M - 249M</t>
        </is>
      </c>
      <c r="AA111" s="62" t="inlineStr">
        <is>
          <t>Versant Venture Management</t>
        </is>
      </c>
      <c r="AB111" s="63" t="inlineStr">
        <is>
          <t>San Francisco, CA</t>
        </is>
      </c>
      <c r="AC111" s="64" t="inlineStr">
        <is>
          <t/>
        </is>
      </c>
      <c r="AD111" s="65" t="inlineStr">
        <is>
          <t>Seed Round, Early Stage VC, Later Stage VC</t>
        </is>
      </c>
      <c r="AE111" s="66" t="inlineStr">
        <is>
          <t/>
        </is>
      </c>
      <c r="AF111" s="67" t="inlineStr">
        <is>
          <t>SFERS</t>
        </is>
      </c>
      <c r="AG111" s="232">
        <f>HYPERLINK("https://my.pitchbook.com?i=11266-84", "View Investor Online")</f>
      </c>
    </row>
    <row r="112">
      <c r="A112" s="69" t="inlineStr">
        <is>
          <t>14735-98F</t>
        </is>
      </c>
      <c r="B112" s="70" t="inlineStr">
        <is>
          <t>Mosaic Ventures</t>
        </is>
      </c>
      <c r="C112" s="71" t="inlineStr">
        <is>
          <t/>
        </is>
      </c>
      <c r="D112" s="72" t="inlineStr">
        <is>
          <t>Venture Capital - Early Stage</t>
        </is>
      </c>
      <c r="E112" s="73" t="n">
        <v>150.0</v>
      </c>
      <c r="F112" s="74" t="inlineStr">
        <is>
          <t>London, United Kingdom</t>
        </is>
      </c>
      <c r="G112" s="75" t="inlineStr">
        <is>
          <t/>
        </is>
      </c>
      <c r="H112" s="76" t="n">
        <v>2014.0</v>
      </c>
      <c r="I112" s="77" t="n">
        <v>78.12696583333333</v>
      </c>
      <c r="J112" s="78" t="n">
        <v>117.19044875</v>
      </c>
      <c r="K112" s="79" t="n">
        <v>32.809551250000005</v>
      </c>
      <c r="L112" s="80" t="n">
        <v>0.0</v>
      </c>
      <c r="M112" s="81" t="n">
        <v>138.59013355</v>
      </c>
      <c r="N112" s="82" t="n">
        <v>6.48</v>
      </c>
      <c r="O112" s="83" t="inlineStr">
        <is>
          <t/>
        </is>
      </c>
      <c r="P112" s="84" t="inlineStr">
        <is>
          <t/>
        </is>
      </c>
      <c r="Q112" s="85" t="n">
        <v>0.0</v>
      </c>
      <c r="R112" s="86" t="inlineStr">
        <is>
          <t/>
        </is>
      </c>
      <c r="S112" s="87" t="n">
        <v>1.18</v>
      </c>
      <c r="T112" s="88" t="inlineStr">
        <is>
          <t/>
        </is>
      </c>
      <c r="U112" s="89" t="n">
        <v>1.18</v>
      </c>
      <c r="V112" s="90" t="inlineStr">
        <is>
          <t/>
        </is>
      </c>
      <c r="W112" s="91" t="inlineStr">
        <is>
          <t/>
        </is>
      </c>
      <c r="X112" s="92" t="inlineStr">
        <is>
          <t>LP Original Commitments</t>
        </is>
      </c>
      <c r="Y112" s="93" t="inlineStr">
        <is>
          <t>2019 Y</t>
        </is>
      </c>
      <c r="Z112" s="94" t="inlineStr">
        <is>
          <t>100M - 249M</t>
        </is>
      </c>
      <c r="AA112" s="95" t="inlineStr">
        <is>
          <t>Mosaic Ventures</t>
        </is>
      </c>
      <c r="AB112" s="96" t="inlineStr">
        <is>
          <t>London, United Kingdom</t>
        </is>
      </c>
      <c r="AC112" s="97" t="inlineStr">
        <is>
          <t>Software</t>
        </is>
      </c>
      <c r="AD112" s="98" t="inlineStr">
        <is>
          <t>Early Stage VC</t>
        </is>
      </c>
      <c r="AE112" s="99" t="inlineStr">
        <is>
          <t>Israel, United States, Europe</t>
        </is>
      </c>
      <c r="AF112" s="100" t="inlineStr">
        <is>
          <t>UTIMCO</t>
        </is>
      </c>
      <c r="AG112" s="233">
        <f>HYPERLINK("https://my.pitchbook.com?i=97661-89", "View Investor Online")</f>
      </c>
    </row>
    <row r="113">
      <c r="A113" s="36" t="inlineStr">
        <is>
          <t>15455-08F</t>
        </is>
      </c>
      <c r="B113" s="37" t="inlineStr">
        <is>
          <t>USV 2016</t>
        </is>
      </c>
      <c r="C113" s="38" t="inlineStr">
        <is>
          <t/>
        </is>
      </c>
      <c r="D113" s="39" t="inlineStr">
        <is>
          <t>Venture Capital - Early Stage</t>
        </is>
      </c>
      <c r="E113" s="40" t="n">
        <v>175.0</v>
      </c>
      <c r="F113" s="41" t="inlineStr">
        <is>
          <t>New York, NY</t>
        </is>
      </c>
      <c r="G113" s="42" t="n">
        <v>4.0</v>
      </c>
      <c r="H113" s="43" t="n">
        <v>2016.0</v>
      </c>
      <c r="I113" s="44" t="n">
        <v>68.94736842105263</v>
      </c>
      <c r="J113" s="45" t="n">
        <v>120.65789473684211</v>
      </c>
      <c r="K113" s="46" t="n">
        <v>54.3421052631579</v>
      </c>
      <c r="L113" s="47" t="n">
        <v>0.0</v>
      </c>
      <c r="M113" s="48" t="n">
        <v>141.8421052631579</v>
      </c>
      <c r="N113" s="49" t="n">
        <v>9.2</v>
      </c>
      <c r="O113" s="50" t="inlineStr">
        <is>
          <t/>
        </is>
      </c>
      <c r="P113" s="51" t="n">
        <v>-12.100000000000001</v>
      </c>
      <c r="Q113" s="52" t="n">
        <v>0.0</v>
      </c>
      <c r="R113" s="53" t="n">
        <v>0.0</v>
      </c>
      <c r="S113" s="54" t="n">
        <v>1.18</v>
      </c>
      <c r="T113" s="55" t="n">
        <v>-0.17000000000000015</v>
      </c>
      <c r="U113" s="56" t="n">
        <v>1.18</v>
      </c>
      <c r="V113" s="57" t="n">
        <v>-0.18000000000000016</v>
      </c>
      <c r="W113" s="58" t="inlineStr">
        <is>
          <t/>
        </is>
      </c>
      <c r="X113" s="59" t="inlineStr">
        <is>
          <t>LP Original Commitments</t>
        </is>
      </c>
      <c r="Y113" s="60" t="inlineStr">
        <is>
          <t>2020 Y</t>
        </is>
      </c>
      <c r="Z113" s="61" t="inlineStr">
        <is>
          <t>100M - 249M</t>
        </is>
      </c>
      <c r="AA113" s="62" t="inlineStr">
        <is>
          <t>Union Square Ventures</t>
        </is>
      </c>
      <c r="AB113" s="63" t="inlineStr">
        <is>
          <t>New York, NY</t>
        </is>
      </c>
      <c r="AC113" s="64" t="inlineStr">
        <is>
          <t>Software</t>
        </is>
      </c>
      <c r="AD113" s="65" t="inlineStr">
        <is>
          <t>Seed Round, Early Stage VC</t>
        </is>
      </c>
      <c r="AE113" s="66" t="inlineStr">
        <is>
          <t/>
        </is>
      </c>
      <c r="AF113" s="67" t="inlineStr">
        <is>
          <t>PERS</t>
        </is>
      </c>
      <c r="AG113" s="232">
        <f>HYPERLINK("https://my.pitchbook.com?i=11323-45", "View Investor Online")</f>
      </c>
    </row>
    <row r="114">
      <c r="A114" s="69" t="inlineStr">
        <is>
          <t>14751-01F</t>
        </is>
      </c>
      <c r="B114" s="70" t="inlineStr">
        <is>
          <t>RRE Leaders Fund</t>
        </is>
      </c>
      <c r="C114" s="71" t="inlineStr">
        <is>
          <t/>
        </is>
      </c>
      <c r="D114" s="72" t="inlineStr">
        <is>
          <t>Venture Capital</t>
        </is>
      </c>
      <c r="E114" s="73" t="n">
        <v>116.0</v>
      </c>
      <c r="F114" s="74" t="inlineStr">
        <is>
          <t>New York, NY</t>
        </is>
      </c>
      <c r="G114" s="75" t="n">
        <v>4.0</v>
      </c>
      <c r="H114" s="76" t="n">
        <v>2015.0</v>
      </c>
      <c r="I114" s="77" t="n">
        <v>99.87199913793103</v>
      </c>
      <c r="J114" s="78" t="n">
        <v>115.851519</v>
      </c>
      <c r="K114" s="79" t="n">
        <v>0.148481</v>
      </c>
      <c r="L114" s="80" t="n">
        <v>25.191108</v>
      </c>
      <c r="M114" s="81" t="n">
        <v>108.436971</v>
      </c>
      <c r="N114" s="82" t="n">
        <v>4.46</v>
      </c>
      <c r="O114" s="83" t="inlineStr">
        <is>
          <t/>
        </is>
      </c>
      <c r="P114" s="84" t="n">
        <v>-5.185</v>
      </c>
      <c r="Q114" s="85" t="n">
        <v>0.217443053</v>
      </c>
      <c r="R114" s="86" t="n">
        <v>0.212443053</v>
      </c>
      <c r="S114" s="87" t="n">
        <v>0.935999562</v>
      </c>
      <c r="T114" s="88" t="n">
        <v>-0.25400043799999994</v>
      </c>
      <c r="U114" s="89" t="n">
        <v>1.16</v>
      </c>
      <c r="V114" s="90" t="n">
        <v>-0.135</v>
      </c>
      <c r="W114" s="91" t="inlineStr">
        <is>
          <t/>
        </is>
      </c>
      <c r="X114" s="92" t="inlineStr">
        <is>
          <t>GP Self Reporting</t>
        </is>
      </c>
      <c r="Y114" s="93" t="inlineStr">
        <is>
          <t>2020 Y</t>
        </is>
      </c>
      <c r="Z114" s="94" t="inlineStr">
        <is>
          <t>100M - 249M</t>
        </is>
      </c>
      <c r="AA114" s="95" t="inlineStr">
        <is>
          <t>RRE Ventures</t>
        </is>
      </c>
      <c r="AB114" s="96" t="inlineStr">
        <is>
          <t>New York, NY</t>
        </is>
      </c>
      <c r="AC114" s="97" t="inlineStr">
        <is>
          <t>Software</t>
        </is>
      </c>
      <c r="AD114" s="98" t="inlineStr">
        <is>
          <t>Seed Round, Early Stage VC, Later Stage VC</t>
        </is>
      </c>
      <c r="AE114" s="99" t="inlineStr">
        <is>
          <t/>
        </is>
      </c>
      <c r="AF114" s="100" t="inlineStr">
        <is>
          <t>RRE</t>
        </is>
      </c>
      <c r="AG114" s="233">
        <f>HYPERLINK("https://my.pitchbook.com?i=11290-51", "View Investor Online")</f>
      </c>
    </row>
    <row r="115">
      <c r="A115" s="36" t="inlineStr">
        <is>
          <t>16024-15F</t>
        </is>
      </c>
      <c r="B115" s="37" t="inlineStr">
        <is>
          <t>Bridges Sustainable Growth Fund IV</t>
        </is>
      </c>
      <c r="C115" s="38" t="inlineStr">
        <is>
          <t/>
        </is>
      </c>
      <c r="D115" s="39" t="inlineStr">
        <is>
          <t>Venture Capital</t>
        </is>
      </c>
      <c r="E115" s="40" t="n">
        <v>137.06105</v>
      </c>
      <c r="F115" s="41" t="inlineStr">
        <is>
          <t>London, United Kingdom</t>
        </is>
      </c>
      <c r="G115" s="42" t="inlineStr">
        <is>
          <t/>
        </is>
      </c>
      <c r="H115" s="43" t="n">
        <v>2019.0</v>
      </c>
      <c r="I115" s="44" t="n">
        <v>53.325</v>
      </c>
      <c r="J115" s="45" t="n">
        <v>73.08780261120873</v>
      </c>
      <c r="K115" s="46" t="n">
        <v>63.97324508749999</v>
      </c>
      <c r="L115" s="47" t="n">
        <v>0.0</v>
      </c>
      <c r="M115" s="48" t="n">
        <v>83.59010523677621</v>
      </c>
      <c r="N115" s="49" t="inlineStr">
        <is>
          <t/>
        </is>
      </c>
      <c r="O115" s="50" t="inlineStr">
        <is>
          <t/>
        </is>
      </c>
      <c r="P115" s="51" t="inlineStr">
        <is>
          <t/>
        </is>
      </c>
      <c r="Q115" s="52" t="n">
        <v>0.0</v>
      </c>
      <c r="R115" s="53" t="n">
        <v>0.0</v>
      </c>
      <c r="S115" s="54" t="n">
        <v>1.14</v>
      </c>
      <c r="T115" s="55" t="n">
        <v>0.22499999999999987</v>
      </c>
      <c r="U115" s="56" t="n">
        <v>1.14</v>
      </c>
      <c r="V115" s="57" t="n">
        <v>0.22499999999999987</v>
      </c>
      <c r="W115" s="58" t="inlineStr">
        <is>
          <t/>
        </is>
      </c>
      <c r="X115" s="59" t="inlineStr">
        <is>
          <t>LP Original Commitments</t>
        </is>
      </c>
      <c r="Y115" s="60" t="inlineStr">
        <is>
          <t>2020 Y</t>
        </is>
      </c>
      <c r="Z115" s="61" t="inlineStr">
        <is>
          <t>100M - 249M</t>
        </is>
      </c>
      <c r="AA115" s="62" t="inlineStr">
        <is>
          <t>Bridges Fund Management</t>
        </is>
      </c>
      <c r="AB115" s="63" t="inlineStr">
        <is>
          <t>London, United Kingdom</t>
        </is>
      </c>
      <c r="AC115" s="64" t="inlineStr">
        <is>
          <t>Commercial Services, Restaurants, Hotels and Leisure, Healthcare Services</t>
        </is>
      </c>
      <c r="AD115" s="65" t="inlineStr">
        <is>
          <t>Seed Round, Early Stage VC, Later Stage VC</t>
        </is>
      </c>
      <c r="AE115" s="66" t="inlineStr">
        <is>
          <t/>
        </is>
      </c>
      <c r="AF115" s="67" t="inlineStr">
        <is>
          <t>CPF</t>
        </is>
      </c>
      <c r="AG115" s="232">
        <f>HYPERLINK("https://my.pitchbook.com?i=10791-37", "View Investor Online")</f>
      </c>
    </row>
    <row r="116">
      <c r="A116" s="69" t="inlineStr">
        <is>
          <t>15063-58F</t>
        </is>
      </c>
      <c r="B116" s="70" t="inlineStr">
        <is>
          <t>Adams Street Venture/Growth Fund VI</t>
        </is>
      </c>
      <c r="C116" s="71" t="inlineStr">
        <is>
          <t/>
        </is>
      </c>
      <c r="D116" s="72" t="inlineStr">
        <is>
          <t>Venture Capital</t>
        </is>
      </c>
      <c r="E116" s="73" t="n">
        <v>232.765</v>
      </c>
      <c r="F116" s="74" t="inlineStr">
        <is>
          <t>Chicago, IL</t>
        </is>
      </c>
      <c r="G116" s="75" t="n">
        <v>4.0</v>
      </c>
      <c r="H116" s="76" t="n">
        <v>2015.0</v>
      </c>
      <c r="I116" s="77" t="n">
        <v>85.66</v>
      </c>
      <c r="J116" s="78" t="n">
        <v>199.38649900000001</v>
      </c>
      <c r="K116" s="79" t="n">
        <v>33.378501</v>
      </c>
      <c r="L116" s="80" t="n">
        <v>0.0</v>
      </c>
      <c r="M116" s="81" t="n">
        <v>223.17564063600003</v>
      </c>
      <c r="N116" s="82" t="n">
        <v>4.84</v>
      </c>
      <c r="O116" s="83" t="inlineStr">
        <is>
          <t/>
        </is>
      </c>
      <c r="P116" s="84" t="n">
        <v>-4.805</v>
      </c>
      <c r="Q116" s="85" t="n">
        <v>0.0</v>
      </c>
      <c r="R116" s="86" t="n">
        <v>-0.005</v>
      </c>
      <c r="S116" s="87" t="n">
        <v>1.12</v>
      </c>
      <c r="T116" s="88" t="n">
        <v>-0.06999999999999984</v>
      </c>
      <c r="U116" s="89" t="n">
        <v>1.12</v>
      </c>
      <c r="V116" s="90" t="n">
        <v>-0.17499999999999982</v>
      </c>
      <c r="W116" s="91" t="inlineStr">
        <is>
          <t/>
        </is>
      </c>
      <c r="X116" s="92" t="inlineStr">
        <is>
          <t>LP Original Commitments</t>
        </is>
      </c>
      <c r="Y116" s="93" t="inlineStr">
        <is>
          <t>2020 Y</t>
        </is>
      </c>
      <c r="Z116" s="94" t="inlineStr">
        <is>
          <t>100M - 249M</t>
        </is>
      </c>
      <c r="AA116" s="95" t="inlineStr">
        <is>
          <t>Adams Street Partners</t>
        </is>
      </c>
      <c r="AB116" s="96" t="inlineStr">
        <is>
          <t>Chicago, IL</t>
        </is>
      </c>
      <c r="AC116" s="97" t="inlineStr">
        <is>
          <t>Other Business Products and Services, Insurance, Commercial Services, Software</t>
        </is>
      </c>
      <c r="AD116" s="98" t="inlineStr">
        <is>
          <t>Seed Round, Early Stage VC, Later Stage VC</t>
        </is>
      </c>
      <c r="AE116" s="99" t="inlineStr">
        <is>
          <t/>
        </is>
      </c>
      <c r="AF116" s="100" t="inlineStr">
        <is>
          <t>LCC Pensions Fund</t>
        </is>
      </c>
      <c r="AG116" s="233">
        <f>HYPERLINK("https://my.pitchbook.com?i=11105-47", "View Investor Online")</f>
      </c>
    </row>
    <row r="117">
      <c r="A117" s="36" t="inlineStr">
        <is>
          <t>14824-81F</t>
        </is>
      </c>
      <c r="B117" s="37" t="inlineStr">
        <is>
          <t>DCM A-Fund II</t>
        </is>
      </c>
      <c r="C117" s="38" t="inlineStr">
        <is>
          <t/>
        </is>
      </c>
      <c r="D117" s="39" t="inlineStr">
        <is>
          <t>Venture Capital - Early Stage</t>
        </is>
      </c>
      <c r="E117" s="40" t="n">
        <v>106.46</v>
      </c>
      <c r="F117" s="41" t="inlineStr">
        <is>
          <t>Menlo Park, CA</t>
        </is>
      </c>
      <c r="G117" s="42" t="n">
        <v>3.0</v>
      </c>
      <c r="H117" s="43" t="n">
        <v>2015.0</v>
      </c>
      <c r="I117" s="44" t="n">
        <v>42.5</v>
      </c>
      <c r="J117" s="45" t="n">
        <v>45.2455</v>
      </c>
      <c r="K117" s="46" t="n">
        <v>6.770856</v>
      </c>
      <c r="L117" s="47" t="n">
        <v>0.0</v>
      </c>
      <c r="M117" s="48" t="n">
        <v>50.749482</v>
      </c>
      <c r="N117" s="49" t="n">
        <v>5.8</v>
      </c>
      <c r="O117" s="50" t="inlineStr">
        <is>
          <t/>
        </is>
      </c>
      <c r="P117" s="51" t="n">
        <v>-1.2000000000000002</v>
      </c>
      <c r="Q117" s="52" t="n">
        <v>0.0</v>
      </c>
      <c r="R117" s="53" t="n">
        <v>0.0</v>
      </c>
      <c r="S117" s="54" t="n">
        <v>1.12</v>
      </c>
      <c r="T117" s="55" t="n">
        <v>0.0</v>
      </c>
      <c r="U117" s="56" t="n">
        <v>1.12</v>
      </c>
      <c r="V117" s="57" t="n">
        <v>0.0</v>
      </c>
      <c r="W117" s="58" t="inlineStr">
        <is>
          <t/>
        </is>
      </c>
      <c r="X117" s="59" t="inlineStr">
        <is>
          <t>GP Self Reporting, LP Original Commitments</t>
        </is>
      </c>
      <c r="Y117" s="60" t="inlineStr">
        <is>
          <t>2016 Y</t>
        </is>
      </c>
      <c r="Z117" s="61" t="inlineStr">
        <is>
          <t>100M - 249M</t>
        </is>
      </c>
      <c r="AA117" s="62" t="inlineStr">
        <is>
          <t>DCM Ventures</t>
        </is>
      </c>
      <c r="AB117" s="63" t="inlineStr">
        <is>
          <t>Menlo Park, CA</t>
        </is>
      </c>
      <c r="AC117" s="64" t="inlineStr">
        <is>
          <t>Software</t>
        </is>
      </c>
      <c r="AD117" s="65" t="inlineStr">
        <is>
          <t>Seed Round, Early Stage VC</t>
        </is>
      </c>
      <c r="AE117" s="66" t="inlineStr">
        <is>
          <t>United States, Asia</t>
        </is>
      </c>
      <c r="AF117" s="67" t="inlineStr">
        <is>
          <t>DCM, WPF</t>
        </is>
      </c>
      <c r="AG117" s="232">
        <f>HYPERLINK("https://my.pitchbook.com?i=11165-50", "View Investor Online")</f>
      </c>
    </row>
    <row r="118">
      <c r="A118" s="69" t="inlineStr">
        <is>
          <t>15017-41F</t>
        </is>
      </c>
      <c r="B118" s="70" t="inlineStr">
        <is>
          <t>Point 406 Ventures III</t>
        </is>
      </c>
      <c r="C118" s="71" t="inlineStr">
        <is>
          <t/>
        </is>
      </c>
      <c r="D118" s="72" t="inlineStr">
        <is>
          <t>Venture Capital - Early Stage</t>
        </is>
      </c>
      <c r="E118" s="73" t="n">
        <v>216.0</v>
      </c>
      <c r="F118" s="74" t="inlineStr">
        <is>
          <t>Boston, MA</t>
        </is>
      </c>
      <c r="G118" s="75" t="n">
        <v>2.0</v>
      </c>
      <c r="H118" s="76" t="n">
        <v>2015.0</v>
      </c>
      <c r="I118" s="77" t="n">
        <v>57.3</v>
      </c>
      <c r="J118" s="78" t="n">
        <v>123.768</v>
      </c>
      <c r="K118" s="79" t="n">
        <v>13.7376</v>
      </c>
      <c r="L118" s="80" t="n">
        <v>0.0</v>
      </c>
      <c r="M118" s="81" t="n">
        <v>139.1522004</v>
      </c>
      <c r="N118" s="82" t="n">
        <v>7.0</v>
      </c>
      <c r="O118" s="83" t="inlineStr">
        <is>
          <t/>
        </is>
      </c>
      <c r="P118" s="84" t="n">
        <v>0.0</v>
      </c>
      <c r="Q118" s="85" t="n">
        <v>0.0</v>
      </c>
      <c r="R118" s="86" t="n">
        <v>0.0</v>
      </c>
      <c r="S118" s="87" t="n">
        <v>1.12</v>
      </c>
      <c r="T118" s="88" t="n">
        <v>0.0</v>
      </c>
      <c r="U118" s="89" t="n">
        <v>1.12</v>
      </c>
      <c r="V118" s="90" t="n">
        <v>0.0</v>
      </c>
      <c r="W118" s="91" t="inlineStr">
        <is>
          <t/>
        </is>
      </c>
      <c r="X118" s="92" t="inlineStr">
        <is>
          <t>LP Original Commitments</t>
        </is>
      </c>
      <c r="Y118" s="93" t="inlineStr">
        <is>
          <t>2019 Y</t>
        </is>
      </c>
      <c r="Z118" s="94" t="inlineStr">
        <is>
          <t>100M - 249M</t>
        </is>
      </c>
      <c r="AA118" s="95" t="inlineStr">
        <is>
          <t>.406 Ventures</t>
        </is>
      </c>
      <c r="AB118" s="96" t="inlineStr">
        <is>
          <t>Boston, MA</t>
        </is>
      </c>
      <c r="AC118" s="97" t="inlineStr">
        <is>
          <t>Software</t>
        </is>
      </c>
      <c r="AD118" s="98" t="inlineStr">
        <is>
          <t>Seed Round, Early Stage VC</t>
        </is>
      </c>
      <c r="AE118" s="99" t="inlineStr">
        <is>
          <t/>
        </is>
      </c>
      <c r="AF118" s="100" t="inlineStr">
        <is>
          <t>Maryland SRPS</t>
        </is>
      </c>
      <c r="AG118" s="233">
        <f>HYPERLINK("https://my.pitchbook.com?i=42183-19", "View Investor Online")</f>
      </c>
    </row>
    <row r="119">
      <c r="A119" s="36" t="inlineStr">
        <is>
          <t>15651-91F</t>
        </is>
      </c>
      <c r="B119" s="37" t="inlineStr">
        <is>
          <t>Industry Ventures Direct</t>
        </is>
      </c>
      <c r="C119" s="38" t="inlineStr">
        <is>
          <t/>
        </is>
      </c>
      <c r="D119" s="39" t="inlineStr">
        <is>
          <t>Venture Capital</t>
        </is>
      </c>
      <c r="E119" s="40" t="n">
        <v>197.38</v>
      </c>
      <c r="F119" s="41" t="inlineStr">
        <is>
          <t>San Francisco, CA</t>
        </is>
      </c>
      <c r="G119" s="42" t="n">
        <v>4.0</v>
      </c>
      <c r="H119" s="43" t="n">
        <v>2016.0</v>
      </c>
      <c r="I119" s="44" t="n">
        <v>68.285168</v>
      </c>
      <c r="J119" s="45" t="n">
        <v>134.78126459839999</v>
      </c>
      <c r="K119" s="46" t="n">
        <v>62.598735401599995</v>
      </c>
      <c r="L119" s="47" t="n">
        <v>15.005869766400002</v>
      </c>
      <c r="M119" s="48" t="n">
        <v>134.4214171728</v>
      </c>
      <c r="N119" s="49" t="n">
        <v>7.74</v>
      </c>
      <c r="O119" s="50" t="inlineStr">
        <is>
          <t/>
        </is>
      </c>
      <c r="P119" s="51" t="n">
        <v>-3.8100000000000005</v>
      </c>
      <c r="Q119" s="52" t="n">
        <v>0.11</v>
      </c>
      <c r="R119" s="53" t="n">
        <v>0.08148</v>
      </c>
      <c r="S119" s="54" t="n">
        <v>1.0</v>
      </c>
      <c r="T119" s="55" t="n">
        <v>-0.11499999999999999</v>
      </c>
      <c r="U119" s="56" t="n">
        <v>1.11</v>
      </c>
      <c r="V119" s="57" t="n">
        <v>-0.1499999999999999</v>
      </c>
      <c r="W119" s="58" t="inlineStr">
        <is>
          <t/>
        </is>
      </c>
      <c r="X119" s="59" t="inlineStr">
        <is>
          <t>LP Original Commitments</t>
        </is>
      </c>
      <c r="Y119" s="60" t="inlineStr">
        <is>
          <t>2020 Y</t>
        </is>
      </c>
      <c r="Z119" s="61" t="inlineStr">
        <is>
          <t>100M - 249M</t>
        </is>
      </c>
      <c r="AA119" s="62" t="inlineStr">
        <is>
          <t>Industry Ventures</t>
        </is>
      </c>
      <c r="AB119" s="63" t="inlineStr">
        <is>
          <t>San Francisco, CA</t>
        </is>
      </c>
      <c r="AC119" s="64" t="inlineStr">
        <is>
          <t/>
        </is>
      </c>
      <c r="AD119" s="65" t="inlineStr">
        <is>
          <t>Seed Round, Early Stage VC, Later Stage VC</t>
        </is>
      </c>
      <c r="AE119" s="66" t="inlineStr">
        <is>
          <t/>
        </is>
      </c>
      <c r="AF119" s="67" t="inlineStr">
        <is>
          <t>SBCERA</t>
        </is>
      </c>
      <c r="AG119" s="232">
        <f>HYPERLINK("https://my.pitchbook.com?i=11217-34", "View Investor Online")</f>
      </c>
    </row>
    <row r="120">
      <c r="A120" s="69" t="inlineStr">
        <is>
          <t>12706-12F</t>
        </is>
      </c>
      <c r="B120" s="70" t="inlineStr">
        <is>
          <t>Avalon Ventures IX</t>
        </is>
      </c>
      <c r="C120" s="71" t="inlineStr">
        <is>
          <t/>
        </is>
      </c>
      <c r="D120" s="72" t="inlineStr">
        <is>
          <t>Venture Capital - Early Stage</t>
        </is>
      </c>
      <c r="E120" s="73" t="n">
        <v>200.0</v>
      </c>
      <c r="F120" s="74" t="inlineStr">
        <is>
          <t>San Diego, CA</t>
        </is>
      </c>
      <c r="G120" s="75" t="n">
        <v>4.0</v>
      </c>
      <c r="H120" s="76" t="n">
        <v>2010.0</v>
      </c>
      <c r="I120" s="77" t="n">
        <v>73.5</v>
      </c>
      <c r="J120" s="78" t="n">
        <v>147.0</v>
      </c>
      <c r="K120" s="79" t="n">
        <v>4.499999911111112</v>
      </c>
      <c r="L120" s="80" t="n">
        <v>0.0</v>
      </c>
      <c r="M120" s="81" t="n">
        <v>167.1055</v>
      </c>
      <c r="N120" s="82" t="n">
        <v>7.27</v>
      </c>
      <c r="O120" s="83" t="inlineStr">
        <is>
          <t/>
        </is>
      </c>
      <c r="P120" s="84" t="n">
        <v>-5.41</v>
      </c>
      <c r="Q120" s="85" t="n">
        <v>0.0</v>
      </c>
      <c r="R120" s="86" t="inlineStr">
        <is>
          <t/>
        </is>
      </c>
      <c r="S120" s="87" t="n">
        <v>1.1</v>
      </c>
      <c r="T120" s="88" t="inlineStr">
        <is>
          <t/>
        </is>
      </c>
      <c r="U120" s="89" t="n">
        <v>1.1</v>
      </c>
      <c r="V120" s="90" t="inlineStr">
        <is>
          <t/>
        </is>
      </c>
      <c r="W120" s="91" t="inlineStr">
        <is>
          <t/>
        </is>
      </c>
      <c r="X120" s="92" t="inlineStr">
        <is>
          <t>LP Original Commitments</t>
        </is>
      </c>
      <c r="Y120" s="93" t="inlineStr">
        <is>
          <t>2013 Y</t>
        </is>
      </c>
      <c r="Z120" s="94" t="inlineStr">
        <is>
          <t>100M - 249M</t>
        </is>
      </c>
      <c r="AA120" s="95" t="inlineStr">
        <is>
          <t>Avalon Ventures</t>
        </is>
      </c>
      <c r="AB120" s="96" t="inlineStr">
        <is>
          <t>San Diego, CA</t>
        </is>
      </c>
      <c r="AC120" s="97" t="inlineStr">
        <is>
          <t>Software</t>
        </is>
      </c>
      <c r="AD120" s="98" t="inlineStr">
        <is>
          <t>Early Stage VC, Later Stage VC, Angel (individual)</t>
        </is>
      </c>
      <c r="AE120" s="99" t="inlineStr">
        <is>
          <t>United States</t>
        </is>
      </c>
      <c r="AF120" s="100" t="inlineStr">
        <is>
          <t>PSPRS, WSU Foundation</t>
        </is>
      </c>
      <c r="AG120" s="233">
        <f>HYPERLINK("https://my.pitchbook.com?i=11122-12", "View Investor Online")</f>
      </c>
    </row>
    <row r="121">
      <c r="A121" s="36" t="inlineStr">
        <is>
          <t>16385-32F</t>
        </is>
      </c>
      <c r="B121" s="37" t="inlineStr">
        <is>
          <t>Environmental Technologies Fund III</t>
        </is>
      </c>
      <c r="C121" s="38" t="inlineStr">
        <is>
          <t/>
        </is>
      </c>
      <c r="D121" s="39" t="inlineStr">
        <is>
          <t>Venture Capital</t>
        </is>
      </c>
      <c r="E121" s="40" t="n">
        <v>208.36002</v>
      </c>
      <c r="F121" s="41" t="inlineStr">
        <is>
          <t>London, United Kingdom</t>
        </is>
      </c>
      <c r="G121" s="42" t="inlineStr">
        <is>
          <t/>
        </is>
      </c>
      <c r="H121" s="43" t="n">
        <v>2018.0</v>
      </c>
      <c r="I121" s="44" t="n">
        <v>30.362499999999997</v>
      </c>
      <c r="J121" s="45" t="n">
        <v>63.26331091972858</v>
      </c>
      <c r="K121" s="46" t="n">
        <v>145.0967089275</v>
      </c>
      <c r="L121" s="47" t="n">
        <v>0.0</v>
      </c>
      <c r="M121" s="48" t="n">
        <v>68.73276143152067</v>
      </c>
      <c r="N121" s="49" t="inlineStr">
        <is>
          <t/>
        </is>
      </c>
      <c r="O121" s="50" t="inlineStr">
        <is>
          <t/>
        </is>
      </c>
      <c r="P121" s="51" t="inlineStr">
        <is>
          <t/>
        </is>
      </c>
      <c r="Q121" s="52" t="n">
        <v>0.0</v>
      </c>
      <c r="R121" s="53" t="inlineStr">
        <is>
          <t/>
        </is>
      </c>
      <c r="S121" s="54" t="n">
        <v>1.09</v>
      </c>
      <c r="T121" s="55" t="inlineStr">
        <is>
          <t/>
        </is>
      </c>
      <c r="U121" s="56" t="n">
        <v>1.09</v>
      </c>
      <c r="V121" s="57" t="inlineStr">
        <is>
          <t/>
        </is>
      </c>
      <c r="W121" s="58" t="inlineStr">
        <is>
          <t/>
        </is>
      </c>
      <c r="X121" s="59" t="inlineStr">
        <is>
          <t>LP Original Commitments</t>
        </is>
      </c>
      <c r="Y121" s="60" t="inlineStr">
        <is>
          <t>2020 Y</t>
        </is>
      </c>
      <c r="Z121" s="61" t="inlineStr">
        <is>
          <t>100M - 249M</t>
        </is>
      </c>
      <c r="AA121" s="62" t="inlineStr">
        <is>
          <t>ETF Partners</t>
        </is>
      </c>
      <c r="AB121" s="63" t="inlineStr">
        <is>
          <t>London, United Kingdom</t>
        </is>
      </c>
      <c r="AC121" s="64" t="inlineStr">
        <is>
          <t>Software</t>
        </is>
      </c>
      <c r="AD121" s="65" t="inlineStr">
        <is>
          <t>Seed Round, Early Stage VC, Later Stage VC</t>
        </is>
      </c>
      <c r="AE121" s="66" t="inlineStr">
        <is>
          <t>Europe</t>
        </is>
      </c>
      <c r="AF121" s="67" t="inlineStr">
        <is>
          <t>CPF</t>
        </is>
      </c>
      <c r="AG121" s="232">
        <f>HYPERLINK("https://my.pitchbook.com?i=11410-03", "View Investor Online")</f>
      </c>
    </row>
    <row r="122">
      <c r="A122" s="69" t="inlineStr">
        <is>
          <t>14610-97F</t>
        </is>
      </c>
      <c r="B122" s="70" t="inlineStr">
        <is>
          <t>Greycroft Growth</t>
        </is>
      </c>
      <c r="C122" s="71" t="inlineStr">
        <is>
          <t/>
        </is>
      </c>
      <c r="D122" s="72" t="inlineStr">
        <is>
          <t>Venture Capital - Later Stage</t>
        </is>
      </c>
      <c r="E122" s="73" t="n">
        <v>200.0</v>
      </c>
      <c r="F122" s="74" t="inlineStr">
        <is>
          <t>New York, NY</t>
        </is>
      </c>
      <c r="G122" s="75" t="inlineStr">
        <is>
          <t/>
        </is>
      </c>
      <c r="H122" s="76" t="n">
        <v>2014.0</v>
      </c>
      <c r="I122" s="77" t="n">
        <v>94.0</v>
      </c>
      <c r="J122" s="78" t="n">
        <v>188.0</v>
      </c>
      <c r="K122" s="79" t="n">
        <v>54.25531914893616</v>
      </c>
      <c r="L122" s="80" t="n">
        <v>6.4</v>
      </c>
      <c r="M122" s="81" t="n">
        <v>200.2</v>
      </c>
      <c r="N122" s="82" t="n">
        <v>3.655</v>
      </c>
      <c r="O122" s="83" t="inlineStr">
        <is>
          <t/>
        </is>
      </c>
      <c r="P122" s="84" t="inlineStr">
        <is>
          <t/>
        </is>
      </c>
      <c r="Q122" s="85" t="n">
        <v>0.034042553</v>
      </c>
      <c r="R122" s="86" t="inlineStr">
        <is>
          <t/>
        </is>
      </c>
      <c r="S122" s="87" t="n">
        <v>1.064893617</v>
      </c>
      <c r="T122" s="88" t="inlineStr">
        <is>
          <t/>
        </is>
      </c>
      <c r="U122" s="89" t="n">
        <v>1.09</v>
      </c>
      <c r="V122" s="90" t="inlineStr">
        <is>
          <t/>
        </is>
      </c>
      <c r="W122" s="91" t="inlineStr">
        <is>
          <t/>
        </is>
      </c>
      <c r="X122" s="92" t="inlineStr">
        <is>
          <t>GP Self Reporting, LP Original Commitments</t>
        </is>
      </c>
      <c r="Y122" s="93" t="inlineStr">
        <is>
          <t>2017 Y</t>
        </is>
      </c>
      <c r="Z122" s="94" t="inlineStr">
        <is>
          <t>100M - 249M</t>
        </is>
      </c>
      <c r="AA122" s="95" t="inlineStr">
        <is>
          <t>Greycroft</t>
        </is>
      </c>
      <c r="AB122" s="96" t="inlineStr">
        <is>
          <t>New York, NY</t>
        </is>
      </c>
      <c r="AC122" s="97" t="inlineStr">
        <is>
          <t>Multimedia and Design Software, Food Products, Movies, Music and Entertainment, Other Restaurants, Hotels and Leisure, Communication Software, Application Software, Social Content, Other Software, Media and Information Services (B2B), Business/Productivity Software, Entertainment Software, Social/Platform Software, Database Software, Information Services (B2C), Internet Retail</t>
        </is>
      </c>
      <c r="AD122" s="98" t="inlineStr">
        <is>
          <t>Later Stage VC</t>
        </is>
      </c>
      <c r="AE122" s="99" t="inlineStr">
        <is>
          <t>United States</t>
        </is>
      </c>
      <c r="AF122" s="100" t="inlineStr">
        <is>
          <t>Greycroft, Nashville &amp; Davidson County Metropolitan Government Employee Benefit Trust Fund, SBC Master Pension Trust, The Eisner Foundation</t>
        </is>
      </c>
      <c r="AG122" s="233">
        <f>HYPERLINK("https://my.pitchbook.com?i=11191-87", "View Investor Online")</f>
      </c>
    </row>
    <row r="123">
      <c r="A123" s="36" t="inlineStr">
        <is>
          <t>14042-62F</t>
        </is>
      </c>
      <c r="B123" s="37" t="inlineStr">
        <is>
          <t>Techstars Ventures 2014</t>
        </is>
      </c>
      <c r="C123" s="38" t="inlineStr">
        <is>
          <t>Bullet Time Ventures 2014</t>
        </is>
      </c>
      <c r="D123" s="39" t="inlineStr">
        <is>
          <t>Venture Capital - Early Stage</t>
        </is>
      </c>
      <c r="E123" s="40" t="n">
        <v>150.0</v>
      </c>
      <c r="F123" s="41" t="inlineStr">
        <is>
          <t>Boulder, CO</t>
        </is>
      </c>
      <c r="G123" s="42" t="inlineStr">
        <is>
          <t/>
        </is>
      </c>
      <c r="H123" s="43" t="n">
        <v>2014.0</v>
      </c>
      <c r="I123" s="44" t="n">
        <v>95.25</v>
      </c>
      <c r="J123" s="45" t="n">
        <v>142.875</v>
      </c>
      <c r="K123" s="46" t="n">
        <v>7.125</v>
      </c>
      <c r="L123" s="47" t="n">
        <v>0.25644507692307694</v>
      </c>
      <c r="M123" s="48" t="n">
        <v>156.43729846153846</v>
      </c>
      <c r="N123" s="49" t="n">
        <v>3.06</v>
      </c>
      <c r="O123" s="50" t="inlineStr">
        <is>
          <t/>
        </is>
      </c>
      <c r="P123" s="51" t="inlineStr">
        <is>
          <t/>
        </is>
      </c>
      <c r="Q123" s="52" t="n">
        <v>0.0</v>
      </c>
      <c r="R123" s="53" t="inlineStr">
        <is>
          <t/>
        </is>
      </c>
      <c r="S123" s="54" t="n">
        <v>1.09</v>
      </c>
      <c r="T123" s="55" t="inlineStr">
        <is>
          <t/>
        </is>
      </c>
      <c r="U123" s="56" t="n">
        <v>1.09</v>
      </c>
      <c r="V123" s="57" t="inlineStr">
        <is>
          <t/>
        </is>
      </c>
      <c r="W123" s="58" t="inlineStr">
        <is>
          <t/>
        </is>
      </c>
      <c r="X123" s="59" t="inlineStr">
        <is>
          <t>LP Original Commitments</t>
        </is>
      </c>
      <c r="Y123" s="60" t="inlineStr">
        <is>
          <t>2019 Y</t>
        </is>
      </c>
      <c r="Z123" s="61" t="inlineStr">
        <is>
          <t>100M - 249M</t>
        </is>
      </c>
      <c r="AA123" s="62" t="inlineStr">
        <is>
          <t>Techstars</t>
        </is>
      </c>
      <c r="AB123" s="63" t="inlineStr">
        <is>
          <t>Boulder, CO</t>
        </is>
      </c>
      <c r="AC123" s="64" t="inlineStr">
        <is>
          <t>Software</t>
        </is>
      </c>
      <c r="AD123" s="65" t="inlineStr">
        <is>
          <t>Seed Round, Early Stage VC</t>
        </is>
      </c>
      <c r="AE123" s="66" t="inlineStr">
        <is>
          <t/>
        </is>
      </c>
      <c r="AF123" s="67" t="inlineStr">
        <is>
          <t>UTIMCO</t>
        </is>
      </c>
      <c r="AG123" s="232">
        <f>HYPERLINK("https://my.pitchbook.com?i=50933-44", "View Investor Online")</f>
      </c>
    </row>
    <row r="124">
      <c r="A124" s="69" t="inlineStr">
        <is>
          <t>14485-15F</t>
        </is>
      </c>
      <c r="B124" s="70" t="inlineStr">
        <is>
          <t>Ysios BioFund II</t>
        </is>
      </c>
      <c r="C124" s="71" t="inlineStr">
        <is>
          <t/>
        </is>
      </c>
      <c r="D124" s="72" t="inlineStr">
        <is>
          <t>Venture Capital</t>
        </is>
      </c>
      <c r="E124" s="73" t="n">
        <v>141.68048</v>
      </c>
      <c r="F124" s="74" t="inlineStr">
        <is>
          <t>Barcelona, Spain</t>
        </is>
      </c>
      <c r="G124" s="75" t="inlineStr">
        <is>
          <t/>
        </is>
      </c>
      <c r="H124" s="76" t="n">
        <v>2015.0</v>
      </c>
      <c r="I124" s="77" t="n">
        <v>64.44620253164555</v>
      </c>
      <c r="J124" s="78" t="n">
        <v>91.30768612842782</v>
      </c>
      <c r="K124" s="79" t="n">
        <v>43.76744201307325</v>
      </c>
      <c r="L124" s="80" t="n">
        <v>12.74451744758439</v>
      </c>
      <c r="M124" s="81" t="n">
        <v>86.31972635342778</v>
      </c>
      <c r="N124" s="82" t="n">
        <v>4.0</v>
      </c>
      <c r="O124" s="83" t="inlineStr">
        <is>
          <t/>
        </is>
      </c>
      <c r="P124" s="84" t="inlineStr">
        <is>
          <t/>
        </is>
      </c>
      <c r="Q124" s="85" t="n">
        <v>0.14</v>
      </c>
      <c r="R124" s="86" t="n">
        <v>-0.09499999999999997</v>
      </c>
      <c r="S124" s="87" t="n">
        <v>0.95</v>
      </c>
      <c r="T124" s="88" t="n">
        <v>-0.125</v>
      </c>
      <c r="U124" s="89" t="n">
        <v>1.0899999999999999</v>
      </c>
      <c r="V124" s="90" t="n">
        <v>-0.1100000000000001</v>
      </c>
      <c r="W124" s="91" t="inlineStr">
        <is>
          <t/>
        </is>
      </c>
      <c r="X124" s="92" t="inlineStr">
        <is>
          <t>GP Self Reporting</t>
        </is>
      </c>
      <c r="Y124" s="93" t="inlineStr">
        <is>
          <t>2019 Y</t>
        </is>
      </c>
      <c r="Z124" s="94" t="inlineStr">
        <is>
          <t>100M - 249M</t>
        </is>
      </c>
      <c r="AA124" s="95" t="inlineStr">
        <is>
          <t>Ysios Capital</t>
        </is>
      </c>
      <c r="AB124" s="96" t="inlineStr">
        <is>
          <t>San Sebastián, Spain</t>
        </is>
      </c>
      <c r="AC124" s="97" t="inlineStr">
        <is>
          <t>Biotechnology</t>
        </is>
      </c>
      <c r="AD124" s="98" t="inlineStr">
        <is>
          <t>Early Stage VC</t>
        </is>
      </c>
      <c r="AE124" s="99" t="inlineStr">
        <is>
          <t>Spain</t>
        </is>
      </c>
      <c r="AF124" s="100" t="inlineStr">
        <is>
          <t>Ysios</t>
        </is>
      </c>
      <c r="AG124" s="233">
        <f>HYPERLINK("https://my.pitchbook.com?i=11921-95", "View Investor Online")</f>
      </c>
    </row>
    <row r="125">
      <c r="A125" s="36" t="inlineStr">
        <is>
          <t>15647-95F</t>
        </is>
      </c>
      <c r="B125" s="37" t="inlineStr">
        <is>
          <t>eCapital IV</t>
        </is>
      </c>
      <c r="C125" s="38" t="inlineStr">
        <is>
          <t/>
        </is>
      </c>
      <c r="D125" s="39" t="inlineStr">
        <is>
          <t>Venture Capital</t>
        </is>
      </c>
      <c r="E125" s="40" t="n">
        <v>123.99923</v>
      </c>
      <c r="F125" s="41" t="inlineStr">
        <is>
          <t>Münster, Germany</t>
        </is>
      </c>
      <c r="G125" s="42" t="inlineStr">
        <is>
          <t/>
        </is>
      </c>
      <c r="H125" s="43" t="n">
        <v>2016.0</v>
      </c>
      <c r="I125" s="44" t="n">
        <v>77.33598409542743</v>
      </c>
      <c r="J125" s="45" t="n">
        <v>95.89602799802455</v>
      </c>
      <c r="K125" s="46" t="n">
        <v>28.103205208747514</v>
      </c>
      <c r="L125" s="47" t="n">
        <v>15.653978863430744</v>
      </c>
      <c r="M125" s="48" t="n">
        <v>88.0074087282642</v>
      </c>
      <c r="N125" s="49" t="inlineStr">
        <is>
          <t/>
        </is>
      </c>
      <c r="O125" s="50" t="inlineStr">
        <is>
          <t/>
        </is>
      </c>
      <c r="P125" s="51" t="inlineStr">
        <is>
          <t/>
        </is>
      </c>
      <c r="Q125" s="52" t="n">
        <v>0.163239075</v>
      </c>
      <c r="R125" s="53" t="inlineStr">
        <is>
          <t/>
        </is>
      </c>
      <c r="S125" s="54" t="n">
        <v>0.917737789</v>
      </c>
      <c r="T125" s="55" t="inlineStr">
        <is>
          <t/>
        </is>
      </c>
      <c r="U125" s="56" t="n">
        <v>1.08</v>
      </c>
      <c r="V125" s="57" t="inlineStr">
        <is>
          <t/>
        </is>
      </c>
      <c r="W125" s="58" t="inlineStr">
        <is>
          <t/>
        </is>
      </c>
      <c r="X125" s="59" t="inlineStr">
        <is>
          <t>GP Self Reporting</t>
        </is>
      </c>
      <c r="Y125" s="60" t="inlineStr">
        <is>
          <t>2019 Y</t>
        </is>
      </c>
      <c r="Z125" s="61" t="inlineStr">
        <is>
          <t>100M - 249M</t>
        </is>
      </c>
      <c r="AA125" s="62" t="inlineStr">
        <is>
          <t>eCAPITAL entrepreneurial Partners</t>
        </is>
      </c>
      <c r="AB125" s="63" t="inlineStr">
        <is>
          <t>Münster, Germany</t>
        </is>
      </c>
      <c r="AC125" s="64" t="inlineStr">
        <is>
          <t>Materials and Resources, Energy, Information Technology</t>
        </is>
      </c>
      <c r="AD125" s="65" t="inlineStr">
        <is>
          <t>Seed Round, Early Stage VC, Later Stage VC</t>
        </is>
      </c>
      <c r="AE125" s="66" t="inlineStr">
        <is>
          <t>Germany</t>
        </is>
      </c>
      <c r="AF125" s="67" t="inlineStr">
        <is>
          <t>eCAPITAL</t>
        </is>
      </c>
      <c r="AG125" s="232">
        <f>HYPERLINK("https://my.pitchbook.com?i=11169-28", "View Investor Online")</f>
      </c>
    </row>
    <row r="126">
      <c r="A126" s="69" t="inlineStr">
        <is>
          <t>15873-04F</t>
        </is>
      </c>
      <c r="B126" s="70" t="inlineStr">
        <is>
          <t>NeoTribe Ventures I</t>
        </is>
      </c>
      <c r="C126" s="71" t="inlineStr">
        <is>
          <t/>
        </is>
      </c>
      <c r="D126" s="72" t="inlineStr">
        <is>
          <t>Venture Capital</t>
        </is>
      </c>
      <c r="E126" s="73" t="n">
        <v>130.0</v>
      </c>
      <c r="F126" s="74" t="inlineStr">
        <is>
          <t>Menlo Park, CA</t>
        </is>
      </c>
      <c r="G126" s="75" t="inlineStr">
        <is>
          <t/>
        </is>
      </c>
      <c r="H126" s="76" t="n">
        <v>2017.0</v>
      </c>
      <c r="I126" s="77" t="n">
        <v>54.149620000000006</v>
      </c>
      <c r="J126" s="78" t="n">
        <v>70.394506</v>
      </c>
      <c r="K126" s="79" t="n">
        <v>42.21799999999999</v>
      </c>
      <c r="L126" s="80" t="n">
        <v>0.872378</v>
      </c>
      <c r="M126" s="81" t="n">
        <v>75.468458</v>
      </c>
      <c r="N126" s="82" t="inlineStr">
        <is>
          <t/>
        </is>
      </c>
      <c r="O126" s="83" t="inlineStr">
        <is>
          <t/>
        </is>
      </c>
      <c r="P126" s="84" t="inlineStr">
        <is>
          <t/>
        </is>
      </c>
      <c r="Q126" s="85" t="n">
        <v>0.01</v>
      </c>
      <c r="R126" s="86" t="n">
        <v>0.0</v>
      </c>
      <c r="S126" s="87" t="n">
        <v>1.07</v>
      </c>
      <c r="T126" s="88" t="n">
        <v>-0.14500000000000002</v>
      </c>
      <c r="U126" s="89" t="n">
        <v>1.08</v>
      </c>
      <c r="V126" s="90" t="n">
        <v>-0.41999999999999993</v>
      </c>
      <c r="W126" s="91" t="inlineStr">
        <is>
          <t/>
        </is>
      </c>
      <c r="X126" s="92" t="inlineStr">
        <is>
          <t>LP Original Commitments</t>
        </is>
      </c>
      <c r="Y126" s="93" t="inlineStr">
        <is>
          <t>2019 Y</t>
        </is>
      </c>
      <c r="Z126" s="94" t="inlineStr">
        <is>
          <t>100M - 249M</t>
        </is>
      </c>
      <c r="AA126" s="95" t="inlineStr">
        <is>
          <t>Neotribe Ventures</t>
        </is>
      </c>
      <c r="AB126" s="96" t="inlineStr">
        <is>
          <t>Menlo Park, CA</t>
        </is>
      </c>
      <c r="AC126" s="97" t="inlineStr">
        <is>
          <t>Software</t>
        </is>
      </c>
      <c r="AD126" s="98" t="inlineStr">
        <is>
          <t>Seed Round, Early Stage VC, Later Stage VC</t>
        </is>
      </c>
      <c r="AE126" s="99" t="inlineStr">
        <is>
          <t/>
        </is>
      </c>
      <c r="AF126" s="100" t="inlineStr">
        <is>
          <t>UC Regents</t>
        </is>
      </c>
      <c r="AG126" s="233">
        <f>HYPERLINK("https://my.pitchbook.com?i=170671-96", "View Investor Online")</f>
      </c>
    </row>
    <row r="127">
      <c r="A127" s="36" t="inlineStr">
        <is>
          <t>13398-85F</t>
        </is>
      </c>
      <c r="B127" s="37" t="inlineStr">
        <is>
          <t>Openview Venture Partners III</t>
        </is>
      </c>
      <c r="C127" s="38" t="inlineStr">
        <is>
          <t/>
        </is>
      </c>
      <c r="D127" s="39" t="inlineStr">
        <is>
          <t>Venture Capital</t>
        </is>
      </c>
      <c r="E127" s="40" t="n">
        <v>200.0</v>
      </c>
      <c r="F127" s="41" t="inlineStr">
        <is>
          <t>Boston, MA</t>
        </is>
      </c>
      <c r="G127" s="42" t="inlineStr">
        <is>
          <t/>
        </is>
      </c>
      <c r="H127" s="43" t="n">
        <v>2011.0</v>
      </c>
      <c r="I127" s="44" t="n">
        <v>85.6625</v>
      </c>
      <c r="J127" s="45" t="n">
        <v>171.325</v>
      </c>
      <c r="K127" s="46" t="n">
        <v>9.3846617237399</v>
      </c>
      <c r="L127" s="47" t="n">
        <v>0.0</v>
      </c>
      <c r="M127" s="48" t="n">
        <v>185.707</v>
      </c>
      <c r="N127" s="49" t="inlineStr">
        <is>
          <t/>
        </is>
      </c>
      <c r="O127" s="50" t="inlineStr">
        <is>
          <t/>
        </is>
      </c>
      <c r="P127" s="51" t="inlineStr">
        <is>
          <t/>
        </is>
      </c>
      <c r="Q127" s="52" t="n">
        <v>0.0</v>
      </c>
      <c r="R127" s="53" t="n">
        <v>-0.27</v>
      </c>
      <c r="S127" s="54" t="n">
        <v>1.083945717</v>
      </c>
      <c r="T127" s="55" t="n">
        <v>0.003945716999999904</v>
      </c>
      <c r="U127" s="56" t="n">
        <v>1.08</v>
      </c>
      <c r="V127" s="57" t="n">
        <v>-0.08499999999999996</v>
      </c>
      <c r="W127" s="58" t="inlineStr">
        <is>
          <t/>
        </is>
      </c>
      <c r="X127" s="59" t="inlineStr">
        <is>
          <t>GP Self Reporting</t>
        </is>
      </c>
      <c r="Y127" s="60" t="inlineStr">
        <is>
          <t>2016 Y</t>
        </is>
      </c>
      <c r="Z127" s="61" t="inlineStr">
        <is>
          <t>100M - 249M</t>
        </is>
      </c>
      <c r="AA127" s="62" t="inlineStr">
        <is>
          <t>OpenView Venture Partners</t>
        </is>
      </c>
      <c r="AB127" s="63" t="inlineStr">
        <is>
          <t>Boston, MA</t>
        </is>
      </c>
      <c r="AC127" s="64" t="inlineStr">
        <is>
          <t>Commercial Services, Software</t>
        </is>
      </c>
      <c r="AD127" s="65" t="inlineStr">
        <is>
          <t>Seed Round, Early Stage VC, Later Stage VC</t>
        </is>
      </c>
      <c r="AE127" s="66" t="inlineStr">
        <is>
          <t>North America</t>
        </is>
      </c>
      <c r="AF127" s="67" t="inlineStr">
        <is>
          <t>OpenView</t>
        </is>
      </c>
      <c r="AG127" s="232">
        <f>HYPERLINK("https://my.pitchbook.com?i=11263-15", "View Investor Online")</f>
      </c>
    </row>
    <row r="128">
      <c r="A128" s="69" t="inlineStr">
        <is>
          <t>16162-66F</t>
        </is>
      </c>
      <c r="B128" s="70" t="inlineStr">
        <is>
          <t>Tiger Iron Great River</t>
        </is>
      </c>
      <c r="C128" s="71" t="inlineStr">
        <is>
          <t/>
        </is>
      </c>
      <c r="D128" s="72" t="inlineStr">
        <is>
          <t>Venture Capital</t>
        </is>
      </c>
      <c r="E128" s="73" t="n">
        <v>250.0</v>
      </c>
      <c r="F128" s="74" t="inlineStr">
        <is>
          <t>Andover, MA</t>
        </is>
      </c>
      <c r="G128" s="75" t="inlineStr">
        <is>
          <t/>
        </is>
      </c>
      <c r="H128" s="76" t="n">
        <v>2017.0</v>
      </c>
      <c r="I128" s="77" t="n">
        <v>59.224316</v>
      </c>
      <c r="J128" s="78" t="n">
        <v>148.06079</v>
      </c>
      <c r="K128" s="79" t="n">
        <v>101.93921</v>
      </c>
      <c r="L128" s="80" t="n">
        <v>2.43496</v>
      </c>
      <c r="M128" s="81" t="n">
        <v>154.096038</v>
      </c>
      <c r="N128" s="82" t="inlineStr">
        <is>
          <t/>
        </is>
      </c>
      <c r="O128" s="83" t="inlineStr">
        <is>
          <t/>
        </is>
      </c>
      <c r="P128" s="84" t="inlineStr">
        <is>
          <t/>
        </is>
      </c>
      <c r="Q128" s="85" t="n">
        <v>0.02</v>
      </c>
      <c r="R128" s="86" t="n">
        <v>0.0</v>
      </c>
      <c r="S128" s="87" t="n">
        <v>1.04</v>
      </c>
      <c r="T128" s="88" t="n">
        <v>-0.010000000000000009</v>
      </c>
      <c r="U128" s="89" t="n">
        <v>1.06</v>
      </c>
      <c r="V128" s="90" t="n">
        <v>-0.1499999999999999</v>
      </c>
      <c r="W128" s="91" t="inlineStr">
        <is>
          <t/>
        </is>
      </c>
      <c r="X128" s="92" t="inlineStr">
        <is>
          <t>LP Original Commitments</t>
        </is>
      </c>
      <c r="Y128" s="93" t="inlineStr">
        <is>
          <t>2020 Y</t>
        </is>
      </c>
      <c r="Z128" s="94" t="inlineStr">
        <is>
          <t>250M - 499M</t>
        </is>
      </c>
      <c r="AA128" s="95" t="inlineStr">
        <is>
          <t>Tiger Iron Capital</t>
        </is>
      </c>
      <c r="AB128" s="96" t="inlineStr">
        <is>
          <t>Andover, MA</t>
        </is>
      </c>
      <c r="AC128" s="97" t="inlineStr">
        <is>
          <t/>
        </is>
      </c>
      <c r="AD128" s="98" t="inlineStr">
        <is>
          <t>Seed Round, Early Stage VC, Later Stage VC</t>
        </is>
      </c>
      <c r="AE128" s="99" t="inlineStr">
        <is>
          <t/>
        </is>
      </c>
      <c r="AF128" s="100" t="inlineStr">
        <is>
          <t>STRS Ohio</t>
        </is>
      </c>
      <c r="AG128" s="233">
        <f>HYPERLINK("https://my.pitchbook.com?i=159443-29", "View Investor Online")</f>
      </c>
    </row>
    <row r="129">
      <c r="A129" s="36" t="inlineStr">
        <is>
          <t>14056-30F</t>
        </is>
      </c>
      <c r="B129" s="37" t="inlineStr">
        <is>
          <t>XPV Water Fund II</t>
        </is>
      </c>
      <c r="C129" s="38" t="inlineStr">
        <is>
          <t/>
        </is>
      </c>
      <c r="D129" s="39" t="inlineStr">
        <is>
          <t>Venture Capital</t>
        </is>
      </c>
      <c r="E129" s="40" t="n">
        <v>250.0</v>
      </c>
      <c r="F129" s="41" t="inlineStr">
        <is>
          <t>Toronto, Canada</t>
        </is>
      </c>
      <c r="G129" s="42" t="inlineStr">
        <is>
          <t/>
        </is>
      </c>
      <c r="H129" s="43" t="n">
        <v>2014.0</v>
      </c>
      <c r="I129" s="44" t="n">
        <v>21.32</v>
      </c>
      <c r="J129" s="45" t="n">
        <v>53.3</v>
      </c>
      <c r="K129" s="46" t="n">
        <v>196.7</v>
      </c>
      <c r="L129" s="47" t="n">
        <v>0.0</v>
      </c>
      <c r="M129" s="48" t="n">
        <v>46.34</v>
      </c>
      <c r="N129" s="49" t="inlineStr">
        <is>
          <t/>
        </is>
      </c>
      <c r="O129" s="50" t="inlineStr">
        <is>
          <t/>
        </is>
      </c>
      <c r="P129" s="51" t="inlineStr">
        <is>
          <t/>
        </is>
      </c>
      <c r="Q129" s="52" t="n">
        <v>0.0</v>
      </c>
      <c r="R129" s="53" t="inlineStr">
        <is>
          <t/>
        </is>
      </c>
      <c r="S129" s="54" t="n">
        <v>1.05</v>
      </c>
      <c r="T129" s="55" t="inlineStr">
        <is>
          <t/>
        </is>
      </c>
      <c r="U129" s="56" t="n">
        <v>1.05</v>
      </c>
      <c r="V129" s="57" t="inlineStr">
        <is>
          <t/>
        </is>
      </c>
      <c r="W129" s="58" t="inlineStr">
        <is>
          <t/>
        </is>
      </c>
      <c r="X129" s="59" t="inlineStr">
        <is>
          <t>GP Self Reporting</t>
        </is>
      </c>
      <c r="Y129" s="60" t="inlineStr">
        <is>
          <t>2016 Y</t>
        </is>
      </c>
      <c r="Z129" s="61" t="inlineStr">
        <is>
          <t>250M - 499M</t>
        </is>
      </c>
      <c r="AA129" s="62" t="inlineStr">
        <is>
          <t>XPV Water Partners</t>
        </is>
      </c>
      <c r="AB129" s="63" t="inlineStr">
        <is>
          <t>Toronto, Canada</t>
        </is>
      </c>
      <c r="AC129" s="64" t="inlineStr">
        <is>
          <t>Commercial Services, Business Products and Services (B2B), Information Technology</t>
        </is>
      </c>
      <c r="AD129" s="65" t="inlineStr">
        <is>
          <t>Seed Round, Early Stage VC, Later Stage VC</t>
        </is>
      </c>
      <c r="AE129" s="66" t="inlineStr">
        <is>
          <t/>
        </is>
      </c>
      <c r="AF129" s="67" t="inlineStr">
        <is>
          <t>XPV</t>
        </is>
      </c>
      <c r="AG129" s="232">
        <f>HYPERLINK("https://my.pitchbook.com?i=42776-20", "View Investor Online")</f>
      </c>
    </row>
    <row r="130">
      <c r="A130" s="69" t="inlineStr">
        <is>
          <t>16307-02F</t>
        </is>
      </c>
      <c r="B130" s="70" t="inlineStr">
        <is>
          <t>Dawn Capital III</t>
        </is>
      </c>
      <c r="C130" s="71" t="inlineStr">
        <is>
          <t/>
        </is>
      </c>
      <c r="D130" s="72" t="inlineStr">
        <is>
          <t>Venture Capital - Early Stage</t>
        </is>
      </c>
      <c r="E130" s="73" t="n">
        <v>230.13751</v>
      </c>
      <c r="F130" s="74" t="inlineStr">
        <is>
          <t>London, United Kingdom</t>
        </is>
      </c>
      <c r="G130" s="75" t="inlineStr">
        <is>
          <t/>
        </is>
      </c>
      <c r="H130" s="76" t="n">
        <v>2018.0</v>
      </c>
      <c r="I130" s="77" t="n">
        <v>56.159044848484854</v>
      </c>
      <c r="J130" s="78" t="n">
        <v>129.24302520633339</v>
      </c>
      <c r="K130" s="79" t="n">
        <v>100.8944825459137</v>
      </c>
      <c r="L130" s="80" t="n">
        <v>0.0</v>
      </c>
      <c r="M130" s="81" t="n">
        <v>134.4225054954047</v>
      </c>
      <c r="N130" s="82" t="n">
        <v>3.9</v>
      </c>
      <c r="O130" s="83" t="inlineStr">
        <is>
          <t/>
        </is>
      </c>
      <c r="P130" s="84" t="inlineStr">
        <is>
          <t/>
        </is>
      </c>
      <c r="Q130" s="85" t="n">
        <v>0.0</v>
      </c>
      <c r="R130" s="86" t="inlineStr">
        <is>
          <t/>
        </is>
      </c>
      <c r="S130" s="87" t="n">
        <v>1.040075511</v>
      </c>
      <c r="T130" s="88" t="inlineStr">
        <is>
          <t/>
        </is>
      </c>
      <c r="U130" s="89" t="n">
        <v>1.04</v>
      </c>
      <c r="V130" s="90" t="inlineStr">
        <is>
          <t/>
        </is>
      </c>
      <c r="W130" s="91" t="inlineStr">
        <is>
          <t/>
        </is>
      </c>
      <c r="X130" s="92" t="inlineStr">
        <is>
          <t>GP Self Reporting</t>
        </is>
      </c>
      <c r="Y130" s="93" t="inlineStr">
        <is>
          <t>2020 Y</t>
        </is>
      </c>
      <c r="Z130" s="94" t="inlineStr">
        <is>
          <t>100M - 249M</t>
        </is>
      </c>
      <c r="AA130" s="95" t="inlineStr">
        <is>
          <t>Dawn Capital</t>
        </is>
      </c>
      <c r="AB130" s="96" t="inlineStr">
        <is>
          <t>London, United Kingdom</t>
        </is>
      </c>
      <c r="AC130" s="97" t="inlineStr">
        <is>
          <t>Business Products and Services (B2B), Information Technology</t>
        </is>
      </c>
      <c r="AD130" s="98" t="inlineStr">
        <is>
          <t>Seed Round, Early Stage VC</t>
        </is>
      </c>
      <c r="AE130" s="99" t="inlineStr">
        <is>
          <t>Europe</t>
        </is>
      </c>
      <c r="AF130" s="100" t="inlineStr">
        <is>
          <t>Dawn</t>
        </is>
      </c>
      <c r="AG130" s="233">
        <f>HYPERLINK("https://my.pitchbook.com?i=42995-26", "View Investor Online")</f>
      </c>
    </row>
    <row r="131">
      <c r="A131" s="36" t="inlineStr">
        <is>
          <t>13398-94F</t>
        </is>
      </c>
      <c r="B131" s="37" t="inlineStr">
        <is>
          <t>Correlation Ventures I</t>
        </is>
      </c>
      <c r="C131" s="38" t="inlineStr">
        <is>
          <t/>
        </is>
      </c>
      <c r="D131" s="39" t="inlineStr">
        <is>
          <t>Venture Capital</t>
        </is>
      </c>
      <c r="E131" s="40" t="n">
        <v>165.0</v>
      </c>
      <c r="F131" s="41" t="inlineStr">
        <is>
          <t>San Diego, CA</t>
        </is>
      </c>
      <c r="G131" s="42" t="n">
        <v>3.0</v>
      </c>
      <c r="H131" s="43" t="n">
        <v>2012.0</v>
      </c>
      <c r="I131" s="44" t="n">
        <v>81.0</v>
      </c>
      <c r="J131" s="45" t="n">
        <v>133.65</v>
      </c>
      <c r="K131" s="46" t="n">
        <v>31.35</v>
      </c>
      <c r="L131" s="47" t="n">
        <v>12.871455300000001</v>
      </c>
      <c r="M131" s="48" t="n">
        <v>124.8671028</v>
      </c>
      <c r="N131" s="49" t="n">
        <v>0.53</v>
      </c>
      <c r="O131" s="50" t="inlineStr">
        <is>
          <t/>
        </is>
      </c>
      <c r="P131" s="51" t="n">
        <v>-11.58</v>
      </c>
      <c r="Q131" s="52" t="n">
        <v>0.1</v>
      </c>
      <c r="R131" s="53" t="n">
        <v>-0.015</v>
      </c>
      <c r="S131" s="54" t="n">
        <v>0.93</v>
      </c>
      <c r="T131" s="55" t="n">
        <v>0.0505000000000001</v>
      </c>
      <c r="U131" s="56" t="n">
        <v>1.03</v>
      </c>
      <c r="V131" s="57" t="n">
        <v>0.09000000000000008</v>
      </c>
      <c r="W131" s="58" t="inlineStr">
        <is>
          <t/>
        </is>
      </c>
      <c r="X131" s="59" t="inlineStr">
        <is>
          <t>LP Original Commitments</t>
        </is>
      </c>
      <c r="Y131" s="60" t="inlineStr">
        <is>
          <t>2019 Y</t>
        </is>
      </c>
      <c r="Z131" s="61" t="inlineStr">
        <is>
          <t>100M - 249M</t>
        </is>
      </c>
      <c r="AA131" s="62" t="inlineStr">
        <is>
          <t>Correlation Ventures</t>
        </is>
      </c>
      <c r="AB131" s="63" t="inlineStr">
        <is>
          <t>San Francisco, CA</t>
        </is>
      </c>
      <c r="AC131" s="64" t="inlineStr">
        <is>
          <t/>
        </is>
      </c>
      <c r="AD131" s="65" t="inlineStr">
        <is>
          <t>Seed Round, Early Stage VC, Later Stage VC</t>
        </is>
      </c>
      <c r="AE131" s="66" t="inlineStr">
        <is>
          <t>United States</t>
        </is>
      </c>
      <c r="AF131" s="67" t="inlineStr">
        <is>
          <t>UTIMCO</t>
        </is>
      </c>
      <c r="AG131" s="232">
        <f>HYPERLINK("https://my.pitchbook.com?i=51639-76", "View Investor Online")</f>
      </c>
    </row>
    <row r="132">
      <c r="A132" s="69" t="inlineStr">
        <is>
          <t>16529-77F</t>
        </is>
      </c>
      <c r="B132" s="70" t="inlineStr">
        <is>
          <t>Valar Velocity Fund 1</t>
        </is>
      </c>
      <c r="C132" s="71" t="inlineStr">
        <is>
          <t>Valar Opportunity Fund I</t>
        </is>
      </c>
      <c r="D132" s="72" t="inlineStr">
        <is>
          <t>Venture Capital</t>
        </is>
      </c>
      <c r="E132" s="73" t="n">
        <v>204.545</v>
      </c>
      <c r="F132" s="74" t="inlineStr">
        <is>
          <t>New York, NY</t>
        </is>
      </c>
      <c r="G132" s="75" t="inlineStr">
        <is>
          <t/>
        </is>
      </c>
      <c r="H132" s="76" t="n">
        <v>2020.0</v>
      </c>
      <c r="I132" s="77" t="n">
        <v>100.0</v>
      </c>
      <c r="J132" s="78" t="n">
        <v>204.545</v>
      </c>
      <c r="K132" s="79" t="n">
        <v>0.0</v>
      </c>
      <c r="L132" s="80" t="n">
        <v>0.0</v>
      </c>
      <c r="M132" s="81" t="n">
        <v>210.6977136</v>
      </c>
      <c r="N132" s="82" t="inlineStr">
        <is>
          <t/>
        </is>
      </c>
      <c r="O132" s="83" t="inlineStr">
        <is>
          <t/>
        </is>
      </c>
      <c r="P132" s="84" t="inlineStr">
        <is>
          <t/>
        </is>
      </c>
      <c r="Q132" s="85" t="n">
        <v>0.0</v>
      </c>
      <c r="R132" s="86" t="inlineStr">
        <is>
          <t/>
        </is>
      </c>
      <c r="S132" s="87" t="n">
        <v>1.03</v>
      </c>
      <c r="T132" s="88" t="inlineStr">
        <is>
          <t/>
        </is>
      </c>
      <c r="U132" s="89" t="n">
        <v>1.03</v>
      </c>
      <c r="V132" s="90" t="inlineStr">
        <is>
          <t/>
        </is>
      </c>
      <c r="W132" s="91" t="inlineStr">
        <is>
          <t/>
        </is>
      </c>
      <c r="X132" s="92" t="inlineStr">
        <is>
          <t>LP Original Commitments</t>
        </is>
      </c>
      <c r="Y132" s="93" t="inlineStr">
        <is>
          <t>2019 Y</t>
        </is>
      </c>
      <c r="Z132" s="94" t="inlineStr">
        <is>
          <t>100M - 249M</t>
        </is>
      </c>
      <c r="AA132" s="95" t="inlineStr">
        <is>
          <t>Valar Ventures</t>
        </is>
      </c>
      <c r="AB132" s="96" t="inlineStr">
        <is>
          <t>New York, NY</t>
        </is>
      </c>
      <c r="AC132" s="97" t="inlineStr">
        <is>
          <t/>
        </is>
      </c>
      <c r="AD132" s="98" t="inlineStr">
        <is>
          <t>Seed Round, Early Stage VC, Later Stage VC</t>
        </is>
      </c>
      <c r="AE132" s="99" t="inlineStr">
        <is>
          <t/>
        </is>
      </c>
      <c r="AF132" s="100" t="inlineStr">
        <is>
          <t>FPPA, SDCERS</t>
        </is>
      </c>
      <c r="AG132" s="233">
        <f>HYPERLINK("https://my.pitchbook.com?i=54106-66", "View Investor Online")</f>
      </c>
    </row>
    <row r="133">
      <c r="A133" s="36" t="inlineStr">
        <is>
          <t>15407-38F</t>
        </is>
      </c>
      <c r="B133" s="37" t="inlineStr">
        <is>
          <t>BY Capital 1</t>
        </is>
      </c>
      <c r="C133" s="38" t="inlineStr">
        <is>
          <t/>
        </is>
      </c>
      <c r="D133" s="39" t="inlineStr">
        <is>
          <t>Venture Capital - Early Stage</t>
        </is>
      </c>
      <c r="E133" s="40" t="n">
        <v>120.0</v>
      </c>
      <c r="F133" s="41" t="inlineStr">
        <is>
          <t>Berlin, Germany</t>
        </is>
      </c>
      <c r="G133" s="42" t="inlineStr">
        <is>
          <t/>
        </is>
      </c>
      <c r="H133" s="43" t="n">
        <v>2016.0</v>
      </c>
      <c r="I133" s="44" t="n">
        <v>72.7758525649389</v>
      </c>
      <c r="J133" s="45" t="n">
        <v>87.33102307792667</v>
      </c>
      <c r="K133" s="46" t="n">
        <v>32.66897692207332</v>
      </c>
      <c r="L133" s="47" t="n">
        <v>0.07019108401531332</v>
      </c>
      <c r="M133" s="48" t="n">
        <v>89.17075216762431</v>
      </c>
      <c r="N133" s="49" t="n">
        <v>1.31</v>
      </c>
      <c r="O133" s="50" t="inlineStr">
        <is>
          <t/>
        </is>
      </c>
      <c r="P133" s="51" t="inlineStr">
        <is>
          <t/>
        </is>
      </c>
      <c r="Q133" s="52" t="n">
        <v>0.0</v>
      </c>
      <c r="R133" s="53" t="inlineStr">
        <is>
          <t/>
        </is>
      </c>
      <c r="S133" s="54" t="n">
        <v>1.02</v>
      </c>
      <c r="T133" s="55" t="inlineStr">
        <is>
          <t/>
        </is>
      </c>
      <c r="U133" s="56" t="n">
        <v>1.02</v>
      </c>
      <c r="V133" s="57" t="inlineStr">
        <is>
          <t/>
        </is>
      </c>
      <c r="W133" s="58" t="inlineStr">
        <is>
          <t/>
        </is>
      </c>
      <c r="X133" s="59" t="inlineStr">
        <is>
          <t>LP Original Commitments</t>
        </is>
      </c>
      <c r="Y133" s="60" t="inlineStr">
        <is>
          <t>2019 Y</t>
        </is>
      </c>
      <c r="Z133" s="61" t="inlineStr">
        <is>
          <t>100M - 249M</t>
        </is>
      </c>
      <c r="AA133" s="62" t="inlineStr">
        <is>
          <t>BlueYard Capital</t>
        </is>
      </c>
      <c r="AB133" s="63" t="inlineStr">
        <is>
          <t>Berlin, Germany</t>
        </is>
      </c>
      <c r="AC133" s="64" t="inlineStr">
        <is>
          <t>Software</t>
        </is>
      </c>
      <c r="AD133" s="65" t="inlineStr">
        <is>
          <t>Early Stage VC</t>
        </is>
      </c>
      <c r="AE133" s="66" t="inlineStr">
        <is>
          <t>Europe</t>
        </is>
      </c>
      <c r="AF133" s="67" t="inlineStr">
        <is>
          <t>UTIMCO</t>
        </is>
      </c>
      <c r="AG133" s="232">
        <f>HYPERLINK("https://my.pitchbook.com?i=150612-58", "View Investor Online")</f>
      </c>
    </row>
    <row r="134">
      <c r="A134" s="69" t="inlineStr">
        <is>
          <t>12555-82F</t>
        </is>
      </c>
      <c r="B134" s="70" t="inlineStr">
        <is>
          <t>Opus Capital VI</t>
        </is>
      </c>
      <c r="C134" s="71" t="inlineStr">
        <is>
          <t/>
        </is>
      </c>
      <c r="D134" s="72" t="inlineStr">
        <is>
          <t>Venture Capital</t>
        </is>
      </c>
      <c r="E134" s="73" t="n">
        <v>135.0</v>
      </c>
      <c r="F134" s="74" t="inlineStr">
        <is>
          <t>Menlo Park, CA</t>
        </is>
      </c>
      <c r="G134" s="75" t="n">
        <v>3.0</v>
      </c>
      <c r="H134" s="76" t="n">
        <v>2011.0</v>
      </c>
      <c r="I134" s="77" t="n">
        <v>69.85074626865672</v>
      </c>
      <c r="J134" s="78" t="n">
        <v>94.29850746268657</v>
      </c>
      <c r="K134" s="79" t="n">
        <v>40.701492537313435</v>
      </c>
      <c r="L134" s="80" t="n">
        <v>35.865671641791046</v>
      </c>
      <c r="M134" s="81" t="n">
        <v>59.64179104477612</v>
      </c>
      <c r="N134" s="82" t="n">
        <v>0.2</v>
      </c>
      <c r="O134" s="83" t="inlineStr">
        <is>
          <t/>
        </is>
      </c>
      <c r="P134" s="84" t="n">
        <v>-3.4</v>
      </c>
      <c r="Q134" s="85" t="n">
        <v>0.38</v>
      </c>
      <c r="R134" s="86" t="n">
        <v>0.10999999999999999</v>
      </c>
      <c r="S134" s="87" t="n">
        <v>0.63</v>
      </c>
      <c r="T134" s="88" t="n">
        <v>-0.45000000000000007</v>
      </c>
      <c r="U134" s="89" t="n">
        <v>1.01</v>
      </c>
      <c r="V134" s="90" t="n">
        <v>-0.15500000000000003</v>
      </c>
      <c r="W134" s="91" t="inlineStr">
        <is>
          <t/>
        </is>
      </c>
      <c r="X134" s="92" t="inlineStr">
        <is>
          <t>LP Original Commitments</t>
        </is>
      </c>
      <c r="Y134" s="93" t="inlineStr">
        <is>
          <t>2020 Y</t>
        </is>
      </c>
      <c r="Z134" s="94" t="inlineStr">
        <is>
          <t>100M - 249M</t>
        </is>
      </c>
      <c r="AA134" s="95" t="inlineStr">
        <is>
          <t>Opus Capital</t>
        </is>
      </c>
      <c r="AB134" s="96" t="inlineStr">
        <is>
          <t>Menlo Park, CA</t>
        </is>
      </c>
      <c r="AC134" s="97" t="inlineStr">
        <is>
          <t>Software</t>
        </is>
      </c>
      <c r="AD134" s="98" t="inlineStr">
        <is>
          <t>Angel (individual), Seed Round, Early Stage VC, Later Stage VC</t>
        </is>
      </c>
      <c r="AE134" s="99" t="inlineStr">
        <is>
          <t>Israel, United States</t>
        </is>
      </c>
      <c r="AF134" s="100" t="inlineStr">
        <is>
          <t>PERS</t>
        </is>
      </c>
      <c r="AG134" s="233">
        <f>HYPERLINK("https://my.pitchbook.com?i=11263-42", "View Investor Online")</f>
      </c>
    </row>
    <row r="135">
      <c r="A135" s="36" t="inlineStr">
        <is>
          <t>13730-95F</t>
        </is>
      </c>
      <c r="B135" s="37" t="inlineStr">
        <is>
          <t>Viola Ventures Fund IV</t>
        </is>
      </c>
      <c r="C135" s="38" t="inlineStr">
        <is>
          <t>Carmel Ventures IV</t>
        </is>
      </c>
      <c r="D135" s="39" t="inlineStr">
        <is>
          <t>Venture Capital - Early Stage</t>
        </is>
      </c>
      <c r="E135" s="40" t="n">
        <v>194.0</v>
      </c>
      <c r="F135" s="41" t="inlineStr">
        <is>
          <t>Herzliya, Israel</t>
        </is>
      </c>
      <c r="G135" s="42" t="inlineStr">
        <is>
          <t/>
        </is>
      </c>
      <c r="H135" s="43" t="n">
        <v>2014.0</v>
      </c>
      <c r="I135" s="44" t="n">
        <v>49.58762886597938</v>
      </c>
      <c r="J135" s="45" t="n">
        <v>96.2</v>
      </c>
      <c r="K135" s="46" t="n">
        <v>97.6</v>
      </c>
      <c r="L135" s="47" t="n">
        <v>0.0</v>
      </c>
      <c r="M135" s="48" t="n">
        <v>96.9</v>
      </c>
      <c r="N135" s="49" t="n">
        <v>0.5</v>
      </c>
      <c r="O135" s="50" t="inlineStr">
        <is>
          <t/>
        </is>
      </c>
      <c r="P135" s="51" t="inlineStr">
        <is>
          <t/>
        </is>
      </c>
      <c r="Q135" s="52" t="n">
        <v>0.0</v>
      </c>
      <c r="R135" s="53" t="inlineStr">
        <is>
          <t/>
        </is>
      </c>
      <c r="S135" s="54" t="n">
        <v>1.01</v>
      </c>
      <c r="T135" s="55" t="inlineStr">
        <is>
          <t/>
        </is>
      </c>
      <c r="U135" s="56" t="n">
        <v>1.01</v>
      </c>
      <c r="V135" s="57" t="inlineStr">
        <is>
          <t/>
        </is>
      </c>
      <c r="W135" s="58" t="inlineStr">
        <is>
          <t/>
        </is>
      </c>
      <c r="X135" s="59" t="inlineStr">
        <is>
          <t>GP Self Reporting</t>
        </is>
      </c>
      <c r="Y135" s="60" t="inlineStr">
        <is>
          <t>2016 Y</t>
        </is>
      </c>
      <c r="Z135" s="61" t="inlineStr">
        <is>
          <t>100M - 249M</t>
        </is>
      </c>
      <c r="AA135" s="62" t="inlineStr">
        <is>
          <t>Viola Ventures</t>
        </is>
      </c>
      <c r="AB135" s="63" t="inlineStr">
        <is>
          <t>Herzliya, Israel</t>
        </is>
      </c>
      <c r="AC135" s="64" t="inlineStr">
        <is>
          <t>Electronic Components, Software, Application Specific Semiconductors, Other Information Technology, Production (Semiconductors)</t>
        </is>
      </c>
      <c r="AD135" s="65" t="inlineStr">
        <is>
          <t>Early Stage VC, Seed Round</t>
        </is>
      </c>
      <c r="AE135" s="66" t="inlineStr">
        <is>
          <t>Israel</t>
        </is>
      </c>
      <c r="AF135" s="67" t="inlineStr">
        <is>
          <t>Viola Ventures</t>
        </is>
      </c>
      <c r="AG135" s="232">
        <f>HYPERLINK("https://my.pitchbook.com?i=11146-33", "View Investor Online")</f>
      </c>
    </row>
    <row r="136">
      <c r="A136" s="69" t="inlineStr">
        <is>
          <t>15046-57F</t>
        </is>
      </c>
      <c r="B136" s="70" t="inlineStr">
        <is>
          <t>Flare Capital Partners I</t>
        </is>
      </c>
      <c r="C136" s="71" t="inlineStr">
        <is>
          <t/>
        </is>
      </c>
      <c r="D136" s="72" t="inlineStr">
        <is>
          <t>Venture Capital</t>
        </is>
      </c>
      <c r="E136" s="73" t="n">
        <v>200.0</v>
      </c>
      <c r="F136" s="74" t="inlineStr">
        <is>
          <t>Boston, MA</t>
        </is>
      </c>
      <c r="G136" s="75" t="inlineStr">
        <is>
          <t/>
        </is>
      </c>
      <c r="H136" s="76" t="n">
        <v>2014.0</v>
      </c>
      <c r="I136" s="77" t="n">
        <v>3.84375</v>
      </c>
      <c r="J136" s="78" t="n">
        <v>7.6875</v>
      </c>
      <c r="K136" s="79" t="n">
        <v>0.5</v>
      </c>
      <c r="L136" s="80" t="n">
        <v>0.0</v>
      </c>
      <c r="M136" s="81" t="n">
        <v>7.6875</v>
      </c>
      <c r="N136" s="82" t="inlineStr">
        <is>
          <t/>
        </is>
      </c>
      <c r="O136" s="83" t="inlineStr">
        <is>
          <t/>
        </is>
      </c>
      <c r="P136" s="84" t="inlineStr">
        <is>
          <t/>
        </is>
      </c>
      <c r="Q136" s="85" t="n">
        <v>0.0</v>
      </c>
      <c r="R136" s="86" t="n">
        <v>0.0</v>
      </c>
      <c r="S136" s="87" t="n">
        <v>1.0</v>
      </c>
      <c r="T136" s="88" t="n">
        <v>-0.24</v>
      </c>
      <c r="U136" s="89" t="n">
        <v>1.0</v>
      </c>
      <c r="V136" s="90" t="n">
        <v>-0.585</v>
      </c>
      <c r="W136" s="91" t="inlineStr">
        <is>
          <t/>
        </is>
      </c>
      <c r="X136" s="92" t="inlineStr">
        <is>
          <t>LP Original Commitments</t>
        </is>
      </c>
      <c r="Y136" s="93" t="inlineStr">
        <is>
          <t>2013 Y</t>
        </is>
      </c>
      <c r="Z136" s="94" t="inlineStr">
        <is>
          <t>100M - 249M</t>
        </is>
      </c>
      <c r="AA136" s="95" t="inlineStr">
        <is>
          <t>Flare Capital Partners</t>
        </is>
      </c>
      <c r="AB136" s="96" t="inlineStr">
        <is>
          <t>Boston, MA</t>
        </is>
      </c>
      <c r="AC136" s="97" t="inlineStr">
        <is>
          <t>Healthcare Technology Systems</t>
        </is>
      </c>
      <c r="AD136" s="98" t="inlineStr">
        <is>
          <t>Seed Round, Early Stage VC, Later Stage VC</t>
        </is>
      </c>
      <c r="AE136" s="99" t="inlineStr">
        <is>
          <t/>
        </is>
      </c>
      <c r="AF136" s="100" t="inlineStr">
        <is>
          <t>MMOH</t>
        </is>
      </c>
      <c r="AG136" s="233">
        <f>HYPERLINK("https://my.pitchbook.com?i=126812-62", "View Investor Online")</f>
      </c>
    </row>
    <row r="137">
      <c r="A137" s="36" t="inlineStr">
        <is>
          <t>13566-79F</t>
        </is>
      </c>
      <c r="B137" s="37" t="inlineStr">
        <is>
          <t>Lightstone Ventures I</t>
        </is>
      </c>
      <c r="C137" s="38" t="inlineStr">
        <is>
          <t/>
        </is>
      </c>
      <c r="D137" s="39" t="inlineStr">
        <is>
          <t>Venture Capital - Early Stage</t>
        </is>
      </c>
      <c r="E137" s="40" t="n">
        <v>172.0</v>
      </c>
      <c r="F137" s="41" t="inlineStr">
        <is>
          <t>Menlo Park, CA</t>
        </is>
      </c>
      <c r="G137" s="42" t="inlineStr">
        <is>
          <t/>
        </is>
      </c>
      <c r="H137" s="43" t="n">
        <v>2014.0</v>
      </c>
      <c r="I137" s="44" t="n">
        <v>12.5</v>
      </c>
      <c r="J137" s="45" t="n">
        <v>21.5</v>
      </c>
      <c r="K137" s="46" t="n">
        <v>10.489255319148938</v>
      </c>
      <c r="L137" s="47" t="n">
        <v>0.0</v>
      </c>
      <c r="M137" s="48" t="n">
        <v>21.5</v>
      </c>
      <c r="N137" s="49" t="inlineStr">
        <is>
          <t/>
        </is>
      </c>
      <c r="O137" s="50" t="inlineStr">
        <is>
          <t/>
        </is>
      </c>
      <c r="P137" s="51" t="inlineStr">
        <is>
          <t/>
        </is>
      </c>
      <c r="Q137" s="52" t="n">
        <v>0.0</v>
      </c>
      <c r="R137" s="53" t="inlineStr">
        <is>
          <t/>
        </is>
      </c>
      <c r="S137" s="54" t="n">
        <v>1.0</v>
      </c>
      <c r="T137" s="55" t="inlineStr">
        <is>
          <t/>
        </is>
      </c>
      <c r="U137" s="56" t="n">
        <v>1.0</v>
      </c>
      <c r="V137" s="57" t="inlineStr">
        <is>
          <t/>
        </is>
      </c>
      <c r="W137" s="58" t="inlineStr">
        <is>
          <t/>
        </is>
      </c>
      <c r="X137" s="59" t="inlineStr">
        <is>
          <t>LP Original Commitments</t>
        </is>
      </c>
      <c r="Y137" s="60" t="inlineStr">
        <is>
          <t>2013 Y</t>
        </is>
      </c>
      <c r="Z137" s="61" t="inlineStr">
        <is>
          <t>100M - 249M</t>
        </is>
      </c>
      <c r="AA137" s="62" t="inlineStr">
        <is>
          <t>Lightstone Ventures</t>
        </is>
      </c>
      <c r="AB137" s="63" t="inlineStr">
        <is>
          <t>Menlo Park, CA</t>
        </is>
      </c>
      <c r="AC137" s="64" t="inlineStr">
        <is>
          <t>Pharmaceuticals and Biotechnology</t>
        </is>
      </c>
      <c r="AD137" s="65" t="inlineStr">
        <is>
          <t>Early Stage VC</t>
        </is>
      </c>
      <c r="AE137" s="66" t="inlineStr">
        <is>
          <t/>
        </is>
      </c>
      <c r="AF137" s="67" t="inlineStr">
        <is>
          <t>ISIF, Penn Mutual, PIA, Richard King Mellon Foundation</t>
        </is>
      </c>
      <c r="AG137" s="232">
        <f>HYPERLINK("https://my.pitchbook.com?i=55329-94", "View Investor Online")</f>
      </c>
    </row>
    <row r="138">
      <c r="A138" s="69" t="inlineStr">
        <is>
          <t>15781-51F</t>
        </is>
      </c>
      <c r="B138" s="70" t="inlineStr">
        <is>
          <t>Newfund 2</t>
        </is>
      </c>
      <c r="C138" s="71" t="inlineStr">
        <is>
          <t/>
        </is>
      </c>
      <c r="D138" s="72" t="inlineStr">
        <is>
          <t>Venture Capital</t>
        </is>
      </c>
      <c r="E138" s="73" t="n">
        <v>151.58688</v>
      </c>
      <c r="F138" s="74" t="inlineStr">
        <is>
          <t>Paris, France</t>
        </is>
      </c>
      <c r="G138" s="75" t="inlineStr">
        <is>
          <t/>
        </is>
      </c>
      <c r="H138" s="76" t="n">
        <v>2016.0</v>
      </c>
      <c r="I138" s="77" t="n">
        <v>3.4998666461816534</v>
      </c>
      <c r="J138" s="78" t="n">
        <v>5.305338703437933</v>
      </c>
      <c r="K138" s="79" t="n">
        <v>34.35567459244533</v>
      </c>
      <c r="L138" s="80" t="n">
        <v>0.0</v>
      </c>
      <c r="M138" s="81" t="n">
        <v>5.305338703437933</v>
      </c>
      <c r="N138" s="82" t="inlineStr">
        <is>
          <t/>
        </is>
      </c>
      <c r="O138" s="83" t="inlineStr">
        <is>
          <t/>
        </is>
      </c>
      <c r="P138" s="84" t="inlineStr">
        <is>
          <t/>
        </is>
      </c>
      <c r="Q138" s="85" t="n">
        <v>0.0</v>
      </c>
      <c r="R138" s="86" t="inlineStr">
        <is>
          <t/>
        </is>
      </c>
      <c r="S138" s="87" t="n">
        <v>1.0</v>
      </c>
      <c r="T138" s="88" t="inlineStr">
        <is>
          <t/>
        </is>
      </c>
      <c r="U138" s="89" t="n">
        <v>1.0</v>
      </c>
      <c r="V138" s="90" t="inlineStr">
        <is>
          <t/>
        </is>
      </c>
      <c r="W138" s="91" t="inlineStr">
        <is>
          <t/>
        </is>
      </c>
      <c r="X138" s="92" t="inlineStr">
        <is>
          <t>GP Self Reporting</t>
        </is>
      </c>
      <c r="Y138" s="93" t="inlineStr">
        <is>
          <t>2016 Y</t>
        </is>
      </c>
      <c r="Z138" s="94" t="inlineStr">
        <is>
          <t>100M - 249M</t>
        </is>
      </c>
      <c r="AA138" s="95" t="inlineStr">
        <is>
          <t>Newfund Management</t>
        </is>
      </c>
      <c r="AB138" s="96" t="inlineStr">
        <is>
          <t>Paris, France</t>
        </is>
      </c>
      <c r="AC138" s="97" t="inlineStr">
        <is>
          <t>Software</t>
        </is>
      </c>
      <c r="AD138" s="98" t="inlineStr">
        <is>
          <t>Early Stage VC, Seed Round, Later Stage VC, PE Growth/Expansion</t>
        </is>
      </c>
      <c r="AE138" s="99" t="inlineStr">
        <is>
          <t>France, United States</t>
        </is>
      </c>
      <c r="AF138" s="100" t="inlineStr">
        <is>
          <t>Newfund</t>
        </is>
      </c>
      <c r="AG138" s="233">
        <f>HYPERLINK("https://my.pitchbook.com?i=14194-54", "View Investor Online")</f>
      </c>
    </row>
    <row r="139">
      <c r="A139" s="36" t="inlineStr">
        <is>
          <t>13404-79F</t>
        </is>
      </c>
      <c r="B139" s="37" t="inlineStr">
        <is>
          <t>Partech International Ventures VI</t>
        </is>
      </c>
      <c r="C139" s="38" t="inlineStr">
        <is>
          <t/>
        </is>
      </c>
      <c r="D139" s="39" t="inlineStr">
        <is>
          <t>Venture Capital - Early Stage</t>
        </is>
      </c>
      <c r="E139" s="40" t="n">
        <v>178.19606</v>
      </c>
      <c r="F139" s="41" t="inlineStr">
        <is>
          <t>Paris, France</t>
        </is>
      </c>
      <c r="G139" s="42" t="inlineStr">
        <is>
          <t/>
        </is>
      </c>
      <c r="H139" s="43" t="n">
        <v>2012.0</v>
      </c>
      <c r="I139" s="44" t="n">
        <v>19.427878048780492</v>
      </c>
      <c r="J139" s="45" t="n">
        <v>34.61971281009651</v>
      </c>
      <c r="K139" s="46" t="n">
        <v>16.135931884796122</v>
      </c>
      <c r="L139" s="47" t="n">
        <v>0.0</v>
      </c>
      <c r="M139" s="48" t="n">
        <v>34.61971281009651</v>
      </c>
      <c r="N139" s="49" t="inlineStr">
        <is>
          <t/>
        </is>
      </c>
      <c r="O139" s="50" t="inlineStr">
        <is>
          <t/>
        </is>
      </c>
      <c r="P139" s="51" t="inlineStr">
        <is>
          <t/>
        </is>
      </c>
      <c r="Q139" s="52" t="n">
        <v>0.0</v>
      </c>
      <c r="R139" s="53" t="inlineStr">
        <is>
          <t/>
        </is>
      </c>
      <c r="S139" s="54" t="n">
        <v>1.0</v>
      </c>
      <c r="T139" s="55" t="inlineStr">
        <is>
          <t/>
        </is>
      </c>
      <c r="U139" s="56" t="n">
        <v>1.0</v>
      </c>
      <c r="V139" s="57" t="inlineStr">
        <is>
          <t/>
        </is>
      </c>
      <c r="W139" s="58" t="inlineStr">
        <is>
          <t/>
        </is>
      </c>
      <c r="X139" s="59" t="inlineStr">
        <is>
          <t>LP Original Commitments</t>
        </is>
      </c>
      <c r="Y139" s="60" t="inlineStr">
        <is>
          <t>2013 Y</t>
        </is>
      </c>
      <c r="Z139" s="61" t="inlineStr">
        <is>
          <t>100M - 249M</t>
        </is>
      </c>
      <c r="AA139" s="62" t="inlineStr">
        <is>
          <t>Partech</t>
        </is>
      </c>
      <c r="AB139" s="63" t="inlineStr">
        <is>
          <t>Paris, France</t>
        </is>
      </c>
      <c r="AC139" s="64" t="inlineStr">
        <is>
          <t>Software</t>
        </is>
      </c>
      <c r="AD139" s="65" t="inlineStr">
        <is>
          <t>Seed Round, Early Stage VC</t>
        </is>
      </c>
      <c r="AE139" s="66" t="inlineStr">
        <is>
          <t>Europe, Bay Area</t>
        </is>
      </c>
      <c r="AF139" s="67" t="inlineStr">
        <is>
          <t>Minnesota Life Insurance Company</t>
        </is>
      </c>
      <c r="AG139" s="232">
        <f>HYPERLINK("https://my.pitchbook.com?i=11268-55", "View Investor Online")</f>
      </c>
    </row>
    <row r="140">
      <c r="A140" s="69" t="inlineStr">
        <is>
          <t>16353-91F</t>
        </is>
      </c>
      <c r="B140" s="70" t="inlineStr">
        <is>
          <t>Polaris Growth Fund I</t>
        </is>
      </c>
      <c r="C140" s="71" t="inlineStr">
        <is>
          <t/>
        </is>
      </c>
      <c r="D140" s="72" t="inlineStr">
        <is>
          <t>Venture Capital</t>
        </is>
      </c>
      <c r="E140" s="73" t="n">
        <v>175.0</v>
      </c>
      <c r="F140" s="74" t="inlineStr">
        <is>
          <t>Boston, MA</t>
        </is>
      </c>
      <c r="G140" s="75" t="inlineStr">
        <is>
          <t/>
        </is>
      </c>
      <c r="H140" s="76" t="n">
        <v>2018.0</v>
      </c>
      <c r="I140" s="77" t="n">
        <v>14.0</v>
      </c>
      <c r="J140" s="78" t="n">
        <v>24.5</v>
      </c>
      <c r="K140" s="79" t="n">
        <v>150.5</v>
      </c>
      <c r="L140" s="80" t="n">
        <v>0.0</v>
      </c>
      <c r="M140" s="81" t="n">
        <v>24.583482916666668</v>
      </c>
      <c r="N140" s="82" t="n">
        <v>-9.08</v>
      </c>
      <c r="O140" s="83" t="inlineStr">
        <is>
          <t/>
        </is>
      </c>
      <c r="P140" s="84" t="inlineStr">
        <is>
          <t/>
        </is>
      </c>
      <c r="Q140" s="85" t="n">
        <v>0.0</v>
      </c>
      <c r="R140" s="86" t="inlineStr">
        <is>
          <t/>
        </is>
      </c>
      <c r="S140" s="87" t="n">
        <v>1.0</v>
      </c>
      <c r="T140" s="88" t="inlineStr">
        <is>
          <t/>
        </is>
      </c>
      <c r="U140" s="89" t="n">
        <v>1.0</v>
      </c>
      <c r="V140" s="90" t="inlineStr">
        <is>
          <t/>
        </is>
      </c>
      <c r="W140" s="91" t="inlineStr">
        <is>
          <t/>
        </is>
      </c>
      <c r="X140" s="92" t="inlineStr">
        <is>
          <t>LP Original Commitments</t>
        </is>
      </c>
      <c r="Y140" s="93" t="inlineStr">
        <is>
          <t>2019 Y</t>
        </is>
      </c>
      <c r="Z140" s="94" t="inlineStr">
        <is>
          <t>100M - 249M</t>
        </is>
      </c>
      <c r="AA140" s="95" t="inlineStr">
        <is>
          <t>Polaris Partners</t>
        </is>
      </c>
      <c r="AB140" s="96" t="inlineStr">
        <is>
          <t>Boston, MA</t>
        </is>
      </c>
      <c r="AC140" s="97" t="inlineStr">
        <is>
          <t>Software</t>
        </is>
      </c>
      <c r="AD140" s="98" t="inlineStr">
        <is>
          <t>Seed Round, Early Stage VC, Later Stage VC</t>
        </is>
      </c>
      <c r="AE140" s="99" t="inlineStr">
        <is>
          <t>North America</t>
        </is>
      </c>
      <c r="AF140" s="100" t="inlineStr">
        <is>
          <t>LACERS, Mass PRIT, SFERS</t>
        </is>
      </c>
      <c r="AG140" s="233">
        <f>HYPERLINK("https://my.pitchbook.com?i=11274-22", "View Investor Online")</f>
      </c>
    </row>
    <row r="141">
      <c r="A141" s="36" t="inlineStr">
        <is>
          <t>13693-69F</t>
        </is>
      </c>
      <c r="B141" s="37" t="inlineStr">
        <is>
          <t>Revolution Ventures II</t>
        </is>
      </c>
      <c r="C141" s="38" t="inlineStr">
        <is>
          <t/>
        </is>
      </c>
      <c r="D141" s="39" t="inlineStr">
        <is>
          <t>Venture Capital</t>
        </is>
      </c>
      <c r="E141" s="40" t="n">
        <v>200.0</v>
      </c>
      <c r="F141" s="41" t="inlineStr">
        <is>
          <t>Washington, DC</t>
        </is>
      </c>
      <c r="G141" s="42" t="inlineStr">
        <is>
          <t/>
        </is>
      </c>
      <c r="H141" s="43" t="n">
        <v>2013.0</v>
      </c>
      <c r="I141" s="44" t="n">
        <v>8.954714285714285</v>
      </c>
      <c r="J141" s="45" t="n">
        <v>17.90942857142857</v>
      </c>
      <c r="K141" s="46" t="n">
        <v>4.0</v>
      </c>
      <c r="L141" s="47" t="n">
        <v>0.0</v>
      </c>
      <c r="M141" s="48" t="n">
        <v>17.970163265306123</v>
      </c>
      <c r="N141" s="49" t="inlineStr">
        <is>
          <t/>
        </is>
      </c>
      <c r="O141" s="50" t="inlineStr">
        <is>
          <t/>
        </is>
      </c>
      <c r="P141" s="51" t="inlineStr">
        <is>
          <t/>
        </is>
      </c>
      <c r="Q141" s="52" t="n">
        <v>0.0</v>
      </c>
      <c r="R141" s="53" t="n">
        <v>-0.12</v>
      </c>
      <c r="S141" s="54" t="n">
        <v>1.0</v>
      </c>
      <c r="T141" s="55" t="n">
        <v>-0.06862999999999997</v>
      </c>
      <c r="U141" s="56" t="n">
        <v>1.0</v>
      </c>
      <c r="V141" s="57" t="n">
        <v>-0.18999999999999995</v>
      </c>
      <c r="W141" s="58" t="inlineStr">
        <is>
          <t/>
        </is>
      </c>
      <c r="X141" s="59" t="inlineStr">
        <is>
          <t>LP Original Commitments</t>
        </is>
      </c>
      <c r="Y141" s="60" t="inlineStr">
        <is>
          <t>2013 Y</t>
        </is>
      </c>
      <c r="Z141" s="61" t="inlineStr">
        <is>
          <t>100M - 249M</t>
        </is>
      </c>
      <c r="AA141" s="62" t="inlineStr">
        <is>
          <t>Revolution</t>
        </is>
      </c>
      <c r="AB141" s="63" t="inlineStr">
        <is>
          <t>Washington, DC</t>
        </is>
      </c>
      <c r="AC141" s="64" t="inlineStr">
        <is>
          <t/>
        </is>
      </c>
      <c r="AD141" s="65" t="inlineStr">
        <is>
          <t>Early Stage VC, Seed Round</t>
        </is>
      </c>
      <c r="AE141" s="66" t="inlineStr">
        <is>
          <t>United States</t>
        </is>
      </c>
      <c r="AF141" s="67" t="inlineStr">
        <is>
          <t>Lockheed Martin, Minnesota Life Insurance Company</t>
        </is>
      </c>
      <c r="AG141" s="232">
        <f>HYPERLINK("https://my.pitchbook.com?i=43058-08", "View Investor Online")</f>
      </c>
    </row>
    <row r="142">
      <c r="A142" s="69" t="inlineStr">
        <is>
          <t>16522-48F</t>
        </is>
      </c>
      <c r="B142" s="70" t="inlineStr">
        <is>
          <t>BlueYard Capital 2</t>
        </is>
      </c>
      <c r="C142" s="71" t="inlineStr">
        <is>
          <t/>
        </is>
      </c>
      <c r="D142" s="72" t="inlineStr">
        <is>
          <t>Venture Capital</t>
        </is>
      </c>
      <c r="E142" s="73" t="n">
        <v>120.0</v>
      </c>
      <c r="F142" s="74" t="inlineStr">
        <is>
          <t>Berlin, Germany</t>
        </is>
      </c>
      <c r="G142" s="75" t="inlineStr">
        <is>
          <t/>
        </is>
      </c>
      <c r="H142" s="76" t="n">
        <v>2019.0</v>
      </c>
      <c r="I142" s="77" t="n">
        <v>3.2200827810511004</v>
      </c>
      <c r="J142" s="78" t="n">
        <v>3.8640993372613206</v>
      </c>
      <c r="K142" s="79" t="n">
        <v>109.51139257184967</v>
      </c>
      <c r="L142" s="80" t="n">
        <v>0.0</v>
      </c>
      <c r="M142" s="81" t="n">
        <v>3.8392033276938413</v>
      </c>
      <c r="N142" s="82" t="n">
        <v>-1.19</v>
      </c>
      <c r="O142" s="83" t="inlineStr">
        <is>
          <t/>
        </is>
      </c>
      <c r="P142" s="84" t="inlineStr">
        <is>
          <t/>
        </is>
      </c>
      <c r="Q142" s="85" t="n">
        <v>0.0</v>
      </c>
      <c r="R142" s="86" t="n">
        <v>0.0</v>
      </c>
      <c r="S142" s="87" t="n">
        <v>0.99</v>
      </c>
      <c r="T142" s="88" t="n">
        <v>0.07499999999999996</v>
      </c>
      <c r="U142" s="89" t="n">
        <v>0.99</v>
      </c>
      <c r="V142" s="90" t="n">
        <v>0.07499999999999996</v>
      </c>
      <c r="W142" s="91" t="inlineStr">
        <is>
          <t/>
        </is>
      </c>
      <c r="X142" s="92" t="inlineStr">
        <is>
          <t>LP Original Commitments</t>
        </is>
      </c>
      <c r="Y142" s="93" t="inlineStr">
        <is>
          <t>2019 Y</t>
        </is>
      </c>
      <c r="Z142" s="94" t="inlineStr">
        <is>
          <t>100M - 249M</t>
        </is>
      </c>
      <c r="AA142" s="95" t="inlineStr">
        <is>
          <t>BlueYard Capital</t>
        </is>
      </c>
      <c r="AB142" s="96" t="inlineStr">
        <is>
          <t>Berlin, Germany</t>
        </is>
      </c>
      <c r="AC142" s="97" t="inlineStr">
        <is>
          <t>Information Technology</t>
        </is>
      </c>
      <c r="AD142" s="98" t="inlineStr">
        <is>
          <t>Early Stage VC</t>
        </is>
      </c>
      <c r="AE142" s="99" t="inlineStr">
        <is>
          <t/>
        </is>
      </c>
      <c r="AF142" s="100" t="inlineStr">
        <is>
          <t>UTIMCO</t>
        </is>
      </c>
      <c r="AG142" s="233">
        <f>HYPERLINK("https://my.pitchbook.com?i=150612-58", "View Investor Online")</f>
      </c>
    </row>
    <row r="143">
      <c r="A143" s="36" t="inlineStr">
        <is>
          <t>13863-52F</t>
        </is>
      </c>
      <c r="B143" s="37" t="inlineStr">
        <is>
          <t>Rally Ventures Fund I</t>
        </is>
      </c>
      <c r="C143" s="38" t="inlineStr">
        <is>
          <t/>
        </is>
      </c>
      <c r="D143" s="39" t="inlineStr">
        <is>
          <t>Venture Capital - Early Stage</t>
        </is>
      </c>
      <c r="E143" s="40" t="n">
        <v>100.0</v>
      </c>
      <c r="F143" s="41" t="inlineStr">
        <is>
          <t>Menlo Park, CA</t>
        </is>
      </c>
      <c r="G143" s="42" t="inlineStr">
        <is>
          <t/>
        </is>
      </c>
      <c r="H143" s="43" t="n">
        <v>2012.0</v>
      </c>
      <c r="I143" s="44" t="n">
        <v>15.0</v>
      </c>
      <c r="J143" s="45" t="n">
        <v>15.0</v>
      </c>
      <c r="K143" s="46" t="n">
        <v>85.0</v>
      </c>
      <c r="L143" s="47" t="n">
        <v>0.0</v>
      </c>
      <c r="M143" s="48" t="n">
        <v>14.909209999999998</v>
      </c>
      <c r="N143" s="49" t="inlineStr">
        <is>
          <t/>
        </is>
      </c>
      <c r="O143" s="50" t="inlineStr">
        <is>
          <t/>
        </is>
      </c>
      <c r="P143" s="51" t="inlineStr">
        <is>
          <t/>
        </is>
      </c>
      <c r="Q143" s="52" t="n">
        <v>0.0</v>
      </c>
      <c r="R143" s="53" t="inlineStr">
        <is>
          <t/>
        </is>
      </c>
      <c r="S143" s="54" t="n">
        <v>0.99</v>
      </c>
      <c r="T143" s="55" t="inlineStr">
        <is>
          <t/>
        </is>
      </c>
      <c r="U143" s="56" t="n">
        <v>0.99</v>
      </c>
      <c r="V143" s="57" t="inlineStr">
        <is>
          <t/>
        </is>
      </c>
      <c r="W143" s="58" t="inlineStr">
        <is>
          <t/>
        </is>
      </c>
      <c r="X143" s="59" t="inlineStr">
        <is>
          <t>LP Original Commitments</t>
        </is>
      </c>
      <c r="Y143" s="60" t="inlineStr">
        <is>
          <t>2013 Y</t>
        </is>
      </c>
      <c r="Z143" s="61" t="inlineStr">
        <is>
          <t>100M - 249M</t>
        </is>
      </c>
      <c r="AA143" s="62" t="inlineStr">
        <is>
          <t>Rally Ventures</t>
        </is>
      </c>
      <c r="AB143" s="63" t="inlineStr">
        <is>
          <t>Menlo Park, CA</t>
        </is>
      </c>
      <c r="AC143" s="64" t="inlineStr">
        <is>
          <t>Software</t>
        </is>
      </c>
      <c r="AD143" s="65" t="inlineStr">
        <is>
          <t>Seed Round, Early Stage VC</t>
        </is>
      </c>
      <c r="AE143" s="66" t="inlineStr">
        <is>
          <t>United States</t>
        </is>
      </c>
      <c r="AF143" s="67" t="inlineStr">
        <is>
          <t>Mayo Pension Plan, St. Paul Fire and Marine Insurance Company</t>
        </is>
      </c>
      <c r="AG143" s="232">
        <f>HYPERLINK("https://my.pitchbook.com?i=58804-66", "View Investor Online")</f>
      </c>
    </row>
    <row r="144">
      <c r="A144" s="69" t="inlineStr">
        <is>
          <t>16684-30F</t>
        </is>
      </c>
      <c r="B144" s="70" t="inlineStr">
        <is>
          <t>Chiratae Ventures International Fund IV</t>
        </is>
      </c>
      <c r="C144" s="71" t="inlineStr">
        <is>
          <t/>
        </is>
      </c>
      <c r="D144" s="72" t="inlineStr">
        <is>
          <t>Venture Capital - Early Stage</t>
        </is>
      </c>
      <c r="E144" s="73" t="n">
        <v>184.7829</v>
      </c>
      <c r="F144" s="74" t="inlineStr">
        <is>
          <t>Bangalore, India</t>
        </is>
      </c>
      <c r="G144" s="75" t="inlineStr">
        <is>
          <t/>
        </is>
      </c>
      <c r="H144" s="76" t="n">
        <v>2019.0</v>
      </c>
      <c r="I144" s="77" t="n">
        <v>31.90977862080192</v>
      </c>
      <c r="J144" s="78" t="n">
        <v>58.963814000000006</v>
      </c>
      <c r="K144" s="79" t="n">
        <v>0.0</v>
      </c>
      <c r="L144" s="80" t="n">
        <v>0.0</v>
      </c>
      <c r="M144" s="81" t="n">
        <v>57.355779</v>
      </c>
      <c r="N144" s="82" t="inlineStr">
        <is>
          <t/>
        </is>
      </c>
      <c r="O144" s="83" t="inlineStr">
        <is>
          <t/>
        </is>
      </c>
      <c r="P144" s="84" t="inlineStr">
        <is>
          <t/>
        </is>
      </c>
      <c r="Q144" s="85" t="n">
        <v>0.0</v>
      </c>
      <c r="R144" s="86" t="inlineStr">
        <is>
          <t/>
        </is>
      </c>
      <c r="S144" s="87" t="n">
        <v>0.972728443</v>
      </c>
      <c r="T144" s="88" t="inlineStr">
        <is>
          <t/>
        </is>
      </c>
      <c r="U144" s="89" t="n">
        <v>0.97</v>
      </c>
      <c r="V144" s="90" t="inlineStr">
        <is>
          <t/>
        </is>
      </c>
      <c r="W144" s="91" t="inlineStr">
        <is>
          <t/>
        </is>
      </c>
      <c r="X144" s="92" t="inlineStr">
        <is>
          <t>GP Self Reporting</t>
        </is>
      </c>
      <c r="Y144" s="93" t="inlineStr">
        <is>
          <t>2020 Y</t>
        </is>
      </c>
      <c r="Z144" s="94" t="inlineStr">
        <is>
          <t>100M - 249M</t>
        </is>
      </c>
      <c r="AA144" s="95" t="inlineStr">
        <is>
          <t>Chiratae Ventures India Advisors</t>
        </is>
      </c>
      <c r="AB144" s="96" t="inlineStr">
        <is>
          <t>Bangalore, India</t>
        </is>
      </c>
      <c r="AC144" s="97" t="inlineStr">
        <is>
          <t>Consumer Products and Services (B2C), Software</t>
        </is>
      </c>
      <c r="AD144" s="98" t="inlineStr">
        <is>
          <t>Seed Round, Early Stage VC</t>
        </is>
      </c>
      <c r="AE144" s="99" t="inlineStr">
        <is>
          <t>India</t>
        </is>
      </c>
      <c r="AF144" s="100" t="inlineStr">
        <is>
          <t>Chiratae, Chiratae Ventures</t>
        </is>
      </c>
      <c r="AG144" s="233">
        <f>HYPERLINK("https://my.pitchbook.com?i=55961-83", "View Investor Online")</f>
      </c>
    </row>
    <row r="145">
      <c r="A145" s="36" t="inlineStr">
        <is>
          <t>15216-67F</t>
        </is>
      </c>
      <c r="B145" s="37" t="inlineStr">
        <is>
          <t>RHO Acceleration</t>
        </is>
      </c>
      <c r="C145" s="38" t="inlineStr">
        <is>
          <t/>
        </is>
      </c>
      <c r="D145" s="39" t="inlineStr">
        <is>
          <t>Venture Capital</t>
        </is>
      </c>
      <c r="E145" s="40" t="n">
        <v>106.275</v>
      </c>
      <c r="F145" s="41" t="inlineStr">
        <is>
          <t>New York, NY</t>
        </is>
      </c>
      <c r="G145" s="42" t="n">
        <v>4.0</v>
      </c>
      <c r="H145" s="43" t="n">
        <v>2015.0</v>
      </c>
      <c r="I145" s="44" t="n">
        <v>29.450508091832894</v>
      </c>
      <c r="J145" s="45" t="n">
        <v>31.29852747459541</v>
      </c>
      <c r="K145" s="46" t="n">
        <v>25.274085547302285</v>
      </c>
      <c r="L145" s="47" t="n">
        <v>0.0</v>
      </c>
      <c r="M145" s="48" t="n">
        <v>30.447134990699094</v>
      </c>
      <c r="N145" s="49" t="n">
        <v>-3.03</v>
      </c>
      <c r="O145" s="50" t="inlineStr">
        <is>
          <t/>
        </is>
      </c>
      <c r="P145" s="51" t="n">
        <v>-12.674999999999999</v>
      </c>
      <c r="Q145" s="52" t="n">
        <v>0.0</v>
      </c>
      <c r="R145" s="53" t="n">
        <v>-0.005</v>
      </c>
      <c r="S145" s="54" t="n">
        <v>0.97</v>
      </c>
      <c r="T145" s="55" t="n">
        <v>-0.21999999999999997</v>
      </c>
      <c r="U145" s="56" t="n">
        <v>0.97</v>
      </c>
      <c r="V145" s="57" t="n">
        <v>-0.32499999999999996</v>
      </c>
      <c r="W145" s="58" t="inlineStr">
        <is>
          <t/>
        </is>
      </c>
      <c r="X145" s="59" t="inlineStr">
        <is>
          <t>GP Self Reporting</t>
        </is>
      </c>
      <c r="Y145" s="60" t="inlineStr">
        <is>
          <t>2016 Y</t>
        </is>
      </c>
      <c r="Z145" s="61" t="inlineStr">
        <is>
          <t>100M - 249M</t>
        </is>
      </c>
      <c r="AA145" s="62" t="inlineStr">
        <is>
          <t>Rho Ventures</t>
        </is>
      </c>
      <c r="AB145" s="63" t="inlineStr">
        <is>
          <t>New York, NY</t>
        </is>
      </c>
      <c r="AC145" s="64" t="inlineStr">
        <is>
          <t>Software</t>
        </is>
      </c>
      <c r="AD145" s="65" t="inlineStr">
        <is>
          <t>Seed Round, Early Stage VC, Later Stage VC</t>
        </is>
      </c>
      <c r="AE145" s="66" t="inlineStr">
        <is>
          <t/>
        </is>
      </c>
      <c r="AF145" s="67" t="inlineStr">
        <is>
          <t>Rho, Rho Capital Partners</t>
        </is>
      </c>
      <c r="AG145" s="232">
        <f>HYPERLINK("https://my.pitchbook.com?i=10446-40", "View Investor Online")</f>
      </c>
    </row>
    <row r="146">
      <c r="A146" s="69" t="inlineStr">
        <is>
          <t>16370-38F</t>
        </is>
      </c>
      <c r="B146" s="70" t="inlineStr">
        <is>
          <t>Sequoia Capital China Seed Fund I</t>
        </is>
      </c>
      <c r="C146" s="71" t="inlineStr">
        <is>
          <t/>
        </is>
      </c>
      <c r="D146" s="72" t="inlineStr">
        <is>
          <t>Venture Capital</t>
        </is>
      </c>
      <c r="E146" s="73" t="n">
        <v>150.0</v>
      </c>
      <c r="F146" s="74" t="inlineStr">
        <is>
          <t>Beijing, China</t>
        </is>
      </c>
      <c r="G146" s="75" t="inlineStr">
        <is>
          <t/>
        </is>
      </c>
      <c r="H146" s="76" t="n">
        <v>2018.0</v>
      </c>
      <c r="I146" s="77" t="n">
        <v>35.5</v>
      </c>
      <c r="J146" s="78" t="n">
        <v>53.25</v>
      </c>
      <c r="K146" s="79" t="n">
        <v>96.75</v>
      </c>
      <c r="L146" s="80" t="n">
        <v>0.0</v>
      </c>
      <c r="M146" s="81" t="n">
        <v>51.2151</v>
      </c>
      <c r="N146" s="82" t="inlineStr">
        <is>
          <t/>
        </is>
      </c>
      <c r="O146" s="83" t="inlineStr">
        <is>
          <t/>
        </is>
      </c>
      <c r="P146" s="84" t="inlineStr">
        <is>
          <t/>
        </is>
      </c>
      <c r="Q146" s="85" t="n">
        <v>0.0</v>
      </c>
      <c r="R146" s="86" t="inlineStr">
        <is>
          <t/>
        </is>
      </c>
      <c r="S146" s="87" t="n">
        <v>0.96</v>
      </c>
      <c r="T146" s="88" t="inlineStr">
        <is>
          <t/>
        </is>
      </c>
      <c r="U146" s="89" t="n">
        <v>0.96</v>
      </c>
      <c r="V146" s="90" t="inlineStr">
        <is>
          <t/>
        </is>
      </c>
      <c r="W146" s="91" t="inlineStr">
        <is>
          <t/>
        </is>
      </c>
      <c r="X146" s="92" t="inlineStr">
        <is>
          <t>LP Original Commitments</t>
        </is>
      </c>
      <c r="Y146" s="93" t="inlineStr">
        <is>
          <t>2019 Y</t>
        </is>
      </c>
      <c r="Z146" s="94" t="inlineStr">
        <is>
          <t>100M - 249M</t>
        </is>
      </c>
      <c r="AA146" s="95" t="inlineStr">
        <is>
          <t>Sequoia Capital, Sequoia Capital China</t>
        </is>
      </c>
      <c r="AB146" s="96" t="inlineStr">
        <is>
          <t>Menlo Park, CA</t>
        </is>
      </c>
      <c r="AC146" s="97" t="inlineStr">
        <is>
          <t>Software</t>
        </is>
      </c>
      <c r="AD146" s="98" t="inlineStr">
        <is>
          <t>Seed Round</t>
        </is>
      </c>
      <c r="AE146" s="99" t="inlineStr">
        <is>
          <t>Mainland China</t>
        </is>
      </c>
      <c r="AF146" s="100" t="inlineStr">
        <is>
          <t>UC Regents</t>
        </is>
      </c>
      <c r="AG146" s="233">
        <f>HYPERLINK("https://my.pitchbook.com?i=11295-73", "View Investor Online")</f>
      </c>
    </row>
    <row r="147">
      <c r="A147" s="36" t="inlineStr">
        <is>
          <t>16628-95F</t>
        </is>
      </c>
      <c r="B147" s="37" t="inlineStr">
        <is>
          <t>Maveron Equity Partners VII</t>
        </is>
      </c>
      <c r="C147" s="38" t="inlineStr">
        <is>
          <t/>
        </is>
      </c>
      <c r="D147" s="39" t="inlineStr">
        <is>
          <t>Venture Capital</t>
        </is>
      </c>
      <c r="E147" s="40" t="n">
        <v>180.0</v>
      </c>
      <c r="F147" s="41" t="inlineStr">
        <is>
          <t>Seattle, WA</t>
        </is>
      </c>
      <c r="G147" s="42" t="n">
        <v>3.0</v>
      </c>
      <c r="H147" s="43" t="n">
        <v>2019.0</v>
      </c>
      <c r="I147" s="44" t="n">
        <v>19.99999972417636</v>
      </c>
      <c r="J147" s="45" t="n">
        <v>35.999999503517444</v>
      </c>
      <c r="K147" s="46" t="n">
        <v>144.00000049648253</v>
      </c>
      <c r="L147" s="47" t="inlineStr">
        <is>
          <t/>
        </is>
      </c>
      <c r="M147" s="48" t="inlineStr">
        <is>
          <t/>
        </is>
      </c>
      <c r="N147" s="49" t="n">
        <v>-34.69</v>
      </c>
      <c r="O147" s="50" t="inlineStr">
        <is>
          <t/>
        </is>
      </c>
      <c r="P147" s="51" t="n">
        <v>-8.799999999999997</v>
      </c>
      <c r="Q147" s="52" t="n">
        <v>0.0</v>
      </c>
      <c r="R147" s="53" t="n">
        <v>0.0</v>
      </c>
      <c r="S147" s="54" t="inlineStr">
        <is>
          <t/>
        </is>
      </c>
      <c r="T147" s="55" t="inlineStr">
        <is>
          <t/>
        </is>
      </c>
      <c r="U147" s="56" t="n">
        <v>0.95</v>
      </c>
      <c r="V147" s="57" t="n">
        <v>0.039999999999999925</v>
      </c>
      <c r="W147" s="58" t="inlineStr">
        <is>
          <t/>
        </is>
      </c>
      <c r="X147" s="59" t="inlineStr">
        <is>
          <t>GP Self Reporting</t>
        </is>
      </c>
      <c r="Y147" s="60" t="inlineStr">
        <is>
          <t>2020 Y</t>
        </is>
      </c>
      <c r="Z147" s="61" t="inlineStr">
        <is>
          <t>100M - 249M</t>
        </is>
      </c>
      <c r="AA147" s="62" t="inlineStr">
        <is>
          <t>Maveron</t>
        </is>
      </c>
      <c r="AB147" s="63" t="inlineStr">
        <is>
          <t>Seattle, WA</t>
        </is>
      </c>
      <c r="AC147" s="64" t="inlineStr">
        <is>
          <t>Retail, Apparel and Accessories, Pharmaceuticals and Biotechnology</t>
        </is>
      </c>
      <c r="AD147" s="65" t="inlineStr">
        <is>
          <t>Seed Round, Early Stage VC, Later Stage VC</t>
        </is>
      </c>
      <c r="AE147" s="66" t="inlineStr">
        <is>
          <t/>
        </is>
      </c>
      <c r="AF147" s="67" t="inlineStr">
        <is>
          <t>Maveron</t>
        </is>
      </c>
      <c r="AG147" s="232">
        <f>HYPERLINK("https://my.pitchbook.com?i=11237-68", "View Investor Online")</f>
      </c>
    </row>
    <row r="148">
      <c r="A148" s="69" t="inlineStr">
        <is>
          <t>16523-29F</t>
        </is>
      </c>
      <c r="B148" s="70" t="inlineStr">
        <is>
          <t>USV Opportunity 2019</t>
        </is>
      </c>
      <c r="C148" s="71" t="inlineStr">
        <is>
          <t/>
        </is>
      </c>
      <c r="D148" s="72" t="inlineStr">
        <is>
          <t>Venture Capital</t>
        </is>
      </c>
      <c r="E148" s="73" t="n">
        <v>250.0</v>
      </c>
      <c r="F148" s="74" t="inlineStr">
        <is>
          <t>New York, NY</t>
        </is>
      </c>
      <c r="G148" s="75" t="inlineStr">
        <is>
          <t/>
        </is>
      </c>
      <c r="H148" s="76" t="n">
        <v>2019.0</v>
      </c>
      <c r="I148" s="77" t="n">
        <v>32.4468085106383</v>
      </c>
      <c r="J148" s="78" t="n">
        <v>81.11702127659574</v>
      </c>
      <c r="K148" s="79" t="n">
        <v>168.88297872340422</v>
      </c>
      <c r="L148" s="80" t="n">
        <v>0.0</v>
      </c>
      <c r="M148" s="81" t="n">
        <v>77.12765957446808</v>
      </c>
      <c r="N148" s="82" t="inlineStr">
        <is>
          <t/>
        </is>
      </c>
      <c r="O148" s="83" t="inlineStr">
        <is>
          <t/>
        </is>
      </c>
      <c r="P148" s="84" t="inlineStr">
        <is>
          <t/>
        </is>
      </c>
      <c r="Q148" s="85" t="n">
        <v>0.0</v>
      </c>
      <c r="R148" s="86" t="n">
        <v>0.0</v>
      </c>
      <c r="S148" s="87" t="n">
        <v>0.95</v>
      </c>
      <c r="T148" s="88" t="n">
        <v>0.014999999999999902</v>
      </c>
      <c r="U148" s="89" t="n">
        <v>0.95</v>
      </c>
      <c r="V148" s="90" t="n">
        <v>0.029999999999999916</v>
      </c>
      <c r="W148" s="91" t="inlineStr">
        <is>
          <t/>
        </is>
      </c>
      <c r="X148" s="92" t="inlineStr">
        <is>
          <t>LP Original Commitments</t>
        </is>
      </c>
      <c r="Y148" s="93" t="inlineStr">
        <is>
          <t>2020 Y</t>
        </is>
      </c>
      <c r="Z148" s="94" t="inlineStr">
        <is>
          <t>250M - 499M</t>
        </is>
      </c>
      <c r="AA148" s="95" t="inlineStr">
        <is>
          <t>Union Square Ventures</t>
        </is>
      </c>
      <c r="AB148" s="96" t="inlineStr">
        <is>
          <t>New York, NY</t>
        </is>
      </c>
      <c r="AC148" s="97" t="inlineStr">
        <is>
          <t>Software</t>
        </is>
      </c>
      <c r="AD148" s="98" t="inlineStr">
        <is>
          <t>Seed Round, Early Stage VC, Later Stage VC</t>
        </is>
      </c>
      <c r="AE148" s="99" t="inlineStr">
        <is>
          <t/>
        </is>
      </c>
      <c r="AF148" s="100" t="inlineStr">
        <is>
          <t>PERS</t>
        </is>
      </c>
      <c r="AG148" s="233">
        <f>HYPERLINK("https://my.pitchbook.com?i=11323-45", "View Investor Online")</f>
      </c>
    </row>
    <row r="149">
      <c r="A149" s="36" t="inlineStr">
        <is>
          <t>16666-48F</t>
        </is>
      </c>
      <c r="B149" s="37" t="inlineStr">
        <is>
          <t>Industry Ventures Direct II</t>
        </is>
      </c>
      <c r="C149" s="38" t="inlineStr">
        <is>
          <t/>
        </is>
      </c>
      <c r="D149" s="39" t="inlineStr">
        <is>
          <t>Venture Capital</t>
        </is>
      </c>
      <c r="E149" s="40" t="n">
        <v>180.0</v>
      </c>
      <c r="F149" s="41" t="inlineStr">
        <is>
          <t>San Francisco, CA</t>
        </is>
      </c>
      <c r="G149" s="42" t="inlineStr">
        <is>
          <t/>
        </is>
      </c>
      <c r="H149" s="43" t="n">
        <v>2020.0</v>
      </c>
      <c r="I149" s="44" t="n">
        <v>5.8212459999999995</v>
      </c>
      <c r="J149" s="45" t="n">
        <v>10.4782428</v>
      </c>
      <c r="K149" s="46" t="n">
        <v>169.52175719999997</v>
      </c>
      <c r="L149" s="47" t="n">
        <v>0.0</v>
      </c>
      <c r="M149" s="48" t="n">
        <v>9.844084800000001</v>
      </c>
      <c r="N149" s="49" t="n">
        <v>-8.81</v>
      </c>
      <c r="O149" s="50" t="inlineStr">
        <is>
          <t/>
        </is>
      </c>
      <c r="P149" s="51" t="inlineStr">
        <is>
          <t/>
        </is>
      </c>
      <c r="Q149" s="52" t="n">
        <v>0.0</v>
      </c>
      <c r="R149" s="53" t="inlineStr">
        <is>
          <t/>
        </is>
      </c>
      <c r="S149" s="54" t="n">
        <v>0.94</v>
      </c>
      <c r="T149" s="55" t="inlineStr">
        <is>
          <t/>
        </is>
      </c>
      <c r="U149" s="56" t="n">
        <v>0.94</v>
      </c>
      <c r="V149" s="57" t="inlineStr">
        <is>
          <t/>
        </is>
      </c>
      <c r="W149" s="58" t="inlineStr">
        <is>
          <t/>
        </is>
      </c>
      <c r="X149" s="59" t="inlineStr">
        <is>
          <t>LP Original Commitments</t>
        </is>
      </c>
      <c r="Y149" s="60" t="inlineStr">
        <is>
          <t>2019 Y</t>
        </is>
      </c>
      <c r="Z149" s="61" t="inlineStr">
        <is>
          <t>100M - 249M</t>
        </is>
      </c>
      <c r="AA149" s="62" t="inlineStr">
        <is>
          <t>Industry Ventures</t>
        </is>
      </c>
      <c r="AB149" s="63" t="inlineStr">
        <is>
          <t>San Francisco, CA</t>
        </is>
      </c>
      <c r="AC149" s="64" t="inlineStr">
        <is>
          <t/>
        </is>
      </c>
      <c r="AD149" s="65" t="inlineStr">
        <is>
          <t>Seed Round, Early Stage VC, Later Stage VC</t>
        </is>
      </c>
      <c r="AE149" s="66" t="inlineStr">
        <is>
          <t/>
        </is>
      </c>
      <c r="AF149" s="67" t="inlineStr">
        <is>
          <t>SBCERA</t>
        </is>
      </c>
      <c r="AG149" s="232">
        <f>HYPERLINK("https://my.pitchbook.com?i=11217-34", "View Investor Online")</f>
      </c>
    </row>
    <row r="150">
      <c r="A150" s="69" t="inlineStr">
        <is>
          <t>15690-43F</t>
        </is>
      </c>
      <c r="B150" s="70" t="inlineStr">
        <is>
          <t>Red River Venture Capital Fund II</t>
        </is>
      </c>
      <c r="C150" s="71" t="inlineStr">
        <is>
          <t/>
        </is>
      </c>
      <c r="D150" s="72" t="inlineStr">
        <is>
          <t>Venture Capital</t>
        </is>
      </c>
      <c r="E150" s="73" t="n">
        <v>200.0</v>
      </c>
      <c r="F150" s="74" t="inlineStr">
        <is>
          <t>New York, NY</t>
        </is>
      </c>
      <c r="G150" s="75" t="n">
        <v>4.0</v>
      </c>
      <c r="H150" s="76" t="n">
        <v>2016.0</v>
      </c>
      <c r="I150" s="77" t="n">
        <v>55.705316</v>
      </c>
      <c r="J150" s="78" t="n">
        <v>111.410632</v>
      </c>
      <c r="K150" s="79" t="n">
        <v>63.429664</v>
      </c>
      <c r="L150" s="80" t="n">
        <v>2.485958</v>
      </c>
      <c r="M150" s="81" t="n">
        <v>102.252306</v>
      </c>
      <c r="N150" s="82" t="n">
        <v>-4.0</v>
      </c>
      <c r="O150" s="83" t="inlineStr">
        <is>
          <t/>
        </is>
      </c>
      <c r="P150" s="84" t="n">
        <v>-15.55</v>
      </c>
      <c r="Q150" s="85" t="n">
        <v>0.02</v>
      </c>
      <c r="R150" s="86" t="n">
        <v>-0.00852</v>
      </c>
      <c r="S150" s="87" t="n">
        <v>0.92</v>
      </c>
      <c r="T150" s="88" t="n">
        <v>-0.19499999999999995</v>
      </c>
      <c r="U150" s="89" t="n">
        <v>0.9400000000000001</v>
      </c>
      <c r="V150" s="90" t="n">
        <v>-0.31999999999999995</v>
      </c>
      <c r="W150" s="91" t="inlineStr">
        <is>
          <t/>
        </is>
      </c>
      <c r="X150" s="92" t="inlineStr">
        <is>
          <t>LP Original Commitments</t>
        </is>
      </c>
      <c r="Y150" s="93" t="inlineStr">
        <is>
          <t>2019 Y</t>
        </is>
      </c>
      <c r="Z150" s="94" t="inlineStr">
        <is>
          <t>100M - 249M</t>
        </is>
      </c>
      <c r="AA150" s="95" t="inlineStr">
        <is>
          <t>JP Morgan Asset Management</t>
        </is>
      </c>
      <c r="AB150" s="96" t="inlineStr">
        <is>
          <t>Kansas City, MO</t>
        </is>
      </c>
      <c r="AC150" s="97" t="inlineStr">
        <is>
          <t/>
        </is>
      </c>
      <c r="AD150" s="98" t="inlineStr">
        <is>
          <t>Seed Round, Early Stage VC, Later Stage VC</t>
        </is>
      </c>
      <c r="AE150" s="99" t="inlineStr">
        <is>
          <t/>
        </is>
      </c>
      <c r="AF150" s="100" t="inlineStr">
        <is>
          <t>TRS of Texas</t>
        </is>
      </c>
      <c r="AG150" s="233">
        <f>HYPERLINK("https://my.pitchbook.com?i=10071-01", "View Investor Online")</f>
      </c>
    </row>
    <row r="151">
      <c r="A151" s="36" t="inlineStr">
        <is>
          <t>13364-83F</t>
        </is>
      </c>
      <c r="B151" s="37" t="inlineStr">
        <is>
          <t>Grotech Ventures II</t>
        </is>
      </c>
      <c r="C151" s="38" t="inlineStr">
        <is>
          <t/>
        </is>
      </c>
      <c r="D151" s="39" t="inlineStr">
        <is>
          <t>Venture Capital</t>
        </is>
      </c>
      <c r="E151" s="40" t="n">
        <v>225.0</v>
      </c>
      <c r="F151" s="41" t="inlineStr">
        <is>
          <t>Arlington, VA</t>
        </is>
      </c>
      <c r="G151" s="42" t="inlineStr">
        <is>
          <t/>
        </is>
      </c>
      <c r="H151" s="43" t="n">
        <v>2011.0</v>
      </c>
      <c r="I151" s="44" t="n">
        <v>36.413019999999996</v>
      </c>
      <c r="J151" s="45" t="n">
        <v>81.929295</v>
      </c>
      <c r="K151" s="46" t="n">
        <v>10.557744439207388</v>
      </c>
      <c r="L151" s="47" t="n">
        <v>0.0</v>
      </c>
      <c r="M151" s="48" t="n">
        <v>75.32712</v>
      </c>
      <c r="N151" s="49" t="inlineStr">
        <is>
          <t/>
        </is>
      </c>
      <c r="O151" s="50" t="inlineStr">
        <is>
          <t/>
        </is>
      </c>
      <c r="P151" s="51" t="inlineStr">
        <is>
          <t/>
        </is>
      </c>
      <c r="Q151" s="52" t="n">
        <v>0.0</v>
      </c>
      <c r="R151" s="53" t="n">
        <v>-0.27</v>
      </c>
      <c r="S151" s="54" t="n">
        <v>0.92</v>
      </c>
      <c r="T151" s="55" t="n">
        <v>-0.16000000000000003</v>
      </c>
      <c r="U151" s="56" t="n">
        <v>0.92</v>
      </c>
      <c r="V151" s="57" t="n">
        <v>-0.245</v>
      </c>
      <c r="W151" s="58" t="inlineStr">
        <is>
          <t/>
        </is>
      </c>
      <c r="X151" s="59" t="inlineStr">
        <is>
          <t>LP Original Commitments</t>
        </is>
      </c>
      <c r="Y151" s="60" t="inlineStr">
        <is>
          <t>2013 Y</t>
        </is>
      </c>
      <c r="Z151" s="61" t="inlineStr">
        <is>
          <t>100M - 249M</t>
        </is>
      </c>
      <c r="AA151" s="62" t="inlineStr">
        <is>
          <t>Grotech Ventures</t>
        </is>
      </c>
      <c r="AB151" s="63" t="inlineStr">
        <is>
          <t>Arlington, VA</t>
        </is>
      </c>
      <c r="AC151" s="64" t="inlineStr">
        <is>
          <t>Software</t>
        </is>
      </c>
      <c r="AD151" s="65" t="inlineStr">
        <is>
          <t>Seed Round, Early Stage VC, Later Stage VC</t>
        </is>
      </c>
      <c r="AE151" s="66" t="inlineStr">
        <is>
          <t>United States</t>
        </is>
      </c>
      <c r="AF151" s="67" t="inlineStr">
        <is>
          <t>Allete and Affiliated Companies Master Pension Trust, Deseret Mutual Master Retirement Plan, Guardian, The Guardian Master Pension Plan Trust</t>
        </is>
      </c>
      <c r="AG151" s="232">
        <f>HYPERLINK("https://my.pitchbook.com?i=10022-14", "View Investor Online")</f>
      </c>
    </row>
    <row r="152">
      <c r="A152" s="69" t="inlineStr">
        <is>
          <t>16495-12F</t>
        </is>
      </c>
      <c r="B152" s="70" t="inlineStr">
        <is>
          <t>Storm Ventures Fund VI</t>
        </is>
      </c>
      <c r="C152" s="71" t="inlineStr">
        <is>
          <t/>
        </is>
      </c>
      <c r="D152" s="72" t="inlineStr">
        <is>
          <t>Venture Capital</t>
        </is>
      </c>
      <c r="E152" s="73" t="n">
        <v>130.38</v>
      </c>
      <c r="F152" s="74" t="inlineStr">
        <is>
          <t>Menlo Park, CA</t>
        </is>
      </c>
      <c r="G152" s="75" t="n">
        <v>1.0</v>
      </c>
      <c r="H152" s="76" t="n">
        <v>2019.0</v>
      </c>
      <c r="I152" s="77" t="n">
        <v>5.0</v>
      </c>
      <c r="J152" s="78" t="n">
        <v>6.519</v>
      </c>
      <c r="K152" s="79" t="n">
        <v>108.82384</v>
      </c>
      <c r="L152" s="80" t="n">
        <v>0.0</v>
      </c>
      <c r="M152" s="81" t="n">
        <v>5.9974799999999995</v>
      </c>
      <c r="N152" s="82" t="n">
        <v>-9.81</v>
      </c>
      <c r="O152" s="83" t="inlineStr">
        <is>
          <t/>
        </is>
      </c>
      <c r="P152" s="84" t="n">
        <v>16.08</v>
      </c>
      <c r="Q152" s="85" t="n">
        <v>0.0</v>
      </c>
      <c r="R152" s="86" t="n">
        <v>0.0</v>
      </c>
      <c r="S152" s="87" t="n">
        <v>0.92</v>
      </c>
      <c r="T152" s="88" t="n">
        <v>0.020000000000000018</v>
      </c>
      <c r="U152" s="89" t="n">
        <v>0.92</v>
      </c>
      <c r="V152" s="90" t="n">
        <v>0.010000000000000009</v>
      </c>
      <c r="W152" s="91" t="inlineStr">
        <is>
          <t/>
        </is>
      </c>
      <c r="X152" s="92" t="inlineStr">
        <is>
          <t>LP Original Commitments</t>
        </is>
      </c>
      <c r="Y152" s="93" t="inlineStr">
        <is>
          <t>2019 Y</t>
        </is>
      </c>
      <c r="Z152" s="94" t="inlineStr">
        <is>
          <t>100M - 249M</t>
        </is>
      </c>
      <c r="AA152" s="95" t="inlineStr">
        <is>
          <t>Storm Ventures</t>
        </is>
      </c>
      <c r="AB152" s="96" t="inlineStr">
        <is>
          <t>Menlo Park, CA</t>
        </is>
      </c>
      <c r="AC152" s="97" t="inlineStr">
        <is>
          <t>Software</t>
        </is>
      </c>
      <c r="AD152" s="98" t="inlineStr">
        <is>
          <t>Early Stage VC</t>
        </is>
      </c>
      <c r="AE152" s="99" t="inlineStr">
        <is>
          <t/>
        </is>
      </c>
      <c r="AF152" s="100" t="inlineStr">
        <is>
          <t>LACERA</t>
        </is>
      </c>
      <c r="AG152" s="233">
        <f>HYPERLINK("https://my.pitchbook.com?i=11307-34", "View Investor Online")</f>
      </c>
    </row>
    <row r="153">
      <c r="A153" s="36" t="inlineStr">
        <is>
          <t>16318-90F</t>
        </is>
      </c>
      <c r="B153" s="37" t="inlineStr">
        <is>
          <t>Future Planet Capital Fund I</t>
        </is>
      </c>
      <c r="C153" s="38" t="inlineStr">
        <is>
          <t/>
        </is>
      </c>
      <c r="D153" s="39" t="inlineStr">
        <is>
          <t>Venture Capital</t>
        </is>
      </c>
      <c r="E153" s="40" t="n">
        <v>200.0</v>
      </c>
      <c r="F153" s="41" t="inlineStr">
        <is>
          <t>London, United Kingdom</t>
        </is>
      </c>
      <c r="G153" s="42" t="inlineStr">
        <is>
          <t/>
        </is>
      </c>
      <c r="H153" s="43" t="n">
        <v>2018.0</v>
      </c>
      <c r="I153" s="44" t="n">
        <v>100.0</v>
      </c>
      <c r="J153" s="45" t="n">
        <v>200.0</v>
      </c>
      <c r="K153" s="46" t="n">
        <v>0.0</v>
      </c>
      <c r="L153" s="47" t="n">
        <v>0.0</v>
      </c>
      <c r="M153" s="48" t="n">
        <v>181.14598999999998</v>
      </c>
      <c r="N153" s="49" t="inlineStr">
        <is>
          <t/>
        </is>
      </c>
      <c r="O153" s="50" t="inlineStr">
        <is>
          <t/>
        </is>
      </c>
      <c r="P153" s="51" t="inlineStr">
        <is>
          <t/>
        </is>
      </c>
      <c r="Q153" s="52" t="n">
        <v>0.0</v>
      </c>
      <c r="R153" s="53" t="inlineStr">
        <is>
          <t/>
        </is>
      </c>
      <c r="S153" s="54" t="n">
        <v>0.91</v>
      </c>
      <c r="T153" s="55" t="inlineStr">
        <is>
          <t/>
        </is>
      </c>
      <c r="U153" s="56" t="n">
        <v>0.91</v>
      </c>
      <c r="V153" s="57" t="inlineStr">
        <is>
          <t/>
        </is>
      </c>
      <c r="W153" s="58" t="inlineStr">
        <is>
          <t/>
        </is>
      </c>
      <c r="X153" s="59" t="inlineStr">
        <is>
          <t>LP Original Commitments</t>
        </is>
      </c>
      <c r="Y153" s="60" t="inlineStr">
        <is>
          <t>2020 Y</t>
        </is>
      </c>
      <c r="Z153" s="61" t="inlineStr">
        <is>
          <t>100M - 249M</t>
        </is>
      </c>
      <c r="AA153" s="62" t="inlineStr">
        <is>
          <t>Future Planet Capital</t>
        </is>
      </c>
      <c r="AB153" s="63" t="inlineStr">
        <is>
          <t>London, United Kingdom</t>
        </is>
      </c>
      <c r="AC153" s="64" t="inlineStr">
        <is>
          <t/>
        </is>
      </c>
      <c r="AD153" s="65" t="inlineStr">
        <is>
          <t>Seed Round, Early Stage VC, Later Stage VC</t>
        </is>
      </c>
      <c r="AE153" s="66" t="inlineStr">
        <is>
          <t/>
        </is>
      </c>
      <c r="AF153" s="67" t="inlineStr">
        <is>
          <t>RBWM</t>
        </is>
      </c>
      <c r="AG153" s="232">
        <f>HYPERLINK("https://my.pitchbook.com?i=170583-67", "View Investor Online")</f>
      </c>
    </row>
    <row r="154">
      <c r="A154" s="69" t="inlineStr">
        <is>
          <t>16046-38F</t>
        </is>
      </c>
      <c r="B154" s="70" t="inlineStr">
        <is>
          <t>PVP Fund II</t>
        </is>
      </c>
      <c r="C154" s="71" t="inlineStr">
        <is>
          <t/>
        </is>
      </c>
      <c r="D154" s="72" t="inlineStr">
        <is>
          <t>Venture Capital - Early Stage</t>
        </is>
      </c>
      <c r="E154" s="73" t="n">
        <v>100.0</v>
      </c>
      <c r="F154" s="74" t="inlineStr">
        <is>
          <t>New York, NY</t>
        </is>
      </c>
      <c r="G154" s="75" t="inlineStr">
        <is>
          <t/>
        </is>
      </c>
      <c r="H154" s="76" t="n">
        <v>2018.0</v>
      </c>
      <c r="I154" s="77" t="n">
        <v>15.45</v>
      </c>
      <c r="J154" s="78" t="n">
        <v>15.45</v>
      </c>
      <c r="K154" s="79" t="n">
        <v>73.33333333333333</v>
      </c>
      <c r="L154" s="80" t="n">
        <v>0.0</v>
      </c>
      <c r="M154" s="81" t="n">
        <v>14.030266666666668</v>
      </c>
      <c r="N154" s="82" t="inlineStr">
        <is>
          <t/>
        </is>
      </c>
      <c r="O154" s="83" t="inlineStr">
        <is>
          <t/>
        </is>
      </c>
      <c r="P154" s="84" t="inlineStr">
        <is>
          <t/>
        </is>
      </c>
      <c r="Q154" s="85" t="n">
        <v>0.0</v>
      </c>
      <c r="R154" s="86" t="inlineStr">
        <is>
          <t/>
        </is>
      </c>
      <c r="S154" s="87" t="n">
        <v>0.91</v>
      </c>
      <c r="T154" s="88" t="inlineStr">
        <is>
          <t/>
        </is>
      </c>
      <c r="U154" s="89" t="n">
        <v>0.91</v>
      </c>
      <c r="V154" s="90" t="inlineStr">
        <is>
          <t/>
        </is>
      </c>
      <c r="W154" s="91" t="inlineStr">
        <is>
          <t/>
        </is>
      </c>
      <c r="X154" s="92" t="inlineStr">
        <is>
          <t>LP Original Commitments</t>
        </is>
      </c>
      <c r="Y154" s="93" t="inlineStr">
        <is>
          <t>2019 Y</t>
        </is>
      </c>
      <c r="Z154" s="94" t="inlineStr">
        <is>
          <t>100M - 249M</t>
        </is>
      </c>
      <c r="AA154" s="95" t="inlineStr">
        <is>
          <t>Primary Venture Partners</t>
        </is>
      </c>
      <c r="AB154" s="96" t="inlineStr">
        <is>
          <t>New York, NY</t>
        </is>
      </c>
      <c r="AC154" s="97" t="inlineStr">
        <is>
          <t>Information Technology</t>
        </is>
      </c>
      <c r="AD154" s="98" t="inlineStr">
        <is>
          <t>Seed Round, Early Stage VC</t>
        </is>
      </c>
      <c r="AE154" s="99" t="inlineStr">
        <is>
          <t>New York</t>
        </is>
      </c>
      <c r="AF154" s="100" t="inlineStr">
        <is>
          <t>NYSCRF</t>
        </is>
      </c>
      <c r="AG154" s="233">
        <f>HYPERLINK("https://my.pitchbook.com?i=11209-51", "View Investor Online")</f>
      </c>
    </row>
    <row r="155">
      <c r="A155" s="36" t="inlineStr">
        <is>
          <t>13917-25F</t>
        </is>
      </c>
      <c r="B155" s="37" t="inlineStr">
        <is>
          <t>Fountain Healthcare Partners Fund II</t>
        </is>
      </c>
      <c r="C155" s="38" t="inlineStr">
        <is>
          <t/>
        </is>
      </c>
      <c r="D155" s="39" t="inlineStr">
        <is>
          <t>Venture Capital</t>
        </is>
      </c>
      <c r="E155" s="40" t="n">
        <v>140.10765</v>
      </c>
      <c r="F155" s="41" t="inlineStr">
        <is>
          <t>Dublin, Ireland</t>
        </is>
      </c>
      <c r="G155" s="42" t="inlineStr">
        <is>
          <t/>
        </is>
      </c>
      <c r="H155" s="43" t="n">
        <v>2014.0</v>
      </c>
      <c r="I155" s="44" t="n">
        <v>77.0</v>
      </c>
      <c r="J155" s="45" t="n">
        <v>107.88289176751924</v>
      </c>
      <c r="K155" s="46" t="n">
        <v>32.2247595</v>
      </c>
      <c r="L155" s="47" t="n">
        <v>3.196630887071873</v>
      </c>
      <c r="M155" s="48" t="n">
        <v>94.33461788018482</v>
      </c>
      <c r="N155" s="49" t="inlineStr">
        <is>
          <t/>
        </is>
      </c>
      <c r="O155" s="50" t="inlineStr">
        <is>
          <t/>
        </is>
      </c>
      <c r="P155" s="51" t="inlineStr">
        <is>
          <t/>
        </is>
      </c>
      <c r="Q155" s="52" t="n">
        <v>0.03</v>
      </c>
      <c r="R155" s="53" t="inlineStr">
        <is>
          <t/>
        </is>
      </c>
      <c r="S155" s="54" t="n">
        <v>0.87</v>
      </c>
      <c r="T155" s="55" t="inlineStr">
        <is>
          <t/>
        </is>
      </c>
      <c r="U155" s="56" t="n">
        <v>0.9</v>
      </c>
      <c r="V155" s="57" t="inlineStr">
        <is>
          <t/>
        </is>
      </c>
      <c r="W155" s="58" t="inlineStr">
        <is>
          <t/>
        </is>
      </c>
      <c r="X155" s="59" t="inlineStr">
        <is>
          <t>GP Self Reporting</t>
        </is>
      </c>
      <c r="Y155" s="60" t="inlineStr">
        <is>
          <t>2019 Y</t>
        </is>
      </c>
      <c r="Z155" s="61" t="inlineStr">
        <is>
          <t>100M - 249M</t>
        </is>
      </c>
      <c r="AA155" s="62" t="inlineStr">
        <is>
          <t>Fountain Healthcare Partners</t>
        </is>
      </c>
      <c r="AB155" s="63" t="inlineStr">
        <is>
          <t>Dublin, Ireland</t>
        </is>
      </c>
      <c r="AC155" s="64" t="inlineStr">
        <is>
          <t>Healthcare Devices and Supplies, Pharmaceuticals and Biotechnology</t>
        </is>
      </c>
      <c r="AD155" s="65" t="inlineStr">
        <is>
          <t>Seed Round, Early Stage VC, Later Stage VC</t>
        </is>
      </c>
      <c r="AE155" s="66" t="inlineStr">
        <is>
          <t>Western Europe</t>
        </is>
      </c>
      <c r="AF155" s="67" t="inlineStr">
        <is>
          <t>Fountain</t>
        </is>
      </c>
      <c r="AG155" s="232">
        <f>HYPERLINK("https://my.pitchbook.com?i=14188-06", "View Investor Online")</f>
      </c>
    </row>
    <row r="156">
      <c r="A156" s="69" t="inlineStr">
        <is>
          <t>12672-10F</t>
        </is>
      </c>
      <c r="B156" s="70" t="inlineStr">
        <is>
          <t>HLM Venture Partners III</t>
        </is>
      </c>
      <c r="C156" s="71" t="inlineStr">
        <is>
          <t/>
        </is>
      </c>
      <c r="D156" s="72" t="inlineStr">
        <is>
          <t>Venture Capital</t>
        </is>
      </c>
      <c r="E156" s="73" t="n">
        <v>100.153</v>
      </c>
      <c r="F156" s="74" t="inlineStr">
        <is>
          <t>Boston, MA</t>
        </is>
      </c>
      <c r="G156" s="75" t="inlineStr">
        <is>
          <t/>
        </is>
      </c>
      <c r="H156" s="76" t="n">
        <v>2010.0</v>
      </c>
      <c r="I156" s="77" t="n">
        <v>58.45065666666667</v>
      </c>
      <c r="J156" s="78" t="n">
        <v>58.54008617136667</v>
      </c>
      <c r="K156" s="79" t="n">
        <v>0.0</v>
      </c>
      <c r="L156" s="80" t="n">
        <v>11.499997283291666</v>
      </c>
      <c r="M156" s="81" t="n">
        <v>41.08506745743334</v>
      </c>
      <c r="N156" s="82" t="inlineStr">
        <is>
          <t/>
        </is>
      </c>
      <c r="O156" s="83" t="inlineStr">
        <is>
          <t/>
        </is>
      </c>
      <c r="P156" s="84" t="inlineStr">
        <is>
          <t/>
        </is>
      </c>
      <c r="Q156" s="85" t="n">
        <v>0.195</v>
      </c>
      <c r="R156" s="86" t="inlineStr">
        <is>
          <t/>
        </is>
      </c>
      <c r="S156" s="87" t="n">
        <v>0.7</v>
      </c>
      <c r="T156" s="88" t="n">
        <v>-0.030000000000000027</v>
      </c>
      <c r="U156" s="89" t="n">
        <v>0.8999999999999999</v>
      </c>
      <c r="V156" s="90" t="inlineStr">
        <is>
          <t/>
        </is>
      </c>
      <c r="W156" s="91" t="inlineStr">
        <is>
          <t/>
        </is>
      </c>
      <c r="X156" s="92" t="inlineStr">
        <is>
          <t>LP Original Commitments</t>
        </is>
      </c>
      <c r="Y156" s="93" t="inlineStr">
        <is>
          <t>2013 Y</t>
        </is>
      </c>
      <c r="Z156" s="94" t="inlineStr">
        <is>
          <t>100M - 249M</t>
        </is>
      </c>
      <c r="AA156" s="95" t="inlineStr">
        <is>
          <t>HLM Venture Partners</t>
        </is>
      </c>
      <c r="AB156" s="96" t="inlineStr">
        <is>
          <t>Boston, MA</t>
        </is>
      </c>
      <c r="AC156" s="97" t="inlineStr">
        <is>
          <t>Healthcare Technology Systems</t>
        </is>
      </c>
      <c r="AD156" s="98" t="inlineStr">
        <is>
          <t>Later Stage VC, Early Stage VC</t>
        </is>
      </c>
      <c r="AE156" s="99" t="inlineStr">
        <is>
          <t>United States</t>
        </is>
      </c>
      <c r="AF156" s="100" t="inlineStr">
        <is>
          <t>BCBSM, MHS, Pacific Indemnity Company</t>
        </is>
      </c>
      <c r="AG156" s="233">
        <f>HYPERLINK("https://my.pitchbook.com?i=11210-32", "View Investor Online")</f>
      </c>
    </row>
    <row r="157">
      <c r="A157" s="36" t="inlineStr">
        <is>
          <t>13687-48F</t>
        </is>
      </c>
      <c r="B157" s="37" t="inlineStr">
        <is>
          <t>Sigma Prime Partners IX</t>
        </is>
      </c>
      <c r="C157" s="38" t="inlineStr">
        <is>
          <t/>
        </is>
      </c>
      <c r="D157" s="39" t="inlineStr">
        <is>
          <t>Venture Capital - Early Stage</t>
        </is>
      </c>
      <c r="E157" s="40" t="n">
        <v>125.0</v>
      </c>
      <c r="F157" s="41" t="inlineStr">
        <is>
          <t>Boston, MA</t>
        </is>
      </c>
      <c r="G157" s="42" t="inlineStr">
        <is>
          <t/>
        </is>
      </c>
      <c r="H157" s="43" t="n">
        <v>2013.0</v>
      </c>
      <c r="I157" s="44" t="n">
        <v>24.53899285714286</v>
      </c>
      <c r="J157" s="45" t="n">
        <v>30.673741071428573</v>
      </c>
      <c r="K157" s="46" t="n">
        <v>0.0</v>
      </c>
      <c r="L157" s="47" t="n">
        <v>0.0</v>
      </c>
      <c r="M157" s="48" t="n">
        <v>27.53032738095238</v>
      </c>
      <c r="N157" s="49" t="inlineStr">
        <is>
          <t/>
        </is>
      </c>
      <c r="O157" s="50" t="inlineStr">
        <is>
          <t/>
        </is>
      </c>
      <c r="P157" s="51" t="inlineStr">
        <is>
          <t/>
        </is>
      </c>
      <c r="Q157" s="52" t="n">
        <v>0.0</v>
      </c>
      <c r="R157" s="53" t="n">
        <v>-0.06476</v>
      </c>
      <c r="S157" s="54" t="n">
        <v>0.9</v>
      </c>
      <c r="T157" s="55" t="n">
        <v>-0.43899999999999995</v>
      </c>
      <c r="U157" s="56" t="n">
        <v>0.9</v>
      </c>
      <c r="V157" s="57" t="n">
        <v>-0.4899999999999999</v>
      </c>
      <c r="W157" s="58" t="inlineStr">
        <is>
          <t/>
        </is>
      </c>
      <c r="X157" s="59" t="inlineStr">
        <is>
          <t>LP Original Commitments</t>
        </is>
      </c>
      <c r="Y157" s="60" t="inlineStr">
        <is>
          <t>2013 Y</t>
        </is>
      </c>
      <c r="Z157" s="61" t="inlineStr">
        <is>
          <t>100M - 249M</t>
        </is>
      </c>
      <c r="AA157" s="62" t="inlineStr">
        <is>
          <t>Sigma Prime Ventures</t>
        </is>
      </c>
      <c r="AB157" s="63" t="inlineStr">
        <is>
          <t>Boston, MA</t>
        </is>
      </c>
      <c r="AC157" s="64" t="inlineStr">
        <is>
          <t>Software</t>
        </is>
      </c>
      <c r="AD157" s="65" t="inlineStr">
        <is>
          <t>Seed Round, Early Stage VC</t>
        </is>
      </c>
      <c r="AE157" s="66" t="inlineStr">
        <is>
          <t/>
        </is>
      </c>
      <c r="AF157" s="67" t="inlineStr">
        <is>
          <t>Industriens Pensionsforsikring, Penn Mutual, PIA, The Phoenix Companies Employee Pension Plan</t>
        </is>
      </c>
      <c r="AG157" s="232">
        <f>HYPERLINK("https://my.pitchbook.com?i=57103-39", "View Investor Online")</f>
      </c>
    </row>
    <row r="158">
      <c r="A158" s="69" t="inlineStr">
        <is>
          <t>16759-54F</t>
        </is>
      </c>
      <c r="B158" s="70" t="inlineStr">
        <is>
          <t>Vensana Capital I</t>
        </is>
      </c>
      <c r="C158" s="71" t="inlineStr">
        <is>
          <t/>
        </is>
      </c>
      <c r="D158" s="72" t="inlineStr">
        <is>
          <t>Venture Capital</t>
        </is>
      </c>
      <c r="E158" s="73" t="n">
        <v>225.0</v>
      </c>
      <c r="F158" s="74" t="inlineStr">
        <is>
          <t>Minneapolis, MN</t>
        </is>
      </c>
      <c r="G158" s="75" t="inlineStr">
        <is>
          <t/>
        </is>
      </c>
      <c r="H158" s="76" t="n">
        <v>2019.0</v>
      </c>
      <c r="I158" s="77" t="n">
        <v>6.399033333333333</v>
      </c>
      <c r="J158" s="78" t="n">
        <v>14.397825</v>
      </c>
      <c r="K158" s="79" t="n">
        <v>187.8</v>
      </c>
      <c r="L158" s="80" t="n">
        <v>0.0</v>
      </c>
      <c r="M158" s="81" t="n">
        <v>12.926475000000002</v>
      </c>
      <c r="N158" s="82" t="inlineStr">
        <is>
          <t/>
        </is>
      </c>
      <c r="O158" s="83" t="inlineStr">
        <is>
          <t/>
        </is>
      </c>
      <c r="P158" s="84" t="inlineStr">
        <is>
          <t/>
        </is>
      </c>
      <c r="Q158" s="85" t="n">
        <v>0.0</v>
      </c>
      <c r="R158" s="86" t="n">
        <v>0.0</v>
      </c>
      <c r="S158" s="87" t="n">
        <v>0.9</v>
      </c>
      <c r="T158" s="88" t="n">
        <v>0.0</v>
      </c>
      <c r="U158" s="89" t="n">
        <v>0.9</v>
      </c>
      <c r="V158" s="90" t="n">
        <v>-0.010000000000000009</v>
      </c>
      <c r="W158" s="91" t="inlineStr">
        <is>
          <t/>
        </is>
      </c>
      <c r="X158" s="92" t="inlineStr">
        <is>
          <t>LP Original Commitments</t>
        </is>
      </c>
      <c r="Y158" s="93" t="inlineStr">
        <is>
          <t>2019 Y</t>
        </is>
      </c>
      <c r="Z158" s="94" t="inlineStr">
        <is>
          <t>100M - 249M</t>
        </is>
      </c>
      <c r="AA158" s="95" t="inlineStr">
        <is>
          <t>Vensana Capital</t>
        </is>
      </c>
      <c r="AB158" s="96" t="inlineStr">
        <is>
          <t>Minneapolis, MN</t>
        </is>
      </c>
      <c r="AC158" s="97" t="inlineStr">
        <is>
          <t>Healthcare Technology Systems, Healthcare Devices and Supplies</t>
        </is>
      </c>
      <c r="AD158" s="98" t="inlineStr">
        <is>
          <t>Seed Round, Early Stage VC, Later Stage VC</t>
        </is>
      </c>
      <c r="AE158" s="99" t="inlineStr">
        <is>
          <t/>
        </is>
      </c>
      <c r="AF158" s="100" t="inlineStr">
        <is>
          <t>SDCERS</t>
        </is>
      </c>
      <c r="AG158" s="233">
        <f>HYPERLINK("https://my.pitchbook.com?i=267678-91", "View Investor Online")</f>
      </c>
    </row>
    <row r="159">
      <c r="A159" s="36" t="inlineStr">
        <is>
          <t>15752-89F</t>
        </is>
      </c>
      <c r="B159" s="37" t="inlineStr">
        <is>
          <t>DEFY Partners I</t>
        </is>
      </c>
      <c r="C159" s="38" t="inlineStr">
        <is>
          <t/>
        </is>
      </c>
      <c r="D159" s="39" t="inlineStr">
        <is>
          <t>Venture Capital</t>
        </is>
      </c>
      <c r="E159" s="40" t="n">
        <v>151.0</v>
      </c>
      <c r="F159" s="41" t="inlineStr">
        <is>
          <t>Woodside, CA</t>
        </is>
      </c>
      <c r="G159" s="42" t="n">
        <v>4.0</v>
      </c>
      <c r="H159" s="43" t="n">
        <v>2017.0</v>
      </c>
      <c r="I159" s="44" t="n">
        <v>59.0</v>
      </c>
      <c r="J159" s="45" t="n">
        <v>89.09</v>
      </c>
      <c r="K159" s="46" t="n">
        <v>49.037830769230766</v>
      </c>
      <c r="L159" s="47" t="n">
        <v>0.0</v>
      </c>
      <c r="M159" s="48" t="n">
        <v>78.61328780000001</v>
      </c>
      <c r="N159" s="49" t="n">
        <v>-10.2</v>
      </c>
      <c r="O159" s="50" t="inlineStr">
        <is>
          <t/>
        </is>
      </c>
      <c r="P159" s="51" t="n">
        <v>-24.0</v>
      </c>
      <c r="Q159" s="52" t="n">
        <v>0.0</v>
      </c>
      <c r="R159" s="53" t="n">
        <v>-0.01</v>
      </c>
      <c r="S159" s="54" t="n">
        <v>0.88</v>
      </c>
      <c r="T159" s="55" t="n">
        <v>-0.3350000000000001</v>
      </c>
      <c r="U159" s="56" t="n">
        <v>0.88</v>
      </c>
      <c r="V159" s="57" t="n">
        <v>-0.62</v>
      </c>
      <c r="W159" s="58" t="inlineStr">
        <is>
          <t/>
        </is>
      </c>
      <c r="X159" s="59" t="inlineStr">
        <is>
          <t>LP Original Commitments</t>
        </is>
      </c>
      <c r="Y159" s="60" t="inlineStr">
        <is>
          <t>2019 Y</t>
        </is>
      </c>
      <c r="Z159" s="61" t="inlineStr">
        <is>
          <t>100M - 249M</t>
        </is>
      </c>
      <c r="AA159" s="62" t="inlineStr">
        <is>
          <t>Defy</t>
        </is>
      </c>
      <c r="AB159" s="63" t="inlineStr">
        <is>
          <t>Woodside, CA</t>
        </is>
      </c>
      <c r="AC159" s="64" t="inlineStr">
        <is>
          <t>Software</t>
        </is>
      </c>
      <c r="AD159" s="65" t="inlineStr">
        <is>
          <t>Seed Round, Early Stage VC, Later Stage VC</t>
        </is>
      </c>
      <c r="AE159" s="66" t="inlineStr">
        <is>
          <t/>
        </is>
      </c>
      <c r="AF159" s="67" t="inlineStr">
        <is>
          <t>LACERS, PSRS/PEERS</t>
        </is>
      </c>
      <c r="AG159" s="232">
        <f>HYPERLINK("https://my.pitchbook.com?i=161595-82", "View Investor Online")</f>
      </c>
    </row>
    <row r="160">
      <c r="A160" s="69" t="inlineStr">
        <is>
          <t>15143-77F</t>
        </is>
      </c>
      <c r="B160" s="70" t="inlineStr">
        <is>
          <t>Foundry Venture Capital 2016</t>
        </is>
      </c>
      <c r="C160" s="71" t="inlineStr">
        <is>
          <t/>
        </is>
      </c>
      <c r="D160" s="72" t="inlineStr">
        <is>
          <t>Venture Capital - Early Stage</t>
        </is>
      </c>
      <c r="E160" s="73" t="n">
        <v>225.0</v>
      </c>
      <c r="F160" s="74" t="inlineStr">
        <is>
          <t>Boulder, CO</t>
        </is>
      </c>
      <c r="G160" s="75" t="n">
        <v>4.0</v>
      </c>
      <c r="H160" s="76" t="n">
        <v>2015.0</v>
      </c>
      <c r="I160" s="77" t="n">
        <v>93.75000002222222</v>
      </c>
      <c r="J160" s="78" t="n">
        <v>210.93750005</v>
      </c>
      <c r="K160" s="79" t="n">
        <v>14.06249995</v>
      </c>
      <c r="L160" s="80" t="n">
        <v>0.0</v>
      </c>
      <c r="M160" s="81" t="n">
        <v>186.50668000000002</v>
      </c>
      <c r="N160" s="82" t="n">
        <v>-5.39</v>
      </c>
      <c r="O160" s="83" t="inlineStr">
        <is>
          <t/>
        </is>
      </c>
      <c r="P160" s="84" t="n">
        <v>-12.39</v>
      </c>
      <c r="Q160" s="85" t="n">
        <v>0.0</v>
      </c>
      <c r="R160" s="86" t="n">
        <v>0.0</v>
      </c>
      <c r="S160" s="87" t="n">
        <v>0.88</v>
      </c>
      <c r="T160" s="88" t="n">
        <v>-0.2400000000000001</v>
      </c>
      <c r="U160" s="89" t="n">
        <v>0.88</v>
      </c>
      <c r="V160" s="90" t="n">
        <v>-0.2400000000000001</v>
      </c>
      <c r="W160" s="91" t="inlineStr">
        <is>
          <t/>
        </is>
      </c>
      <c r="X160" s="92" t="inlineStr">
        <is>
          <t>LP Original Commitments</t>
        </is>
      </c>
      <c r="Y160" s="93" t="inlineStr">
        <is>
          <t>2019 Y</t>
        </is>
      </c>
      <c r="Z160" s="94" t="inlineStr">
        <is>
          <t>100M - 249M</t>
        </is>
      </c>
      <c r="AA160" s="95" t="inlineStr">
        <is>
          <t>Foundry Group</t>
        </is>
      </c>
      <c r="AB160" s="96" t="inlineStr">
        <is>
          <t>Boulder, CO</t>
        </is>
      </c>
      <c r="AC160" s="97" t="inlineStr">
        <is>
          <t>Software</t>
        </is>
      </c>
      <c r="AD160" s="98" t="inlineStr">
        <is>
          <t>Seed Round, Early Stage VC</t>
        </is>
      </c>
      <c r="AE160" s="99" t="inlineStr">
        <is>
          <t>United States</t>
        </is>
      </c>
      <c r="AF160" s="100" t="inlineStr">
        <is>
          <t>UTIMCO</t>
        </is>
      </c>
      <c r="AG160" s="233">
        <f>HYPERLINK("https://my.pitchbook.com?i=42240-79", "View Investor Online")</f>
      </c>
    </row>
    <row r="161">
      <c r="A161" s="36" t="inlineStr">
        <is>
          <t>16019-02F</t>
        </is>
      </c>
      <c r="B161" s="37" t="inlineStr">
        <is>
          <t>F/I Venture</t>
        </is>
      </c>
      <c r="C161" s="38" t="inlineStr">
        <is>
          <t>Breega Capital Venture II</t>
        </is>
      </c>
      <c r="D161" s="39" t="inlineStr">
        <is>
          <t>Venture Capital</t>
        </is>
      </c>
      <c r="E161" s="40" t="n">
        <v>118.58935</v>
      </c>
      <c r="F161" s="41" t="inlineStr">
        <is>
          <t>Paris, France</t>
        </is>
      </c>
      <c r="G161" s="42" t="inlineStr">
        <is>
          <t/>
        </is>
      </c>
      <c r="H161" s="43" t="n">
        <v>2017.0</v>
      </c>
      <c r="I161" s="44" t="n">
        <v>12.5</v>
      </c>
      <c r="J161" s="45" t="n">
        <v>14.823668928648738</v>
      </c>
      <c r="K161" s="46" t="n">
        <v>23.40700471359223</v>
      </c>
      <c r="L161" s="47" t="n">
        <v>0.0</v>
      </c>
      <c r="M161" s="48" t="n">
        <v>12.689060602923318</v>
      </c>
      <c r="N161" s="49" t="inlineStr">
        <is>
          <t/>
        </is>
      </c>
      <c r="O161" s="50" t="inlineStr">
        <is>
          <t/>
        </is>
      </c>
      <c r="P161" s="51" t="inlineStr">
        <is>
          <t/>
        </is>
      </c>
      <c r="Q161" s="52" t="n">
        <v>0.0</v>
      </c>
      <c r="R161" s="53" t="inlineStr">
        <is>
          <t/>
        </is>
      </c>
      <c r="S161" s="54" t="n">
        <v>0.856</v>
      </c>
      <c r="T161" s="55" t="n">
        <v>-0.21226</v>
      </c>
      <c r="U161" s="56" t="n">
        <v>0.86</v>
      </c>
      <c r="V161" s="57" t="inlineStr">
        <is>
          <t/>
        </is>
      </c>
      <c r="W161" s="58" t="inlineStr">
        <is>
          <t/>
        </is>
      </c>
      <c r="X161" s="59" t="inlineStr">
        <is>
          <t>GP Self Reporting</t>
        </is>
      </c>
      <c r="Y161" s="60" t="inlineStr">
        <is>
          <t>2017 Y</t>
        </is>
      </c>
      <c r="Z161" s="61" t="inlineStr">
        <is>
          <t>100M - 249M</t>
        </is>
      </c>
      <c r="AA161" s="62" t="inlineStr">
        <is>
          <t>Breega Capital</t>
        </is>
      </c>
      <c r="AB161" s="63" t="inlineStr">
        <is>
          <t>Paris, France</t>
        </is>
      </c>
      <c r="AC161" s="64" t="inlineStr">
        <is>
          <t>Software</t>
        </is>
      </c>
      <c r="AD161" s="65" t="inlineStr">
        <is>
          <t>Seed Round, Early Stage VC</t>
        </is>
      </c>
      <c r="AE161" s="66" t="inlineStr">
        <is>
          <t>France</t>
        </is>
      </c>
      <c r="AF161" s="67" t="inlineStr">
        <is>
          <t>Breega</t>
        </is>
      </c>
      <c r="AG161" s="232">
        <f>HYPERLINK("https://my.pitchbook.com?i=62981-92", "View Investor Online")</f>
      </c>
    </row>
    <row r="162">
      <c r="A162" s="69" t="inlineStr">
        <is>
          <t>15684-31F</t>
        </is>
      </c>
      <c r="B162" s="70" t="inlineStr">
        <is>
          <t>Bow Capital Fund I</t>
        </is>
      </c>
      <c r="C162" s="71" t="inlineStr">
        <is>
          <t>VR VENTURES FUND I, LP, BOW VENTURES FUND I, LP</t>
        </is>
      </c>
      <c r="D162" s="72" t="inlineStr">
        <is>
          <t>Venture Capital</t>
        </is>
      </c>
      <c r="E162" s="73" t="n">
        <v>100.0</v>
      </c>
      <c r="F162" s="74" t="inlineStr">
        <is>
          <t>San Francisco, CA</t>
        </is>
      </c>
      <c r="G162" s="75" t="n">
        <v>4.0</v>
      </c>
      <c r="H162" s="76" t="n">
        <v>2017.0</v>
      </c>
      <c r="I162" s="77" t="n">
        <v>38.1159068</v>
      </c>
      <c r="J162" s="78" t="n">
        <v>38.1159068</v>
      </c>
      <c r="K162" s="79" t="n">
        <v>32.47538461538461</v>
      </c>
      <c r="L162" s="80" t="n">
        <v>0.0279972</v>
      </c>
      <c r="M162" s="81" t="n">
        <v>32.3447284</v>
      </c>
      <c r="N162" s="82" t="n">
        <v>-12.9</v>
      </c>
      <c r="O162" s="83" t="inlineStr">
        <is>
          <t/>
        </is>
      </c>
      <c r="P162" s="84" t="n">
        <v>-26.700000000000003</v>
      </c>
      <c r="Q162" s="85" t="n">
        <v>0.0</v>
      </c>
      <c r="R162" s="86" t="n">
        <v>-0.01</v>
      </c>
      <c r="S162" s="87" t="n">
        <v>0.85</v>
      </c>
      <c r="T162" s="88" t="n">
        <v>-0.3650000000000001</v>
      </c>
      <c r="U162" s="89" t="n">
        <v>0.85</v>
      </c>
      <c r="V162" s="90" t="n">
        <v>-0.65</v>
      </c>
      <c r="W162" s="91" t="inlineStr">
        <is>
          <t/>
        </is>
      </c>
      <c r="X162" s="92" t="inlineStr">
        <is>
          <t>LP Original Commitments</t>
        </is>
      </c>
      <c r="Y162" s="93" t="inlineStr">
        <is>
          <t>2019 Y</t>
        </is>
      </c>
      <c r="Z162" s="94" t="inlineStr">
        <is>
          <t>100M - 249M</t>
        </is>
      </c>
      <c r="AA162" s="95" t="inlineStr">
        <is>
          <t>Bow Capital</t>
        </is>
      </c>
      <c r="AB162" s="96" t="inlineStr">
        <is>
          <t>Menlo Park, CA</t>
        </is>
      </c>
      <c r="AC162" s="97" t="inlineStr">
        <is>
          <t/>
        </is>
      </c>
      <c r="AD162" s="98" t="inlineStr">
        <is>
          <t>Seed Round, Early Stage VC, Later Stage VC</t>
        </is>
      </c>
      <c r="AE162" s="99" t="inlineStr">
        <is>
          <t/>
        </is>
      </c>
      <c r="AF162" s="100" t="inlineStr">
        <is>
          <t>UC Regents</t>
        </is>
      </c>
      <c r="AG162" s="233">
        <f>HYPERLINK("https://my.pitchbook.com?i=170365-78", "View Investor Online")</f>
      </c>
    </row>
    <row r="163">
      <c r="A163" s="36" t="inlineStr">
        <is>
          <t>12841-66F</t>
        </is>
      </c>
      <c r="B163" s="37" t="inlineStr">
        <is>
          <t>Mercato Partners Growth II</t>
        </is>
      </c>
      <c r="C163" s="38" t="inlineStr">
        <is>
          <t/>
        </is>
      </c>
      <c r="D163" s="39" t="inlineStr">
        <is>
          <t>Venture Capital</t>
        </is>
      </c>
      <c r="E163" s="40" t="n">
        <v>122.0</v>
      </c>
      <c r="F163" s="41" t="inlineStr">
        <is>
          <t>Cottonwood Heights, UT</t>
        </is>
      </c>
      <c r="G163" s="42" t="inlineStr">
        <is>
          <t/>
        </is>
      </c>
      <c r="H163" s="43" t="n">
        <v>2012.0</v>
      </c>
      <c r="I163" s="44" t="n">
        <v>36.5</v>
      </c>
      <c r="J163" s="45" t="n">
        <v>44.53</v>
      </c>
      <c r="K163" s="46" t="n">
        <v>10.571568399999999</v>
      </c>
      <c r="L163" s="47" t="n">
        <v>0.0</v>
      </c>
      <c r="M163" s="48" t="n">
        <v>37.775193466666664</v>
      </c>
      <c r="N163" s="49" t="inlineStr">
        <is>
          <t/>
        </is>
      </c>
      <c r="O163" s="50" t="inlineStr">
        <is>
          <t/>
        </is>
      </c>
      <c r="P163" s="51" t="inlineStr">
        <is>
          <t/>
        </is>
      </c>
      <c r="Q163" s="52" t="n">
        <v>0.0</v>
      </c>
      <c r="R163" s="53" t="n">
        <v>-0.115</v>
      </c>
      <c r="S163" s="54" t="n">
        <v>0.85</v>
      </c>
      <c r="T163" s="55" t="n">
        <v>-0.02949999999999997</v>
      </c>
      <c r="U163" s="56" t="n">
        <v>0.85</v>
      </c>
      <c r="V163" s="57" t="n">
        <v>-0.08999999999999997</v>
      </c>
      <c r="W163" s="58" t="inlineStr">
        <is>
          <t/>
        </is>
      </c>
      <c r="X163" s="59" t="inlineStr">
        <is>
          <t>LP Original Commitments</t>
        </is>
      </c>
      <c r="Y163" s="60" t="inlineStr">
        <is>
          <t>2013 Y</t>
        </is>
      </c>
      <c r="Z163" s="61" t="inlineStr">
        <is>
          <t>100M - 249M</t>
        </is>
      </c>
      <c r="AA163" s="62" t="inlineStr">
        <is>
          <t>Mercato Partners</t>
        </is>
      </c>
      <c r="AB163" s="63" t="inlineStr">
        <is>
          <t>Cottonwood Heights, UT</t>
        </is>
      </c>
      <c r="AC163" s="64" t="inlineStr">
        <is>
          <t>Software</t>
        </is>
      </c>
      <c r="AD163" s="65" t="inlineStr">
        <is>
          <t>Seed Round, Early Stage VC, Later Stage VC</t>
        </is>
      </c>
      <c r="AE163" s="66" t="inlineStr">
        <is>
          <t/>
        </is>
      </c>
      <c r="AF163" s="67" t="inlineStr">
        <is>
          <t>American Family Mutual Insurance Company, Deseret Mutual Master Retirement Plan, SBC Master Pension Trust, WCF Insurance</t>
        </is>
      </c>
      <c r="AG163" s="232">
        <f>HYPERLINK("https://my.pitchbook.com?i=42508-00", "View Investor Online")</f>
      </c>
    </row>
    <row r="164">
      <c r="A164" s="69" t="inlineStr">
        <is>
          <t>16521-85F</t>
        </is>
      </c>
      <c r="B164" s="70" t="inlineStr">
        <is>
          <t>USV 2019</t>
        </is>
      </c>
      <c r="C164" s="71" t="inlineStr">
        <is>
          <t/>
        </is>
      </c>
      <c r="D164" s="72" t="inlineStr">
        <is>
          <t>Venture Capital - Early Stage</t>
        </is>
      </c>
      <c r="E164" s="73" t="n">
        <v>200.0</v>
      </c>
      <c r="F164" s="74" t="inlineStr">
        <is>
          <t>New York, NY</t>
        </is>
      </c>
      <c r="G164" s="75" t="inlineStr">
        <is>
          <t/>
        </is>
      </c>
      <c r="H164" s="76" t="n">
        <v>2018.0</v>
      </c>
      <c r="I164" s="77" t="n">
        <v>26.666666666666668</v>
      </c>
      <c r="J164" s="78" t="n">
        <v>53.333333333333336</v>
      </c>
      <c r="K164" s="79" t="n">
        <v>146.66666666666666</v>
      </c>
      <c r="L164" s="80" t="n">
        <v>0.0</v>
      </c>
      <c r="M164" s="81" t="n">
        <v>45.333333333333336</v>
      </c>
      <c r="N164" s="82" t="inlineStr">
        <is>
          <t/>
        </is>
      </c>
      <c r="O164" s="83" t="inlineStr">
        <is>
          <t/>
        </is>
      </c>
      <c r="P164" s="84" t="inlineStr">
        <is>
          <t/>
        </is>
      </c>
      <c r="Q164" s="85" t="n">
        <v>0.0</v>
      </c>
      <c r="R164" s="86" t="inlineStr">
        <is>
          <t/>
        </is>
      </c>
      <c r="S164" s="87" t="n">
        <v>0.85</v>
      </c>
      <c r="T164" s="88" t="inlineStr">
        <is>
          <t/>
        </is>
      </c>
      <c r="U164" s="89" t="n">
        <v>0.85</v>
      </c>
      <c r="V164" s="90" t="inlineStr">
        <is>
          <t/>
        </is>
      </c>
      <c r="W164" s="91" t="inlineStr">
        <is>
          <t/>
        </is>
      </c>
      <c r="X164" s="92" t="inlineStr">
        <is>
          <t>LP Original Commitments</t>
        </is>
      </c>
      <c r="Y164" s="93" t="inlineStr">
        <is>
          <t>2020 Y</t>
        </is>
      </c>
      <c r="Z164" s="94" t="inlineStr">
        <is>
          <t>100M - 249M</t>
        </is>
      </c>
      <c r="AA164" s="95" t="inlineStr">
        <is>
          <t>Union Square Ventures</t>
        </is>
      </c>
      <c r="AB164" s="96" t="inlineStr">
        <is>
          <t>New York, NY</t>
        </is>
      </c>
      <c r="AC164" s="97" t="inlineStr">
        <is>
          <t>Software</t>
        </is>
      </c>
      <c r="AD164" s="98" t="inlineStr">
        <is>
          <t>Early Stage VC</t>
        </is>
      </c>
      <c r="AE164" s="99" t="inlineStr">
        <is>
          <t/>
        </is>
      </c>
      <c r="AF164" s="100" t="inlineStr">
        <is>
          <t>PERS</t>
        </is>
      </c>
      <c r="AG164" s="233">
        <f>HYPERLINK("https://my.pitchbook.com?i=11323-45", "View Investor Online")</f>
      </c>
    </row>
    <row r="165">
      <c r="A165" s="36" t="inlineStr">
        <is>
          <t>16623-37F</t>
        </is>
      </c>
      <c r="B165" s="37" t="inlineStr">
        <is>
          <t>Fountain Healthcare Partners Fund III</t>
        </is>
      </c>
      <c r="C165" s="38" t="inlineStr">
        <is>
          <t/>
        </is>
      </c>
      <c r="D165" s="39" t="inlineStr">
        <is>
          <t>Venture Capital</t>
        </is>
      </c>
      <c r="E165" s="40" t="n">
        <v>131.95464</v>
      </c>
      <c r="F165" s="41" t="inlineStr">
        <is>
          <t>Dublin, Ireland</t>
        </is>
      </c>
      <c r="G165" s="42" t="inlineStr">
        <is>
          <t/>
        </is>
      </c>
      <c r="H165" s="43" t="n">
        <v>2019.0</v>
      </c>
      <c r="I165" s="44" t="n">
        <v>4.991525423728813</v>
      </c>
      <c r="J165" s="45" t="n">
        <v>6.5865495724520455</v>
      </c>
      <c r="K165" s="46" t="n">
        <v>120.42113652264248</v>
      </c>
      <c r="L165" s="47" t="n">
        <v>0.0</v>
      </c>
      <c r="M165" s="48" t="n">
        <v>5.501837673423441</v>
      </c>
      <c r="N165" s="49" t="inlineStr">
        <is>
          <t/>
        </is>
      </c>
      <c r="O165" s="50" t="inlineStr">
        <is>
          <t/>
        </is>
      </c>
      <c r="P165" s="51" t="inlineStr">
        <is>
          <t/>
        </is>
      </c>
      <c r="Q165" s="52" t="n">
        <v>0.0</v>
      </c>
      <c r="R165" s="53" t="n">
        <v>0.0</v>
      </c>
      <c r="S165" s="54" t="n">
        <v>0.84</v>
      </c>
      <c r="T165" s="55" t="n">
        <v>-0.07500000000000007</v>
      </c>
      <c r="U165" s="56" t="n">
        <v>0.84</v>
      </c>
      <c r="V165" s="57" t="n">
        <v>-0.07500000000000007</v>
      </c>
      <c r="W165" s="58" t="inlineStr">
        <is>
          <t/>
        </is>
      </c>
      <c r="X165" s="59" t="inlineStr">
        <is>
          <t>GP Self Reporting</t>
        </is>
      </c>
      <c r="Y165" s="60" t="inlineStr">
        <is>
          <t>2019 Y</t>
        </is>
      </c>
      <c r="Z165" s="61" t="inlineStr">
        <is>
          <t>100M - 249M</t>
        </is>
      </c>
      <c r="AA165" s="62" t="inlineStr">
        <is>
          <t>Fountain Healthcare Partners</t>
        </is>
      </c>
      <c r="AB165" s="63" t="inlineStr">
        <is>
          <t>Dublin, Ireland</t>
        </is>
      </c>
      <c r="AC165" s="64" t="inlineStr">
        <is>
          <t>Healthcare Devices and Supplies</t>
        </is>
      </c>
      <c r="AD165" s="65" t="inlineStr">
        <is>
          <t>Later Stage VC, Early Stage VC, Seed Round</t>
        </is>
      </c>
      <c r="AE165" s="66" t="inlineStr">
        <is>
          <t>Europe, United States</t>
        </is>
      </c>
      <c r="AF165" s="67" t="inlineStr">
        <is>
          <t>Fountain</t>
        </is>
      </c>
      <c r="AG165" s="232">
        <f>HYPERLINK("https://my.pitchbook.com?i=14188-06", "View Investor Online")</f>
      </c>
    </row>
    <row r="166">
      <c r="A166" s="69" t="inlineStr">
        <is>
          <t>13360-42F</t>
        </is>
      </c>
      <c r="B166" s="70" t="inlineStr">
        <is>
          <t>GRP IV</t>
        </is>
      </c>
      <c r="C166" s="71" t="inlineStr">
        <is>
          <t/>
        </is>
      </c>
      <c r="D166" s="72" t="inlineStr">
        <is>
          <t>Venture Capital</t>
        </is>
      </c>
      <c r="E166" s="73" t="n">
        <v>200.0</v>
      </c>
      <c r="F166" s="74" t="inlineStr">
        <is>
          <t>Santa Monica, CA</t>
        </is>
      </c>
      <c r="G166" s="75" t="inlineStr">
        <is>
          <t/>
        </is>
      </c>
      <c r="H166" s="76" t="n">
        <v>2012.0</v>
      </c>
      <c r="I166" s="77" t="n">
        <v>31.104508333333335</v>
      </c>
      <c r="J166" s="78" t="n">
        <v>62.20901666666667</v>
      </c>
      <c r="K166" s="79" t="n">
        <v>17.33044</v>
      </c>
      <c r="L166" s="80" t="n">
        <v>8.010416666666666</v>
      </c>
      <c r="M166" s="81" t="n">
        <v>43.948266666666676</v>
      </c>
      <c r="N166" s="82" t="inlineStr">
        <is>
          <t/>
        </is>
      </c>
      <c r="O166" s="83" t="inlineStr">
        <is>
          <t/>
        </is>
      </c>
      <c r="P166" s="84" t="inlineStr">
        <is>
          <t/>
        </is>
      </c>
      <c r="Q166" s="85" t="n">
        <v>0.13</v>
      </c>
      <c r="R166" s="86" t="n">
        <v>0.015</v>
      </c>
      <c r="S166" s="87" t="n">
        <v>0.71</v>
      </c>
      <c r="T166" s="88" t="n">
        <v>-0.16949999999999998</v>
      </c>
      <c r="U166" s="89" t="n">
        <v>0.84</v>
      </c>
      <c r="V166" s="90" t="n">
        <v>-0.09999999999999998</v>
      </c>
      <c r="W166" s="91" t="inlineStr">
        <is>
          <t/>
        </is>
      </c>
      <c r="X166" s="92" t="inlineStr">
        <is>
          <t>LP Original Commitments</t>
        </is>
      </c>
      <c r="Y166" s="93" t="inlineStr">
        <is>
          <t>2013 Y</t>
        </is>
      </c>
      <c r="Z166" s="94" t="inlineStr">
        <is>
          <t>100M - 249M</t>
        </is>
      </c>
      <c r="AA166" s="95" t="inlineStr">
        <is>
          <t>Upfront Ventures</t>
        </is>
      </c>
      <c r="AB166" s="96" t="inlineStr">
        <is>
          <t>Santa Monica, CA</t>
        </is>
      </c>
      <c r="AC166" s="97" t="inlineStr">
        <is>
          <t>Software</t>
        </is>
      </c>
      <c r="AD166" s="98" t="inlineStr">
        <is>
          <t>Early Stage VC</t>
        </is>
      </c>
      <c r="AE166" s="99" t="inlineStr">
        <is>
          <t>United States</t>
        </is>
      </c>
      <c r="AF166" s="100" t="inlineStr">
        <is>
          <t>Hartford Fire Insurance Company, Hartford Life and Accident Insurance Company, Penn Mutual, Talcott Resolution</t>
        </is>
      </c>
      <c r="AG166" s="233">
        <f>HYPERLINK("https://my.pitchbook.com?i=11201-59", "View Investor Online")</f>
      </c>
    </row>
    <row r="167">
      <c r="A167" s="36" t="inlineStr">
        <is>
          <t>15773-14F</t>
        </is>
      </c>
      <c r="B167" s="37" t="inlineStr">
        <is>
          <t>The Engine Accelerator Fund I</t>
        </is>
      </c>
      <c r="C167" s="38" t="inlineStr">
        <is>
          <t/>
        </is>
      </c>
      <c r="D167" s="39" t="inlineStr">
        <is>
          <t>Venture Capital</t>
        </is>
      </c>
      <c r="E167" s="40" t="n">
        <v>205.0</v>
      </c>
      <c r="F167" s="41" t="inlineStr">
        <is>
          <t>Cambridge, MA</t>
        </is>
      </c>
      <c r="G167" s="42" t="inlineStr">
        <is>
          <t/>
        </is>
      </c>
      <c r="H167" s="43" t="n">
        <v>2016.0</v>
      </c>
      <c r="I167" s="44" t="n">
        <v>28.0</v>
      </c>
      <c r="J167" s="45" t="n">
        <v>57.4</v>
      </c>
      <c r="K167" s="46" t="n">
        <v>65.01540560000001</v>
      </c>
      <c r="L167" s="47" t="n">
        <v>0.0</v>
      </c>
      <c r="M167" s="48" t="n">
        <v>47.573448</v>
      </c>
      <c r="N167" s="49" t="inlineStr">
        <is>
          <t/>
        </is>
      </c>
      <c r="O167" s="50" t="inlineStr">
        <is>
          <t/>
        </is>
      </c>
      <c r="P167" s="51" t="inlineStr">
        <is>
          <t/>
        </is>
      </c>
      <c r="Q167" s="52" t="n">
        <v>0.0</v>
      </c>
      <c r="R167" s="53" t="n">
        <v>-0.02852</v>
      </c>
      <c r="S167" s="54" t="n">
        <v>0.83</v>
      </c>
      <c r="T167" s="55" t="n">
        <v>-0.28500000000000003</v>
      </c>
      <c r="U167" s="56" t="n">
        <v>0.83</v>
      </c>
      <c r="V167" s="57" t="n">
        <v>-0.43000000000000005</v>
      </c>
      <c r="W167" s="58" t="inlineStr">
        <is>
          <t/>
        </is>
      </c>
      <c r="X167" s="59" t="inlineStr">
        <is>
          <t>LP Original Commitments</t>
        </is>
      </c>
      <c r="Y167" s="60" t="inlineStr">
        <is>
          <t>2019 Y</t>
        </is>
      </c>
      <c r="Z167" s="61" t="inlineStr">
        <is>
          <t>100M - 249M</t>
        </is>
      </c>
      <c r="AA167" s="62" t="inlineStr">
        <is>
          <t>The Engine</t>
        </is>
      </c>
      <c r="AB167" s="63" t="inlineStr">
        <is>
          <t>Cambridge, MA</t>
        </is>
      </c>
      <c r="AC167" s="64" t="inlineStr">
        <is>
          <t>Aerospace and Defense, Energy, Healthcare Devices and Supplies, Information Technology, Biotechnology</t>
        </is>
      </c>
      <c r="AD167" s="65" t="inlineStr">
        <is>
          <t>Early Stage VC</t>
        </is>
      </c>
      <c r="AE167" s="66" t="inlineStr">
        <is>
          <t/>
        </is>
      </c>
      <c r="AF167" s="67" t="inlineStr">
        <is>
          <t>UC Regents</t>
        </is>
      </c>
      <c r="AG167" s="232">
        <f>HYPERLINK("https://my.pitchbook.com?i=167652-55", "View Investor Online")</f>
      </c>
    </row>
    <row r="168">
      <c r="A168" s="69" t="inlineStr">
        <is>
          <t>12626-29F</t>
        </is>
      </c>
      <c r="B168" s="70" t="inlineStr">
        <is>
          <t>NGEN Partners Fund III</t>
        </is>
      </c>
      <c r="C168" s="71" t="inlineStr">
        <is>
          <t/>
        </is>
      </c>
      <c r="D168" s="72" t="inlineStr">
        <is>
          <t>Venture Capital</t>
        </is>
      </c>
      <c r="E168" s="73" t="n">
        <v>250.0</v>
      </c>
      <c r="F168" s="74" t="inlineStr">
        <is>
          <t>New York, NY</t>
        </is>
      </c>
      <c r="G168" s="75" t="n">
        <v>4.0</v>
      </c>
      <c r="H168" s="76" t="n">
        <v>2009.0</v>
      </c>
      <c r="I168" s="77" t="n">
        <v>100.0</v>
      </c>
      <c r="J168" s="78" t="n">
        <v>274.53575</v>
      </c>
      <c r="K168" s="79" t="n">
        <v>0.0</v>
      </c>
      <c r="L168" s="80" t="n">
        <v>63.52615000000001</v>
      </c>
      <c r="M168" s="81" t="n">
        <v>158.22525000000002</v>
      </c>
      <c r="N168" s="82" t="n">
        <v>-3.4</v>
      </c>
      <c r="O168" s="83" t="inlineStr">
        <is>
          <t/>
        </is>
      </c>
      <c r="P168" s="84" t="n">
        <v>-14.8</v>
      </c>
      <c r="Q168" s="85" t="n">
        <v>0.23</v>
      </c>
      <c r="R168" s="86" t="n">
        <v>-0.72</v>
      </c>
      <c r="S168" s="87" t="n">
        <v>0.58</v>
      </c>
      <c r="T168" s="88" t="n">
        <v>-0.30000000000000004</v>
      </c>
      <c r="U168" s="89" t="n">
        <v>0.8099999999999999</v>
      </c>
      <c r="V168" s="90" t="n">
        <v>-0.9800000000000001</v>
      </c>
      <c r="W168" s="91" t="inlineStr">
        <is>
          <t/>
        </is>
      </c>
      <c r="X168" s="92" t="inlineStr">
        <is>
          <t>LP Original Commitments</t>
        </is>
      </c>
      <c r="Y168" s="93" t="inlineStr">
        <is>
          <t>2019 Y</t>
        </is>
      </c>
      <c r="Z168" s="94" t="inlineStr">
        <is>
          <t>250M - 499M</t>
        </is>
      </c>
      <c r="AA168" s="95" t="inlineStr">
        <is>
          <t>NGEN Partners</t>
        </is>
      </c>
      <c r="AB168" s="96" t="inlineStr">
        <is>
          <t>New York, NY</t>
        </is>
      </c>
      <c r="AC168" s="97" t="inlineStr">
        <is>
          <t>Business Products and Services (B2B), Energy, Consumer Products and Services (B2C)</t>
        </is>
      </c>
      <c r="AD168" s="98" t="inlineStr">
        <is>
          <t>Later Stage VC, Early Stage VC</t>
        </is>
      </c>
      <c r="AE168" s="99" t="inlineStr">
        <is>
          <t>Canada, United States</t>
        </is>
      </c>
      <c r="AF168" s="100" t="inlineStr">
        <is>
          <t>LACERS</t>
        </is>
      </c>
      <c r="AG168" s="233">
        <f>HYPERLINK("https://my.pitchbook.com?i=11253-88", "View Investor Online")</f>
      </c>
    </row>
    <row r="169">
      <c r="A169" s="36" t="inlineStr">
        <is>
          <t>16740-82F</t>
        </is>
      </c>
      <c r="B169" s="37" t="inlineStr">
        <is>
          <t>Alta Partners NextGen Fund II</t>
        </is>
      </c>
      <c r="C169" s="38" t="inlineStr">
        <is>
          <t/>
        </is>
      </c>
      <c r="D169" s="39" t="inlineStr">
        <is>
          <t>Venture Capital</t>
        </is>
      </c>
      <c r="E169" s="40" t="n">
        <v>150.4</v>
      </c>
      <c r="F169" s="41" t="inlineStr">
        <is>
          <t>San Francisco, CA</t>
        </is>
      </c>
      <c r="G169" s="42" t="n">
        <v>2.0</v>
      </c>
      <c r="H169" s="43" t="n">
        <v>2019.0</v>
      </c>
      <c r="I169" s="44" t="n">
        <v>25.196808510638295</v>
      </c>
      <c r="J169" s="45" t="n">
        <v>37.896</v>
      </c>
      <c r="K169" s="46" t="n">
        <v>112.50399999999999</v>
      </c>
      <c r="L169" s="47" t="n">
        <v>0.0</v>
      </c>
      <c r="M169" s="48" t="n">
        <v>29.866</v>
      </c>
      <c r="N169" s="49" t="n">
        <v>-25.89</v>
      </c>
      <c r="O169" s="50" t="inlineStr">
        <is>
          <t/>
        </is>
      </c>
      <c r="P169" s="51" t="n">
        <v>0.0</v>
      </c>
      <c r="Q169" s="52" t="n">
        <v>0.0</v>
      </c>
      <c r="R169" s="53" t="n">
        <v>0.0</v>
      </c>
      <c r="S169" s="54" t="n">
        <v>0.79</v>
      </c>
      <c r="T169" s="55" t="n">
        <v>-0.10999999999999999</v>
      </c>
      <c r="U169" s="56" t="n">
        <v>0.79</v>
      </c>
      <c r="V169" s="57" t="n">
        <v>-0.12</v>
      </c>
      <c r="W169" s="58" t="inlineStr">
        <is>
          <t/>
        </is>
      </c>
      <c r="X169" s="59" t="inlineStr">
        <is>
          <t>GP Self Reporting</t>
        </is>
      </c>
      <c r="Y169" s="60" t="inlineStr">
        <is>
          <t>2020 Y</t>
        </is>
      </c>
      <c r="Z169" s="61" t="inlineStr">
        <is>
          <t>100M - 249M</t>
        </is>
      </c>
      <c r="AA169" s="62" t="inlineStr">
        <is>
          <t>Alta Partners</t>
        </is>
      </c>
      <c r="AB169" s="63" t="inlineStr">
        <is>
          <t>San Francisco, CA</t>
        </is>
      </c>
      <c r="AC169" s="64" t="inlineStr">
        <is>
          <t>Pharmaceuticals and Biotechnology</t>
        </is>
      </c>
      <c r="AD169" s="65" t="inlineStr">
        <is>
          <t>Seed Round, Early Stage VC, Later Stage VC</t>
        </is>
      </c>
      <c r="AE169" s="66" t="inlineStr">
        <is>
          <t/>
        </is>
      </c>
      <c r="AF169" s="67" t="inlineStr">
        <is>
          <t>Alta</t>
        </is>
      </c>
      <c r="AG169" s="232">
        <f>HYPERLINK("https://my.pitchbook.com?i=11114-11", "View Investor Online")</f>
      </c>
    </row>
    <row r="170">
      <c r="A170" s="69" t="inlineStr">
        <is>
          <t>13508-38F</t>
        </is>
      </c>
      <c r="B170" s="70" t="inlineStr">
        <is>
          <t>TVM Life Science Innovation I</t>
        </is>
      </c>
      <c r="C170" s="71" t="inlineStr">
        <is>
          <t>TVM Life Science Ventures VII</t>
        </is>
      </c>
      <c r="D170" s="72" t="inlineStr">
        <is>
          <t>Venture Capital</t>
        </is>
      </c>
      <c r="E170" s="73" t="n">
        <v>199.6</v>
      </c>
      <c r="F170" s="74" t="inlineStr">
        <is>
          <t>Munich, Germany</t>
        </is>
      </c>
      <c r="G170" s="75" t="inlineStr">
        <is>
          <t/>
        </is>
      </c>
      <c r="H170" s="76" t="n">
        <v>2012.0</v>
      </c>
      <c r="I170" s="77" t="n">
        <v>100.0</v>
      </c>
      <c r="J170" s="78" t="n">
        <v>199.6</v>
      </c>
      <c r="K170" s="79" t="n">
        <v>0.0</v>
      </c>
      <c r="L170" s="80" t="n">
        <v>157.5</v>
      </c>
      <c r="M170" s="81" t="n">
        <v>0.0</v>
      </c>
      <c r="N170" s="82" t="inlineStr">
        <is>
          <t/>
        </is>
      </c>
      <c r="O170" s="83" t="inlineStr">
        <is>
          <t/>
        </is>
      </c>
      <c r="P170" s="84" t="inlineStr">
        <is>
          <t/>
        </is>
      </c>
      <c r="Q170" s="85" t="n">
        <v>0.789078156</v>
      </c>
      <c r="R170" s="86" t="inlineStr">
        <is>
          <t/>
        </is>
      </c>
      <c r="S170" s="87" t="n">
        <v>0.0</v>
      </c>
      <c r="T170" s="88" t="inlineStr">
        <is>
          <t/>
        </is>
      </c>
      <c r="U170" s="89" t="n">
        <v>0.79</v>
      </c>
      <c r="V170" s="90" t="inlineStr">
        <is>
          <t/>
        </is>
      </c>
      <c r="W170" s="91" t="inlineStr">
        <is>
          <t/>
        </is>
      </c>
      <c r="X170" s="92" t="inlineStr">
        <is>
          <t>GP Self Reporting</t>
        </is>
      </c>
      <c r="Y170" s="93" t="inlineStr">
        <is>
          <t>2019 Y</t>
        </is>
      </c>
      <c r="Z170" s="94" t="inlineStr">
        <is>
          <t>100M - 249M</t>
        </is>
      </c>
      <c r="AA170" s="95" t="inlineStr">
        <is>
          <t>TVM Capital, TVM Capital Life Science</t>
        </is>
      </c>
      <c r="AB170" s="96" t="inlineStr">
        <is>
          <t>Munich, Germany</t>
        </is>
      </c>
      <c r="AC170" s="97" t="inlineStr">
        <is>
          <t>Discovery Tools (Healthcare), Diagnostic Equipment, Biotechnology</t>
        </is>
      </c>
      <c r="AD170" s="98" t="inlineStr">
        <is>
          <t>Seed Round, Early Stage VC, Later Stage VC</t>
        </is>
      </c>
      <c r="AE170" s="99" t="inlineStr">
        <is>
          <t>Europe, North America</t>
        </is>
      </c>
      <c r="AF170" s="100" t="inlineStr">
        <is>
          <t>TVM</t>
        </is>
      </c>
      <c r="AG170" s="233">
        <f>HYPERLINK("https://my.pitchbook.com?i=11322-28", "View Investor Online")</f>
      </c>
    </row>
    <row r="171">
      <c r="A171" s="36" t="inlineStr">
        <is>
          <t>16335-28F</t>
        </is>
      </c>
      <c r="B171" s="37" t="inlineStr">
        <is>
          <t>Underscore.VC Fund II</t>
        </is>
      </c>
      <c r="C171" s="38" t="inlineStr">
        <is>
          <t/>
        </is>
      </c>
      <c r="D171" s="39" t="inlineStr">
        <is>
          <t>Venture Capital</t>
        </is>
      </c>
      <c r="E171" s="40" t="n">
        <v>132.17172</v>
      </c>
      <c r="F171" s="41" t="inlineStr">
        <is>
          <t>Boston, MA</t>
        </is>
      </c>
      <c r="G171" s="42" t="inlineStr">
        <is>
          <t/>
        </is>
      </c>
      <c r="H171" s="43" t="n">
        <v>2018.0</v>
      </c>
      <c r="I171" s="44" t="n">
        <v>15.0</v>
      </c>
      <c r="J171" s="45" t="n">
        <v>19.82575755</v>
      </c>
      <c r="K171" s="46" t="n">
        <v>112.345962</v>
      </c>
      <c r="L171" s="47" t="n">
        <v>0.0</v>
      </c>
      <c r="M171" s="48" t="n">
        <v>15.705760264948648</v>
      </c>
      <c r="N171" s="49" t="n">
        <v>-23.5</v>
      </c>
      <c r="O171" s="50" t="inlineStr">
        <is>
          <t/>
        </is>
      </c>
      <c r="P171" s="51" t="inlineStr">
        <is>
          <t/>
        </is>
      </c>
      <c r="Q171" s="52" t="n">
        <v>0.0</v>
      </c>
      <c r="R171" s="53" t="inlineStr">
        <is>
          <t/>
        </is>
      </c>
      <c r="S171" s="54" t="n">
        <v>0.79</v>
      </c>
      <c r="T171" s="55" t="inlineStr">
        <is>
          <t/>
        </is>
      </c>
      <c r="U171" s="56" t="n">
        <v>0.79</v>
      </c>
      <c r="V171" s="57" t="inlineStr">
        <is>
          <t/>
        </is>
      </c>
      <c r="W171" s="58" t="inlineStr">
        <is>
          <t/>
        </is>
      </c>
      <c r="X171" s="59" t="inlineStr">
        <is>
          <t>LP Original Commitments</t>
        </is>
      </c>
      <c r="Y171" s="60" t="inlineStr">
        <is>
          <t>2019 Y</t>
        </is>
      </c>
      <c r="Z171" s="61" t="inlineStr">
        <is>
          <t>100M - 249M</t>
        </is>
      </c>
      <c r="AA171" s="62" t="inlineStr">
        <is>
          <t>Underscore VC</t>
        </is>
      </c>
      <c r="AB171" s="63" t="inlineStr">
        <is>
          <t>Boston, MA</t>
        </is>
      </c>
      <c r="AC171" s="64" t="inlineStr">
        <is>
          <t>Software</t>
        </is>
      </c>
      <c r="AD171" s="65" t="inlineStr">
        <is>
          <t>Early Stage VC</t>
        </is>
      </c>
      <c r="AE171" s="66" t="inlineStr">
        <is>
          <t/>
        </is>
      </c>
      <c r="AF171" s="67" t="inlineStr">
        <is>
          <t>UTIMCO</t>
        </is>
      </c>
      <c r="AG171" s="232">
        <f>HYPERLINK("https://my.pitchbook.com?i=152407-00", "View Investor Online")</f>
      </c>
    </row>
    <row r="172">
      <c r="A172" s="69" t="inlineStr">
        <is>
          <t>11596-42F</t>
        </is>
      </c>
      <c r="B172" s="70" t="inlineStr">
        <is>
          <t>Constellation Ventures III</t>
        </is>
      </c>
      <c r="C172" s="71" t="inlineStr">
        <is>
          <t/>
        </is>
      </c>
      <c r="D172" s="72" t="inlineStr">
        <is>
          <t>Venture Capital</t>
        </is>
      </c>
      <c r="E172" s="73" t="n">
        <v>200.0</v>
      </c>
      <c r="F172" s="74" t="inlineStr">
        <is>
          <t>New York, NY</t>
        </is>
      </c>
      <c r="G172" s="75" t="n">
        <v>4.0</v>
      </c>
      <c r="H172" s="76" t="n">
        <v>2009.0</v>
      </c>
      <c r="I172" s="77" t="n">
        <v>100.0</v>
      </c>
      <c r="J172" s="78" t="n">
        <v>230.61250933333335</v>
      </c>
      <c r="K172" s="79" t="n">
        <v>0.0</v>
      </c>
      <c r="L172" s="80" t="n">
        <v>116.16345333333332</v>
      </c>
      <c r="M172" s="81" t="n">
        <v>61.46009333333333</v>
      </c>
      <c r="N172" s="82" t="n">
        <v>-4.1</v>
      </c>
      <c r="O172" s="83" t="inlineStr">
        <is>
          <t/>
        </is>
      </c>
      <c r="P172" s="84" t="n">
        <v>-14.23</v>
      </c>
      <c r="Q172" s="85" t="n">
        <v>0.5</v>
      </c>
      <c r="R172" s="86" t="n">
        <v>-0.08999999999999997</v>
      </c>
      <c r="S172" s="87" t="n">
        <v>0.27</v>
      </c>
      <c r="T172" s="88" t="n">
        <v>-0.4233</v>
      </c>
      <c r="U172" s="89" t="n">
        <v>0.77</v>
      </c>
      <c r="V172" s="90" t="n">
        <v>-0.8200000000000001</v>
      </c>
      <c r="W172" s="91" t="inlineStr">
        <is>
          <t/>
        </is>
      </c>
      <c r="X172" s="92" t="inlineStr">
        <is>
          <t>LP Original Commitments</t>
        </is>
      </c>
      <c r="Y172" s="93" t="inlineStr">
        <is>
          <t>2019 Y</t>
        </is>
      </c>
      <c r="Z172" s="94" t="inlineStr">
        <is>
          <t>100M - 249M</t>
        </is>
      </c>
      <c r="AA172" s="95" t="inlineStr">
        <is>
          <t>HPS Investment Partners</t>
        </is>
      </c>
      <c r="AB172" s="96" t="inlineStr">
        <is>
          <t>New York, NY</t>
        </is>
      </c>
      <c r="AC172" s="97" t="inlineStr">
        <is>
          <t>Communications and Networking</t>
        </is>
      </c>
      <c r="AD172" s="98" t="inlineStr">
        <is>
          <t>Later Stage VC, PE Growth/Expansion</t>
        </is>
      </c>
      <c r="AE172" s="99" t="inlineStr">
        <is>
          <t>Western Europe, United States</t>
        </is>
      </c>
      <c r="AF172" s="100" t="inlineStr">
        <is>
          <t>NYC PPF, NYCERS, NYCFDPF, TRSNYC</t>
        </is>
      </c>
      <c r="AG172" s="233">
        <f>HYPERLINK("https://my.pitchbook.com?i=11156-05", "View Investor Online")</f>
      </c>
    </row>
    <row r="173">
      <c r="A173" s="36" t="inlineStr">
        <is>
          <t>12693-16F</t>
        </is>
      </c>
      <c r="B173" s="37" t="inlineStr">
        <is>
          <t>XPV Water Technology Investment Fund</t>
        </is>
      </c>
      <c r="C173" s="38" t="inlineStr">
        <is>
          <t/>
        </is>
      </c>
      <c r="D173" s="39" t="inlineStr">
        <is>
          <t>Venture Capital</t>
        </is>
      </c>
      <c r="E173" s="40" t="n">
        <v>150.0</v>
      </c>
      <c r="F173" s="41" t="inlineStr">
        <is>
          <t>Toronto, Canada</t>
        </is>
      </c>
      <c r="G173" s="42" t="inlineStr">
        <is>
          <t/>
        </is>
      </c>
      <c r="H173" s="43" t="n">
        <v>2011.0</v>
      </c>
      <c r="I173" s="44" t="n">
        <v>93.67092054716265</v>
      </c>
      <c r="J173" s="45" t="n">
        <v>140.50638082074397</v>
      </c>
      <c r="K173" s="46" t="n">
        <v>9.49361917925604</v>
      </c>
      <c r="L173" s="47" t="n">
        <v>0.2174647130446149</v>
      </c>
      <c r="M173" s="48" t="n">
        <v>108.62061348831918</v>
      </c>
      <c r="N173" s="49" t="n">
        <v>-5.3</v>
      </c>
      <c r="O173" s="50" t="inlineStr">
        <is>
          <t/>
        </is>
      </c>
      <c r="P173" s="51" t="inlineStr">
        <is>
          <t/>
        </is>
      </c>
      <c r="Q173" s="52" t="n">
        <v>0.0</v>
      </c>
      <c r="R173" s="53" t="inlineStr">
        <is>
          <t/>
        </is>
      </c>
      <c r="S173" s="54" t="n">
        <v>0.77</v>
      </c>
      <c r="T173" s="55" t="inlineStr">
        <is>
          <t/>
        </is>
      </c>
      <c r="U173" s="56" t="n">
        <v>0.77</v>
      </c>
      <c r="V173" s="57" t="inlineStr">
        <is>
          <t/>
        </is>
      </c>
      <c r="W173" s="58" t="inlineStr">
        <is>
          <t/>
        </is>
      </c>
      <c r="X173" s="59" t="inlineStr">
        <is>
          <t>LP Original Commitments</t>
        </is>
      </c>
      <c r="Y173" s="60" t="inlineStr">
        <is>
          <t>2018 Y</t>
        </is>
      </c>
      <c r="Z173" s="61" t="inlineStr">
        <is>
          <t>100M - 249M</t>
        </is>
      </c>
      <c r="AA173" s="62" t="inlineStr">
        <is>
          <t>XPV Water Partners</t>
        </is>
      </c>
      <c r="AB173" s="63" t="inlineStr">
        <is>
          <t>Toronto, Canada</t>
        </is>
      </c>
      <c r="AC173" s="64" t="inlineStr">
        <is>
          <t>Utilities</t>
        </is>
      </c>
      <c r="AD173" s="65" t="inlineStr">
        <is>
          <t>Early Stage VC</t>
        </is>
      </c>
      <c r="AE173" s="66" t="inlineStr">
        <is>
          <t>Canada</t>
        </is>
      </c>
      <c r="AF173" s="67" t="inlineStr">
        <is>
          <t>CalPERS</t>
        </is>
      </c>
      <c r="AG173" s="232">
        <f>HYPERLINK("https://my.pitchbook.com?i=42776-20", "View Investor Online")</f>
      </c>
    </row>
    <row r="174">
      <c r="A174" s="69" t="inlineStr">
        <is>
          <t>12738-25F</t>
        </is>
      </c>
      <c r="B174" s="70" t="inlineStr">
        <is>
          <t>Artiman Ventures III</t>
        </is>
      </c>
      <c r="C174" s="71" t="inlineStr">
        <is>
          <t/>
        </is>
      </c>
      <c r="D174" s="72" t="inlineStr">
        <is>
          <t>Venture Capital</t>
        </is>
      </c>
      <c r="E174" s="73" t="n">
        <v>200.0</v>
      </c>
      <c r="F174" s="74" t="inlineStr">
        <is>
          <t>Palo Alto, CA</t>
        </is>
      </c>
      <c r="G174" s="75" t="inlineStr">
        <is>
          <t/>
        </is>
      </c>
      <c r="H174" s="76" t="n">
        <v>2010.0</v>
      </c>
      <c r="I174" s="77" t="n">
        <v>98.05</v>
      </c>
      <c r="J174" s="78" t="n">
        <v>196.1</v>
      </c>
      <c r="K174" s="79" t="n">
        <v>3.9</v>
      </c>
      <c r="L174" s="80" t="n">
        <v>0.0</v>
      </c>
      <c r="M174" s="81" t="n">
        <v>148.390125</v>
      </c>
      <c r="N174" s="82" t="n">
        <v>-4.5</v>
      </c>
      <c r="O174" s="83" t="inlineStr">
        <is>
          <t/>
        </is>
      </c>
      <c r="P174" s="84" t="inlineStr">
        <is>
          <t/>
        </is>
      </c>
      <c r="Q174" s="85" t="n">
        <v>0.0</v>
      </c>
      <c r="R174" s="86" t="inlineStr">
        <is>
          <t/>
        </is>
      </c>
      <c r="S174" s="87" t="n">
        <v>0.76</v>
      </c>
      <c r="T174" s="88" t="n">
        <v>0.030000000000000027</v>
      </c>
      <c r="U174" s="89" t="n">
        <v>0.76</v>
      </c>
      <c r="V174" s="90" t="inlineStr">
        <is>
          <t/>
        </is>
      </c>
      <c r="W174" s="91" t="inlineStr">
        <is>
          <t/>
        </is>
      </c>
      <c r="X174" s="92" t="inlineStr">
        <is>
          <t>LP Original Commitments</t>
        </is>
      </c>
      <c r="Y174" s="93" t="inlineStr">
        <is>
          <t>2019 Y</t>
        </is>
      </c>
      <c r="Z174" s="94" t="inlineStr">
        <is>
          <t>100M - 249M</t>
        </is>
      </c>
      <c r="AA174" s="95" t="inlineStr">
        <is>
          <t>Artiman Ventures</t>
        </is>
      </c>
      <c r="AB174" s="96" t="inlineStr">
        <is>
          <t>Palo Alto, CA</t>
        </is>
      </c>
      <c r="AC174" s="97" t="inlineStr">
        <is>
          <t>Commercial Products</t>
        </is>
      </c>
      <c r="AD174" s="98" t="inlineStr">
        <is>
          <t>Early Stage VC, Later Stage VC</t>
        </is>
      </c>
      <c r="AE174" s="99" t="inlineStr">
        <is>
          <t>United States</t>
        </is>
      </c>
      <c r="AF174" s="100" t="inlineStr">
        <is>
          <t>Industriens Pensionsforsikring, UTIMCO</t>
        </is>
      </c>
      <c r="AG174" s="233">
        <f>HYPERLINK("https://my.pitchbook.com?i=11114-38", "View Investor Online")</f>
      </c>
    </row>
    <row r="175">
      <c r="A175" s="36" t="inlineStr">
        <is>
          <t>15567-40F</t>
        </is>
      </c>
      <c r="B175" s="37" t="inlineStr">
        <is>
          <t>Binary Capital Fund II</t>
        </is>
      </c>
      <c r="C175" s="38" t="inlineStr">
        <is>
          <t/>
        </is>
      </c>
      <c r="D175" s="39" t="inlineStr">
        <is>
          <t>Venture Capital - Early Stage</t>
        </is>
      </c>
      <c r="E175" s="40" t="n">
        <v>175.0</v>
      </c>
      <c r="F175" s="41" t="inlineStr">
        <is>
          <t>San Francisco, CA</t>
        </is>
      </c>
      <c r="G175" s="42" t="n">
        <v>4.0</v>
      </c>
      <c r="H175" s="43" t="n">
        <v>2016.0</v>
      </c>
      <c r="I175" s="44" t="n">
        <v>6.176470588235294</v>
      </c>
      <c r="J175" s="45" t="n">
        <v>10.808823529411764</v>
      </c>
      <c r="K175" s="46" t="n">
        <v>50.72874493927125</v>
      </c>
      <c r="L175" s="47" t="n">
        <v>0.0</v>
      </c>
      <c r="M175" s="48" t="n">
        <v>8.235294117647058</v>
      </c>
      <c r="N175" s="49" t="n">
        <v>-36.24</v>
      </c>
      <c r="O175" s="50" t="inlineStr">
        <is>
          <t/>
        </is>
      </c>
      <c r="P175" s="51" t="n">
        <v>-57.540000000000006</v>
      </c>
      <c r="Q175" s="52" t="n">
        <v>0.0</v>
      </c>
      <c r="R175" s="53" t="n">
        <v>0.0</v>
      </c>
      <c r="S175" s="54" t="n">
        <v>0.76</v>
      </c>
      <c r="T175" s="55" t="n">
        <v>-0.5900000000000001</v>
      </c>
      <c r="U175" s="56" t="n">
        <v>0.76</v>
      </c>
      <c r="V175" s="57" t="n">
        <v>-0.6000000000000001</v>
      </c>
      <c r="W175" s="58" t="inlineStr">
        <is>
          <t/>
        </is>
      </c>
      <c r="X175" s="59" t="inlineStr">
        <is>
          <t>LP Original Commitments</t>
        </is>
      </c>
      <c r="Y175" s="60" t="inlineStr">
        <is>
          <t>2017 Y</t>
        </is>
      </c>
      <c r="Z175" s="61" t="inlineStr">
        <is>
          <t>100M - 249M</t>
        </is>
      </c>
      <c r="AA175" s="62" t="inlineStr">
        <is>
          <t>Binary Capital, Lerer Hippeau</t>
        </is>
      </c>
      <c r="AB175" s="63" t="inlineStr">
        <is>
          <t>San Francisco, CA</t>
        </is>
      </c>
      <c r="AC175" s="64" t="inlineStr">
        <is>
          <t>Software, Commercial Services</t>
        </is>
      </c>
      <c r="AD175" s="65" t="inlineStr">
        <is>
          <t>Early Stage VC</t>
        </is>
      </c>
      <c r="AE175" s="66" t="inlineStr">
        <is>
          <t/>
        </is>
      </c>
      <c r="AF175" s="67" t="inlineStr">
        <is>
          <t>LACERA, UH System Endowment</t>
        </is>
      </c>
      <c r="AG175" s="232">
        <f>HYPERLINK("https://my.pitchbook.com?i=65428-75", "View Investor Online")</f>
      </c>
    </row>
    <row r="176">
      <c r="A176" s="69" t="inlineStr">
        <is>
          <t>13097-89F</t>
        </is>
      </c>
      <c r="B176" s="70" t="inlineStr">
        <is>
          <t>BlueCross BlueShield Venture Partners II</t>
        </is>
      </c>
      <c r="C176" s="71" t="inlineStr">
        <is>
          <t/>
        </is>
      </c>
      <c r="D176" s="72" t="inlineStr">
        <is>
          <t>Venture Capital</t>
        </is>
      </c>
      <c r="E176" s="73" t="n">
        <v>186.8</v>
      </c>
      <c r="F176" s="74" t="inlineStr">
        <is>
          <t>Chicago, IL</t>
        </is>
      </c>
      <c r="G176" s="75" t="inlineStr">
        <is>
          <t/>
        </is>
      </c>
      <c r="H176" s="76" t="n">
        <v>2011.0</v>
      </c>
      <c r="I176" s="77" t="n">
        <v>25.815733333333338</v>
      </c>
      <c r="J176" s="78" t="n">
        <v>48.22378986666667</v>
      </c>
      <c r="K176" s="79" t="n">
        <v>8.765274049973067</v>
      </c>
      <c r="L176" s="80" t="n">
        <v>0.0</v>
      </c>
      <c r="M176" s="81" t="n">
        <v>34.929562181818184</v>
      </c>
      <c r="N176" s="82" t="inlineStr">
        <is>
          <t/>
        </is>
      </c>
      <c r="O176" s="83" t="inlineStr">
        <is>
          <t/>
        </is>
      </c>
      <c r="P176" s="84" t="inlineStr">
        <is>
          <t/>
        </is>
      </c>
      <c r="Q176" s="85" t="n">
        <v>0.0</v>
      </c>
      <c r="R176" s="86" t="n">
        <v>-0.27</v>
      </c>
      <c r="S176" s="87" t="n">
        <v>0.75</v>
      </c>
      <c r="T176" s="88" t="n">
        <v>-0.33000000000000007</v>
      </c>
      <c r="U176" s="89" t="n">
        <v>0.75</v>
      </c>
      <c r="V176" s="90" t="n">
        <v>-0.41500000000000004</v>
      </c>
      <c r="W176" s="91" t="inlineStr">
        <is>
          <t/>
        </is>
      </c>
      <c r="X176" s="92" t="inlineStr">
        <is>
          <t>LP Original Commitments</t>
        </is>
      </c>
      <c r="Y176" s="93" t="inlineStr">
        <is>
          <t>2013 Y</t>
        </is>
      </c>
      <c r="Z176" s="94" t="inlineStr">
        <is>
          <t>100M - 249M</t>
        </is>
      </c>
      <c r="AA176" s="95" t="inlineStr">
        <is>
          <t>BlueCross BlueShield Venture Partners</t>
        </is>
      </c>
      <c r="AB176" s="96" t="inlineStr">
        <is>
          <t>Chicago, IL</t>
        </is>
      </c>
      <c r="AC176" s="97" t="inlineStr">
        <is>
          <t>Healthcare Technology Systems</t>
        </is>
      </c>
      <c r="AD176" s="98" t="inlineStr">
        <is>
          <t>Later Stage VC, Early Stage VC, Seed Round</t>
        </is>
      </c>
      <c r="AE176" s="99" t="inlineStr">
        <is>
          <t>United States</t>
        </is>
      </c>
      <c r="AF176" s="100" t="inlineStr">
        <is>
          <t>BCBSM, BCBSMA, Blue Cross and Blue Shield of Massachusetts HMO Blue, Blue Cross NC, Highmark Blue Cross Blue Shield, HMSA, Horizon Blue Cross Blue Shield of New Jersey, IBC</t>
        </is>
      </c>
      <c r="AG176" s="233">
        <f>HYPERLINK("https://my.pitchbook.com?i=52190-29", "View Investor Online")</f>
      </c>
    </row>
    <row r="177">
      <c r="A177" s="36" t="inlineStr">
        <is>
          <t>16583-23F</t>
        </is>
      </c>
      <c r="B177" s="37" t="inlineStr">
        <is>
          <t>Endeavour Medtech Growth II</t>
        </is>
      </c>
      <c r="C177" s="38" t="inlineStr">
        <is>
          <t/>
        </is>
      </c>
      <c r="D177" s="39" t="inlineStr">
        <is>
          <t>Venture Capital</t>
        </is>
      </c>
      <c r="E177" s="40" t="n">
        <v>220.0</v>
      </c>
      <c r="F177" s="41" t="inlineStr">
        <is>
          <t>Geneva, Switzerland</t>
        </is>
      </c>
      <c r="G177" s="42" t="inlineStr">
        <is>
          <t/>
        </is>
      </c>
      <c r="H177" s="43" t="n">
        <v>2019.0</v>
      </c>
      <c r="I177" s="44" t="n">
        <v>12.48948695652174</v>
      </c>
      <c r="J177" s="45" t="n">
        <v>27.476871304347824</v>
      </c>
      <c r="K177" s="46" t="n">
        <v>192.52312869565216</v>
      </c>
      <c r="L177" s="47" t="n">
        <v>0.0</v>
      </c>
      <c r="M177" s="48" t="n">
        <v>20.027020869565217</v>
      </c>
      <c r="N177" s="49" t="inlineStr">
        <is>
          <t/>
        </is>
      </c>
      <c r="O177" s="50" t="inlineStr">
        <is>
          <t/>
        </is>
      </c>
      <c r="P177" s="51" t="inlineStr">
        <is>
          <t/>
        </is>
      </c>
      <c r="Q177" s="52" t="n">
        <v>0.0</v>
      </c>
      <c r="R177" s="53" t="n">
        <v>0.0</v>
      </c>
      <c r="S177" s="54" t="n">
        <v>0.73</v>
      </c>
      <c r="T177" s="55" t="n">
        <v>-0.18500000000000005</v>
      </c>
      <c r="U177" s="56" t="n">
        <v>0.73</v>
      </c>
      <c r="V177" s="57" t="n">
        <v>-0.18500000000000005</v>
      </c>
      <c r="W177" s="58" t="inlineStr">
        <is>
          <t/>
        </is>
      </c>
      <c r="X177" s="59" t="inlineStr">
        <is>
          <t>LP Original Commitments</t>
        </is>
      </c>
      <c r="Y177" s="60" t="inlineStr">
        <is>
          <t>2020 Y</t>
        </is>
      </c>
      <c r="Z177" s="61" t="inlineStr">
        <is>
          <t>100M - 249M</t>
        </is>
      </c>
      <c r="AA177" s="62" t="inlineStr">
        <is>
          <t>Endeavour Vision</t>
        </is>
      </c>
      <c r="AB177" s="63" t="inlineStr">
        <is>
          <t>Geneva, Switzerland</t>
        </is>
      </c>
      <c r="AC177" s="64" t="inlineStr">
        <is>
          <t>Medical Supplies</t>
        </is>
      </c>
      <c r="AD177" s="65" t="inlineStr">
        <is>
          <t>Seed Round, Early Stage VC, Later Stage VC</t>
        </is>
      </c>
      <c r="AE177" s="66" t="inlineStr">
        <is>
          <t>United States, Europe</t>
        </is>
      </c>
      <c r="AF177" s="67" t="inlineStr">
        <is>
          <t>SYPA</t>
        </is>
      </c>
      <c r="AG177" s="232">
        <f>HYPERLINK("https://my.pitchbook.com?i=51004-54", "View Investor Online")</f>
      </c>
    </row>
    <row r="178">
      <c r="A178" s="69" t="inlineStr">
        <is>
          <t>13423-06F</t>
        </is>
      </c>
      <c r="B178" s="70" t="inlineStr">
        <is>
          <t>Heritage Healthcare Innovation Fund</t>
        </is>
      </c>
      <c r="C178" s="71" t="inlineStr">
        <is>
          <t/>
        </is>
      </c>
      <c r="D178" s="72" t="inlineStr">
        <is>
          <t>Venture Capital</t>
        </is>
      </c>
      <c r="E178" s="73" t="n">
        <v>170.0</v>
      </c>
      <c r="F178" s="74" t="inlineStr">
        <is>
          <t>Nashville, TN</t>
        </is>
      </c>
      <c r="G178" s="75" t="inlineStr">
        <is>
          <t/>
        </is>
      </c>
      <c r="H178" s="76" t="n">
        <v>2012.0</v>
      </c>
      <c r="I178" s="77" t="n">
        <v>100.0</v>
      </c>
      <c r="J178" s="78" t="n">
        <v>171.60457333333332</v>
      </c>
      <c r="K178" s="79" t="n">
        <v>14.730873999999998</v>
      </c>
      <c r="L178" s="80" t="n">
        <v>0.0</v>
      </c>
      <c r="M178" s="81" t="n">
        <v>123.36412666666665</v>
      </c>
      <c r="N178" s="82" t="inlineStr">
        <is>
          <t/>
        </is>
      </c>
      <c r="O178" s="83" t="inlineStr">
        <is>
          <t/>
        </is>
      </c>
      <c r="P178" s="84" t="inlineStr">
        <is>
          <t/>
        </is>
      </c>
      <c r="Q178" s="85" t="n">
        <v>0.0</v>
      </c>
      <c r="R178" s="86" t="n">
        <v>-0.115</v>
      </c>
      <c r="S178" s="87" t="n">
        <v>0.72</v>
      </c>
      <c r="T178" s="88" t="n">
        <v>-0.15949999999999998</v>
      </c>
      <c r="U178" s="89" t="n">
        <v>0.72</v>
      </c>
      <c r="V178" s="90" t="n">
        <v>-0.21999999999999997</v>
      </c>
      <c r="W178" s="91" t="inlineStr">
        <is>
          <t/>
        </is>
      </c>
      <c r="X178" s="92" t="inlineStr">
        <is>
          <t>LP Original Commitments</t>
        </is>
      </c>
      <c r="Y178" s="93" t="inlineStr">
        <is>
          <t>2012 Y</t>
        </is>
      </c>
      <c r="Z178" s="94" t="inlineStr">
        <is>
          <t>100M - 249M</t>
        </is>
      </c>
      <c r="AA178" s="95" t="inlineStr">
        <is>
          <t>Heritage Group</t>
        </is>
      </c>
      <c r="AB178" s="96" t="inlineStr">
        <is>
          <t>Nashville, TN</t>
        </is>
      </c>
      <c r="AC178" s="97" t="inlineStr">
        <is>
          <t>Healthcare Technology Systems</t>
        </is>
      </c>
      <c r="AD178" s="98" t="inlineStr">
        <is>
          <t>Seed Round, Early Stage VC, Later Stage VC</t>
        </is>
      </c>
      <c r="AE178" s="99" t="inlineStr">
        <is>
          <t/>
        </is>
      </c>
      <c r="AF178" s="100" t="inlineStr">
        <is>
          <t>HCSC</t>
        </is>
      </c>
      <c r="AG178" s="233">
        <f>HYPERLINK("https://my.pitchbook.com?i=52184-71", "View Investor Online")</f>
      </c>
    </row>
    <row r="179">
      <c r="A179" s="36" t="inlineStr">
        <is>
          <t>11676-16F</t>
        </is>
      </c>
      <c r="B179" s="37" t="inlineStr">
        <is>
          <t>SightLine Healthcare Opportunity Fund II</t>
        </is>
      </c>
      <c r="C179" s="38" t="inlineStr">
        <is>
          <t/>
        </is>
      </c>
      <c r="D179" s="39" t="inlineStr">
        <is>
          <t>Venture Capital</t>
        </is>
      </c>
      <c r="E179" s="40" t="n">
        <v>107.359</v>
      </c>
      <c r="F179" s="41" t="inlineStr">
        <is>
          <t>Bloomington, MN</t>
        </is>
      </c>
      <c r="G179" s="42" t="n">
        <v>4.0</v>
      </c>
      <c r="H179" s="43" t="n">
        <v>2013.0</v>
      </c>
      <c r="I179" s="44" t="n">
        <v>100.0</v>
      </c>
      <c r="J179" s="45" t="n">
        <v>108.8606735209206</v>
      </c>
      <c r="K179" s="46" t="n">
        <v>2.14718</v>
      </c>
      <c r="L179" s="47" t="n">
        <v>13.066985239127888</v>
      </c>
      <c r="M179" s="48" t="n">
        <v>58.53629422504094</v>
      </c>
      <c r="N179" s="49" t="n">
        <v>-10.2</v>
      </c>
      <c r="O179" s="50" t="inlineStr">
        <is>
          <t/>
        </is>
      </c>
      <c r="P179" s="51" t="n">
        <v>-14.799999999999999</v>
      </c>
      <c r="Q179" s="52" t="n">
        <v>0.12</v>
      </c>
      <c r="R179" s="53" t="n">
        <v>0.0</v>
      </c>
      <c r="S179" s="54" t="n">
        <v>0.54</v>
      </c>
      <c r="T179" s="55" t="n">
        <v>-0.5286299999999999</v>
      </c>
      <c r="U179" s="56" t="n">
        <v>0.66</v>
      </c>
      <c r="V179" s="57" t="n">
        <v>-0.5299999999999999</v>
      </c>
      <c r="W179" s="58" t="inlineStr">
        <is>
          <t/>
        </is>
      </c>
      <c r="X179" s="59" t="inlineStr">
        <is>
          <t>LP Original Commitments</t>
        </is>
      </c>
      <c r="Y179" s="60" t="inlineStr">
        <is>
          <t>2019 Y</t>
        </is>
      </c>
      <c r="Z179" s="61" t="inlineStr">
        <is>
          <t>100M - 249M</t>
        </is>
      </c>
      <c r="AA179" s="62" t="inlineStr">
        <is>
          <t>SightLine Partners</t>
        </is>
      </c>
      <c r="AB179" s="63" t="inlineStr">
        <is>
          <t>Bloomington, MN</t>
        </is>
      </c>
      <c r="AC179" s="64" t="inlineStr">
        <is>
          <t>Healthcare Devices and Supplies</t>
        </is>
      </c>
      <c r="AD179" s="65" t="inlineStr">
        <is>
          <t>Later Stage VC</t>
        </is>
      </c>
      <c r="AE179" s="66" t="inlineStr">
        <is>
          <t>United States</t>
        </is>
      </c>
      <c r="AF179" s="67" t="inlineStr">
        <is>
          <t>OPERS</t>
        </is>
      </c>
      <c r="AG179" s="232">
        <f>HYPERLINK("https://my.pitchbook.com?i=11272-96", "View Investor Online")</f>
      </c>
    </row>
    <row r="180">
      <c r="A180" s="69" t="inlineStr">
        <is>
          <t>13420-81F</t>
        </is>
      </c>
      <c r="B180" s="70" t="inlineStr">
        <is>
          <t>University Ventures Fund I</t>
        </is>
      </c>
      <c r="C180" s="71" t="inlineStr">
        <is>
          <t/>
        </is>
      </c>
      <c r="D180" s="72" t="inlineStr">
        <is>
          <t>Venture Capital</t>
        </is>
      </c>
      <c r="E180" s="73" t="n">
        <v>100.0</v>
      </c>
      <c r="F180" s="74" t="inlineStr">
        <is>
          <t>New York, NY</t>
        </is>
      </c>
      <c r="G180" s="75" t="n">
        <v>4.0</v>
      </c>
      <c r="H180" s="76" t="n">
        <v>2012.0</v>
      </c>
      <c r="I180" s="77" t="n">
        <v>91.33478</v>
      </c>
      <c r="J180" s="78" t="n">
        <v>91.33478</v>
      </c>
      <c r="K180" s="79" t="n">
        <v>8.66522</v>
      </c>
      <c r="L180" s="80" t="n">
        <v>0.0</v>
      </c>
      <c r="M180" s="81" t="n">
        <v>59.86079199999999</v>
      </c>
      <c r="N180" s="82" t="n">
        <v>-6.28</v>
      </c>
      <c r="O180" s="83" t="inlineStr">
        <is>
          <t/>
        </is>
      </c>
      <c r="P180" s="84" t="n">
        <v>-18.39</v>
      </c>
      <c r="Q180" s="85" t="n">
        <v>0.0</v>
      </c>
      <c r="R180" s="86" t="n">
        <v>-0.115</v>
      </c>
      <c r="S180" s="87" t="n">
        <v>0.66</v>
      </c>
      <c r="T180" s="88" t="n">
        <v>-0.21949999999999992</v>
      </c>
      <c r="U180" s="89" t="n">
        <v>0.66</v>
      </c>
      <c r="V180" s="90" t="n">
        <v>-0.2799999999999999</v>
      </c>
      <c r="W180" s="91" t="inlineStr">
        <is>
          <t/>
        </is>
      </c>
      <c r="X180" s="92" t="inlineStr">
        <is>
          <t>LP Original Commitments</t>
        </is>
      </c>
      <c r="Y180" s="93" t="inlineStr">
        <is>
          <t>2019 Y</t>
        </is>
      </c>
      <c r="Z180" s="94" t="inlineStr">
        <is>
          <t>100M - 249M</t>
        </is>
      </c>
      <c r="AA180" s="95" t="inlineStr">
        <is>
          <t>University Ventures</t>
        </is>
      </c>
      <c r="AB180" s="96" t="inlineStr">
        <is>
          <t>New York, NY</t>
        </is>
      </c>
      <c r="AC180" s="97" t="inlineStr">
        <is>
          <t>Commercial Services, Software</t>
        </is>
      </c>
      <c r="AD180" s="98" t="inlineStr">
        <is>
          <t>Seed Round, Early Stage VC, Later Stage VC</t>
        </is>
      </c>
      <c r="AE180" s="99" t="inlineStr">
        <is>
          <t>Europe, United States</t>
        </is>
      </c>
      <c r="AF180" s="100" t="inlineStr">
        <is>
          <t>UTIMCO</t>
        </is>
      </c>
      <c r="AG180" s="233">
        <f>HYPERLINK("https://my.pitchbook.com?i=60480-82", "View Investor Online")</f>
      </c>
    </row>
    <row r="181">
      <c r="A181" s="36" t="inlineStr">
        <is>
          <t>12739-96F</t>
        </is>
      </c>
      <c r="B181" s="37" t="inlineStr">
        <is>
          <t>HighBAR Partners II</t>
        </is>
      </c>
      <c r="C181" s="38" t="inlineStr">
        <is>
          <t/>
        </is>
      </c>
      <c r="D181" s="39" t="inlineStr">
        <is>
          <t>Venture Capital</t>
        </is>
      </c>
      <c r="E181" s="40" t="n">
        <v>130.0</v>
      </c>
      <c r="F181" s="41" t="inlineStr">
        <is>
          <t>Menlo Park, CA</t>
        </is>
      </c>
      <c r="G181" s="42" t="n">
        <v>3.0</v>
      </c>
      <c r="H181" s="43" t="n">
        <v>2013.0</v>
      </c>
      <c r="I181" s="44" t="n">
        <v>100.0</v>
      </c>
      <c r="J181" s="45" t="n">
        <v>130.0</v>
      </c>
      <c r="K181" s="46" t="n">
        <v>2.6</v>
      </c>
      <c r="L181" s="47" t="n">
        <v>27.015733333333333</v>
      </c>
      <c r="M181" s="48" t="n">
        <v>57.357447333333326</v>
      </c>
      <c r="N181" s="49" t="n">
        <v>-10.1</v>
      </c>
      <c r="O181" s="50" t="inlineStr">
        <is>
          <t/>
        </is>
      </c>
      <c r="P181" s="51" t="n">
        <v>-14.7</v>
      </c>
      <c r="Q181" s="52" t="n">
        <v>0.21</v>
      </c>
      <c r="R181" s="53" t="n">
        <v>0.09</v>
      </c>
      <c r="S181" s="54" t="n">
        <v>0.44</v>
      </c>
      <c r="T181" s="55" t="n">
        <v>-0.62863</v>
      </c>
      <c r="U181" s="56" t="n">
        <v>0.65</v>
      </c>
      <c r="V181" s="57" t="n">
        <v>-0.5399999999999999</v>
      </c>
      <c r="W181" s="58" t="inlineStr">
        <is>
          <t/>
        </is>
      </c>
      <c r="X181" s="59" t="inlineStr">
        <is>
          <t>LP Original Commitments</t>
        </is>
      </c>
      <c r="Y181" s="60" t="inlineStr">
        <is>
          <t>2019 Y</t>
        </is>
      </c>
      <c r="Z181" s="61" t="inlineStr">
        <is>
          <t>100M - 249M</t>
        </is>
      </c>
      <c r="AA181" s="62" t="inlineStr">
        <is>
          <t>HighBAR Partners</t>
        </is>
      </c>
      <c r="AB181" s="63" t="inlineStr">
        <is>
          <t>Menlo Park, CA</t>
        </is>
      </c>
      <c r="AC181" s="64" t="inlineStr">
        <is>
          <t>Software</t>
        </is>
      </c>
      <c r="AD181" s="65" t="inlineStr">
        <is>
          <t>Later Stage VC</t>
        </is>
      </c>
      <c r="AE181" s="66" t="inlineStr">
        <is>
          <t>United States</t>
        </is>
      </c>
      <c r="AF181" s="67" t="inlineStr">
        <is>
          <t>SDCERS</t>
        </is>
      </c>
      <c r="AG181" s="232">
        <f>HYPERLINK("https://my.pitchbook.com?i=43064-47", "View Investor Online")</f>
      </c>
    </row>
    <row r="182">
      <c r="A182" s="69" t="inlineStr">
        <is>
          <t>13436-47F</t>
        </is>
      </c>
      <c r="B182" s="70" t="inlineStr">
        <is>
          <t>HBM BioCapital II</t>
        </is>
      </c>
      <c r="C182" s="71" t="inlineStr">
        <is>
          <t/>
        </is>
      </c>
      <c r="D182" s="72" t="inlineStr">
        <is>
          <t>Venture Capital</t>
        </is>
      </c>
      <c r="E182" s="73" t="n">
        <v>156.93249</v>
      </c>
      <c r="F182" s="74" t="inlineStr">
        <is>
          <t>Zug, Switzerland</t>
        </is>
      </c>
      <c r="G182" s="75" t="inlineStr">
        <is>
          <t/>
        </is>
      </c>
      <c r="H182" s="76" t="n">
        <v>2012.0</v>
      </c>
      <c r="I182" s="77" t="n">
        <v>100.0</v>
      </c>
      <c r="J182" s="78" t="n">
        <v>159.17438562797284</v>
      </c>
      <c r="K182" s="79" t="n">
        <v>0.0</v>
      </c>
      <c r="L182" s="80" t="n">
        <v>36.617581670284835</v>
      </c>
      <c r="M182" s="81" t="n">
        <v>63.14664594161363</v>
      </c>
      <c r="N182" s="82" t="inlineStr">
        <is>
          <t/>
        </is>
      </c>
      <c r="O182" s="83" t="inlineStr">
        <is>
          <t/>
        </is>
      </c>
      <c r="P182" s="84" t="inlineStr">
        <is>
          <t/>
        </is>
      </c>
      <c r="Q182" s="85" t="n">
        <v>0.23</v>
      </c>
      <c r="R182" s="86" t="inlineStr">
        <is>
          <t/>
        </is>
      </c>
      <c r="S182" s="87" t="n">
        <v>0.4</v>
      </c>
      <c r="T182" s="88" t="inlineStr">
        <is>
          <t/>
        </is>
      </c>
      <c r="U182" s="89" t="n">
        <v>0.63</v>
      </c>
      <c r="V182" s="90" t="inlineStr">
        <is>
          <t/>
        </is>
      </c>
      <c r="W182" s="91" t="inlineStr">
        <is>
          <t/>
        </is>
      </c>
      <c r="X182" s="92" t="inlineStr">
        <is>
          <t>GP Self Reporting</t>
        </is>
      </c>
      <c r="Y182" s="93" t="inlineStr">
        <is>
          <t>2020 Y</t>
        </is>
      </c>
      <c r="Z182" s="94" t="inlineStr">
        <is>
          <t>100M - 249M</t>
        </is>
      </c>
      <c r="AA182" s="95" t="inlineStr">
        <is>
          <t>HBM Healthcare Investments, HBM Partners</t>
        </is>
      </c>
      <c r="AB182" s="96" t="inlineStr">
        <is>
          <t>Zug, Switzerland</t>
        </is>
      </c>
      <c r="AC182" s="97" t="inlineStr">
        <is>
          <t>Pharmaceuticals and Biotechnology</t>
        </is>
      </c>
      <c r="AD182" s="98" t="inlineStr">
        <is>
          <t>Seed Round, Early Stage VC, Later Stage VC</t>
        </is>
      </c>
      <c r="AE182" s="99" t="inlineStr">
        <is>
          <t>Europe, United States</t>
        </is>
      </c>
      <c r="AF182" s="100" t="inlineStr">
        <is>
          <t>HBM</t>
        </is>
      </c>
      <c r="AG182" s="233">
        <f>HYPERLINK("https://my.pitchbook.com?i=10367-47", "View Investor Online")</f>
      </c>
    </row>
    <row r="183">
      <c r="A183" s="36" t="inlineStr">
        <is>
          <t>13481-47F</t>
        </is>
      </c>
      <c r="B183" s="37" t="inlineStr">
        <is>
          <t>Artiman Ventures Special Opportunities Fund</t>
        </is>
      </c>
      <c r="C183" s="38" t="inlineStr">
        <is>
          <t/>
        </is>
      </c>
      <c r="D183" s="39" t="inlineStr">
        <is>
          <t>Venture Capital</t>
        </is>
      </c>
      <c r="E183" s="40" t="n">
        <v>133.0</v>
      </c>
      <c r="F183" s="41" t="inlineStr">
        <is>
          <t>Palo Alto, CA</t>
        </is>
      </c>
      <c r="G183" s="42" t="n">
        <v>4.0</v>
      </c>
      <c r="H183" s="43" t="n">
        <v>2011.0</v>
      </c>
      <c r="I183" s="44" t="n">
        <v>100.0</v>
      </c>
      <c r="J183" s="45" t="n">
        <v>133.0</v>
      </c>
      <c r="K183" s="46" t="n">
        <v>6.240800046287034</v>
      </c>
      <c r="L183" s="47" t="n">
        <v>18.871463099999996</v>
      </c>
      <c r="M183" s="48" t="n">
        <v>54.0975106</v>
      </c>
      <c r="N183" s="49" t="n">
        <v>-10.74</v>
      </c>
      <c r="O183" s="50" t="inlineStr">
        <is>
          <t/>
        </is>
      </c>
      <c r="P183" s="51" t="n">
        <v>-14.34</v>
      </c>
      <c r="Q183" s="52" t="n">
        <v>0.14</v>
      </c>
      <c r="R183" s="53" t="n">
        <v>-0.13</v>
      </c>
      <c r="S183" s="54" t="n">
        <v>0.41</v>
      </c>
      <c r="T183" s="55" t="n">
        <v>-0.6700000000000002</v>
      </c>
      <c r="U183" s="56" t="n">
        <v>0.55</v>
      </c>
      <c r="V183" s="57" t="n">
        <v>-0.615</v>
      </c>
      <c r="W183" s="58" t="inlineStr">
        <is>
          <t/>
        </is>
      </c>
      <c r="X183" s="59" t="inlineStr">
        <is>
          <t>LP Original Commitments</t>
        </is>
      </c>
      <c r="Y183" s="60" t="inlineStr">
        <is>
          <t>2019 Y</t>
        </is>
      </c>
      <c r="Z183" s="61" t="inlineStr">
        <is>
          <t>100M - 249M</t>
        </is>
      </c>
      <c r="AA183" s="62" t="inlineStr">
        <is>
          <t>Artiman Ventures</t>
        </is>
      </c>
      <c r="AB183" s="63" t="inlineStr">
        <is>
          <t>Palo Alto, CA</t>
        </is>
      </c>
      <c r="AC183" s="64" t="inlineStr">
        <is>
          <t>Software</t>
        </is>
      </c>
      <c r="AD183" s="65" t="inlineStr">
        <is>
          <t>Seed Round, Early Stage VC, Later Stage VC</t>
        </is>
      </c>
      <c r="AE183" s="66" t="inlineStr">
        <is>
          <t/>
        </is>
      </c>
      <c r="AF183" s="67" t="inlineStr">
        <is>
          <t>Industriens Pensionsforsikring, UTIMCO</t>
        </is>
      </c>
      <c r="AG183" s="232">
        <f>HYPERLINK("https://my.pitchbook.com?i=11114-38", "View Investor Online")</f>
      </c>
    </row>
    <row r="184">
      <c r="A184" s="69" t="inlineStr">
        <is>
          <t>16728-22F</t>
        </is>
      </c>
      <c r="B184" s="70" t="inlineStr">
        <is>
          <t>Pear Ventures III</t>
        </is>
      </c>
      <c r="C184" s="71" t="inlineStr">
        <is>
          <t/>
        </is>
      </c>
      <c r="D184" s="72" t="inlineStr">
        <is>
          <t>Venture Capital</t>
        </is>
      </c>
      <c r="E184" s="73" t="n">
        <v>160.0</v>
      </c>
      <c r="F184" s="74" t="inlineStr">
        <is>
          <t>Palo Alto, CA</t>
        </is>
      </c>
      <c r="G184" s="75" t="n">
        <v>4.0</v>
      </c>
      <c r="H184" s="76" t="n">
        <v>2019.0</v>
      </c>
      <c r="I184" s="77" t="n">
        <v>6.313125000000001</v>
      </c>
      <c r="J184" s="78" t="n">
        <v>10.101</v>
      </c>
      <c r="K184" s="79" t="n">
        <v>149.899</v>
      </c>
      <c r="L184" s="80" t="n">
        <v>0.0</v>
      </c>
      <c r="M184" s="81" t="n">
        <v>5.2</v>
      </c>
      <c r="N184" s="82" t="n">
        <v>-74.8</v>
      </c>
      <c r="O184" s="83" t="inlineStr">
        <is>
          <t/>
        </is>
      </c>
      <c r="P184" s="84" t="n">
        <v>-48.91</v>
      </c>
      <c r="Q184" s="85" t="n">
        <v>0.0</v>
      </c>
      <c r="R184" s="86" t="n">
        <v>0.0</v>
      </c>
      <c r="S184" s="87" t="n">
        <v>0.515</v>
      </c>
      <c r="T184" s="88" t="n">
        <v>-0.385</v>
      </c>
      <c r="U184" s="89" t="n">
        <v>0.52</v>
      </c>
      <c r="V184" s="90" t="n">
        <v>-0.39</v>
      </c>
      <c r="W184" s="91" t="inlineStr">
        <is>
          <t/>
        </is>
      </c>
      <c r="X184" s="92" t="inlineStr">
        <is>
          <t>GP Self Reporting</t>
        </is>
      </c>
      <c r="Y184" s="93" t="inlineStr">
        <is>
          <t>2020 Y</t>
        </is>
      </c>
      <c r="Z184" s="94" t="inlineStr">
        <is>
          <t>100M - 249M</t>
        </is>
      </c>
      <c r="AA184" s="95" t="inlineStr">
        <is>
          <t>Pear</t>
        </is>
      </c>
      <c r="AB184" s="96" t="inlineStr">
        <is>
          <t>Palo Alto, CA</t>
        </is>
      </c>
      <c r="AC184" s="97" t="inlineStr">
        <is>
          <t>Healthcare Technology Systems</t>
        </is>
      </c>
      <c r="AD184" s="98" t="inlineStr">
        <is>
          <t>Seed Round, Early Stage VC, Later Stage VC</t>
        </is>
      </c>
      <c r="AE184" s="99" t="inlineStr">
        <is>
          <t/>
        </is>
      </c>
      <c r="AF184" s="100" t="inlineStr">
        <is>
          <t>Pear</t>
        </is>
      </c>
      <c r="AG184" s="233">
        <f>HYPERLINK("https://my.pitchbook.com?i=58373-20", "View Investor Online")</f>
      </c>
    </row>
    <row r="185">
      <c r="A185" s="36" t="inlineStr">
        <is>
          <t>11644-30F</t>
        </is>
      </c>
      <c r="B185" s="37" t="inlineStr">
        <is>
          <t>IGNIA Fund I</t>
        </is>
      </c>
      <c r="C185" s="38" t="inlineStr">
        <is>
          <t/>
        </is>
      </c>
      <c r="D185" s="39" t="inlineStr">
        <is>
          <t>Venture Capital</t>
        </is>
      </c>
      <c r="E185" s="40" t="n">
        <v>102.0</v>
      </c>
      <c r="F185" s="41" t="inlineStr">
        <is>
          <t>Monterrey, Mexico</t>
        </is>
      </c>
      <c r="G185" s="42" t="inlineStr">
        <is>
          <t/>
        </is>
      </c>
      <c r="H185" s="43" t="n">
        <v>2010.0</v>
      </c>
      <c r="I185" s="44" t="n">
        <v>75.13349215686274</v>
      </c>
      <c r="J185" s="45" t="n">
        <v>76.636162</v>
      </c>
      <c r="K185" s="46" t="n">
        <v>0.0</v>
      </c>
      <c r="L185" s="47" t="n">
        <v>0.900004</v>
      </c>
      <c r="M185" s="48" t="n">
        <v>30.373729999999995</v>
      </c>
      <c r="N185" s="49" t="n">
        <v>-4.3</v>
      </c>
      <c r="O185" s="50" t="inlineStr">
        <is>
          <t/>
        </is>
      </c>
      <c r="P185" s="51" t="inlineStr">
        <is>
          <t/>
        </is>
      </c>
      <c r="Q185" s="52" t="n">
        <v>0.011743855</v>
      </c>
      <c r="R185" s="53" t="inlineStr">
        <is>
          <t/>
        </is>
      </c>
      <c r="S185" s="54" t="n">
        <v>0.396336784</v>
      </c>
      <c r="T185" s="55" t="inlineStr">
        <is>
          <t/>
        </is>
      </c>
      <c r="U185" s="56" t="n">
        <v>0.41000000000000003</v>
      </c>
      <c r="V185" s="57" t="inlineStr">
        <is>
          <t/>
        </is>
      </c>
      <c r="W185" s="58" t="inlineStr">
        <is>
          <t/>
        </is>
      </c>
      <c r="X185" s="59" t="inlineStr">
        <is>
          <t>GP Self Reporting</t>
        </is>
      </c>
      <c r="Y185" s="60" t="inlineStr">
        <is>
          <t>2019 Y</t>
        </is>
      </c>
      <c r="Z185" s="61" t="inlineStr">
        <is>
          <t>100M - 249M</t>
        </is>
      </c>
      <c r="AA185" s="62" t="inlineStr">
        <is>
          <t>IGNIA Partners</t>
        </is>
      </c>
      <c r="AB185" s="63" t="inlineStr">
        <is>
          <t>Monterrey, Mexico</t>
        </is>
      </c>
      <c r="AC185" s="64" t="inlineStr">
        <is>
          <t>Consumer Products and Services (B2C), Financial Services, Healthcare, Information Technology</t>
        </is>
      </c>
      <c r="AD185" s="65" t="inlineStr">
        <is>
          <t>Early Stage VC</t>
        </is>
      </c>
      <c r="AE185" s="66" t="inlineStr">
        <is>
          <t>Canada, United States, Greenland, Mexico, Bermuda</t>
        </is>
      </c>
      <c r="AF185" s="67" t="inlineStr">
        <is>
          <t>IGNIA</t>
        </is>
      </c>
      <c r="AG185" s="232">
        <f>HYPERLINK("https://my.pitchbook.com?i=14156-65", "View Investor Online")</f>
      </c>
    </row>
    <row r="186">
      <c r="A186" s="69" t="inlineStr">
        <is>
          <t>16589-26F</t>
        </is>
      </c>
      <c r="B186" s="70" t="inlineStr">
        <is>
          <t>Hyde Park Venture Partners Fund III</t>
        </is>
      </c>
      <c r="C186" s="71" t="inlineStr">
        <is>
          <t/>
        </is>
      </c>
      <c r="D186" s="72" t="inlineStr">
        <is>
          <t>Venture Capital - Early Stage</t>
        </is>
      </c>
      <c r="E186" s="73" t="n">
        <v>100.0</v>
      </c>
      <c r="F186" s="74" t="inlineStr">
        <is>
          <t>Chicago, IL</t>
        </is>
      </c>
      <c r="G186" s="75" t="inlineStr">
        <is>
          <t/>
        </is>
      </c>
      <c r="H186" s="76" t="n">
        <v>2019.0</v>
      </c>
      <c r="I186" s="77" t="n">
        <v>7.0</v>
      </c>
      <c r="J186" s="78" t="n">
        <v>7.0</v>
      </c>
      <c r="K186" s="79" t="n">
        <v>93.0</v>
      </c>
      <c r="L186" s="80" t="n">
        <v>0.0</v>
      </c>
      <c r="M186" s="81" t="inlineStr">
        <is>
          <t/>
        </is>
      </c>
      <c r="N186" s="82" t="inlineStr">
        <is>
          <t/>
        </is>
      </c>
      <c r="O186" s="83" t="inlineStr">
        <is>
          <t/>
        </is>
      </c>
      <c r="P186" s="84" t="inlineStr">
        <is>
          <t/>
        </is>
      </c>
      <c r="Q186" s="85" t="n">
        <v>0.0</v>
      </c>
      <c r="R186" s="86" t="inlineStr">
        <is>
          <t/>
        </is>
      </c>
      <c r="S186" s="87" t="n">
        <v>0.0</v>
      </c>
      <c r="T186" s="88" t="inlineStr">
        <is>
          <t/>
        </is>
      </c>
      <c r="U186" s="89" t="n">
        <v>0.0</v>
      </c>
      <c r="V186" s="90" t="inlineStr">
        <is>
          <t/>
        </is>
      </c>
      <c r="W186" s="91" t="inlineStr">
        <is>
          <t/>
        </is>
      </c>
      <c r="X186" s="92" t="inlineStr">
        <is>
          <t>GP Self Reporting</t>
        </is>
      </c>
      <c r="Y186" s="93" t="inlineStr">
        <is>
          <t>2019 Y</t>
        </is>
      </c>
      <c r="Z186" s="94" t="inlineStr">
        <is>
          <t>100M - 249M</t>
        </is>
      </c>
      <c r="AA186" s="95" t="inlineStr">
        <is>
          <t>Hyde Park Venture Partners</t>
        </is>
      </c>
      <c r="AB186" s="96" t="inlineStr">
        <is>
          <t>Chicago, IL</t>
        </is>
      </c>
      <c r="AC186" s="97" t="inlineStr">
        <is>
          <t>Software</t>
        </is>
      </c>
      <c r="AD186" s="98" t="inlineStr">
        <is>
          <t>Seed Round, Early Stage VC</t>
        </is>
      </c>
      <c r="AE186" s="99" t="inlineStr">
        <is>
          <t>Midwest</t>
        </is>
      </c>
      <c r="AF186" s="100" t="inlineStr">
        <is>
          <t>HPVP, Hyde Park</t>
        </is>
      </c>
      <c r="AG186" s="233">
        <f>HYPERLINK("https://my.pitchbook.com?i=53539-93", "View Investor Online")</f>
      </c>
    </row>
    <row r="187">
      <c r="A187" s="36" t="inlineStr">
        <is>
          <t>16462-00F</t>
        </is>
      </c>
      <c r="B187" s="37" t="inlineStr">
        <is>
          <t>5AM Opportunities I</t>
        </is>
      </c>
      <c r="C187" s="38" t="inlineStr">
        <is>
          <t/>
        </is>
      </c>
      <c r="D187" s="39" t="inlineStr">
        <is>
          <t>Venture Capital</t>
        </is>
      </c>
      <c r="E187" s="40" t="n">
        <v>145.0</v>
      </c>
      <c r="F187" s="41" t="inlineStr">
        <is>
          <t>San Francisco, CA</t>
        </is>
      </c>
      <c r="G187" s="42" t="inlineStr">
        <is>
          <t/>
        </is>
      </c>
      <c r="H187" s="43" t="n">
        <v>2018.0</v>
      </c>
      <c r="I187" s="44" t="n">
        <v>10.884353741496598</v>
      </c>
      <c r="J187" s="45" t="n">
        <v>15.782312925170068</v>
      </c>
      <c r="K187" s="46" t="n">
        <v>0.0</v>
      </c>
      <c r="L187" s="47" t="inlineStr">
        <is>
          <t/>
        </is>
      </c>
      <c r="M187" s="48" t="n">
        <v>14.795918367346939</v>
      </c>
      <c r="N187" s="49" t="inlineStr">
        <is>
          <t/>
        </is>
      </c>
      <c r="O187" s="50" t="inlineStr">
        <is>
          <t/>
        </is>
      </c>
      <c r="P187" s="51" t="inlineStr">
        <is>
          <t/>
        </is>
      </c>
      <c r="Q187" s="52" t="inlineStr">
        <is>
          <t/>
        </is>
      </c>
      <c r="R187" s="53" t="inlineStr">
        <is>
          <t/>
        </is>
      </c>
      <c r="S187" s="54" t="n">
        <v>0.94</v>
      </c>
      <c r="T187" s="55" t="inlineStr">
        <is>
          <t/>
        </is>
      </c>
      <c r="U187" s="56" t="inlineStr">
        <is>
          <t/>
        </is>
      </c>
      <c r="V187" s="57" t="inlineStr">
        <is>
          <t/>
        </is>
      </c>
      <c r="W187" s="58" t="inlineStr">
        <is>
          <t/>
        </is>
      </c>
      <c r="X187" s="59" t="inlineStr">
        <is>
          <t>GP Self Reporting, LP Original Commitments</t>
        </is>
      </c>
      <c r="Y187" s="60" t="inlineStr">
        <is>
          <t>2019 Y</t>
        </is>
      </c>
      <c r="Z187" s="61" t="inlineStr">
        <is>
          <t>100M - 249M</t>
        </is>
      </c>
      <c r="AA187" s="62" t="inlineStr">
        <is>
          <t>5AM Ventures</t>
        </is>
      </c>
      <c r="AB187" s="63" t="inlineStr">
        <is>
          <t>San Francisco, CA</t>
        </is>
      </c>
      <c r="AC187" s="64" t="inlineStr">
        <is>
          <t>Pharmaceuticals and Biotechnology</t>
        </is>
      </c>
      <c r="AD187" s="65" t="inlineStr">
        <is>
          <t>Seed Round, Early Stage VC, Later Stage VC</t>
        </is>
      </c>
      <c r="AE187" s="66" t="inlineStr">
        <is>
          <t>United States, North America</t>
        </is>
      </c>
      <c r="AF187" s="67" t="inlineStr">
        <is>
          <t>5AM, Michigan Department of Treasury</t>
        </is>
      </c>
      <c r="AG187" s="232">
        <f>HYPERLINK("https://my.pitchbook.com?i=11104-03", "View Investor Online")</f>
      </c>
    </row>
    <row r="188">
      <c r="A188" s="69" t="inlineStr">
        <is>
          <t>11627-56F</t>
        </is>
      </c>
      <c r="B188" s="70" t="inlineStr">
        <is>
          <t>A.M. Pappas Life Science Ventures IV</t>
        </is>
      </c>
      <c r="C188" s="71" t="inlineStr">
        <is>
          <t/>
        </is>
      </c>
      <c r="D188" s="72" t="inlineStr">
        <is>
          <t>Venture Capital</t>
        </is>
      </c>
      <c r="E188" s="73" t="n">
        <v>102.0</v>
      </c>
      <c r="F188" s="74" t="inlineStr">
        <is>
          <t>Durham, NC</t>
        </is>
      </c>
      <c r="G188" s="75" t="inlineStr">
        <is>
          <t/>
        </is>
      </c>
      <c r="H188" s="76" t="n">
        <v>2009.0</v>
      </c>
      <c r="I188" s="77" t="n">
        <v>97.50000255555521</v>
      </c>
      <c r="J188" s="78" t="n">
        <v>99.45000260666632</v>
      </c>
      <c r="K188" s="79" t="n">
        <v>0.0</v>
      </c>
      <c r="L188" s="80" t="inlineStr">
        <is>
          <t/>
        </is>
      </c>
      <c r="M188" s="81" t="n">
        <v>6.017876026949863</v>
      </c>
      <c r="N188" s="82" t="inlineStr">
        <is>
          <t/>
        </is>
      </c>
      <c r="O188" s="83" t="inlineStr">
        <is>
          <t/>
        </is>
      </c>
      <c r="P188" s="84" t="inlineStr">
        <is>
          <t/>
        </is>
      </c>
      <c r="Q188" s="85" t="inlineStr">
        <is>
          <t/>
        </is>
      </c>
      <c r="R188" s="86" t="inlineStr">
        <is>
          <t/>
        </is>
      </c>
      <c r="S188" s="87" t="n">
        <v>0.061</v>
      </c>
      <c r="T188" s="88" t="n">
        <v>-0.6323000000000001</v>
      </c>
      <c r="U188" s="89" t="inlineStr">
        <is>
          <t/>
        </is>
      </c>
      <c r="V188" s="90" t="inlineStr">
        <is>
          <t/>
        </is>
      </c>
      <c r="W188" s="91" t="inlineStr">
        <is>
          <t/>
        </is>
      </c>
      <c r="X188" s="92" t="inlineStr">
        <is>
          <t>GP Self Reporting</t>
        </is>
      </c>
      <c r="Y188" s="93" t="inlineStr">
        <is>
          <t>2020 Y</t>
        </is>
      </c>
      <c r="Z188" s="94" t="inlineStr">
        <is>
          <t>100M - 249M</t>
        </is>
      </c>
      <c r="AA188" s="95" t="inlineStr">
        <is>
          <t>Pappas Capital</t>
        </is>
      </c>
      <c r="AB188" s="96" t="inlineStr">
        <is>
          <t>Durham, NC</t>
        </is>
      </c>
      <c r="AC188" s="97" t="inlineStr">
        <is>
          <t>Pharmaceuticals and Biotechnology</t>
        </is>
      </c>
      <c r="AD188" s="98" t="inlineStr">
        <is>
          <t>Convertible Debt, Later Stage VC, Angel (individual), Debt - General, Early Stage VC</t>
        </is>
      </c>
      <c r="AE188" s="99" t="inlineStr">
        <is>
          <t>United States, Canada</t>
        </is>
      </c>
      <c r="AF188" s="100" t="inlineStr">
        <is>
          <t>Pappas</t>
        </is>
      </c>
      <c r="AG188" s="233">
        <f>HYPERLINK("https://my.pitchbook.com?i=11108-98", "View Investor Online")</f>
      </c>
    </row>
    <row r="189">
      <c r="A189" s="36" t="inlineStr">
        <is>
          <t>12988-36F</t>
        </is>
      </c>
      <c r="B189" s="37" t="inlineStr">
        <is>
          <t>Aster II</t>
        </is>
      </c>
      <c r="C189" s="38" t="inlineStr">
        <is>
          <t/>
        </is>
      </c>
      <c r="D189" s="39" t="inlineStr">
        <is>
          <t>Venture Capital</t>
        </is>
      </c>
      <c r="E189" s="40" t="n">
        <v>135.98523</v>
      </c>
      <c r="F189" s="41" t="inlineStr">
        <is>
          <t>Paris, France</t>
        </is>
      </c>
      <c r="G189" s="42" t="inlineStr">
        <is>
          <t/>
        </is>
      </c>
      <c r="H189" s="43" t="n">
        <v>2010.0</v>
      </c>
      <c r="I189" s="44" t="n">
        <v>68.84857142857142</v>
      </c>
      <c r="J189" s="45" t="n">
        <v>93.62388988563426</v>
      </c>
      <c r="K189" s="46" t="n">
        <v>0.0</v>
      </c>
      <c r="L189" s="47" t="n">
        <v>3.31544947652161</v>
      </c>
      <c r="M189" s="48" t="inlineStr">
        <is>
          <t/>
        </is>
      </c>
      <c r="N189" s="49" t="inlineStr">
        <is>
          <t/>
        </is>
      </c>
      <c r="O189" s="50" t="inlineStr">
        <is>
          <t/>
        </is>
      </c>
      <c r="P189" s="51" t="inlineStr">
        <is>
          <t/>
        </is>
      </c>
      <c r="Q189" s="52" t="n">
        <v>0.03541243</v>
      </c>
      <c r="R189" s="53" t="n">
        <v>-0.0022975699999999988</v>
      </c>
      <c r="S189" s="54" t="inlineStr">
        <is>
          <t/>
        </is>
      </c>
      <c r="T189" s="55" t="inlineStr">
        <is>
          <t/>
        </is>
      </c>
      <c r="U189" s="56" t="inlineStr">
        <is>
          <t/>
        </is>
      </c>
      <c r="V189" s="57" t="inlineStr">
        <is>
          <t/>
        </is>
      </c>
      <c r="W189" s="58" t="inlineStr">
        <is>
          <t/>
        </is>
      </c>
      <c r="X189" s="59" t="inlineStr">
        <is>
          <t>GP Self Reporting</t>
        </is>
      </c>
      <c r="Y189" s="60" t="inlineStr">
        <is>
          <t>2017 Y</t>
        </is>
      </c>
      <c r="Z189" s="61" t="inlineStr">
        <is>
          <t>100M - 249M</t>
        </is>
      </c>
      <c r="AA189" s="62" t="inlineStr">
        <is>
          <t>Aster Capital</t>
        </is>
      </c>
      <c r="AB189" s="63" t="inlineStr">
        <is>
          <t>Paris, France</t>
        </is>
      </c>
      <c r="AC189" s="64" t="inlineStr">
        <is>
          <t>Information Technology, Energy, Software</t>
        </is>
      </c>
      <c r="AD189" s="65" t="inlineStr">
        <is>
          <t>Seed Round, Early Stage VC, Later Stage VC</t>
        </is>
      </c>
      <c r="AE189" s="66" t="inlineStr">
        <is>
          <t/>
        </is>
      </c>
      <c r="AF189" s="67" t="inlineStr">
        <is>
          <t>Aster</t>
        </is>
      </c>
      <c r="AG189" s="232">
        <f>HYPERLINK("https://my.pitchbook.com?i=42463-99", "View Investor Online")</f>
      </c>
    </row>
    <row r="190">
      <c r="A190" s="69" t="inlineStr">
        <is>
          <t>16183-00F</t>
        </is>
      </c>
      <c r="B190" s="70" t="inlineStr">
        <is>
          <t>Aster VII</t>
        </is>
      </c>
      <c r="C190" s="71" t="inlineStr">
        <is>
          <t/>
        </is>
      </c>
      <c r="D190" s="72" t="inlineStr">
        <is>
          <t>Venture Capital</t>
        </is>
      </c>
      <c r="E190" s="73" t="n">
        <v>236.41165</v>
      </c>
      <c r="F190" s="74" t="inlineStr">
        <is>
          <t>Paris, France</t>
        </is>
      </c>
      <c r="G190" s="75" t="inlineStr">
        <is>
          <t/>
        </is>
      </c>
      <c r="H190" s="76" t="n">
        <v>2017.0</v>
      </c>
      <c r="I190" s="77" t="n">
        <v>8.23</v>
      </c>
      <c r="J190" s="78" t="n">
        <v>19.45667874730195</v>
      </c>
      <c r="K190" s="79" t="n">
        <v>46.6626101407767</v>
      </c>
      <c r="L190" s="80" t="n">
        <v>0.0</v>
      </c>
      <c r="M190" s="81" t="inlineStr">
        <is>
          <t/>
        </is>
      </c>
      <c r="N190" s="82" t="inlineStr">
        <is>
          <t/>
        </is>
      </c>
      <c r="O190" s="83" t="inlineStr">
        <is>
          <t/>
        </is>
      </c>
      <c r="P190" s="84" t="inlineStr">
        <is>
          <t/>
        </is>
      </c>
      <c r="Q190" s="85" t="n">
        <v>0.0</v>
      </c>
      <c r="R190" s="86" t="inlineStr">
        <is>
          <t/>
        </is>
      </c>
      <c r="S190" s="87" t="inlineStr">
        <is>
          <t/>
        </is>
      </c>
      <c r="T190" s="88" t="inlineStr">
        <is>
          <t/>
        </is>
      </c>
      <c r="U190" s="89" t="inlineStr">
        <is>
          <t/>
        </is>
      </c>
      <c r="V190" s="90" t="inlineStr">
        <is>
          <t/>
        </is>
      </c>
      <c r="W190" s="91" t="inlineStr">
        <is>
          <t/>
        </is>
      </c>
      <c r="X190" s="92" t="inlineStr">
        <is>
          <t>GP Self Reporting</t>
        </is>
      </c>
      <c r="Y190" s="93" t="inlineStr">
        <is>
          <t>2017 Y</t>
        </is>
      </c>
      <c r="Z190" s="94" t="inlineStr">
        <is>
          <t>100M - 249M</t>
        </is>
      </c>
      <c r="AA190" s="95" t="inlineStr">
        <is>
          <t>Aster Capital</t>
        </is>
      </c>
      <c r="AB190" s="96" t="inlineStr">
        <is>
          <t>Paris, France</t>
        </is>
      </c>
      <c r="AC190" s="97" t="inlineStr">
        <is>
          <t>Industrial Supplies and Parts</t>
        </is>
      </c>
      <c r="AD190" s="98" t="inlineStr">
        <is>
          <t>Seed Round, Early Stage VC, Later Stage VC</t>
        </is>
      </c>
      <c r="AE190" s="99" t="inlineStr">
        <is>
          <t/>
        </is>
      </c>
      <c r="AF190" s="100" t="inlineStr">
        <is>
          <t>Aster</t>
        </is>
      </c>
      <c r="AG190" s="233">
        <f>HYPERLINK("https://my.pitchbook.com?i=42463-99", "View Investor Online")</f>
      </c>
    </row>
    <row r="191">
      <c r="A191" s="36" t="inlineStr">
        <is>
          <t>13537-81F</t>
        </is>
      </c>
      <c r="B191" s="37" t="inlineStr">
        <is>
          <t>Avalon Ventures X</t>
        </is>
      </c>
      <c r="C191" s="38" t="inlineStr">
        <is>
          <t/>
        </is>
      </c>
      <c r="D191" s="39" t="inlineStr">
        <is>
          <t>Venture Capital - Early Stage</t>
        </is>
      </c>
      <c r="E191" s="40" t="n">
        <v>202.0</v>
      </c>
      <c r="F191" s="41" t="inlineStr">
        <is>
          <t>San Diego, CA</t>
        </is>
      </c>
      <c r="G191" s="42" t="inlineStr">
        <is>
          <t/>
        </is>
      </c>
      <c r="H191" s="43" t="n">
        <v>2012.0</v>
      </c>
      <c r="I191" s="44" t="inlineStr">
        <is>
          <t/>
        </is>
      </c>
      <c r="J191" s="45" t="inlineStr">
        <is>
          <t/>
        </is>
      </c>
      <c r="K191" s="46" t="n">
        <v>161.095</v>
      </c>
      <c r="L191" s="47" t="inlineStr">
        <is>
          <t/>
        </is>
      </c>
      <c r="M191" s="48" t="inlineStr">
        <is>
          <t/>
        </is>
      </c>
      <c r="N191" s="49" t="inlineStr">
        <is>
          <t/>
        </is>
      </c>
      <c r="O191" s="50" t="inlineStr">
        <is>
          <t/>
        </is>
      </c>
      <c r="P191" s="51" t="inlineStr">
        <is>
          <t/>
        </is>
      </c>
      <c r="Q191" s="52" t="inlineStr">
        <is>
          <t/>
        </is>
      </c>
      <c r="R191" s="53" t="inlineStr">
        <is>
          <t/>
        </is>
      </c>
      <c r="S191" s="54" t="n">
        <v>0.85</v>
      </c>
      <c r="T191" s="55" t="inlineStr">
        <is>
          <t/>
        </is>
      </c>
      <c r="U191" s="56" t="inlineStr">
        <is>
          <t/>
        </is>
      </c>
      <c r="V191" s="57" t="inlineStr">
        <is>
          <t/>
        </is>
      </c>
      <c r="W191" s="58" t="inlineStr">
        <is>
          <t/>
        </is>
      </c>
      <c r="X191" s="59" t="inlineStr">
        <is>
          <t>LP Original Commitments</t>
        </is>
      </c>
      <c r="Y191" s="60" t="inlineStr">
        <is>
          <t>2013 Y</t>
        </is>
      </c>
      <c r="Z191" s="61" t="inlineStr">
        <is>
          <t>100M - 249M</t>
        </is>
      </c>
      <c r="AA191" s="62" t="inlineStr">
        <is>
          <t>Avalon Ventures</t>
        </is>
      </c>
      <c r="AB191" s="63" t="inlineStr">
        <is>
          <t>San Diego, CA</t>
        </is>
      </c>
      <c r="AC191" s="64" t="inlineStr">
        <is>
          <t>Software</t>
        </is>
      </c>
      <c r="AD191" s="65" t="inlineStr">
        <is>
          <t>Seed Round, Early Stage VC</t>
        </is>
      </c>
      <c r="AE191" s="66" t="inlineStr">
        <is>
          <t/>
        </is>
      </c>
      <c r="AF191" s="67" t="inlineStr">
        <is>
          <t>JSMF, Partners Healthcare Master Trust For ERISA Assets, PSPRS</t>
        </is>
      </c>
      <c r="AG191" s="232">
        <f>HYPERLINK("https://my.pitchbook.com?i=11122-12", "View Investor Online")</f>
      </c>
    </row>
    <row r="192">
      <c r="A192" s="69" t="inlineStr">
        <is>
          <t>12651-94F</t>
        </is>
      </c>
      <c r="B192" s="70" t="inlineStr">
        <is>
          <t>Azure Capital Partners III</t>
        </is>
      </c>
      <c r="C192" s="71" t="inlineStr">
        <is>
          <t/>
        </is>
      </c>
      <c r="D192" s="72" t="inlineStr">
        <is>
          <t>Venture Capital</t>
        </is>
      </c>
      <c r="E192" s="73" t="n">
        <v>100.0</v>
      </c>
      <c r="F192" s="74" t="inlineStr">
        <is>
          <t>San Francisco, CA</t>
        </is>
      </c>
      <c r="G192" s="75" t="inlineStr">
        <is>
          <t/>
        </is>
      </c>
      <c r="H192" s="76" t="n">
        <v>2011.0</v>
      </c>
      <c r="I192" s="77" t="n">
        <v>95.33</v>
      </c>
      <c r="J192" s="78" t="n">
        <v>95.33</v>
      </c>
      <c r="K192" s="79" t="n">
        <v>4.69233086186995</v>
      </c>
      <c r="L192" s="80" t="inlineStr">
        <is>
          <t/>
        </is>
      </c>
      <c r="M192" s="81" t="n">
        <v>106.4346</v>
      </c>
      <c r="N192" s="82" t="inlineStr">
        <is>
          <t/>
        </is>
      </c>
      <c r="O192" s="83" t="inlineStr">
        <is>
          <t/>
        </is>
      </c>
      <c r="P192" s="84" t="inlineStr">
        <is>
          <t/>
        </is>
      </c>
      <c r="Q192" s="85" t="inlineStr">
        <is>
          <t/>
        </is>
      </c>
      <c r="R192" s="86" t="inlineStr">
        <is>
          <t/>
        </is>
      </c>
      <c r="S192" s="87" t="n">
        <v>1.12</v>
      </c>
      <c r="T192" s="88" t="n">
        <v>0.040000000000000036</v>
      </c>
      <c r="U192" s="89" t="inlineStr">
        <is>
          <t/>
        </is>
      </c>
      <c r="V192" s="90" t="inlineStr">
        <is>
          <t/>
        </is>
      </c>
      <c r="W192" s="91" t="inlineStr">
        <is>
          <t/>
        </is>
      </c>
      <c r="X192" s="92" t="inlineStr">
        <is>
          <t>LP Original Commitments</t>
        </is>
      </c>
      <c r="Y192" s="93" t="inlineStr">
        <is>
          <t>2019 Y</t>
        </is>
      </c>
      <c r="Z192" s="94" t="inlineStr">
        <is>
          <t>100M - 249M</t>
        </is>
      </c>
      <c r="AA192" s="95" t="inlineStr">
        <is>
          <t>Azure Capital Partners</t>
        </is>
      </c>
      <c r="AB192" s="96" t="inlineStr">
        <is>
          <t>San Francisco, CA</t>
        </is>
      </c>
      <c r="AC192" s="97" t="inlineStr">
        <is>
          <t>Software</t>
        </is>
      </c>
      <c r="AD192" s="98" t="inlineStr">
        <is>
          <t>Seed Round, Early Stage VC, Later Stage VC</t>
        </is>
      </c>
      <c r="AE192" s="99" t="inlineStr">
        <is>
          <t>North America</t>
        </is>
      </c>
      <c r="AF192" s="100" t="inlineStr">
        <is>
          <t>HIERS</t>
        </is>
      </c>
      <c r="AG192" s="233">
        <f>HYPERLINK("https://my.pitchbook.com?i=11118-97", "View Investor Online")</f>
      </c>
    </row>
    <row r="193">
      <c r="A193" s="36" t="inlineStr">
        <is>
          <t>14009-23F</t>
        </is>
      </c>
      <c r="B193" s="37" t="inlineStr">
        <is>
          <t>BlueRun Ventures V</t>
        </is>
      </c>
      <c r="C193" s="38" t="inlineStr">
        <is>
          <t/>
        </is>
      </c>
      <c r="D193" s="39" t="inlineStr">
        <is>
          <t>Venture Capital</t>
        </is>
      </c>
      <c r="E193" s="40" t="n">
        <v>150.0</v>
      </c>
      <c r="F193" s="41" t="inlineStr">
        <is>
          <t>Menlo Park, CA</t>
        </is>
      </c>
      <c r="G193" s="42" t="n">
        <v>4.0</v>
      </c>
      <c r="H193" s="43" t="n">
        <v>2014.0</v>
      </c>
      <c r="I193" s="44" t="n">
        <v>91.00000199938103</v>
      </c>
      <c r="J193" s="45" t="n">
        <v>136.50000299907154</v>
      </c>
      <c r="K193" s="46" t="n">
        <v>0.375</v>
      </c>
      <c r="L193" s="47" t="n">
        <v>0.0</v>
      </c>
      <c r="M193" s="48" t="inlineStr">
        <is>
          <t/>
        </is>
      </c>
      <c r="N193" s="49" t="n">
        <v>-5.03</v>
      </c>
      <c r="O193" s="50" t="inlineStr">
        <is>
          <t/>
        </is>
      </c>
      <c r="P193" s="51" t="n">
        <v>-26.41</v>
      </c>
      <c r="Q193" s="52" t="n">
        <v>0.0</v>
      </c>
      <c r="R193" s="53" t="n">
        <v>0.0</v>
      </c>
      <c r="S193" s="54" t="inlineStr">
        <is>
          <t/>
        </is>
      </c>
      <c r="T193" s="55" t="inlineStr">
        <is>
          <t/>
        </is>
      </c>
      <c r="U193" s="56" t="inlineStr">
        <is>
          <t/>
        </is>
      </c>
      <c r="V193" s="57" t="inlineStr">
        <is>
          <t/>
        </is>
      </c>
      <c r="W193" s="58" t="inlineStr">
        <is>
          <t/>
        </is>
      </c>
      <c r="X193" s="59" t="inlineStr">
        <is>
          <t>LP Original Commitments</t>
        </is>
      </c>
      <c r="Y193" s="60" t="inlineStr">
        <is>
          <t>2019 Y</t>
        </is>
      </c>
      <c r="Z193" s="61" t="inlineStr">
        <is>
          <t>100M - 249M</t>
        </is>
      </c>
      <c r="AA193" s="62" t="inlineStr">
        <is>
          <t>BlueRun Ventures</t>
        </is>
      </c>
      <c r="AB193" s="63" t="inlineStr">
        <is>
          <t>Menlo Park, CA</t>
        </is>
      </c>
      <c r="AC193" s="64" t="inlineStr">
        <is>
          <t>Software</t>
        </is>
      </c>
      <c r="AD193" s="65" t="inlineStr">
        <is>
          <t>Early Stage VC</t>
        </is>
      </c>
      <c r="AE193" s="66" t="inlineStr">
        <is>
          <t>United States</t>
        </is>
      </c>
      <c r="AF193" s="67" t="inlineStr">
        <is>
          <t>CalSTRS, Industriens Pensionsforsikring</t>
        </is>
      </c>
      <c r="AG193" s="232">
        <f>HYPERLINK("https://my.pitchbook.com?i=11255-59", "View Investor Online")</f>
      </c>
    </row>
    <row r="194">
      <c r="A194" s="69" t="inlineStr">
        <is>
          <t>15965-20F</t>
        </is>
      </c>
      <c r="B194" s="70" t="inlineStr">
        <is>
          <t>BlueRun Ventures VI</t>
        </is>
      </c>
      <c r="C194" s="71" t="inlineStr">
        <is>
          <t/>
        </is>
      </c>
      <c r="D194" s="72" t="inlineStr">
        <is>
          <t>Venture Capital</t>
        </is>
      </c>
      <c r="E194" s="73" t="n">
        <v>130.0</v>
      </c>
      <c r="F194" s="74" t="inlineStr">
        <is>
          <t>Menlo Park, CA</t>
        </is>
      </c>
      <c r="G194" s="75" t="n">
        <v>1.0</v>
      </c>
      <c r="H194" s="76" t="n">
        <v>2019.0</v>
      </c>
      <c r="I194" s="77" t="n">
        <v>39.999997911949634</v>
      </c>
      <c r="J194" s="78" t="n">
        <v>51.99999728553452</v>
      </c>
      <c r="K194" s="79" t="n">
        <v>108.50666666666666</v>
      </c>
      <c r="L194" s="80" t="n">
        <v>0.0</v>
      </c>
      <c r="M194" s="81" t="inlineStr">
        <is>
          <t/>
        </is>
      </c>
      <c r="N194" s="82" t="n">
        <v>-5.44</v>
      </c>
      <c r="O194" s="83" t="inlineStr">
        <is>
          <t/>
        </is>
      </c>
      <c r="P194" s="84" t="n">
        <v>20.45</v>
      </c>
      <c r="Q194" s="85" t="n">
        <v>0.0</v>
      </c>
      <c r="R194" s="86" t="n">
        <v>0.0</v>
      </c>
      <c r="S194" s="87" t="inlineStr">
        <is>
          <t/>
        </is>
      </c>
      <c r="T194" s="88" t="inlineStr">
        <is>
          <t/>
        </is>
      </c>
      <c r="U194" s="89" t="inlineStr">
        <is>
          <t/>
        </is>
      </c>
      <c r="V194" s="90" t="inlineStr">
        <is>
          <t/>
        </is>
      </c>
      <c r="W194" s="91" t="inlineStr">
        <is>
          <t/>
        </is>
      </c>
      <c r="X194" s="92" t="inlineStr">
        <is>
          <t>LP Original Commitments</t>
        </is>
      </c>
      <c r="Y194" s="93" t="inlineStr">
        <is>
          <t>2019 Y</t>
        </is>
      </c>
      <c r="Z194" s="94" t="inlineStr">
        <is>
          <t>100M - 249M</t>
        </is>
      </c>
      <c r="AA194" s="95" t="inlineStr">
        <is>
          <t>BlueRun Ventures</t>
        </is>
      </c>
      <c r="AB194" s="96" t="inlineStr">
        <is>
          <t>Menlo Park, CA</t>
        </is>
      </c>
      <c r="AC194" s="97" t="inlineStr">
        <is>
          <t>Software</t>
        </is>
      </c>
      <c r="AD194" s="98" t="inlineStr">
        <is>
          <t>Early Stage VC, Seed Round</t>
        </is>
      </c>
      <c r="AE194" s="99" t="inlineStr">
        <is>
          <t/>
        </is>
      </c>
      <c r="AF194" s="100" t="inlineStr">
        <is>
          <t>CalSTRS, Montana BOI</t>
        </is>
      </c>
      <c r="AG194" s="233">
        <f>HYPERLINK("https://my.pitchbook.com?i=11255-59", "View Investor Online")</f>
      </c>
    </row>
    <row r="195">
      <c r="A195" s="36" t="inlineStr">
        <is>
          <t>15805-90F</t>
        </is>
      </c>
      <c r="B195" s="37" t="inlineStr">
        <is>
          <t>Builders VC Fund I</t>
        </is>
      </c>
      <c r="C195" s="38" t="inlineStr">
        <is>
          <t/>
        </is>
      </c>
      <c r="D195" s="39" t="inlineStr">
        <is>
          <t>Venture Capital</t>
        </is>
      </c>
      <c r="E195" s="40" t="n">
        <v>175.0</v>
      </c>
      <c r="F195" s="41" t="inlineStr">
        <is>
          <t>San Francisco, CA</t>
        </is>
      </c>
      <c r="G195" s="42" t="inlineStr">
        <is>
          <t/>
        </is>
      </c>
      <c r="H195" s="43" t="n">
        <v>2017.0</v>
      </c>
      <c r="I195" s="44" t="n">
        <v>40.0</v>
      </c>
      <c r="J195" s="45" t="n">
        <v>70.0</v>
      </c>
      <c r="K195" s="46" t="n">
        <v>56.831923076923076</v>
      </c>
      <c r="L195" s="47" t="inlineStr">
        <is>
          <t/>
        </is>
      </c>
      <c r="M195" s="48" t="n">
        <v>72.93006</v>
      </c>
      <c r="N195" s="49" t="inlineStr">
        <is>
          <t/>
        </is>
      </c>
      <c r="O195" s="50" t="inlineStr">
        <is>
          <t/>
        </is>
      </c>
      <c r="P195" s="51" t="inlineStr">
        <is>
          <t/>
        </is>
      </c>
      <c r="Q195" s="52" t="inlineStr">
        <is>
          <t/>
        </is>
      </c>
      <c r="R195" s="53" t="inlineStr">
        <is>
          <t/>
        </is>
      </c>
      <c r="S195" s="54" t="n">
        <v>1.04</v>
      </c>
      <c r="T195" s="55" t="n">
        <v>-0.17500000000000004</v>
      </c>
      <c r="U195" s="56" t="inlineStr">
        <is>
          <t/>
        </is>
      </c>
      <c r="V195" s="57" t="inlineStr">
        <is>
          <t/>
        </is>
      </c>
      <c r="W195" s="58" t="inlineStr">
        <is>
          <t/>
        </is>
      </c>
      <c r="X195" s="59" t="inlineStr">
        <is>
          <t>LP Original Commitments</t>
        </is>
      </c>
      <c r="Y195" s="60" t="inlineStr">
        <is>
          <t>2019 Y</t>
        </is>
      </c>
      <c r="Z195" s="61" t="inlineStr">
        <is>
          <t>100M - 249M</t>
        </is>
      </c>
      <c r="AA195" s="62" t="inlineStr">
        <is>
          <t>Builders VC</t>
        </is>
      </c>
      <c r="AB195" s="63" t="inlineStr">
        <is>
          <t>San Francisco, CA</t>
        </is>
      </c>
      <c r="AC195" s="64" t="inlineStr">
        <is>
          <t/>
        </is>
      </c>
      <c r="AD195" s="65" t="inlineStr">
        <is>
          <t>Seed Round, Early Stage VC, Later Stage VC</t>
        </is>
      </c>
      <c r="AE195" s="66" t="inlineStr">
        <is>
          <t/>
        </is>
      </c>
      <c r="AF195" s="67" t="inlineStr">
        <is>
          <t>HIERS, Montana BOI</t>
        </is>
      </c>
      <c r="AG195" s="232">
        <f>HYPERLINK("https://my.pitchbook.com?i=168899-86", "View Investor Online")</f>
      </c>
    </row>
    <row r="196">
      <c r="A196" s="69" t="inlineStr">
        <is>
          <t>15985-45F</t>
        </is>
      </c>
      <c r="B196" s="70" t="inlineStr">
        <is>
          <t>Crosscut 4</t>
        </is>
      </c>
      <c r="C196" s="71" t="inlineStr">
        <is>
          <t/>
        </is>
      </c>
      <c r="D196" s="72" t="inlineStr">
        <is>
          <t>Venture Capital</t>
        </is>
      </c>
      <c r="E196" s="73" t="n">
        <v>125.0</v>
      </c>
      <c r="F196" s="74" t="inlineStr">
        <is>
          <t>Santa Monica, CA</t>
        </is>
      </c>
      <c r="G196" s="75" t="inlineStr">
        <is>
          <t/>
        </is>
      </c>
      <c r="H196" s="76" t="n">
        <v>2017.0</v>
      </c>
      <c r="I196" s="77" t="n">
        <v>43.0</v>
      </c>
      <c r="J196" s="78" t="n">
        <v>53.75</v>
      </c>
      <c r="K196" s="79" t="n">
        <v>40.59423076923077</v>
      </c>
      <c r="L196" s="80" t="inlineStr">
        <is>
          <t/>
        </is>
      </c>
      <c r="M196" s="81" t="n">
        <v>63.91358333333333</v>
      </c>
      <c r="N196" s="82" t="inlineStr">
        <is>
          <t/>
        </is>
      </c>
      <c r="O196" s="83" t="inlineStr">
        <is>
          <t/>
        </is>
      </c>
      <c r="P196" s="84" t="inlineStr">
        <is>
          <t/>
        </is>
      </c>
      <c r="Q196" s="85" t="inlineStr">
        <is>
          <t/>
        </is>
      </c>
      <c r="R196" s="86" t="inlineStr">
        <is>
          <t/>
        </is>
      </c>
      <c r="S196" s="87" t="n">
        <v>1.19</v>
      </c>
      <c r="T196" s="88" t="n">
        <v>-0.025000000000000133</v>
      </c>
      <c r="U196" s="89" t="inlineStr">
        <is>
          <t/>
        </is>
      </c>
      <c r="V196" s="90" t="inlineStr">
        <is>
          <t/>
        </is>
      </c>
      <c r="W196" s="91" t="inlineStr">
        <is>
          <t/>
        </is>
      </c>
      <c r="X196" s="92" t="inlineStr">
        <is>
          <t>LP Original Commitments</t>
        </is>
      </c>
      <c r="Y196" s="93" t="inlineStr">
        <is>
          <t>2019 Y</t>
        </is>
      </c>
      <c r="Z196" s="94" t="inlineStr">
        <is>
          <t>100M - 249M</t>
        </is>
      </c>
      <c r="AA196" s="95" t="inlineStr">
        <is>
          <t>Crosscut Ventures</t>
        </is>
      </c>
      <c r="AB196" s="96" t="inlineStr">
        <is>
          <t>Santa Monica, CA</t>
        </is>
      </c>
      <c r="AC196" s="97" t="inlineStr">
        <is>
          <t>Software</t>
        </is>
      </c>
      <c r="AD196" s="98" t="inlineStr">
        <is>
          <t>Early Stage VC, Seed Round</t>
        </is>
      </c>
      <c r="AE196" s="99" t="inlineStr">
        <is>
          <t>Southern California</t>
        </is>
      </c>
      <c r="AF196" s="100" t="inlineStr">
        <is>
          <t>HIERS</t>
        </is>
      </c>
      <c r="AG196" s="233">
        <f>HYPERLINK("https://my.pitchbook.com?i=51566-05", "View Investor Online")</f>
      </c>
    </row>
    <row r="197">
      <c r="A197" s="36" t="inlineStr">
        <is>
          <t>11216-89F</t>
        </is>
      </c>
      <c r="B197" s="37" t="inlineStr">
        <is>
          <t>Crosslink Ventures IV</t>
        </is>
      </c>
      <c r="C197" s="38" t="inlineStr">
        <is>
          <t/>
        </is>
      </c>
      <c r="D197" s="39" t="inlineStr">
        <is>
          <t>Venture Capital - Early Stage</t>
        </is>
      </c>
      <c r="E197" s="40" t="n">
        <v>240.0</v>
      </c>
      <c r="F197" s="41" t="inlineStr">
        <is>
          <t>San Francisco, CA</t>
        </is>
      </c>
      <c r="G197" s="42" t="n">
        <v>2.0</v>
      </c>
      <c r="H197" s="43" t="n">
        <v>2016.0</v>
      </c>
      <c r="I197" s="44" t="inlineStr">
        <is>
          <t/>
        </is>
      </c>
      <c r="J197" s="45" t="inlineStr">
        <is>
          <t/>
        </is>
      </c>
      <c r="K197" s="46" t="n">
        <v>69.57085020242914</v>
      </c>
      <c r="L197" s="47" t="inlineStr">
        <is>
          <t/>
        </is>
      </c>
      <c r="M197" s="48" t="inlineStr">
        <is>
          <t/>
        </is>
      </c>
      <c r="N197" s="49" t="n">
        <v>23.0</v>
      </c>
      <c r="O197" s="50" t="inlineStr">
        <is>
          <t/>
        </is>
      </c>
      <c r="P197" s="51" t="n">
        <v>1.6999999999999993</v>
      </c>
      <c r="Q197" s="52" t="inlineStr">
        <is>
          <t/>
        </is>
      </c>
      <c r="R197" s="53" t="inlineStr">
        <is>
          <t/>
        </is>
      </c>
      <c r="S197" s="54" t="inlineStr">
        <is>
          <t/>
        </is>
      </c>
      <c r="T197" s="55" t="inlineStr">
        <is>
          <t/>
        </is>
      </c>
      <c r="U197" s="56" t="inlineStr">
        <is>
          <t/>
        </is>
      </c>
      <c r="V197" s="57" t="inlineStr">
        <is>
          <t/>
        </is>
      </c>
      <c r="W197" s="58" t="inlineStr">
        <is>
          <t/>
        </is>
      </c>
      <c r="X197" s="59" t="inlineStr">
        <is>
          <t>GP Self Reporting</t>
        </is>
      </c>
      <c r="Y197" s="60" t="inlineStr">
        <is>
          <t>2016 Y</t>
        </is>
      </c>
      <c r="Z197" s="61" t="inlineStr">
        <is>
          <t>100M - 249M</t>
        </is>
      </c>
      <c r="AA197" s="62" t="inlineStr">
        <is>
          <t>Crosslink Capital</t>
        </is>
      </c>
      <c r="AB197" s="63" t="inlineStr">
        <is>
          <t>San Francisco, CA</t>
        </is>
      </c>
      <c r="AC197" s="64" t="inlineStr">
        <is>
          <t>Software</t>
        </is>
      </c>
      <c r="AD197" s="65" t="inlineStr">
        <is>
          <t>Later Stage VC, Early Stage VC</t>
        </is>
      </c>
      <c r="AE197" s="66" t="inlineStr">
        <is>
          <t>United States</t>
        </is>
      </c>
      <c r="AF197" s="67" t="inlineStr">
        <is>
          <t>Crosslink</t>
        </is>
      </c>
      <c r="AG197" s="232">
        <f>HYPERLINK("https://my.pitchbook.com?i=11261-89", "View Investor Online")</f>
      </c>
    </row>
    <row r="198">
      <c r="A198" s="69" t="inlineStr">
        <is>
          <t>12579-58F</t>
        </is>
      </c>
      <c r="B198" s="70" t="inlineStr">
        <is>
          <t>Crosslink Ventures VI</t>
        </is>
      </c>
      <c r="C198" s="71" t="inlineStr">
        <is>
          <t/>
        </is>
      </c>
      <c r="D198" s="72" t="inlineStr">
        <is>
          <t>Venture Capital - Early Stage</t>
        </is>
      </c>
      <c r="E198" s="73" t="n">
        <v>200.0</v>
      </c>
      <c r="F198" s="74" t="inlineStr">
        <is>
          <t>San Francisco, CA</t>
        </is>
      </c>
      <c r="G198" s="75" t="n">
        <v>2.0</v>
      </c>
      <c r="H198" s="76" t="n">
        <v>2010.0</v>
      </c>
      <c r="I198" s="77" t="inlineStr">
        <is>
          <t/>
        </is>
      </c>
      <c r="J198" s="78" t="inlineStr">
        <is>
          <t/>
        </is>
      </c>
      <c r="K198" s="79" t="n">
        <v>4.499999911111112</v>
      </c>
      <c r="L198" s="80" t="inlineStr">
        <is>
          <t/>
        </is>
      </c>
      <c r="M198" s="81" t="inlineStr">
        <is>
          <t/>
        </is>
      </c>
      <c r="N198" s="82" t="n">
        <v>15.4</v>
      </c>
      <c r="O198" s="83" t="inlineStr">
        <is>
          <t/>
        </is>
      </c>
      <c r="P198" s="84" t="n">
        <v>2.7200000000000006</v>
      </c>
      <c r="Q198" s="85" t="inlineStr">
        <is>
          <t/>
        </is>
      </c>
      <c r="R198" s="86" t="inlineStr">
        <is>
          <t/>
        </is>
      </c>
      <c r="S198" s="87" t="inlineStr">
        <is>
          <t/>
        </is>
      </c>
      <c r="T198" s="88" t="inlineStr">
        <is>
          <t/>
        </is>
      </c>
      <c r="U198" s="89" t="inlineStr">
        <is>
          <t/>
        </is>
      </c>
      <c r="V198" s="90" t="inlineStr">
        <is>
          <t/>
        </is>
      </c>
      <c r="W198" s="91" t="inlineStr">
        <is>
          <t/>
        </is>
      </c>
      <c r="X198" s="92" t="inlineStr">
        <is>
          <t>GP Self Reporting, LP Original Commitments</t>
        </is>
      </c>
      <c r="Y198" s="93" t="inlineStr">
        <is>
          <t>2017 Y</t>
        </is>
      </c>
      <c r="Z198" s="94" t="inlineStr">
        <is>
          <t>100M - 249M</t>
        </is>
      </c>
      <c r="AA198" s="95" t="inlineStr">
        <is>
          <t>Crosslink Capital</t>
        </is>
      </c>
      <c r="AB198" s="96" t="inlineStr">
        <is>
          <t>San Francisco, CA</t>
        </is>
      </c>
      <c r="AC198" s="97" t="inlineStr">
        <is>
          <t>Software</t>
        </is>
      </c>
      <c r="AD198" s="98" t="inlineStr">
        <is>
          <t>Angel (individual), Seed Round, Early Stage VC, Later Stage VC</t>
        </is>
      </c>
      <c r="AE198" s="99" t="inlineStr">
        <is>
          <t>United States, Canada</t>
        </is>
      </c>
      <c r="AF198" s="100" t="inlineStr">
        <is>
          <t>Crosslink, DuPont Pension Trust Fund, The Guardian Master Pension Plan Trust, The Isabel Foundation</t>
        </is>
      </c>
      <c r="AG198" s="233">
        <f>HYPERLINK("https://my.pitchbook.com?i=11261-89", "View Investor Online")</f>
      </c>
    </row>
    <row r="199">
      <c r="A199" s="36" t="inlineStr">
        <is>
          <t>13906-72F</t>
        </is>
      </c>
      <c r="B199" s="37" t="inlineStr">
        <is>
          <t>Crosslink Ventures VII</t>
        </is>
      </c>
      <c r="C199" s="38" t="inlineStr">
        <is>
          <t/>
        </is>
      </c>
      <c r="D199" s="39" t="inlineStr">
        <is>
          <t>Venture Capital - Early Stage</t>
        </is>
      </c>
      <c r="E199" s="40" t="n">
        <v>170.0</v>
      </c>
      <c r="F199" s="41" t="inlineStr">
        <is>
          <t>San Francisco, CA</t>
        </is>
      </c>
      <c r="G199" s="42" t="n">
        <v>1.0</v>
      </c>
      <c r="H199" s="43" t="n">
        <v>2015.0</v>
      </c>
      <c r="I199" s="44" t="inlineStr">
        <is>
          <t/>
        </is>
      </c>
      <c r="J199" s="45" t="inlineStr">
        <is>
          <t/>
        </is>
      </c>
      <c r="K199" s="46" t="n">
        <v>10.812000000000001</v>
      </c>
      <c r="L199" s="47" t="inlineStr">
        <is>
          <t/>
        </is>
      </c>
      <c r="M199" s="48" t="inlineStr">
        <is>
          <t/>
        </is>
      </c>
      <c r="N199" s="49" t="n">
        <v>14.5</v>
      </c>
      <c r="O199" s="50" t="inlineStr">
        <is>
          <t/>
        </is>
      </c>
      <c r="P199" s="51" t="n">
        <v>7.5</v>
      </c>
      <c r="Q199" s="52" t="inlineStr">
        <is>
          <t/>
        </is>
      </c>
      <c r="R199" s="53" t="inlineStr">
        <is>
          <t/>
        </is>
      </c>
      <c r="S199" s="54" t="inlineStr">
        <is>
          <t/>
        </is>
      </c>
      <c r="T199" s="55" t="inlineStr">
        <is>
          <t/>
        </is>
      </c>
      <c r="U199" s="56" t="inlineStr">
        <is>
          <t/>
        </is>
      </c>
      <c r="V199" s="57" t="inlineStr">
        <is>
          <t/>
        </is>
      </c>
      <c r="W199" s="58" t="inlineStr">
        <is>
          <t/>
        </is>
      </c>
      <c r="X199" s="59" t="inlineStr">
        <is>
          <t>GP Self Reporting, LP Original Commitments</t>
        </is>
      </c>
      <c r="Y199" s="60" t="inlineStr">
        <is>
          <t>2017 Y</t>
        </is>
      </c>
      <c r="Z199" s="61" t="inlineStr">
        <is>
          <t>100M - 249M</t>
        </is>
      </c>
      <c r="AA199" s="62" t="inlineStr">
        <is>
          <t>Crosslink Capital</t>
        </is>
      </c>
      <c r="AB199" s="63" t="inlineStr">
        <is>
          <t>San Francisco, CA</t>
        </is>
      </c>
      <c r="AC199" s="64" t="inlineStr">
        <is>
          <t>Software</t>
        </is>
      </c>
      <c r="AD199" s="65" t="inlineStr">
        <is>
          <t>Seed Round</t>
        </is>
      </c>
      <c r="AE199" s="66" t="inlineStr">
        <is>
          <t/>
        </is>
      </c>
      <c r="AF199" s="67" t="inlineStr">
        <is>
          <t>Children's Hospital Corporation Pension Plan, Crosslink, National Elevator Industry Pension Plan, Physician's Organization at Children's Hospital Welfare Plan</t>
        </is>
      </c>
      <c r="AG199" s="232">
        <f>HYPERLINK("https://my.pitchbook.com?i=11261-89", "View Investor Online")</f>
      </c>
    </row>
    <row r="200">
      <c r="A200" s="69" t="inlineStr">
        <is>
          <t>13657-78F</t>
        </is>
      </c>
      <c r="B200" s="70" t="inlineStr">
        <is>
          <t>Drive Capital Fund I</t>
        </is>
      </c>
      <c r="C200" s="71" t="inlineStr">
        <is>
          <t/>
        </is>
      </c>
      <c r="D200" s="72" t="inlineStr">
        <is>
          <t>Venture Capital</t>
        </is>
      </c>
      <c r="E200" s="73" t="n">
        <v>250.0</v>
      </c>
      <c r="F200" s="74" t="inlineStr">
        <is>
          <t>Columbus, OH</t>
        </is>
      </c>
      <c r="G200" s="75" t="inlineStr">
        <is>
          <t/>
        </is>
      </c>
      <c r="H200" s="76" t="n">
        <v>2013.0</v>
      </c>
      <c r="I200" s="77" t="n">
        <v>95.0</v>
      </c>
      <c r="J200" s="78" t="n">
        <v>237.5</v>
      </c>
      <c r="K200" s="79" t="n">
        <v>3.980544270833334</v>
      </c>
      <c r="L200" s="80" t="inlineStr">
        <is>
          <t/>
        </is>
      </c>
      <c r="M200" s="81" t="n">
        <v>585.0</v>
      </c>
      <c r="N200" s="82" t="inlineStr">
        <is>
          <t/>
        </is>
      </c>
      <c r="O200" s="83" t="inlineStr">
        <is>
          <t/>
        </is>
      </c>
      <c r="P200" s="84" t="inlineStr">
        <is>
          <t/>
        </is>
      </c>
      <c r="Q200" s="85" t="inlineStr">
        <is>
          <t/>
        </is>
      </c>
      <c r="R200" s="86" t="inlineStr">
        <is>
          <t/>
        </is>
      </c>
      <c r="S200" s="87" t="n">
        <v>2.46</v>
      </c>
      <c r="T200" s="88" t="n">
        <v>0.8825699999999999</v>
      </c>
      <c r="U200" s="89" t="inlineStr">
        <is>
          <t/>
        </is>
      </c>
      <c r="V200" s="90" t="inlineStr">
        <is>
          <t/>
        </is>
      </c>
      <c r="W200" s="91" t="inlineStr">
        <is>
          <t/>
        </is>
      </c>
      <c r="X200" s="92" t="inlineStr">
        <is>
          <t>LP Original Commitments</t>
        </is>
      </c>
      <c r="Y200" s="93" t="inlineStr">
        <is>
          <t>2018 Y</t>
        </is>
      </c>
      <c r="Z200" s="94" t="inlineStr">
        <is>
          <t>250M - 499M</t>
        </is>
      </c>
      <c r="AA200" s="95" t="inlineStr">
        <is>
          <t>Drive Capital</t>
        </is>
      </c>
      <c r="AB200" s="96" t="inlineStr">
        <is>
          <t>Columbus, OH</t>
        </is>
      </c>
      <c r="AC200" s="97" t="inlineStr">
        <is>
          <t>Software</t>
        </is>
      </c>
      <c r="AD200" s="98" t="inlineStr">
        <is>
          <t>Seed Round, Early Stage VC, Later Stage VC</t>
        </is>
      </c>
      <c r="AE200" s="99" t="inlineStr">
        <is>
          <t>Midwest</t>
        </is>
      </c>
      <c r="AF200" s="100" t="inlineStr">
        <is>
          <t>TCRS, TN Consolidated Retirement System</t>
        </is>
      </c>
      <c r="AG200" s="233">
        <f>HYPERLINK("https://my.pitchbook.com?i=56852-47", "View Investor Online")</f>
      </c>
    </row>
    <row r="201">
      <c r="A201" s="36" t="inlineStr">
        <is>
          <t>15546-25F</t>
        </is>
      </c>
      <c r="B201" s="37" t="inlineStr">
        <is>
          <t>Ecosystem Integrity Fund III</t>
        </is>
      </c>
      <c r="C201" s="38" t="inlineStr">
        <is>
          <t/>
        </is>
      </c>
      <c r="D201" s="39" t="inlineStr">
        <is>
          <t>Venture Capital</t>
        </is>
      </c>
      <c r="E201" s="40" t="n">
        <v>100.4</v>
      </c>
      <c r="F201" s="41" t="inlineStr">
        <is>
          <t>San Francisco, CA</t>
        </is>
      </c>
      <c r="G201" s="42" t="n">
        <v>2.0</v>
      </c>
      <c r="H201" s="43" t="n">
        <v>2017.0</v>
      </c>
      <c r="I201" s="44" t="inlineStr">
        <is>
          <t/>
        </is>
      </c>
      <c r="J201" s="45" t="inlineStr">
        <is>
          <t/>
        </is>
      </c>
      <c r="K201" s="46" t="n">
        <v>32.60528615384615</v>
      </c>
      <c r="L201" s="47" t="inlineStr">
        <is>
          <t/>
        </is>
      </c>
      <c r="M201" s="48" t="n">
        <v>44.1581288</v>
      </c>
      <c r="N201" s="49" t="n">
        <v>13.8</v>
      </c>
      <c r="O201" s="50" t="inlineStr">
        <is>
          <t/>
        </is>
      </c>
      <c r="P201" s="51" t="n">
        <v>0.0</v>
      </c>
      <c r="Q201" s="52" t="inlineStr">
        <is>
          <t/>
        </is>
      </c>
      <c r="R201" s="53" t="inlineStr">
        <is>
          <t/>
        </is>
      </c>
      <c r="S201" s="54" t="inlineStr">
        <is>
          <t/>
        </is>
      </c>
      <c r="T201" s="55" t="inlineStr">
        <is>
          <t/>
        </is>
      </c>
      <c r="U201" s="56" t="inlineStr">
        <is>
          <t/>
        </is>
      </c>
      <c r="V201" s="57" t="inlineStr">
        <is>
          <t/>
        </is>
      </c>
      <c r="W201" s="58" t="inlineStr">
        <is>
          <t/>
        </is>
      </c>
      <c r="X201" s="59" t="inlineStr">
        <is>
          <t>GP Self Reporting, LP Original Commitments</t>
        </is>
      </c>
      <c r="Y201" s="60" t="inlineStr">
        <is>
          <t>2018 Y</t>
        </is>
      </c>
      <c r="Z201" s="61" t="inlineStr">
        <is>
          <t>100M - 249M</t>
        </is>
      </c>
      <c r="AA201" s="62" t="inlineStr">
        <is>
          <t>The Ecosystem Integrity Fund</t>
        </is>
      </c>
      <c r="AB201" s="63" t="inlineStr">
        <is>
          <t>San Francisco, CA</t>
        </is>
      </c>
      <c r="AC201" s="64" t="inlineStr">
        <is>
          <t>Transportation, Energy, Financial Services</t>
        </is>
      </c>
      <c r="AD201" s="65" t="inlineStr">
        <is>
          <t>Early Stage VC</t>
        </is>
      </c>
      <c r="AE201" s="66" t="inlineStr">
        <is>
          <t>North America</t>
        </is>
      </c>
      <c r="AF201" s="67" t="inlineStr">
        <is>
          <t>EIF, Silicon Valley Community Foundation Social Impact Pool</t>
        </is>
      </c>
      <c r="AG201" s="232">
        <f>HYPERLINK("https://my.pitchbook.com?i=64888-84", "View Investor Online")</f>
      </c>
    </row>
    <row r="202">
      <c r="A202" s="69" t="inlineStr">
        <is>
          <t>16201-27F</t>
        </is>
      </c>
      <c r="B202" s="70" t="inlineStr">
        <is>
          <t>Epidarex Capital III</t>
        </is>
      </c>
      <c r="C202" s="71" t="inlineStr">
        <is>
          <t/>
        </is>
      </c>
      <c r="D202" s="72" t="inlineStr">
        <is>
          <t>Venture Capital - Early Stage</t>
        </is>
      </c>
      <c r="E202" s="73" t="n">
        <v>127.37953</v>
      </c>
      <c r="F202" s="74" t="inlineStr">
        <is>
          <t>Bethesda, MD</t>
        </is>
      </c>
      <c r="G202" s="75" t="inlineStr">
        <is>
          <t/>
        </is>
      </c>
      <c r="H202" s="76" t="n">
        <v>2019.0</v>
      </c>
      <c r="I202" s="77" t="n">
        <v>5.581346666666667</v>
      </c>
      <c r="J202" s="78" t="n">
        <v>7.109493097676352</v>
      </c>
      <c r="K202" s="79" t="n">
        <v>120.27003684832934</v>
      </c>
      <c r="L202" s="80" t="inlineStr">
        <is>
          <t/>
        </is>
      </c>
      <c r="M202" s="81" t="n">
        <v>5.075717569267557</v>
      </c>
      <c r="N202" s="82" t="inlineStr">
        <is>
          <t/>
        </is>
      </c>
      <c r="O202" s="83" t="inlineStr">
        <is>
          <t/>
        </is>
      </c>
      <c r="P202" s="84" t="inlineStr">
        <is>
          <t/>
        </is>
      </c>
      <c r="Q202" s="85" t="inlineStr">
        <is>
          <t/>
        </is>
      </c>
      <c r="R202" s="86" t="inlineStr">
        <is>
          <t/>
        </is>
      </c>
      <c r="S202" s="87" t="n">
        <v>0.71</v>
      </c>
      <c r="T202" s="88" t="inlineStr">
        <is>
          <t/>
        </is>
      </c>
      <c r="U202" s="89" t="inlineStr">
        <is>
          <t/>
        </is>
      </c>
      <c r="V202" s="90" t="inlineStr">
        <is>
          <t/>
        </is>
      </c>
      <c r="W202" s="91" t="inlineStr">
        <is>
          <t/>
        </is>
      </c>
      <c r="X202" s="92" t="inlineStr">
        <is>
          <t>LP Original Commitments</t>
        </is>
      </c>
      <c r="Y202" s="93" t="inlineStr">
        <is>
          <t>2019 Y</t>
        </is>
      </c>
      <c r="Z202" s="94" t="inlineStr">
        <is>
          <t>100M - 249M</t>
        </is>
      </c>
      <c r="AA202" s="95" t="inlineStr">
        <is>
          <t>Epidarex Capital</t>
        </is>
      </c>
      <c r="AB202" s="96" t="inlineStr">
        <is>
          <t>Bethesda, MD</t>
        </is>
      </c>
      <c r="AC202" s="97" t="inlineStr">
        <is>
          <t>Biotechnology</t>
        </is>
      </c>
      <c r="AD202" s="98" t="inlineStr">
        <is>
          <t>Early Stage VC</t>
        </is>
      </c>
      <c r="AE202" s="99" t="inlineStr">
        <is>
          <t>United Kingdom</t>
        </is>
      </c>
      <c r="AF202" s="100" t="inlineStr">
        <is>
          <t>SPFO</t>
        </is>
      </c>
      <c r="AG202" s="233">
        <f>HYPERLINK("https://my.pitchbook.com?i=51675-76", "View Investor Online")</f>
      </c>
    </row>
    <row r="203">
      <c r="A203" s="36" t="inlineStr">
        <is>
          <t>15246-55F</t>
        </is>
      </c>
      <c r="B203" s="37" t="inlineStr">
        <is>
          <t>Evolution Technology Fund I</t>
        </is>
      </c>
      <c r="C203" s="38" t="inlineStr">
        <is>
          <t/>
        </is>
      </c>
      <c r="D203" s="39" t="inlineStr">
        <is>
          <t>Venture Capital</t>
        </is>
      </c>
      <c r="E203" s="40" t="n">
        <v>125.0</v>
      </c>
      <c r="F203" s="41" t="inlineStr">
        <is>
          <t>Zurich, Switzerland</t>
        </is>
      </c>
      <c r="G203" s="42" t="inlineStr">
        <is>
          <t/>
        </is>
      </c>
      <c r="H203" s="43" t="n">
        <v>2017.0</v>
      </c>
      <c r="I203" s="44" t="n">
        <v>99.49999999999999</v>
      </c>
      <c r="J203" s="45" t="n">
        <v>124.375</v>
      </c>
      <c r="K203" s="46" t="n">
        <v>0.575</v>
      </c>
      <c r="L203" s="47" t="inlineStr">
        <is>
          <t/>
        </is>
      </c>
      <c r="M203" s="48" t="n">
        <v>184.325</v>
      </c>
      <c r="N203" s="49" t="inlineStr">
        <is>
          <t/>
        </is>
      </c>
      <c r="O203" s="50" t="inlineStr">
        <is>
          <t/>
        </is>
      </c>
      <c r="P203" s="51" t="inlineStr">
        <is>
          <t/>
        </is>
      </c>
      <c r="Q203" s="52" t="inlineStr">
        <is>
          <t/>
        </is>
      </c>
      <c r="R203" s="53" t="inlineStr">
        <is>
          <t/>
        </is>
      </c>
      <c r="S203" s="54" t="n">
        <v>1.48</v>
      </c>
      <c r="T203" s="55" t="n">
        <v>0.41174</v>
      </c>
      <c r="U203" s="56" t="inlineStr">
        <is>
          <t/>
        </is>
      </c>
      <c r="V203" s="57" t="inlineStr">
        <is>
          <t/>
        </is>
      </c>
      <c r="W203" s="58" t="inlineStr">
        <is>
          <t/>
        </is>
      </c>
      <c r="X203" s="59" t="inlineStr">
        <is>
          <t>LP Original Commitments</t>
        </is>
      </c>
      <c r="Y203" s="60" t="inlineStr">
        <is>
          <t>2020 Y</t>
        </is>
      </c>
      <c r="Z203" s="61" t="inlineStr">
        <is>
          <t>100M - 249M</t>
        </is>
      </c>
      <c r="AA203" s="62" t="inlineStr">
        <is>
          <t>Evolution Equity Partners</t>
        </is>
      </c>
      <c r="AB203" s="63" t="inlineStr">
        <is>
          <t>New York, NY</t>
        </is>
      </c>
      <c r="AC203" s="64" t="inlineStr">
        <is>
          <t>Software</t>
        </is>
      </c>
      <c r="AD203" s="65" t="inlineStr">
        <is>
          <t>Early Stage VC</t>
        </is>
      </c>
      <c r="AE203" s="66" t="inlineStr">
        <is>
          <t>Europe, Israel, United States, North America</t>
        </is>
      </c>
      <c r="AF203" s="67" t="inlineStr">
        <is>
          <t>PEH</t>
        </is>
      </c>
      <c r="AG203" s="232">
        <f>HYPERLINK("https://my.pitchbook.com?i=88611-13", "View Investor Online")</f>
      </c>
    </row>
    <row r="204">
      <c r="A204" s="69" t="inlineStr">
        <is>
          <t>14698-00F</t>
        </is>
      </c>
      <c r="B204" s="70" t="inlineStr">
        <is>
          <t>GRC Sinogreen Fund III</t>
        </is>
      </c>
      <c r="C204" s="71" t="inlineStr">
        <is>
          <t/>
        </is>
      </c>
      <c r="D204" s="72" t="inlineStr">
        <is>
          <t>Venture Capital</t>
        </is>
      </c>
      <c r="E204" s="73" t="n">
        <v>101.0</v>
      </c>
      <c r="F204" s="74" t="inlineStr">
        <is>
          <t>Beijing, China</t>
        </is>
      </c>
      <c r="G204" s="75" t="inlineStr">
        <is>
          <t/>
        </is>
      </c>
      <c r="H204" s="76" t="n">
        <v>2015.0</v>
      </c>
      <c r="I204" s="77" t="inlineStr">
        <is>
          <t/>
        </is>
      </c>
      <c r="J204" s="78" t="inlineStr">
        <is>
          <t/>
        </is>
      </c>
      <c r="K204" s="79" t="inlineStr">
        <is>
          <t/>
        </is>
      </c>
      <c r="L204" s="80" t="inlineStr">
        <is>
          <t/>
        </is>
      </c>
      <c r="M204" s="81" t="inlineStr">
        <is>
          <t/>
        </is>
      </c>
      <c r="N204" s="82" t="inlineStr">
        <is>
          <t/>
        </is>
      </c>
      <c r="O204" s="83" t="inlineStr">
        <is>
          <t/>
        </is>
      </c>
      <c r="P204" s="84" t="inlineStr">
        <is>
          <t/>
        </is>
      </c>
      <c r="Q204" s="85" t="inlineStr">
        <is>
          <t/>
        </is>
      </c>
      <c r="R204" s="86" t="inlineStr">
        <is>
          <t/>
        </is>
      </c>
      <c r="S204" s="87" t="n">
        <v>0.15</v>
      </c>
      <c r="T204" s="88" t="inlineStr">
        <is>
          <t/>
        </is>
      </c>
      <c r="U204" s="89" t="inlineStr">
        <is>
          <t/>
        </is>
      </c>
      <c r="V204" s="90" t="inlineStr">
        <is>
          <t/>
        </is>
      </c>
      <c r="W204" s="91" t="inlineStr">
        <is>
          <t/>
        </is>
      </c>
      <c r="X204" s="92" t="inlineStr">
        <is>
          <t>LP Original Commitments</t>
        </is>
      </c>
      <c r="Y204" s="93" t="inlineStr">
        <is>
          <t>2018 Y</t>
        </is>
      </c>
      <c r="Z204" s="94" t="inlineStr">
        <is>
          <t>100M - 249M</t>
        </is>
      </c>
      <c r="AA204" s="95" t="inlineStr">
        <is>
          <t>GRC SinoGreen Fund</t>
        </is>
      </c>
      <c r="AB204" s="96" t="inlineStr">
        <is>
          <t>Beijing, China</t>
        </is>
      </c>
      <c r="AC204" s="97" t="inlineStr">
        <is>
          <t>Commercial Products, Software</t>
        </is>
      </c>
      <c r="AD204" s="98" t="inlineStr">
        <is>
          <t>Seed Round, Early Stage VC, Later Stage VC</t>
        </is>
      </c>
      <c r="AE204" s="99" t="inlineStr">
        <is>
          <t/>
        </is>
      </c>
      <c r="AF204" s="100" t="inlineStr">
        <is>
          <t>NDF</t>
        </is>
      </c>
      <c r="AG204" s="233">
        <f>HYPERLINK("https://my.pitchbook.com?i=55516-87", "View Investor Online")</f>
      </c>
    </row>
    <row r="205">
      <c r="A205" s="36" t="inlineStr">
        <is>
          <t>15311-17F</t>
        </is>
      </c>
      <c r="B205" s="37" t="inlineStr">
        <is>
          <t>IGNIA Fund II</t>
        </is>
      </c>
      <c r="C205" s="38" t="inlineStr">
        <is>
          <t/>
        </is>
      </c>
      <c r="D205" s="39" t="inlineStr">
        <is>
          <t>Venture Capital</t>
        </is>
      </c>
      <c r="E205" s="40" t="n">
        <v>100.0</v>
      </c>
      <c r="F205" s="41" t="inlineStr">
        <is>
          <t>Monterrey, Mexico</t>
        </is>
      </c>
      <c r="G205" s="42" t="inlineStr">
        <is>
          <t/>
        </is>
      </c>
      <c r="H205" s="43" t="n">
        <v>2016.0</v>
      </c>
      <c r="I205" s="44" t="inlineStr">
        <is>
          <t/>
        </is>
      </c>
      <c r="J205" s="45" t="inlineStr">
        <is>
          <t/>
        </is>
      </c>
      <c r="K205" s="46" t="n">
        <v>16.08</v>
      </c>
      <c r="L205" s="47" t="n">
        <v>0.0</v>
      </c>
      <c r="M205" s="48" t="inlineStr">
        <is>
          <t/>
        </is>
      </c>
      <c r="N205" s="49" t="inlineStr">
        <is>
          <t/>
        </is>
      </c>
      <c r="O205" s="50" t="inlineStr">
        <is>
          <t/>
        </is>
      </c>
      <c r="P205" s="51" t="inlineStr">
        <is>
          <t/>
        </is>
      </c>
      <c r="Q205" s="52" t="n">
        <v>0.0</v>
      </c>
      <c r="R205" s="53" t="inlineStr">
        <is>
          <t/>
        </is>
      </c>
      <c r="S205" s="54" t="inlineStr">
        <is>
          <t/>
        </is>
      </c>
      <c r="T205" s="55" t="inlineStr">
        <is>
          <t/>
        </is>
      </c>
      <c r="U205" s="56" t="inlineStr">
        <is>
          <t/>
        </is>
      </c>
      <c r="V205" s="57" t="inlineStr">
        <is>
          <t/>
        </is>
      </c>
      <c r="W205" s="58" t="inlineStr">
        <is>
          <t/>
        </is>
      </c>
      <c r="X205" s="59" t="inlineStr">
        <is>
          <t>GP Self Reporting</t>
        </is>
      </c>
      <c r="Y205" s="60" t="inlineStr">
        <is>
          <t>2020 Y</t>
        </is>
      </c>
      <c r="Z205" s="61" t="inlineStr">
        <is>
          <t>100M - 249M</t>
        </is>
      </c>
      <c r="AA205" s="62" t="inlineStr">
        <is>
          <t>IGNIA Partners</t>
        </is>
      </c>
      <c r="AB205" s="63" t="inlineStr">
        <is>
          <t>Monterrey, Mexico</t>
        </is>
      </c>
      <c r="AC205" s="64" t="inlineStr">
        <is>
          <t>Software</t>
        </is>
      </c>
      <c r="AD205" s="65" t="inlineStr">
        <is>
          <t>Seed Round, Early Stage VC, Later Stage VC</t>
        </is>
      </c>
      <c r="AE205" s="66" t="inlineStr">
        <is>
          <t>Mexico</t>
        </is>
      </c>
      <c r="AF205" s="67" t="inlineStr">
        <is>
          <t>IGNIA</t>
        </is>
      </c>
      <c r="AG205" s="232">
        <f>HYPERLINK("https://my.pitchbook.com?i=14156-65", "View Investor Online")</f>
      </c>
    </row>
    <row r="206">
      <c r="A206" s="69" t="inlineStr">
        <is>
          <t>13463-56F</t>
        </is>
      </c>
      <c r="B206" s="70" t="inlineStr">
        <is>
          <t>Index Ventures Life Sciences Fund</t>
        </is>
      </c>
      <c r="C206" s="71" t="inlineStr">
        <is>
          <t/>
        </is>
      </c>
      <c r="D206" s="72" t="inlineStr">
        <is>
          <t>Venture Capital</t>
        </is>
      </c>
      <c r="E206" s="73" t="n">
        <v>198.49751</v>
      </c>
      <c r="F206" s="74" t="inlineStr">
        <is>
          <t>Geneva, Switzerland</t>
        </is>
      </c>
      <c r="G206" s="75" t="inlineStr">
        <is>
          <t/>
        </is>
      </c>
      <c r="H206" s="76" t="n">
        <v>2012.0</v>
      </c>
      <c r="I206" s="77" t="inlineStr">
        <is>
          <t/>
        </is>
      </c>
      <c r="J206" s="78" t="inlineStr">
        <is>
          <t/>
        </is>
      </c>
      <c r="K206" s="79" t="n">
        <v>0.0</v>
      </c>
      <c r="L206" s="80" t="inlineStr">
        <is>
          <t/>
        </is>
      </c>
      <c r="M206" s="81" t="inlineStr">
        <is>
          <t/>
        </is>
      </c>
      <c r="N206" s="82" t="n">
        <v>36.15</v>
      </c>
      <c r="O206" s="83" t="inlineStr">
        <is>
          <t/>
        </is>
      </c>
      <c r="P206" s="84" t="inlineStr">
        <is>
          <t/>
        </is>
      </c>
      <c r="Q206" s="85" t="inlineStr">
        <is>
          <t/>
        </is>
      </c>
      <c r="R206" s="86" t="inlineStr">
        <is>
          <t/>
        </is>
      </c>
      <c r="S206" s="87" t="inlineStr">
        <is>
          <t/>
        </is>
      </c>
      <c r="T206" s="88" t="inlineStr">
        <is>
          <t/>
        </is>
      </c>
      <c r="U206" s="89" t="inlineStr">
        <is>
          <t/>
        </is>
      </c>
      <c r="V206" s="90" t="inlineStr">
        <is>
          <t/>
        </is>
      </c>
      <c r="W206" s="91" t="inlineStr">
        <is>
          <t/>
        </is>
      </c>
      <c r="X206" s="92" t="inlineStr">
        <is>
          <t>LP Original Commitments</t>
        </is>
      </c>
      <c r="Y206" s="93" t="inlineStr">
        <is>
          <t>2019 Y</t>
        </is>
      </c>
      <c r="Z206" s="94" t="inlineStr">
        <is>
          <t>100M - 249M</t>
        </is>
      </c>
      <c r="AA206" s="95" t="inlineStr">
        <is>
          <t>Index Ventures</t>
        </is>
      </c>
      <c r="AB206" s="96" t="inlineStr">
        <is>
          <t>London, United Kingdom</t>
        </is>
      </c>
      <c r="AC206" s="97" t="inlineStr">
        <is>
          <t>Healthcare Devices and Supplies, Pharmaceuticals and Biotechnology</t>
        </is>
      </c>
      <c r="AD206" s="98" t="inlineStr">
        <is>
          <t>Early Stage VC</t>
        </is>
      </c>
      <c r="AE206" s="99" t="inlineStr">
        <is>
          <t>Europe, United States</t>
        </is>
      </c>
      <c r="AF206" s="100" t="inlineStr">
        <is>
          <t>Mass PRIT</t>
        </is>
      </c>
      <c r="AG206" s="233">
        <f>HYPERLINK("https://my.pitchbook.com?i=11216-98", "View Investor Online")</f>
      </c>
    </row>
    <row r="207">
      <c r="A207" s="36" t="inlineStr">
        <is>
          <t>12546-01F</t>
        </is>
      </c>
      <c r="B207" s="37" t="inlineStr">
        <is>
          <t>Keytone Ventures Fund I</t>
        </is>
      </c>
      <c r="C207" s="38" t="inlineStr">
        <is>
          <t/>
        </is>
      </c>
      <c r="D207" s="39" t="inlineStr">
        <is>
          <t>Venture Capital</t>
        </is>
      </c>
      <c r="E207" s="40" t="n">
        <v>200.0</v>
      </c>
      <c r="F207" s="41" t="inlineStr">
        <is>
          <t>Beijing, China</t>
        </is>
      </c>
      <c r="G207" s="42" t="inlineStr">
        <is>
          <t/>
        </is>
      </c>
      <c r="H207" s="43" t="n">
        <v>2009.0</v>
      </c>
      <c r="I207" s="44" t="n">
        <v>79.81944999999999</v>
      </c>
      <c r="J207" s="45" t="n">
        <v>159.63889999999998</v>
      </c>
      <c r="K207" s="46" t="n">
        <v>0.0</v>
      </c>
      <c r="L207" s="47" t="inlineStr">
        <is>
          <t/>
        </is>
      </c>
      <c r="M207" s="48" t="n">
        <v>186.28199999999998</v>
      </c>
      <c r="N207" s="49" t="inlineStr">
        <is>
          <t/>
        </is>
      </c>
      <c r="O207" s="50" t="inlineStr">
        <is>
          <t/>
        </is>
      </c>
      <c r="P207" s="51" t="inlineStr">
        <is>
          <t/>
        </is>
      </c>
      <c r="Q207" s="52" t="inlineStr">
        <is>
          <t/>
        </is>
      </c>
      <c r="R207" s="53" t="inlineStr">
        <is>
          <t/>
        </is>
      </c>
      <c r="S207" s="54" t="n">
        <v>1.17</v>
      </c>
      <c r="T207" s="55" t="inlineStr">
        <is>
          <t/>
        </is>
      </c>
      <c r="U207" s="56" t="inlineStr">
        <is>
          <t/>
        </is>
      </c>
      <c r="V207" s="57" t="inlineStr">
        <is>
          <t/>
        </is>
      </c>
      <c r="W207" s="58" t="inlineStr">
        <is>
          <t/>
        </is>
      </c>
      <c r="X207" s="59" t="inlineStr">
        <is>
          <t>LP Original Commitments</t>
        </is>
      </c>
      <c r="Y207" s="60" t="inlineStr">
        <is>
          <t>2011 Y</t>
        </is>
      </c>
      <c r="Z207" s="61" t="inlineStr">
        <is>
          <t>100M - 249M</t>
        </is>
      </c>
      <c r="AA207" s="62" t="inlineStr">
        <is>
          <t>Keytone Ventures</t>
        </is>
      </c>
      <c r="AB207" s="63" t="inlineStr">
        <is>
          <t>Beijing, China</t>
        </is>
      </c>
      <c r="AC207" s="64" t="inlineStr">
        <is>
          <t>Semiconductors, Software</t>
        </is>
      </c>
      <c r="AD207" s="65" t="inlineStr">
        <is>
          <t>Seed Round, Early Stage VC, Later Stage VC</t>
        </is>
      </c>
      <c r="AE207" s="66" t="inlineStr">
        <is>
          <t/>
        </is>
      </c>
      <c r="AF207" s="67" t="inlineStr">
        <is>
          <t>Adams Street, CCNY, CDC, CDC Investment Works, Howard University Employees' Retirement Plan</t>
        </is>
      </c>
      <c r="AG207" s="232">
        <f>HYPERLINK("https://my.pitchbook.com?i=25268-05", "View Investor Online")</f>
      </c>
    </row>
    <row r="208">
      <c r="A208" s="69" t="inlineStr">
        <is>
          <t>15063-13F</t>
        </is>
      </c>
      <c r="B208" s="70" t="inlineStr">
        <is>
          <t>Lightspeed India Partners I</t>
        </is>
      </c>
      <c r="C208" s="71" t="inlineStr">
        <is>
          <t/>
        </is>
      </c>
      <c r="D208" s="72" t="inlineStr">
        <is>
          <t>Venture Capital</t>
        </is>
      </c>
      <c r="E208" s="73" t="n">
        <v>135.0</v>
      </c>
      <c r="F208" s="74" t="inlineStr">
        <is>
          <t>New Delhi, India</t>
        </is>
      </c>
      <c r="G208" s="75" t="inlineStr">
        <is>
          <t/>
        </is>
      </c>
      <c r="H208" s="76" t="n">
        <v>2015.0</v>
      </c>
      <c r="I208" s="77" t="n">
        <v>53.919999999999995</v>
      </c>
      <c r="J208" s="78" t="n">
        <v>72.79199999999999</v>
      </c>
      <c r="K208" s="79" t="n">
        <v>62.20800000000001</v>
      </c>
      <c r="L208" s="80" t="n">
        <v>0.0</v>
      </c>
      <c r="M208" s="81" t="inlineStr">
        <is>
          <t/>
        </is>
      </c>
      <c r="N208" s="82" t="inlineStr">
        <is>
          <t/>
        </is>
      </c>
      <c r="O208" s="83" t="inlineStr">
        <is>
          <t/>
        </is>
      </c>
      <c r="P208" s="84" t="inlineStr">
        <is>
          <t/>
        </is>
      </c>
      <c r="Q208" s="85" t="n">
        <v>0.0</v>
      </c>
      <c r="R208" s="86" t="inlineStr">
        <is>
          <t/>
        </is>
      </c>
      <c r="S208" s="87" t="inlineStr">
        <is>
          <t/>
        </is>
      </c>
      <c r="T208" s="88" t="inlineStr">
        <is>
          <t/>
        </is>
      </c>
      <c r="U208" s="89" t="inlineStr">
        <is>
          <t/>
        </is>
      </c>
      <c r="V208" s="90" t="inlineStr">
        <is>
          <t/>
        </is>
      </c>
      <c r="W208" s="91" t="inlineStr">
        <is>
          <t/>
        </is>
      </c>
      <c r="X208" s="92" t="inlineStr">
        <is>
          <t>LP Original Commitments</t>
        </is>
      </c>
      <c r="Y208" s="93" t="inlineStr">
        <is>
          <t>2018 Y</t>
        </is>
      </c>
      <c r="Z208" s="94" t="inlineStr">
        <is>
          <t>100M - 249M</t>
        </is>
      </c>
      <c r="AA208" s="95" t="inlineStr">
        <is>
          <t>Lightspeed India Partners Advisors</t>
        </is>
      </c>
      <c r="AB208" s="96" t="inlineStr">
        <is>
          <t>New Delhi, India</t>
        </is>
      </c>
      <c r="AC208" s="97" t="inlineStr">
        <is>
          <t>Software</t>
        </is>
      </c>
      <c r="AD208" s="98" t="inlineStr">
        <is>
          <t>Seed Round, Early Stage VC, Later Stage VC</t>
        </is>
      </c>
      <c r="AE208" s="99" t="inlineStr">
        <is>
          <t>India</t>
        </is>
      </c>
      <c r="AF208" s="100" t="inlineStr">
        <is>
          <t>Pennsylvania SERS</t>
        </is>
      </c>
      <c r="AG208" s="233">
        <f>HYPERLINK("https://my.pitchbook.com?i=167913-64", "View Investor Online")</f>
      </c>
    </row>
    <row r="209">
      <c r="A209" s="36" t="inlineStr">
        <is>
          <t>13949-56F</t>
        </is>
      </c>
      <c r="B209" s="37" t="inlineStr">
        <is>
          <t>M/C Venture Partners VII</t>
        </is>
      </c>
      <c r="C209" s="38" t="inlineStr">
        <is>
          <t/>
        </is>
      </c>
      <c r="D209" s="39" t="inlineStr">
        <is>
          <t>Venture Capital</t>
        </is>
      </c>
      <c r="E209" s="40" t="n">
        <v>230.0</v>
      </c>
      <c r="F209" s="41" t="inlineStr">
        <is>
          <t>Boston, MA</t>
        </is>
      </c>
      <c r="G209" s="42" t="inlineStr">
        <is>
          <t/>
        </is>
      </c>
      <c r="H209" s="43" t="n">
        <v>2014.0</v>
      </c>
      <c r="I209" s="44" t="inlineStr">
        <is>
          <t/>
        </is>
      </c>
      <c r="J209" s="45" t="inlineStr">
        <is>
          <t/>
        </is>
      </c>
      <c r="K209" s="46" t="n">
        <v>0.575</v>
      </c>
      <c r="L209" s="47" t="n">
        <v>0.0</v>
      </c>
      <c r="M209" s="48" t="n">
        <v>194.00941600000002</v>
      </c>
      <c r="N209" s="49" t="inlineStr">
        <is>
          <t/>
        </is>
      </c>
      <c r="O209" s="50" t="inlineStr">
        <is>
          <t/>
        </is>
      </c>
      <c r="P209" s="51" t="inlineStr">
        <is>
          <t/>
        </is>
      </c>
      <c r="Q209" s="52" t="n">
        <v>0.0</v>
      </c>
      <c r="R209" s="53" t="n">
        <v>0.0</v>
      </c>
      <c r="S209" s="54" t="inlineStr">
        <is>
          <t/>
        </is>
      </c>
      <c r="T209" s="55" t="inlineStr">
        <is>
          <t/>
        </is>
      </c>
      <c r="U209" s="56" t="inlineStr">
        <is>
          <t/>
        </is>
      </c>
      <c r="V209" s="57" t="inlineStr">
        <is>
          <t/>
        </is>
      </c>
      <c r="W209" s="58" t="inlineStr">
        <is>
          <t/>
        </is>
      </c>
      <c r="X209" s="59" t="inlineStr">
        <is>
          <t>LP Original Commitments</t>
        </is>
      </c>
      <c r="Y209" s="60" t="inlineStr">
        <is>
          <t>2017 Y</t>
        </is>
      </c>
      <c r="Z209" s="61" t="inlineStr">
        <is>
          <t>100M - 249M</t>
        </is>
      </c>
      <c r="AA209" s="62" t="inlineStr">
        <is>
          <t>M/C Partners</t>
        </is>
      </c>
      <c r="AB209" s="63" t="inlineStr">
        <is>
          <t>Boston, MA</t>
        </is>
      </c>
      <c r="AC209" s="64" t="inlineStr">
        <is>
          <t>Cable Service Providers, Movies, Music and Entertainment, Wireless Communications Equipment, Wireless Service Providers</t>
        </is>
      </c>
      <c r="AD209" s="65" t="inlineStr">
        <is>
          <t>Seed Round, Early Stage VC, Later Stage VC</t>
        </is>
      </c>
      <c r="AE209" s="66" t="inlineStr">
        <is>
          <t>North America, Europe</t>
        </is>
      </c>
      <c r="AF209" s="67" t="inlineStr">
        <is>
          <t>ARMB, Honeywell International Master Retirement Trust, Richard King Mellon Foundation</t>
        </is>
      </c>
      <c r="AG209" s="232">
        <f>HYPERLINK("https://my.pitchbook.com?i=11239-21", "View Investor Online")</f>
      </c>
    </row>
    <row r="210">
      <c r="A210" s="69" t="inlineStr">
        <is>
          <t>15447-07F</t>
        </is>
      </c>
      <c r="B210" s="70" t="inlineStr">
        <is>
          <t>Medicxi Ventures 1</t>
        </is>
      </c>
      <c r="C210" s="71" t="inlineStr">
        <is>
          <t/>
        </is>
      </c>
      <c r="D210" s="72" t="inlineStr">
        <is>
          <t>Venture Capital</t>
        </is>
      </c>
      <c r="E210" s="73" t="n">
        <v>228.21671</v>
      </c>
      <c r="F210" s="74" t="inlineStr">
        <is>
          <t>London, United Kingdom</t>
        </is>
      </c>
      <c r="G210" s="75" t="inlineStr">
        <is>
          <t/>
        </is>
      </c>
      <c r="H210" s="76" t="n">
        <v>2016.0</v>
      </c>
      <c r="I210" s="77" t="inlineStr">
        <is>
          <t/>
        </is>
      </c>
      <c r="J210" s="78" t="inlineStr">
        <is>
          <t/>
        </is>
      </c>
      <c r="K210" s="79" t="n">
        <v>51.723071451292256</v>
      </c>
      <c r="L210" s="80" t="n">
        <v>0.0</v>
      </c>
      <c r="M210" s="81" t="inlineStr">
        <is>
          <t/>
        </is>
      </c>
      <c r="N210" s="82" t="inlineStr">
        <is>
          <t/>
        </is>
      </c>
      <c r="O210" s="83" t="inlineStr">
        <is>
          <t/>
        </is>
      </c>
      <c r="P210" s="84" t="inlineStr">
        <is>
          <t/>
        </is>
      </c>
      <c r="Q210" s="85" t="n">
        <v>0.0</v>
      </c>
      <c r="R210" s="86" t="inlineStr">
        <is>
          <t/>
        </is>
      </c>
      <c r="S210" s="87" t="inlineStr">
        <is>
          <t/>
        </is>
      </c>
      <c r="T210" s="88" t="inlineStr">
        <is>
          <t/>
        </is>
      </c>
      <c r="U210" s="89" t="inlineStr">
        <is>
          <t/>
        </is>
      </c>
      <c r="V210" s="90" t="inlineStr">
        <is>
          <t/>
        </is>
      </c>
      <c r="W210" s="91" t="inlineStr">
        <is>
          <t/>
        </is>
      </c>
      <c r="X210" s="92" t="inlineStr">
        <is>
          <t>LP Original Commitments</t>
        </is>
      </c>
      <c r="Y210" s="93" t="inlineStr">
        <is>
          <t>2019 Y</t>
        </is>
      </c>
      <c r="Z210" s="94" t="inlineStr">
        <is>
          <t>100M - 249M</t>
        </is>
      </c>
      <c r="AA210" s="95" t="inlineStr">
        <is>
          <t>Medicxi</t>
        </is>
      </c>
      <c r="AB210" s="96" t="inlineStr">
        <is>
          <t>London, United Kingdom</t>
        </is>
      </c>
      <c r="AC210" s="97" t="inlineStr">
        <is>
          <t>Pharmaceuticals and Biotechnology</t>
        </is>
      </c>
      <c r="AD210" s="98" t="inlineStr">
        <is>
          <t>Early Stage VC</t>
        </is>
      </c>
      <c r="AE210" s="99" t="inlineStr">
        <is>
          <t>Europe</t>
        </is>
      </c>
      <c r="AF210" s="100" t="inlineStr">
        <is>
          <t>Mass PRIT</t>
        </is>
      </c>
      <c r="AG210" s="233">
        <f>HYPERLINK("https://my.pitchbook.com?i=152980-03", "View Investor Online")</f>
      </c>
    </row>
    <row r="211">
      <c r="A211" s="36" t="inlineStr">
        <is>
          <t>12685-42F</t>
        </is>
      </c>
      <c r="B211" s="37" t="inlineStr">
        <is>
          <t>MPM BioVentures V</t>
        </is>
      </c>
      <c r="C211" s="38" t="inlineStr">
        <is>
          <t/>
        </is>
      </c>
      <c r="D211" s="39" t="inlineStr">
        <is>
          <t>Venture Capital</t>
        </is>
      </c>
      <c r="E211" s="40" t="n">
        <v>173.0</v>
      </c>
      <c r="F211" s="41" t="inlineStr">
        <is>
          <t>Cambridge, MA</t>
        </is>
      </c>
      <c r="G211" s="42" t="inlineStr">
        <is>
          <t/>
        </is>
      </c>
      <c r="H211" s="43" t="n">
        <v>2010.0</v>
      </c>
      <c r="I211" s="44" t="n">
        <v>93.7</v>
      </c>
      <c r="J211" s="45" t="n">
        <v>162.101</v>
      </c>
      <c r="K211" s="46" t="n">
        <v>10.899</v>
      </c>
      <c r="L211" s="47" t="inlineStr">
        <is>
          <t/>
        </is>
      </c>
      <c r="M211" s="48" t="n">
        <v>183.33060849999998</v>
      </c>
      <c r="N211" s="49" t="inlineStr">
        <is>
          <t/>
        </is>
      </c>
      <c r="O211" s="50" t="inlineStr">
        <is>
          <t/>
        </is>
      </c>
      <c r="P211" s="51" t="inlineStr">
        <is>
          <t/>
        </is>
      </c>
      <c r="Q211" s="52" t="inlineStr">
        <is>
          <t/>
        </is>
      </c>
      <c r="R211" s="53" t="inlineStr">
        <is>
          <t/>
        </is>
      </c>
      <c r="S211" s="54" t="n">
        <v>1.13</v>
      </c>
      <c r="T211" s="55" t="n">
        <v>0.3999999999999999</v>
      </c>
      <c r="U211" s="56" t="inlineStr">
        <is>
          <t/>
        </is>
      </c>
      <c r="V211" s="57" t="inlineStr">
        <is>
          <t/>
        </is>
      </c>
      <c r="W211" s="58" t="inlineStr">
        <is>
          <t/>
        </is>
      </c>
      <c r="X211" s="59" t="inlineStr">
        <is>
          <t>LP Original Commitments</t>
        </is>
      </c>
      <c r="Y211" s="60" t="inlineStr">
        <is>
          <t>2019 Y</t>
        </is>
      </c>
      <c r="Z211" s="61" t="inlineStr">
        <is>
          <t>100M - 249M</t>
        </is>
      </c>
      <c r="AA211" s="62" t="inlineStr">
        <is>
          <t>MPM Capital</t>
        </is>
      </c>
      <c r="AB211" s="63" t="inlineStr">
        <is>
          <t>Cambridge, MA</t>
        </is>
      </c>
      <c r="AC211" s="64" t="inlineStr">
        <is>
          <t>Pharmaceuticals and Biotechnology</t>
        </is>
      </c>
      <c r="AD211" s="65" t="inlineStr">
        <is>
          <t>Early Stage VC, Later Stage VC</t>
        </is>
      </c>
      <c r="AE211" s="66" t="inlineStr">
        <is>
          <t>United States</t>
        </is>
      </c>
      <c r="AF211" s="67" t="inlineStr">
        <is>
          <t>HIERS</t>
        </is>
      </c>
      <c r="AG211" s="232">
        <f>HYPERLINK("https://my.pitchbook.com?i=11241-82", "View Investor Online")</f>
      </c>
    </row>
    <row r="212">
      <c r="A212" s="69" t="inlineStr">
        <is>
          <t>12685-69F</t>
        </is>
      </c>
      <c r="B212" s="70" t="inlineStr">
        <is>
          <t>Northzone VI</t>
        </is>
      </c>
      <c r="C212" s="71" t="inlineStr">
        <is>
          <t/>
        </is>
      </c>
      <c r="D212" s="72" t="inlineStr">
        <is>
          <t>Venture Capital - Early Stage</t>
        </is>
      </c>
      <c r="E212" s="73" t="n">
        <v>173.88784</v>
      </c>
      <c r="F212" s="74" t="inlineStr">
        <is>
          <t>London, United Kingdom</t>
        </is>
      </c>
      <c r="G212" s="75" t="inlineStr">
        <is>
          <t/>
        </is>
      </c>
      <c r="H212" s="76" t="n">
        <v>2010.0</v>
      </c>
      <c r="I212" s="77" t="n">
        <v>56.6</v>
      </c>
      <c r="J212" s="78" t="n">
        <v>98.42051876539632</v>
      </c>
      <c r="K212" s="79" t="n">
        <v>75.46732256</v>
      </c>
      <c r="L212" s="80" t="inlineStr">
        <is>
          <t/>
        </is>
      </c>
      <c r="M212" s="81" t="n">
        <v>112.592377916244</v>
      </c>
      <c r="N212" s="82" t="inlineStr">
        <is>
          <t/>
        </is>
      </c>
      <c r="O212" s="83" t="inlineStr">
        <is>
          <t/>
        </is>
      </c>
      <c r="P212" s="84" t="inlineStr">
        <is>
          <t/>
        </is>
      </c>
      <c r="Q212" s="85" t="inlineStr">
        <is>
          <t/>
        </is>
      </c>
      <c r="R212" s="86" t="inlineStr">
        <is>
          <t/>
        </is>
      </c>
      <c r="S212" s="87" t="n">
        <v>1.14</v>
      </c>
      <c r="T212" s="88" t="inlineStr">
        <is>
          <t/>
        </is>
      </c>
      <c r="U212" s="89" t="inlineStr">
        <is>
          <t/>
        </is>
      </c>
      <c r="V212" s="90" t="inlineStr">
        <is>
          <t/>
        </is>
      </c>
      <c r="W212" s="91" t="inlineStr">
        <is>
          <t/>
        </is>
      </c>
      <c r="X212" s="92" t="inlineStr">
        <is>
          <t>LP Original Commitments</t>
        </is>
      </c>
      <c r="Y212" s="93" t="inlineStr">
        <is>
          <t>2017 Y</t>
        </is>
      </c>
      <c r="Z212" s="94" t="inlineStr">
        <is>
          <t>100M - 249M</t>
        </is>
      </c>
      <c r="AA212" s="95" t="inlineStr">
        <is>
          <t>Northzone Ventures</t>
        </is>
      </c>
      <c r="AB212" s="96" t="inlineStr">
        <is>
          <t>London, United Kingdom</t>
        </is>
      </c>
      <c r="AC212" s="97" t="inlineStr">
        <is>
          <t>Software</t>
        </is>
      </c>
      <c r="AD212" s="98" t="inlineStr">
        <is>
          <t>Seed Round, Early Stage VC</t>
        </is>
      </c>
      <c r="AE212" s="99" t="inlineStr">
        <is>
          <t>United Kingdom, Finland, Denmark, Sweden, Norway</t>
        </is>
      </c>
      <c r="AF212" s="100" t="inlineStr">
        <is>
          <t>APEF, KLP</t>
        </is>
      </c>
      <c r="AG212" s="233">
        <f>HYPERLINK("https://my.pitchbook.com?i=11258-56", "View Investor Online")</f>
      </c>
    </row>
    <row r="213">
      <c r="A213" s="36" t="inlineStr">
        <is>
          <t>15163-93F</t>
        </is>
      </c>
      <c r="B213" s="37" t="inlineStr">
        <is>
          <t>Pelion Ventures IV</t>
        </is>
      </c>
      <c r="C213" s="38" t="inlineStr">
        <is>
          <t/>
        </is>
      </c>
      <c r="D213" s="39" t="inlineStr">
        <is>
          <t>Venture Capital - Early Stage</t>
        </is>
      </c>
      <c r="E213" s="40" t="n">
        <v>194.0</v>
      </c>
      <c r="F213" s="41" t="inlineStr">
        <is>
          <t>Salt Lake City, UT</t>
        </is>
      </c>
      <c r="G213" s="42" t="inlineStr">
        <is>
          <t/>
        </is>
      </c>
      <c r="H213" s="43" t="n">
        <v>2013.0</v>
      </c>
      <c r="I213" s="44" t="n">
        <v>100.0</v>
      </c>
      <c r="J213" s="45" t="n">
        <v>194.0</v>
      </c>
      <c r="K213" s="46" t="n">
        <v>0.0</v>
      </c>
      <c r="L213" s="47" t="inlineStr">
        <is>
          <t/>
        </is>
      </c>
      <c r="M213" s="48" t="n">
        <v>459.0454813939752</v>
      </c>
      <c r="N213" s="49" t="inlineStr">
        <is>
          <t/>
        </is>
      </c>
      <c r="O213" s="50" t="inlineStr">
        <is>
          <t/>
        </is>
      </c>
      <c r="P213" s="51" t="inlineStr">
        <is>
          <t/>
        </is>
      </c>
      <c r="Q213" s="52" t="inlineStr">
        <is>
          <t/>
        </is>
      </c>
      <c r="R213" s="53" t="inlineStr">
        <is>
          <t/>
        </is>
      </c>
      <c r="S213" s="54" t="n">
        <v>2.37</v>
      </c>
      <c r="T213" s="55" t="n">
        <v>1.0310000000000001</v>
      </c>
      <c r="U213" s="56" t="inlineStr">
        <is>
          <t/>
        </is>
      </c>
      <c r="V213" s="57" t="inlineStr">
        <is>
          <t/>
        </is>
      </c>
      <c r="W213" s="58" t="inlineStr">
        <is>
          <t/>
        </is>
      </c>
      <c r="X213" s="59" t="inlineStr">
        <is>
          <t>LP Original Commitments</t>
        </is>
      </c>
      <c r="Y213" s="60" t="inlineStr">
        <is>
          <t>2020 Y</t>
        </is>
      </c>
      <c r="Z213" s="61" t="inlineStr">
        <is>
          <t>100M - 249M</t>
        </is>
      </c>
      <c r="AA213" s="62" t="inlineStr">
        <is>
          <t>Pelion Venture Partners</t>
        </is>
      </c>
      <c r="AB213" s="63" t="inlineStr">
        <is>
          <t>Salt Lake City, UT</t>
        </is>
      </c>
      <c r="AC213" s="64" t="inlineStr">
        <is>
          <t/>
        </is>
      </c>
      <c r="AD213" s="65" t="inlineStr">
        <is>
          <t>Seed Round, Early Stage VC</t>
        </is>
      </c>
      <c r="AE213" s="66" t="inlineStr">
        <is>
          <t/>
        </is>
      </c>
      <c r="AF213" s="67" t="inlineStr">
        <is>
          <t>PEH</t>
        </is>
      </c>
      <c r="AG213" s="232">
        <f>HYPERLINK("https://my.pitchbook.com?i=11318-86", "View Investor Online")</f>
      </c>
    </row>
    <row r="214">
      <c r="A214" s="69" t="inlineStr">
        <is>
          <t>13338-91F</t>
        </is>
      </c>
      <c r="B214" s="70" t="inlineStr">
        <is>
          <t>Pelion Ventures V</t>
        </is>
      </c>
      <c r="C214" s="71" t="inlineStr">
        <is>
          <t/>
        </is>
      </c>
      <c r="D214" s="72" t="inlineStr">
        <is>
          <t>Venture Capital - Early Stage</t>
        </is>
      </c>
      <c r="E214" s="73" t="n">
        <v>126.0</v>
      </c>
      <c r="F214" s="74" t="inlineStr">
        <is>
          <t>Salt Lake City, UT</t>
        </is>
      </c>
      <c r="G214" s="75" t="inlineStr">
        <is>
          <t/>
        </is>
      </c>
      <c r="H214" s="76" t="n">
        <v>2011.0</v>
      </c>
      <c r="I214" s="77" t="n">
        <v>97.11260827718961</v>
      </c>
      <c r="J214" s="78" t="n">
        <v>122.3618864292589</v>
      </c>
      <c r="K214" s="79" t="n">
        <v>3.2743022136669877</v>
      </c>
      <c r="L214" s="80" t="inlineStr">
        <is>
          <t/>
        </is>
      </c>
      <c r="M214" s="81" t="n">
        <v>121.9980750721848</v>
      </c>
      <c r="N214" s="82" t="inlineStr">
        <is>
          <t/>
        </is>
      </c>
      <c r="O214" s="83" t="inlineStr">
        <is>
          <t/>
        </is>
      </c>
      <c r="P214" s="84" t="inlineStr">
        <is>
          <t/>
        </is>
      </c>
      <c r="Q214" s="85" t="inlineStr">
        <is>
          <t/>
        </is>
      </c>
      <c r="R214" s="86" t="inlineStr">
        <is>
          <t/>
        </is>
      </c>
      <c r="S214" s="87" t="n">
        <v>1.0</v>
      </c>
      <c r="T214" s="88" t="n">
        <v>-0.3600000000000001</v>
      </c>
      <c r="U214" s="89" t="inlineStr">
        <is>
          <t/>
        </is>
      </c>
      <c r="V214" s="90" t="inlineStr">
        <is>
          <t/>
        </is>
      </c>
      <c r="W214" s="91" t="inlineStr">
        <is>
          <t/>
        </is>
      </c>
      <c r="X214" s="92" t="inlineStr">
        <is>
          <t>LP Original Commitments</t>
        </is>
      </c>
      <c r="Y214" s="93" t="inlineStr">
        <is>
          <t>2020 Y</t>
        </is>
      </c>
      <c r="Z214" s="94" t="inlineStr">
        <is>
          <t>100M - 249M</t>
        </is>
      </c>
      <c r="AA214" s="95" t="inlineStr">
        <is>
          <t>Pelion Venture Partners</t>
        </is>
      </c>
      <c r="AB214" s="96" t="inlineStr">
        <is>
          <t>Salt Lake City, UT</t>
        </is>
      </c>
      <c r="AC214" s="97" t="inlineStr">
        <is>
          <t>Software</t>
        </is>
      </c>
      <c r="AD214" s="98" t="inlineStr">
        <is>
          <t>Seed Round, Early Stage VC</t>
        </is>
      </c>
      <c r="AE214" s="99" t="inlineStr">
        <is>
          <t>United States</t>
        </is>
      </c>
      <c r="AF214" s="100" t="inlineStr">
        <is>
          <t>PEH</t>
        </is>
      </c>
      <c r="AG214" s="233">
        <f>HYPERLINK("https://my.pitchbook.com?i=11318-86", "View Investor Online")</f>
      </c>
    </row>
    <row r="215">
      <c r="A215" s="36" t="inlineStr">
        <is>
          <t>15013-81F</t>
        </is>
      </c>
      <c r="B215" s="37" t="inlineStr">
        <is>
          <t>Pelion Ventures VI</t>
        </is>
      </c>
      <c r="C215" s="38" t="inlineStr">
        <is>
          <t>Pelion Venture Partners VI, L.P.</t>
        </is>
      </c>
      <c r="D215" s="39" t="inlineStr">
        <is>
          <t>Venture Capital - Early Stage</t>
        </is>
      </c>
      <c r="E215" s="40" t="n">
        <v>206.0</v>
      </c>
      <c r="F215" s="41" t="inlineStr">
        <is>
          <t>Salt Lake City, UT</t>
        </is>
      </c>
      <c r="G215" s="42" t="inlineStr">
        <is>
          <t/>
        </is>
      </c>
      <c r="H215" s="43" t="n">
        <v>2015.0</v>
      </c>
      <c r="I215" s="44" t="n">
        <v>93.00000000000001</v>
      </c>
      <c r="J215" s="45" t="n">
        <v>191.58</v>
      </c>
      <c r="K215" s="46" t="n">
        <v>13.101600000000001</v>
      </c>
      <c r="L215" s="47" t="inlineStr">
        <is>
          <t/>
        </is>
      </c>
      <c r="M215" s="48" t="n">
        <v>248.6008</v>
      </c>
      <c r="N215" s="49" t="inlineStr">
        <is>
          <t/>
        </is>
      </c>
      <c r="O215" s="50" t="inlineStr">
        <is>
          <t/>
        </is>
      </c>
      <c r="P215" s="51" t="inlineStr">
        <is>
          <t/>
        </is>
      </c>
      <c r="Q215" s="52" t="inlineStr">
        <is>
          <t/>
        </is>
      </c>
      <c r="R215" s="53" t="inlineStr">
        <is>
          <t/>
        </is>
      </c>
      <c r="S215" s="54" t="n">
        <v>1.3</v>
      </c>
      <c r="T215" s="55" t="n">
        <v>0.17999999999999994</v>
      </c>
      <c r="U215" s="56" t="inlineStr">
        <is>
          <t/>
        </is>
      </c>
      <c r="V215" s="57" t="inlineStr">
        <is>
          <t/>
        </is>
      </c>
      <c r="W215" s="58" t="inlineStr">
        <is>
          <t/>
        </is>
      </c>
      <c r="X215" s="59" t="inlineStr">
        <is>
          <t>LP Original Commitments</t>
        </is>
      </c>
      <c r="Y215" s="60" t="inlineStr">
        <is>
          <t>2020 Y</t>
        </is>
      </c>
      <c r="Z215" s="61" t="inlineStr">
        <is>
          <t>100M - 249M</t>
        </is>
      </c>
      <c r="AA215" s="62" t="inlineStr">
        <is>
          <t>Pelion Venture Partners</t>
        </is>
      </c>
      <c r="AB215" s="63" t="inlineStr">
        <is>
          <t>Salt Lake City, UT</t>
        </is>
      </c>
      <c r="AC215" s="64" t="inlineStr">
        <is>
          <t>Software</t>
        </is>
      </c>
      <c r="AD215" s="65" t="inlineStr">
        <is>
          <t>Seed Round, Early Stage VC</t>
        </is>
      </c>
      <c r="AE215" s="66" t="inlineStr">
        <is>
          <t/>
        </is>
      </c>
      <c r="AF215" s="67" t="inlineStr">
        <is>
          <t>PEH</t>
        </is>
      </c>
      <c r="AG215" s="232">
        <f>HYPERLINK("https://my.pitchbook.com?i=11318-86", "View Investor Online")</f>
      </c>
    </row>
    <row r="216">
      <c r="A216" s="69" t="inlineStr">
        <is>
          <t>15968-26F</t>
        </is>
      </c>
      <c r="B216" s="70" t="inlineStr">
        <is>
          <t>Pentech Fund III</t>
        </is>
      </c>
      <c r="C216" s="71" t="inlineStr">
        <is>
          <t/>
        </is>
      </c>
      <c r="D216" s="72" t="inlineStr">
        <is>
          <t>Venture Capital</t>
        </is>
      </c>
      <c r="E216" s="73" t="n">
        <v>112.64817</v>
      </c>
      <c r="F216" s="74" t="inlineStr">
        <is>
          <t>Edinburgh, United Kingdom</t>
        </is>
      </c>
      <c r="G216" s="75" t="inlineStr">
        <is>
          <t/>
        </is>
      </c>
      <c r="H216" s="76" t="n">
        <v>2017.0</v>
      </c>
      <c r="I216" s="77" t="n">
        <v>29.2646</v>
      </c>
      <c r="J216" s="78" t="n">
        <v>32.966036576519684</v>
      </c>
      <c r="K216" s="79" t="n">
        <v>79.68213364217999</v>
      </c>
      <c r="L216" s="80" t="inlineStr">
        <is>
          <t/>
        </is>
      </c>
      <c r="M216" s="81" t="n">
        <v>25.36332141424658</v>
      </c>
      <c r="N216" s="82" t="inlineStr">
        <is>
          <t/>
        </is>
      </c>
      <c r="O216" s="83" t="inlineStr">
        <is>
          <t/>
        </is>
      </c>
      <c r="P216" s="84" t="inlineStr">
        <is>
          <t/>
        </is>
      </c>
      <c r="Q216" s="85" t="inlineStr">
        <is>
          <t/>
        </is>
      </c>
      <c r="R216" s="86" t="inlineStr">
        <is>
          <t/>
        </is>
      </c>
      <c r="S216" s="87" t="n">
        <v>0.77</v>
      </c>
      <c r="T216" s="88" t="n">
        <v>-0.29825999999999997</v>
      </c>
      <c r="U216" s="89" t="inlineStr">
        <is>
          <t/>
        </is>
      </c>
      <c r="V216" s="90" t="inlineStr">
        <is>
          <t/>
        </is>
      </c>
      <c r="W216" s="91" t="inlineStr">
        <is>
          <t/>
        </is>
      </c>
      <c r="X216" s="92" t="inlineStr">
        <is>
          <t>LP Original Commitments</t>
        </is>
      </c>
      <c r="Y216" s="93" t="inlineStr">
        <is>
          <t>2019 Y</t>
        </is>
      </c>
      <c r="Z216" s="94" t="inlineStr">
        <is>
          <t>100M - 249M</t>
        </is>
      </c>
      <c r="AA216" s="95" t="inlineStr">
        <is>
          <t>Pentech Ventures</t>
        </is>
      </c>
      <c r="AB216" s="96" t="inlineStr">
        <is>
          <t>Edinburgh, United Kingdom</t>
        </is>
      </c>
      <c r="AC216" s="97" t="inlineStr">
        <is>
          <t>Software</t>
        </is>
      </c>
      <c r="AD216" s="98" t="inlineStr">
        <is>
          <t>Early Stage VC</t>
        </is>
      </c>
      <c r="AE216" s="99" t="inlineStr">
        <is>
          <t/>
        </is>
      </c>
      <c r="AF216" s="100" t="inlineStr">
        <is>
          <t>SPFO</t>
        </is>
      </c>
      <c r="AG216" s="233">
        <f>HYPERLINK("https://my.pitchbook.com?i=11270-26", "View Investor Online")</f>
      </c>
    </row>
    <row r="217">
      <c r="A217" s="36" t="inlineStr">
        <is>
          <t>15054-40F</t>
        </is>
      </c>
      <c r="B217" s="37" t="inlineStr">
        <is>
          <t>Rethink Education II</t>
        </is>
      </c>
      <c r="C217" s="38" t="inlineStr">
        <is>
          <t/>
        </is>
      </c>
      <c r="D217" s="39" t="inlineStr">
        <is>
          <t>Venture Capital</t>
        </is>
      </c>
      <c r="E217" s="40" t="n">
        <v>107.5</v>
      </c>
      <c r="F217" s="41" t="inlineStr">
        <is>
          <t>White Plains, NY</t>
        </is>
      </c>
      <c r="G217" s="42" t="n">
        <v>3.0</v>
      </c>
      <c r="H217" s="43" t="n">
        <v>2016.0</v>
      </c>
      <c r="I217" s="44" t="n">
        <v>70.13953488372094</v>
      </c>
      <c r="J217" s="45" t="n">
        <v>75.4</v>
      </c>
      <c r="K217" s="46" t="n">
        <v>34.0934444</v>
      </c>
      <c r="L217" s="47" t="inlineStr">
        <is>
          <t/>
        </is>
      </c>
      <c r="M217" s="48" t="inlineStr">
        <is>
          <t/>
        </is>
      </c>
      <c r="N217" s="49" t="n">
        <v>8.7</v>
      </c>
      <c r="O217" s="50" t="inlineStr">
        <is>
          <t/>
        </is>
      </c>
      <c r="P217" s="51" t="n">
        <v>-2.8500000000000014</v>
      </c>
      <c r="Q217" s="52" t="inlineStr">
        <is>
          <t/>
        </is>
      </c>
      <c r="R217" s="53" t="inlineStr">
        <is>
          <t/>
        </is>
      </c>
      <c r="S217" s="54" t="inlineStr">
        <is>
          <t/>
        </is>
      </c>
      <c r="T217" s="55" t="inlineStr">
        <is>
          <t/>
        </is>
      </c>
      <c r="U217" s="56" t="inlineStr">
        <is>
          <t/>
        </is>
      </c>
      <c r="V217" s="57" t="inlineStr">
        <is>
          <t/>
        </is>
      </c>
      <c r="W217" s="58" t="inlineStr">
        <is>
          <t/>
        </is>
      </c>
      <c r="X217" s="59" t="inlineStr">
        <is>
          <t>GP Self Reporting</t>
        </is>
      </c>
      <c r="Y217" s="60" t="inlineStr">
        <is>
          <t>2018 Y</t>
        </is>
      </c>
      <c r="Z217" s="61" t="inlineStr">
        <is>
          <t>100M - 249M</t>
        </is>
      </c>
      <c r="AA217" s="62" t="inlineStr">
        <is>
          <t>Rethink Capital Partners</t>
        </is>
      </c>
      <c r="AB217" s="63" t="inlineStr">
        <is>
          <t>White Plains, NY</t>
        </is>
      </c>
      <c r="AC217" s="64" t="inlineStr">
        <is>
          <t>Software</t>
        </is>
      </c>
      <c r="AD217" s="65" t="inlineStr">
        <is>
          <t>Seed Round, Early Stage VC, Later Stage VC</t>
        </is>
      </c>
      <c r="AE217" s="66" t="inlineStr">
        <is>
          <t>United States</t>
        </is>
      </c>
      <c r="AF217" s="67" t="inlineStr">
        <is>
          <t>Rethink Education</t>
        </is>
      </c>
      <c r="AG217" s="232">
        <f>HYPERLINK("https://my.pitchbook.com?i=53997-76", "View Investor Online")</f>
      </c>
    </row>
    <row r="218">
      <c r="A218" s="69" t="inlineStr">
        <is>
          <t>16245-91F</t>
        </is>
      </c>
      <c r="B218" s="70" t="inlineStr">
        <is>
          <t>Sante Health Ventures III</t>
        </is>
      </c>
      <c r="C218" s="71" t="inlineStr">
        <is>
          <t/>
        </is>
      </c>
      <c r="D218" s="72" t="inlineStr">
        <is>
          <t>Venture Capital - Early Stage</t>
        </is>
      </c>
      <c r="E218" s="73" t="n">
        <v>250.0</v>
      </c>
      <c r="F218" s="74" t="inlineStr">
        <is>
          <t>Austin, TX</t>
        </is>
      </c>
      <c r="G218" s="75" t="inlineStr">
        <is>
          <t/>
        </is>
      </c>
      <c r="H218" s="76" t="n">
        <v>2018.0</v>
      </c>
      <c r="I218" s="77" t="n">
        <v>8.851327999999999</v>
      </c>
      <c r="J218" s="78" t="n">
        <v>22.12832</v>
      </c>
      <c r="K218" s="79" t="n">
        <v>187.42501388888888</v>
      </c>
      <c r="L218" s="80" t="n">
        <v>0.0</v>
      </c>
      <c r="M218" s="81" t="inlineStr">
        <is>
          <t/>
        </is>
      </c>
      <c r="N218" s="82" t="inlineStr">
        <is>
          <t/>
        </is>
      </c>
      <c r="O218" s="83" t="inlineStr">
        <is>
          <t/>
        </is>
      </c>
      <c r="P218" s="84" t="inlineStr">
        <is>
          <t/>
        </is>
      </c>
      <c r="Q218" s="85" t="n">
        <v>0.0</v>
      </c>
      <c r="R218" s="86" t="inlineStr">
        <is>
          <t/>
        </is>
      </c>
      <c r="S218" s="87" t="inlineStr">
        <is>
          <t/>
        </is>
      </c>
      <c r="T218" s="88" t="inlineStr">
        <is>
          <t/>
        </is>
      </c>
      <c r="U218" s="89" t="inlineStr">
        <is>
          <t/>
        </is>
      </c>
      <c r="V218" s="90" t="inlineStr">
        <is>
          <t/>
        </is>
      </c>
      <c r="W218" s="91" t="inlineStr">
        <is>
          <t/>
        </is>
      </c>
      <c r="X218" s="92" t="inlineStr">
        <is>
          <t>GP Self Reporting, LP Original Commitments</t>
        </is>
      </c>
      <c r="Y218" s="93" t="inlineStr">
        <is>
          <t>2019 Y</t>
        </is>
      </c>
      <c r="Z218" s="94" t="inlineStr">
        <is>
          <t>250M - 499M</t>
        </is>
      </c>
      <c r="AA218" s="95" t="inlineStr">
        <is>
          <t>Santé</t>
        </is>
      </c>
      <c r="AB218" s="96" t="inlineStr">
        <is>
          <t>Austin, TX</t>
        </is>
      </c>
      <c r="AC218" s="97" t="inlineStr">
        <is>
          <t>Healthcare Technology Systems, Healthcare Services, Pharmaceuticals and Biotechnology, Healthcare Devices and Supplies</t>
        </is>
      </c>
      <c r="AD218" s="98" t="inlineStr">
        <is>
          <t>Early Stage VC, Seed Round</t>
        </is>
      </c>
      <c r="AE218" s="99" t="inlineStr">
        <is>
          <t>United States, United States</t>
        </is>
      </c>
      <c r="AF218" s="100" t="inlineStr">
        <is>
          <t>PSERS, Santé Ventures</t>
        </is>
      </c>
      <c r="AG218" s="233">
        <f>HYPERLINK("https://my.pitchbook.com?i=11456-92", "View Investor Online")</f>
      </c>
    </row>
    <row r="219">
      <c r="A219" s="36" t="inlineStr">
        <is>
          <t>12677-59F</t>
        </is>
      </c>
      <c r="B219" s="37" t="inlineStr">
        <is>
          <t>SEED Capital Denmark II</t>
        </is>
      </c>
      <c r="C219" s="38" t="inlineStr">
        <is>
          <t/>
        </is>
      </c>
      <c r="D219" s="39" t="inlineStr">
        <is>
          <t>Venture Capital - Early Stage</t>
        </is>
      </c>
      <c r="E219" s="40" t="n">
        <v>120.59141</v>
      </c>
      <c r="F219" s="41" t="inlineStr">
        <is>
          <t>Copenhagen, Denmark</t>
        </is>
      </c>
      <c r="G219" s="42" t="inlineStr">
        <is>
          <t/>
        </is>
      </c>
      <c r="H219" s="43" t="n">
        <v>2010.0</v>
      </c>
      <c r="I219" s="44" t="inlineStr">
        <is>
          <t/>
        </is>
      </c>
      <c r="J219" s="45" t="inlineStr">
        <is>
          <t/>
        </is>
      </c>
      <c r="K219" s="46" t="n">
        <v>120.59141</v>
      </c>
      <c r="L219" s="47" t="inlineStr">
        <is>
          <t/>
        </is>
      </c>
      <c r="M219" s="48" t="inlineStr">
        <is>
          <t/>
        </is>
      </c>
      <c r="N219" s="49" t="n">
        <v>14.8</v>
      </c>
      <c r="O219" s="50" t="inlineStr">
        <is>
          <t/>
        </is>
      </c>
      <c r="P219" s="51" t="inlineStr">
        <is>
          <t/>
        </is>
      </c>
      <c r="Q219" s="52" t="inlineStr">
        <is>
          <t/>
        </is>
      </c>
      <c r="R219" s="53" t="inlineStr">
        <is>
          <t/>
        </is>
      </c>
      <c r="S219" s="54" t="inlineStr">
        <is>
          <t/>
        </is>
      </c>
      <c r="T219" s="55" t="inlineStr">
        <is>
          <t/>
        </is>
      </c>
      <c r="U219" s="56" t="inlineStr">
        <is>
          <t/>
        </is>
      </c>
      <c r="V219" s="57" t="inlineStr">
        <is>
          <t/>
        </is>
      </c>
      <c r="W219" s="58" t="inlineStr">
        <is>
          <t/>
        </is>
      </c>
      <c r="X219" s="59" t="inlineStr">
        <is>
          <t>GP Self Reporting</t>
        </is>
      </c>
      <c r="Y219" s="60" t="inlineStr">
        <is>
          <t>2020 Y</t>
        </is>
      </c>
      <c r="Z219" s="61" t="inlineStr">
        <is>
          <t>100M - 249M</t>
        </is>
      </c>
      <c r="AA219" s="62" t="inlineStr">
        <is>
          <t>Seed Capital (Denmark)</t>
        </is>
      </c>
      <c r="AB219" s="63" t="inlineStr">
        <is>
          <t>Copenhagen, Denmark</t>
        </is>
      </c>
      <c r="AC219" s="64" t="inlineStr">
        <is>
          <t>Software</t>
        </is>
      </c>
      <c r="AD219" s="65" t="inlineStr">
        <is>
          <t>Seed Round, Early Stage VC</t>
        </is>
      </c>
      <c r="AE219" s="66" t="inlineStr">
        <is>
          <t/>
        </is>
      </c>
      <c r="AF219" s="67" t="inlineStr">
        <is>
          <t>Seed</t>
        </is>
      </c>
      <c r="AG219" s="232">
        <f>HYPERLINK("https://my.pitchbook.com?i=42520-24", "View Investor Online")</f>
      </c>
    </row>
    <row r="220">
      <c r="A220" s="69" t="inlineStr">
        <is>
          <t>15101-47F</t>
        </is>
      </c>
      <c r="B220" s="70" t="inlineStr">
        <is>
          <t>SEED Capital Denmark III</t>
        </is>
      </c>
      <c r="C220" s="71" t="inlineStr">
        <is>
          <t/>
        </is>
      </c>
      <c r="D220" s="72" t="inlineStr">
        <is>
          <t>Venture Capital - Early Stage</t>
        </is>
      </c>
      <c r="E220" s="73" t="n">
        <v>122.1902</v>
      </c>
      <c r="F220" s="74" t="inlineStr">
        <is>
          <t>Copenhagen, Denmark</t>
        </is>
      </c>
      <c r="G220" s="75" t="inlineStr">
        <is>
          <t/>
        </is>
      </c>
      <c r="H220" s="76" t="n">
        <v>2016.0</v>
      </c>
      <c r="I220" s="77" t="inlineStr">
        <is>
          <t/>
        </is>
      </c>
      <c r="J220" s="78" t="inlineStr">
        <is>
          <t/>
        </is>
      </c>
      <c r="K220" s="79" t="n">
        <v>16.632620099598014</v>
      </c>
      <c r="L220" s="80" t="inlineStr">
        <is>
          <t/>
        </is>
      </c>
      <c r="M220" s="81" t="inlineStr">
        <is>
          <t/>
        </is>
      </c>
      <c r="N220" s="82" t="n">
        <v>13.7</v>
      </c>
      <c r="O220" s="83" t="inlineStr">
        <is>
          <t/>
        </is>
      </c>
      <c r="P220" s="84" t="inlineStr">
        <is>
          <t/>
        </is>
      </c>
      <c r="Q220" s="85" t="inlineStr">
        <is>
          <t/>
        </is>
      </c>
      <c r="R220" s="86" t="inlineStr">
        <is>
          <t/>
        </is>
      </c>
      <c r="S220" s="87" t="inlineStr">
        <is>
          <t/>
        </is>
      </c>
      <c r="T220" s="88" t="inlineStr">
        <is>
          <t/>
        </is>
      </c>
      <c r="U220" s="89" t="inlineStr">
        <is>
          <t/>
        </is>
      </c>
      <c r="V220" s="90" t="inlineStr">
        <is>
          <t/>
        </is>
      </c>
      <c r="W220" s="91" t="inlineStr">
        <is>
          <t/>
        </is>
      </c>
      <c r="X220" s="92" t="inlineStr">
        <is>
          <t>GP Self Reporting</t>
        </is>
      </c>
      <c r="Y220" s="93" t="inlineStr">
        <is>
          <t>2020 Y</t>
        </is>
      </c>
      <c r="Z220" s="94" t="inlineStr">
        <is>
          <t>100M - 249M</t>
        </is>
      </c>
      <c r="AA220" s="95" t="inlineStr">
        <is>
          <t>Seed Capital (Denmark)</t>
        </is>
      </c>
      <c r="AB220" s="96" t="inlineStr">
        <is>
          <t>Copenhagen, Denmark</t>
        </is>
      </c>
      <c r="AC220" s="97" t="inlineStr">
        <is>
          <t>Healthcare Technology Systems, Information Technology</t>
        </is>
      </c>
      <c r="AD220" s="98" t="inlineStr">
        <is>
          <t>Seed Round, Early Stage VC</t>
        </is>
      </c>
      <c r="AE220" s="99" t="inlineStr">
        <is>
          <t/>
        </is>
      </c>
      <c r="AF220" s="100" t="inlineStr">
        <is>
          <t>Seed</t>
        </is>
      </c>
      <c r="AG220" s="233">
        <f>HYPERLINK("https://my.pitchbook.com?i=42520-24", "View Investor Online")</f>
      </c>
    </row>
    <row r="221">
      <c r="A221" s="36" t="inlineStr">
        <is>
          <t>16044-31F</t>
        </is>
      </c>
      <c r="B221" s="37" t="inlineStr">
        <is>
          <t>Stage One Venture Capital Fund III</t>
        </is>
      </c>
      <c r="C221" s="38" t="inlineStr">
        <is>
          <t/>
        </is>
      </c>
      <c r="D221" s="39" t="inlineStr">
        <is>
          <t>Venture Capital</t>
        </is>
      </c>
      <c r="E221" s="40" t="n">
        <v>110.0</v>
      </c>
      <c r="F221" s="41" t="inlineStr">
        <is>
          <t>Herzliya Pituach, Israel</t>
        </is>
      </c>
      <c r="G221" s="42" t="inlineStr">
        <is>
          <t/>
        </is>
      </c>
      <c r="H221" s="43" t="n">
        <v>2018.0</v>
      </c>
      <c r="I221" s="44" t="n">
        <v>5.909090909090909</v>
      </c>
      <c r="J221" s="45" t="n">
        <v>6.5</v>
      </c>
      <c r="K221" s="46" t="n">
        <v>103.5</v>
      </c>
      <c r="L221" s="47" t="n">
        <v>0.0</v>
      </c>
      <c r="M221" s="48" t="inlineStr">
        <is>
          <t/>
        </is>
      </c>
      <c r="N221" s="49" t="inlineStr">
        <is>
          <t/>
        </is>
      </c>
      <c r="O221" s="50" t="inlineStr">
        <is>
          <t/>
        </is>
      </c>
      <c r="P221" s="51" t="inlineStr">
        <is>
          <t/>
        </is>
      </c>
      <c r="Q221" s="52" t="n">
        <v>0.0</v>
      </c>
      <c r="R221" s="53" t="inlineStr">
        <is>
          <t/>
        </is>
      </c>
      <c r="S221" s="54" t="inlineStr">
        <is>
          <t/>
        </is>
      </c>
      <c r="T221" s="55" t="inlineStr">
        <is>
          <t/>
        </is>
      </c>
      <c r="U221" s="56" t="inlineStr">
        <is>
          <t/>
        </is>
      </c>
      <c r="V221" s="57" t="inlineStr">
        <is>
          <t/>
        </is>
      </c>
      <c r="W221" s="58" t="inlineStr">
        <is>
          <t/>
        </is>
      </c>
      <c r="X221" s="59" t="inlineStr">
        <is>
          <t>GP Self Reporting</t>
        </is>
      </c>
      <c r="Y221" s="60" t="inlineStr">
        <is>
          <t>2018 Y</t>
        </is>
      </c>
      <c r="Z221" s="61" t="inlineStr">
        <is>
          <t>100M - 249M</t>
        </is>
      </c>
      <c r="AA221" s="62" t="inlineStr">
        <is>
          <t>StageOne Ventures</t>
        </is>
      </c>
      <c r="AB221" s="63" t="inlineStr">
        <is>
          <t>Herzliya Pituach, Israel</t>
        </is>
      </c>
      <c r="AC221" s="64" t="inlineStr">
        <is>
          <t>Information Technology</t>
        </is>
      </c>
      <c r="AD221" s="65" t="inlineStr">
        <is>
          <t>Early Stage VC</t>
        </is>
      </c>
      <c r="AE221" s="66" t="inlineStr">
        <is>
          <t>Israel, United States</t>
        </is>
      </c>
      <c r="AF221" s="67" t="inlineStr">
        <is>
          <t>StageOne</t>
        </is>
      </c>
      <c r="AG221" s="232">
        <f>HYPERLINK("https://my.pitchbook.com?i=52618-96", "View Investor Online")</f>
      </c>
    </row>
    <row r="222">
      <c r="A222" s="69" t="inlineStr">
        <is>
          <t>15941-08F</t>
        </is>
      </c>
      <c r="B222" s="70" t="inlineStr">
        <is>
          <t>The Trans-Pacific Technology Fund</t>
        </is>
      </c>
      <c r="C222" s="71" t="inlineStr">
        <is>
          <t/>
        </is>
      </c>
      <c r="D222" s="72" t="inlineStr">
        <is>
          <t>Venture Capital</t>
        </is>
      </c>
      <c r="E222" s="73" t="n">
        <v>200.0</v>
      </c>
      <c r="F222" s="74" t="inlineStr">
        <is>
          <t>Taipei, Taiwan</t>
        </is>
      </c>
      <c r="G222" s="75" t="inlineStr">
        <is>
          <t/>
        </is>
      </c>
      <c r="H222" s="76" t="n">
        <v>2018.0</v>
      </c>
      <c r="I222" s="77" t="inlineStr">
        <is>
          <t/>
        </is>
      </c>
      <c r="J222" s="78" t="inlineStr">
        <is>
          <t/>
        </is>
      </c>
      <c r="K222" s="79" t="n">
        <v>200.0</v>
      </c>
      <c r="L222" s="80" t="inlineStr">
        <is>
          <t/>
        </is>
      </c>
      <c r="M222" s="81" t="inlineStr">
        <is>
          <t/>
        </is>
      </c>
      <c r="N222" s="82" t="inlineStr">
        <is>
          <t/>
        </is>
      </c>
      <c r="O222" s="83" t="inlineStr">
        <is>
          <t/>
        </is>
      </c>
      <c r="P222" s="84" t="inlineStr">
        <is>
          <t/>
        </is>
      </c>
      <c r="Q222" s="85" t="inlineStr">
        <is>
          <t/>
        </is>
      </c>
      <c r="R222" s="86" t="inlineStr">
        <is>
          <t/>
        </is>
      </c>
      <c r="S222" s="87" t="n">
        <v>0.26</v>
      </c>
      <c r="T222" s="88" t="inlineStr">
        <is>
          <t/>
        </is>
      </c>
      <c r="U222" s="89" t="inlineStr">
        <is>
          <t/>
        </is>
      </c>
      <c r="V222" s="90" t="inlineStr">
        <is>
          <t/>
        </is>
      </c>
      <c r="W222" s="91" t="inlineStr">
        <is>
          <t/>
        </is>
      </c>
      <c r="X222" s="92" t="inlineStr">
        <is>
          <t>LP Original Commitments</t>
        </is>
      </c>
      <c r="Y222" s="93" t="inlineStr">
        <is>
          <t>2018 Y</t>
        </is>
      </c>
      <c r="Z222" s="94" t="inlineStr">
        <is>
          <t>100M - 249M</t>
        </is>
      </c>
      <c r="AA222" s="95" t="inlineStr">
        <is>
          <t>Trans-Pacific Technology Fund</t>
        </is>
      </c>
      <c r="AB222" s="96" t="inlineStr">
        <is>
          <t>Taipei, Taiwan</t>
        </is>
      </c>
      <c r="AC222" s="97" t="inlineStr">
        <is>
          <t>Information Technology</t>
        </is>
      </c>
      <c r="AD222" s="98" t="inlineStr">
        <is>
          <t>Seed Round, Early Stage VC, Later Stage VC</t>
        </is>
      </c>
      <c r="AE222" s="99" t="inlineStr">
        <is>
          <t>Russia, Asia</t>
        </is>
      </c>
      <c r="AF222" s="100" t="inlineStr">
        <is>
          <t>NDF</t>
        </is>
      </c>
      <c r="AG222" s="233">
        <f>HYPERLINK("https://my.pitchbook.com?i=179412-22", "View Investor Online")</f>
      </c>
    </row>
    <row r="223">
      <c r="A223" s="36" t="inlineStr">
        <is>
          <t>13697-74F</t>
        </is>
      </c>
      <c r="B223" s="37" t="inlineStr">
        <is>
          <t>Translink Capital Partners III</t>
        </is>
      </c>
      <c r="C223" s="38" t="inlineStr">
        <is>
          <t/>
        </is>
      </c>
      <c r="D223" s="39" t="inlineStr">
        <is>
          <t>Venture Capital</t>
        </is>
      </c>
      <c r="E223" s="40" t="n">
        <v>127.0</v>
      </c>
      <c r="F223" s="41" t="inlineStr">
        <is>
          <t>Palo Alto, CA</t>
        </is>
      </c>
      <c r="G223" s="42" t="inlineStr">
        <is>
          <t/>
        </is>
      </c>
      <c r="H223" s="43" t="n">
        <v>2015.0</v>
      </c>
      <c r="I223" s="44" t="inlineStr">
        <is>
          <t/>
        </is>
      </c>
      <c r="J223" s="45" t="inlineStr">
        <is>
          <t/>
        </is>
      </c>
      <c r="K223" s="46" t="n">
        <v>30.20285922848638</v>
      </c>
      <c r="L223" s="47" t="inlineStr">
        <is>
          <t/>
        </is>
      </c>
      <c r="M223" s="48" t="inlineStr">
        <is>
          <t/>
        </is>
      </c>
      <c r="N223" s="49" t="inlineStr">
        <is>
          <t/>
        </is>
      </c>
      <c r="O223" s="50" t="inlineStr">
        <is>
          <t/>
        </is>
      </c>
      <c r="P223" s="51" t="inlineStr">
        <is>
          <t/>
        </is>
      </c>
      <c r="Q223" s="52" t="inlineStr">
        <is>
          <t/>
        </is>
      </c>
      <c r="R223" s="53" t="inlineStr">
        <is>
          <t/>
        </is>
      </c>
      <c r="S223" s="54" t="n">
        <v>0.15</v>
      </c>
      <c r="T223" s="55" t="n">
        <v>-1.04</v>
      </c>
      <c r="U223" s="56" t="inlineStr">
        <is>
          <t/>
        </is>
      </c>
      <c r="V223" s="57" t="inlineStr">
        <is>
          <t/>
        </is>
      </c>
      <c r="W223" s="58" t="inlineStr">
        <is>
          <t/>
        </is>
      </c>
      <c r="X223" s="59" t="inlineStr">
        <is>
          <t>LP Original Commitments</t>
        </is>
      </c>
      <c r="Y223" s="60" t="inlineStr">
        <is>
          <t>2018 Y</t>
        </is>
      </c>
      <c r="Z223" s="61" t="inlineStr">
        <is>
          <t>100M - 249M</t>
        </is>
      </c>
      <c r="AA223" s="62" t="inlineStr">
        <is>
          <t>TransLink Capital</t>
        </is>
      </c>
      <c r="AB223" s="63" t="inlineStr">
        <is>
          <t>Palo Alto, CA</t>
        </is>
      </c>
      <c r="AC223" s="64" t="inlineStr">
        <is>
          <t>Semiconductors, Automation/Workflow Software</t>
        </is>
      </c>
      <c r="AD223" s="65" t="inlineStr">
        <is>
          <t>Early Stage VC, PE Growth/Expansion, Later Stage VC</t>
        </is>
      </c>
      <c r="AE223" s="66" t="inlineStr">
        <is>
          <t>Israel, Asia, United States</t>
        </is>
      </c>
      <c r="AF223" s="67" t="inlineStr">
        <is>
          <t>NDF</t>
        </is>
      </c>
      <c r="AG223" s="232">
        <f>HYPERLINK("https://my.pitchbook.com?i=50981-14", "View Investor Online")</f>
      </c>
    </row>
    <row r="224">
      <c r="A224" s="69" t="inlineStr">
        <is>
          <t>15609-16F</t>
        </is>
      </c>
      <c r="B224" s="70" t="inlineStr">
        <is>
          <t>Vivo Panda Fund</t>
        </is>
      </c>
      <c r="C224" s="71" t="inlineStr">
        <is>
          <t/>
        </is>
      </c>
      <c r="D224" s="72" t="inlineStr">
        <is>
          <t>Venture Capital</t>
        </is>
      </c>
      <c r="E224" s="73" t="n">
        <v>100.30612</v>
      </c>
      <c r="F224" s="74" t="inlineStr">
        <is>
          <t>Palo Alto, CA</t>
        </is>
      </c>
      <c r="G224" s="75" t="inlineStr">
        <is>
          <t/>
        </is>
      </c>
      <c r="H224" s="76" t="n">
        <v>2016.0</v>
      </c>
      <c r="I224" s="77" t="inlineStr">
        <is>
          <t/>
        </is>
      </c>
      <c r="J224" s="78" t="inlineStr">
        <is>
          <t/>
        </is>
      </c>
      <c r="K224" s="79" t="n">
        <v>31.811917443718404</v>
      </c>
      <c r="L224" s="80" t="inlineStr">
        <is>
          <t/>
        </is>
      </c>
      <c r="M224" s="81" t="inlineStr">
        <is>
          <t/>
        </is>
      </c>
      <c r="N224" s="82" t="inlineStr">
        <is>
          <t/>
        </is>
      </c>
      <c r="O224" s="83" t="inlineStr">
        <is>
          <t/>
        </is>
      </c>
      <c r="P224" s="84" t="inlineStr">
        <is>
          <t/>
        </is>
      </c>
      <c r="Q224" s="85" t="inlineStr">
        <is>
          <t/>
        </is>
      </c>
      <c r="R224" s="86" t="inlineStr">
        <is>
          <t/>
        </is>
      </c>
      <c r="S224" s="87" t="n">
        <v>0.17</v>
      </c>
      <c r="T224" s="88" t="n">
        <v>-0.945</v>
      </c>
      <c r="U224" s="89" t="inlineStr">
        <is>
          <t/>
        </is>
      </c>
      <c r="V224" s="90" t="inlineStr">
        <is>
          <t/>
        </is>
      </c>
      <c r="W224" s="91" t="inlineStr">
        <is>
          <t/>
        </is>
      </c>
      <c r="X224" s="92" t="inlineStr">
        <is>
          <t>LP Original Commitments</t>
        </is>
      </c>
      <c r="Y224" s="93" t="inlineStr">
        <is>
          <t>2018 Y</t>
        </is>
      </c>
      <c r="Z224" s="94" t="inlineStr">
        <is>
          <t>100M - 249M</t>
        </is>
      </c>
      <c r="AA224" s="95" t="inlineStr">
        <is>
          <t>Vivo Capital</t>
        </is>
      </c>
      <c r="AB224" s="96" t="inlineStr">
        <is>
          <t>Palo Alto, CA</t>
        </is>
      </c>
      <c r="AC224" s="97" t="inlineStr">
        <is>
          <t>Healthcare Devices and Supplies, Biotechnology</t>
        </is>
      </c>
      <c r="AD224" s="98" t="inlineStr">
        <is>
          <t>Early Stage VC</t>
        </is>
      </c>
      <c r="AE224" s="99" t="inlineStr">
        <is>
          <t/>
        </is>
      </c>
      <c r="AF224" s="100" t="inlineStr">
        <is>
          <t>NDF</t>
        </is>
      </c>
      <c r="AG224" s="233">
        <f>HYPERLINK("https://my.pitchbook.com?i=11125-00", "View Investor Online")</f>
      </c>
    </row>
    <row r="225">
      <c r="A225" s="36" t="inlineStr">
        <is>
          <t>15491-53F</t>
        </is>
      </c>
      <c r="B225" s="37" t="inlineStr">
        <is>
          <t>WI Harper Fund VIII</t>
        </is>
      </c>
      <c r="C225" s="38" t="inlineStr">
        <is>
          <t/>
        </is>
      </c>
      <c r="D225" s="39" t="inlineStr">
        <is>
          <t>Venture Capital</t>
        </is>
      </c>
      <c r="E225" s="40" t="n">
        <v>175.0</v>
      </c>
      <c r="F225" s="41" t="inlineStr">
        <is>
          <t>San Francisco, CA</t>
        </is>
      </c>
      <c r="G225" s="42" t="inlineStr">
        <is>
          <t/>
        </is>
      </c>
      <c r="H225" s="43" t="n">
        <v>2016.0</v>
      </c>
      <c r="I225" s="44" t="inlineStr">
        <is>
          <t/>
        </is>
      </c>
      <c r="J225" s="45" t="inlineStr">
        <is>
          <t/>
        </is>
      </c>
      <c r="K225" s="46" t="n">
        <v>55.500956</v>
      </c>
      <c r="L225" s="47" t="inlineStr">
        <is>
          <t/>
        </is>
      </c>
      <c r="M225" s="48" t="inlineStr">
        <is>
          <t/>
        </is>
      </c>
      <c r="N225" s="49" t="inlineStr">
        <is>
          <t/>
        </is>
      </c>
      <c r="O225" s="50" t="inlineStr">
        <is>
          <t/>
        </is>
      </c>
      <c r="P225" s="51" t="inlineStr">
        <is>
          <t/>
        </is>
      </c>
      <c r="Q225" s="52" t="inlineStr">
        <is>
          <t/>
        </is>
      </c>
      <c r="R225" s="53" t="inlineStr">
        <is>
          <t/>
        </is>
      </c>
      <c r="S225" s="54" t="n">
        <v>0.11</v>
      </c>
      <c r="T225" s="55" t="n">
        <v>-1.005</v>
      </c>
      <c r="U225" s="56" t="inlineStr">
        <is>
          <t/>
        </is>
      </c>
      <c r="V225" s="57" t="inlineStr">
        <is>
          <t/>
        </is>
      </c>
      <c r="W225" s="58" t="inlineStr">
        <is>
          <t/>
        </is>
      </c>
      <c r="X225" s="59" t="inlineStr">
        <is>
          <t>LP Original Commitments</t>
        </is>
      </c>
      <c r="Y225" s="60" t="inlineStr">
        <is>
          <t>2018 Y</t>
        </is>
      </c>
      <c r="Z225" s="61" t="inlineStr">
        <is>
          <t>100M - 249M</t>
        </is>
      </c>
      <c r="AA225" s="62" t="inlineStr">
        <is>
          <t>WI Harper Group</t>
        </is>
      </c>
      <c r="AB225" s="63" t="inlineStr">
        <is>
          <t>San Francisco, CA</t>
        </is>
      </c>
      <c r="AC225" s="64" t="inlineStr">
        <is>
          <t>Software</t>
        </is>
      </c>
      <c r="AD225" s="65" t="inlineStr">
        <is>
          <t>Early Stage VC</t>
        </is>
      </c>
      <c r="AE225" s="66" t="inlineStr">
        <is>
          <t>East Asia, United States</t>
        </is>
      </c>
      <c r="AF225" s="67" t="inlineStr">
        <is>
          <t>Meritor Retirement Plan, NDF</t>
        </is>
      </c>
      <c r="AG225" s="232">
        <f>HYPERLINK("https://my.pitchbook.com?i=11336-32", "View Investor Online")</f>
      </c>
    </row>
    <row r="228">
      <c r="A228" s="234" t="inlineStr">
        <is>
          <t>© PitchBook Data, Inc. 2020</t>
        </is>
      </c>
    </row>
  </sheetData>
  <mergeCells count="3">
    <mergeCell ref="B4:E6"/>
    <mergeCell ref="E1:H1"/>
    <mergeCell ref="B3:C3"/>
  </mergeCells>
  <phoneticPr fontId="0" type="noConversion"/>
  <hyperlinks>
    <hyperlink display="https://my.pitchbook.com/?pcc=361667-44" ref="B3" r:id="rId5"/>
  </hyperlinks>
  <pageMargins left="0.75" right="0.75" top="1" bottom="1" header="0.5" footer="0.5"/>
  <pageSetup paperSize="9" firstPageNumber="0" fitToWidth="0" fitToHeight="0" pageOrder="overThenDown" orientation="portrait" horizontalDpi="300" verticalDpi="300" r:id="rId1"/>
  <headerFooter alignWithMargins="0"/>
  <drawing r:id="rId2"/>
  <legacyDrawing r:id="rId4"/>
</worksheet>
</file>

<file path=xl/worksheets/sheet2.xml><?xml version="1.0" encoding="utf-8"?>
<worksheet xmlns="http://schemas.openxmlformats.org/spreadsheetml/2006/main" xmlns:r="http://schemas.openxmlformats.org/officeDocument/2006/relationships">
  <dimension ref="A1:I21"/>
  <sheetViews>
    <sheetView workbookViewId="0" showGridLines="false" tabSelected="false">
      <selection activeCell="A100" sqref="A100"/>
    </sheetView>
  </sheetViews>
  <sheetFormatPr defaultRowHeight="15.0"/>
  <cols>
    <col min="1" max="1" width="19.1640625" customWidth="true"/>
    <col min="2" max="2" width="23.1640625" customWidth="true"/>
    <col min="3" max="3" width="9.1640625" customWidth="true"/>
    <col min="4" max="4" width="9.1640625" customWidth="true"/>
    <col min="5" max="5" width="9.1640625" customWidth="true"/>
    <col min="6" max="6" width="9.1640625" customWidth="true"/>
    <col min="7" max="7" width="9.1640625" customWidth="true"/>
    <col min="8" max="8" width="2.83203125" customWidth="true"/>
    <col min="9" max="9" width="26.5" customWidth="true"/>
    <col min="10" max="10" width="9.1640625" customWidth="true"/>
    <col min="11" max="11" width="9.1640625" customWidth="true"/>
    <col min="12" max="12" width="9.1640625" customWidth="true"/>
    <col min="13" max="13" width="9.1640625" customWidth="true"/>
    <col min="14" max="14" width="9.1640625" customWidth="true"/>
    <col min="15" max="15" width="9.1640625" customWidth="true"/>
    <col min="16" max="16" width="9.1640625" customWidth="true"/>
    <col min="17" max="17" width="9.1640625" customWidth="true"/>
  </cols>
  <sheetData>
    <row r="1">
      <c r="A1" t="s" s="235">
        <v>43</v>
      </c>
    </row>
    <row r="3">
      <c r="A3" t="s" s="236">
        <v>44</v>
      </c>
    </row>
    <row r="4">
      <c r="A4" t="s" s="244">
        <v>45</v>
      </c>
    </row>
    <row r="6">
      <c r="A6" t="s" s="238">
        <v>46</v>
      </c>
      <c r="B6" t="s" s="243">
        <v>47</v>
      </c>
      <c r="C6" t="s" s="240">
        <v>48</v>
      </c>
    </row>
    <row r="8">
      <c r="A8" t="s" s="241">
        <v>49</v>
      </c>
      <c r="I8" t="s" s="245">
        <v>50</v>
      </c>
    </row>
    <row r="10">
      <c r="A10" t="s" s="246">
        <v>51</v>
      </c>
    </row>
    <row r="21">
      <c r="A21"/>
    </row>
  </sheetData>
  <sheetProtection password="C9C1" sheet="true" scenarios="true" objects="true"/>
  <hyperlinks>
    <hyperlink display="PitchBook User Agreement" ref="B6" r:id="rId1"/>
    <hyperlink display="clientservices@pitchbook.com " ref="A4" r:id="rId2"/>
    <hyperlink display="clientservices@pitchbook.com." ref="I8" r:id="rId3"/>
  </hyperlink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5</vt:i4>
      </vt:variant>
    </vt:vector>
  </HeadingPairs>
  <TitlesOfParts>
    <vt:vector size="6" baseType="lpstr">
      <vt:lpstr>Data</vt:lpstr>
      <vt:lpstr>CreatedFor</vt:lpstr>
      <vt:lpstr>CreatedForTitle</vt:lpstr>
      <vt:lpstr>DownloadedOn</vt:lpstr>
      <vt:lpstr>SearchCriteria</vt:lpstr>
      <vt:lpstr>SearchCriteriaType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2011-01-13T13:16:13Z</dcterms:created>
  <dc:creator>PitchBook</dc:creator>
  <cp:lastModifiedBy>PitchBook</cp:lastModifiedBy>
  <dcterms:modified xsi:type="dcterms:W3CDTF">2020-01-21T14:46:14Z</dcterms:modified>
</cp:coreProperties>
</file>