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240" yWindow="105" windowWidth="14805" windowHeight="8010" tabRatio="847"/>
  </bookViews>
  <sheets>
    <sheet name="Summary" sheetId="45" r:id="rId1"/>
    <sheet name="Cover Sheet" sheetId="18" state="hidden" r:id="rId2"/>
    <sheet name="Combo Loan" sheetId="21" state="hidden" r:id="rId3"/>
    <sheet name="Festival Loan" sheetId="13" state="hidden" r:id="rId4"/>
    <sheet name="Sheet3" sheetId="3" state="hidden" r:id="rId5"/>
    <sheet name="Family" sheetId="8" state="hidden" r:id="rId6"/>
    <sheet name="Emergency" sheetId="44" state="hidden" r:id="rId7"/>
    <sheet name="Education" sheetId="43" state="hidden" r:id="rId8"/>
    <sheet name="Family Repeat" sheetId="34" state="hidden" r:id="rId9"/>
    <sheet name="Business Fresh" sheetId="28" state="hidden" r:id="rId10"/>
    <sheet name="Business Repeat" sheetId="32" state="hidden" r:id="rId11"/>
    <sheet name="Bandhan" sheetId="36" state="hidden" r:id="rId12"/>
    <sheet name="SKS Min" sheetId="38" state="hidden" r:id="rId13"/>
    <sheet name="SKS Max" sheetId="39" state="hidden" r:id="rId14"/>
    <sheet name="Ujj original" sheetId="40" state="hidden" r:id="rId15"/>
    <sheet name="Basix" sheetId="41" state="hidden" r:id="rId16"/>
    <sheet name="Arohan" sheetId="42" state="hidden" r:id="rId17"/>
  </sheets>
  <calcPr calcId="125725"/>
</workbook>
</file>

<file path=xl/calcChain.xml><?xml version="1.0" encoding="utf-8"?>
<calcChain xmlns="http://schemas.openxmlformats.org/spreadsheetml/2006/main">
  <c r="D9" i="45"/>
  <c r="D12"/>
  <c r="D13" s="1"/>
  <c r="D14" l="1"/>
  <c r="D8" i="42" l="1"/>
  <c r="D11"/>
  <c r="C16"/>
  <c r="G16"/>
  <c r="H16"/>
  <c r="C17"/>
  <c r="D17"/>
  <c r="G17"/>
  <c r="H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H59"/>
  <c r="G60"/>
  <c r="H60"/>
  <c r="G61"/>
  <c r="H61"/>
  <c r="G62"/>
  <c r="H62"/>
  <c r="G63"/>
  <c r="H63"/>
  <c r="G64"/>
  <c r="H64"/>
  <c r="G65"/>
  <c r="H65"/>
  <c r="G66"/>
  <c r="H66"/>
  <c r="D8" i="41"/>
  <c r="C16"/>
  <c r="G16"/>
  <c r="H16"/>
  <c r="C17"/>
  <c r="G17"/>
  <c r="G18"/>
  <c r="G19"/>
  <c r="G20"/>
  <c r="G21"/>
  <c r="G22"/>
  <c r="G23"/>
  <c r="G24"/>
  <c r="G25"/>
  <c r="G26"/>
  <c r="G27"/>
  <c r="G28"/>
  <c r="G29"/>
  <c r="G30"/>
  <c r="G31"/>
  <c r="G32"/>
  <c r="G33"/>
  <c r="G34"/>
  <c r="G35"/>
  <c r="G36"/>
  <c r="G37"/>
  <c r="G38"/>
  <c r="G39"/>
  <c r="G40"/>
  <c r="G41"/>
  <c r="G42"/>
  <c r="G43"/>
  <c r="G44"/>
  <c r="G45"/>
  <c r="G46"/>
  <c r="G47"/>
  <c r="G48"/>
  <c r="G49"/>
  <c r="G50"/>
  <c r="G51"/>
  <c r="G52"/>
  <c r="G53"/>
  <c r="H53"/>
  <c r="G54"/>
  <c r="H54"/>
  <c r="G55"/>
  <c r="H55"/>
  <c r="G56"/>
  <c r="H56"/>
  <c r="G57"/>
  <c r="H57"/>
  <c r="G58"/>
  <c r="H58"/>
  <c r="G59"/>
  <c r="H59"/>
  <c r="G60"/>
  <c r="H60"/>
  <c r="G61"/>
  <c r="H61"/>
  <c r="G62"/>
  <c r="H62"/>
  <c r="G63"/>
  <c r="H63"/>
  <c r="G64"/>
  <c r="H64"/>
  <c r="G65"/>
  <c r="H65"/>
  <c r="G66"/>
  <c r="H66"/>
  <c r="I3" i="40"/>
  <c r="I5"/>
  <c r="D8"/>
  <c r="D11"/>
  <c r="C16"/>
  <c r="G16"/>
  <c r="H16"/>
  <c r="C17"/>
  <c r="D17"/>
  <c r="G17"/>
  <c r="H17"/>
  <c r="G18"/>
  <c r="H18"/>
  <c r="G19"/>
  <c r="H19"/>
  <c r="G20"/>
  <c r="H20"/>
  <c r="G21"/>
  <c r="H21"/>
  <c r="G22"/>
  <c r="H22"/>
  <c r="G23"/>
  <c r="H23"/>
  <c r="G24"/>
  <c r="H24"/>
  <c r="G25"/>
  <c r="H25"/>
  <c r="G26"/>
  <c r="H26"/>
  <c r="G27"/>
  <c r="H27"/>
  <c r="G28"/>
  <c r="H28"/>
  <c r="G29"/>
  <c r="H29"/>
  <c r="G30"/>
  <c r="H30"/>
  <c r="G31"/>
  <c r="H31"/>
  <c r="G32"/>
  <c r="H32"/>
  <c r="G33"/>
  <c r="H33"/>
  <c r="G34"/>
  <c r="H34"/>
  <c r="G35"/>
  <c r="H35"/>
  <c r="G36"/>
  <c r="H36"/>
  <c r="G37"/>
  <c r="H37"/>
  <c r="G38"/>
  <c r="H38"/>
  <c r="G39"/>
  <c r="H39"/>
  <c r="G40"/>
  <c r="H40"/>
  <c r="G41"/>
  <c r="H41"/>
  <c r="G42"/>
  <c r="H42"/>
  <c r="G43"/>
  <c r="H43"/>
  <c r="G44"/>
  <c r="H44"/>
  <c r="G45"/>
  <c r="H45"/>
  <c r="G46"/>
  <c r="H46"/>
  <c r="G47"/>
  <c r="H47"/>
  <c r="G48"/>
  <c r="H48"/>
  <c r="G49"/>
  <c r="H49"/>
  <c r="G50"/>
  <c r="H50"/>
  <c r="G51"/>
  <c r="H51"/>
  <c r="G52"/>
  <c r="H52"/>
  <c r="G53"/>
  <c r="H53"/>
  <c r="G54"/>
  <c r="H54"/>
  <c r="G55"/>
  <c r="H55"/>
  <c r="G56"/>
  <c r="H56"/>
  <c r="G57"/>
  <c r="H57"/>
  <c r="G58"/>
  <c r="H58"/>
  <c r="G59"/>
  <c r="H59"/>
  <c r="G60"/>
  <c r="H60"/>
  <c r="G61"/>
  <c r="H61"/>
  <c r="G62"/>
  <c r="H62"/>
  <c r="G63"/>
  <c r="H63"/>
  <c r="G64"/>
  <c r="H64"/>
  <c r="G65"/>
  <c r="H65"/>
  <c r="G66"/>
  <c r="H66"/>
  <c r="D8" i="39"/>
  <c r="D11"/>
  <c r="C16"/>
  <c r="G16"/>
  <c r="H16"/>
  <c r="C17"/>
  <c r="D17"/>
  <c r="G17"/>
  <c r="H17"/>
  <c r="G18"/>
  <c r="H18"/>
  <c r="G19"/>
  <c r="H19"/>
  <c r="G20"/>
  <c r="H20"/>
  <c r="G21"/>
  <c r="H21"/>
  <c r="G22"/>
  <c r="H22"/>
  <c r="G23"/>
  <c r="H23"/>
  <c r="G24"/>
  <c r="H24"/>
  <c r="G25"/>
  <c r="H25"/>
  <c r="G26"/>
  <c r="H26"/>
  <c r="G27"/>
  <c r="H27"/>
  <c r="G28"/>
  <c r="H28"/>
  <c r="G29"/>
  <c r="H29"/>
  <c r="G30"/>
  <c r="H30"/>
  <c r="G31"/>
  <c r="H31"/>
  <c r="G32"/>
  <c r="H32"/>
  <c r="G33"/>
  <c r="H33"/>
  <c r="G34"/>
  <c r="H34"/>
  <c r="G35"/>
  <c r="H35"/>
  <c r="G36"/>
  <c r="H36"/>
  <c r="G37"/>
  <c r="H37"/>
  <c r="G38"/>
  <c r="H38"/>
  <c r="G39"/>
  <c r="H39"/>
  <c r="G40"/>
  <c r="H40"/>
  <c r="G41"/>
  <c r="H41"/>
  <c r="G42"/>
  <c r="H42"/>
  <c r="G43"/>
  <c r="H43"/>
  <c r="G44"/>
  <c r="H44"/>
  <c r="G45"/>
  <c r="H45"/>
  <c r="G46"/>
  <c r="H46"/>
  <c r="G47"/>
  <c r="H47"/>
  <c r="G48"/>
  <c r="H48"/>
  <c r="G49"/>
  <c r="H49"/>
  <c r="G50"/>
  <c r="H50"/>
  <c r="G51"/>
  <c r="H51"/>
  <c r="G52"/>
  <c r="H52"/>
  <c r="G53"/>
  <c r="H53"/>
  <c r="G54"/>
  <c r="H54"/>
  <c r="G55"/>
  <c r="H55"/>
  <c r="G56"/>
  <c r="H56"/>
  <c r="G57"/>
  <c r="H57"/>
  <c r="G58"/>
  <c r="H58"/>
  <c r="G59"/>
  <c r="H59"/>
  <c r="G60"/>
  <c r="H60"/>
  <c r="G61"/>
  <c r="H61"/>
  <c r="G62"/>
  <c r="H62"/>
  <c r="G63"/>
  <c r="H63"/>
  <c r="G64"/>
  <c r="H64"/>
  <c r="G65"/>
  <c r="H65"/>
  <c r="G66"/>
  <c r="H66"/>
  <c r="D8" i="38"/>
  <c r="D11"/>
  <c r="C16"/>
  <c r="G16"/>
  <c r="H16"/>
  <c r="C17"/>
  <c r="D17"/>
  <c r="G17"/>
  <c r="H17"/>
  <c r="G18"/>
  <c r="H18"/>
  <c r="G19"/>
  <c r="H19"/>
  <c r="G20"/>
  <c r="H20"/>
  <c r="G21"/>
  <c r="H21"/>
  <c r="G22"/>
  <c r="H22"/>
  <c r="G23"/>
  <c r="H23"/>
  <c r="G24"/>
  <c r="H24"/>
  <c r="G25"/>
  <c r="H25"/>
  <c r="G26"/>
  <c r="H26"/>
  <c r="G27"/>
  <c r="H27"/>
  <c r="G28"/>
  <c r="H28"/>
  <c r="G29"/>
  <c r="H29"/>
  <c r="G30"/>
  <c r="H30"/>
  <c r="G31"/>
  <c r="H31"/>
  <c r="G32"/>
  <c r="H32"/>
  <c r="G33"/>
  <c r="H33"/>
  <c r="G34"/>
  <c r="H34"/>
  <c r="G35"/>
  <c r="H35"/>
  <c r="G36"/>
  <c r="H36"/>
  <c r="G37"/>
  <c r="H37"/>
  <c r="G38"/>
  <c r="H38"/>
  <c r="G39"/>
  <c r="H39"/>
  <c r="G40"/>
  <c r="H40"/>
  <c r="G41"/>
  <c r="H41"/>
  <c r="G42"/>
  <c r="H42"/>
  <c r="G43"/>
  <c r="H43"/>
  <c r="G44"/>
  <c r="H44"/>
  <c r="G45"/>
  <c r="H45"/>
  <c r="G46"/>
  <c r="H46"/>
  <c r="G47"/>
  <c r="H47"/>
  <c r="G48"/>
  <c r="H48"/>
  <c r="G49"/>
  <c r="H49"/>
  <c r="G50"/>
  <c r="H50"/>
  <c r="G51"/>
  <c r="H51"/>
  <c r="G52"/>
  <c r="H52"/>
  <c r="G53"/>
  <c r="H53"/>
  <c r="G54"/>
  <c r="H54"/>
  <c r="G55"/>
  <c r="H55"/>
  <c r="G56"/>
  <c r="H56"/>
  <c r="G57"/>
  <c r="H57"/>
  <c r="G58"/>
  <c r="H58"/>
  <c r="G59"/>
  <c r="H59"/>
  <c r="G60"/>
  <c r="H60"/>
  <c r="G61"/>
  <c r="H61"/>
  <c r="G62"/>
  <c r="H62"/>
  <c r="G63"/>
  <c r="H63"/>
  <c r="G64"/>
  <c r="H64"/>
  <c r="G65"/>
  <c r="H65"/>
  <c r="G66"/>
  <c r="H66"/>
  <c r="D8" i="36"/>
  <c r="H17"/>
  <c r="C16"/>
  <c r="G16"/>
  <c r="H16"/>
  <c r="C17"/>
  <c r="D17"/>
  <c r="G17"/>
  <c r="G18"/>
  <c r="G19"/>
  <c r="G20"/>
  <c r="G21"/>
  <c r="G22"/>
  <c r="G23"/>
  <c r="G24"/>
  <c r="G25"/>
  <c r="G26"/>
  <c r="G27"/>
  <c r="G28"/>
  <c r="G29"/>
  <c r="G30"/>
  <c r="G31"/>
  <c r="G32"/>
  <c r="G33"/>
  <c r="G34"/>
  <c r="G35"/>
  <c r="G36"/>
  <c r="G37"/>
  <c r="G38"/>
  <c r="G39"/>
  <c r="G40"/>
  <c r="H40"/>
  <c r="G41"/>
  <c r="H41"/>
  <c r="G42"/>
  <c r="H42"/>
  <c r="G43"/>
  <c r="H43"/>
  <c r="G44"/>
  <c r="H44"/>
  <c r="G45"/>
  <c r="H45"/>
  <c r="G46"/>
  <c r="H46"/>
  <c r="G47"/>
  <c r="H47"/>
  <c r="G48"/>
  <c r="H48"/>
  <c r="G49"/>
  <c r="H49"/>
  <c r="G50"/>
  <c r="H50"/>
  <c r="G51"/>
  <c r="H51"/>
  <c r="G52"/>
  <c r="H52"/>
  <c r="G53"/>
  <c r="H53"/>
  <c r="G54"/>
  <c r="H54"/>
  <c r="G55"/>
  <c r="H55"/>
  <c r="G56"/>
  <c r="H56"/>
  <c r="G57"/>
  <c r="H57"/>
  <c r="G58"/>
  <c r="H58"/>
  <c r="G59"/>
  <c r="H59"/>
  <c r="G60"/>
  <c r="H60"/>
  <c r="G61"/>
  <c r="H61"/>
  <c r="G62"/>
  <c r="H62"/>
  <c r="G63"/>
  <c r="H63"/>
  <c r="G64"/>
  <c r="H64"/>
  <c r="G65"/>
  <c r="H65"/>
  <c r="G66"/>
  <c r="H66"/>
  <c r="B9" i="32"/>
  <c r="B12"/>
  <c r="B17"/>
  <c r="F17"/>
  <c r="G17"/>
  <c r="B18"/>
  <c r="C18"/>
  <c r="F18"/>
  <c r="F19"/>
  <c r="F20"/>
  <c r="F21"/>
  <c r="F22"/>
  <c r="F23"/>
  <c r="F24"/>
  <c r="F25"/>
  <c r="F26"/>
  <c r="F27"/>
  <c r="F28"/>
  <c r="F29"/>
  <c r="B9" i="28"/>
  <c r="D18"/>
  <c r="B12"/>
  <c r="B17"/>
  <c r="F17"/>
  <c r="G17"/>
  <c r="B18"/>
  <c r="C18"/>
  <c r="F18"/>
  <c r="F19"/>
  <c r="F20"/>
  <c r="F21"/>
  <c r="F22"/>
  <c r="F23"/>
  <c r="F24"/>
  <c r="F25"/>
  <c r="F26"/>
  <c r="F27"/>
  <c r="F28"/>
  <c r="F29"/>
  <c r="B9" i="34"/>
  <c r="D18"/>
  <c r="B12"/>
  <c r="B17"/>
  <c r="F17"/>
  <c r="G17"/>
  <c r="B18"/>
  <c r="C18"/>
  <c r="F18"/>
  <c r="F19"/>
  <c r="F20"/>
  <c r="F21"/>
  <c r="F22"/>
  <c r="F23"/>
  <c r="F24"/>
  <c r="F25"/>
  <c r="F26"/>
  <c r="F27"/>
  <c r="F28"/>
  <c r="F29"/>
  <c r="B9" i="43"/>
  <c r="G27"/>
  <c r="B17"/>
  <c r="F17"/>
  <c r="G17"/>
  <c r="B18"/>
  <c r="C18"/>
  <c r="D18"/>
  <c r="F18"/>
  <c r="G18"/>
  <c r="F19"/>
  <c r="G19"/>
  <c r="F20"/>
  <c r="G20"/>
  <c r="F21"/>
  <c r="G21"/>
  <c r="F22"/>
  <c r="G22"/>
  <c r="F23"/>
  <c r="G23"/>
  <c r="F24"/>
  <c r="G24"/>
  <c r="F25"/>
  <c r="G25"/>
  <c r="F26"/>
  <c r="G26"/>
  <c r="F27"/>
  <c r="F28"/>
  <c r="F29"/>
  <c r="B9" i="44"/>
  <c r="G18"/>
  <c r="B17"/>
  <c r="F17"/>
  <c r="G17"/>
  <c r="B18"/>
  <c r="C18"/>
  <c r="F18"/>
  <c r="F29"/>
  <c r="G29"/>
  <c r="F19"/>
  <c r="F20"/>
  <c r="F21"/>
  <c r="G21"/>
  <c r="F22"/>
  <c r="G22"/>
  <c r="F23"/>
  <c r="G23"/>
  <c r="F24"/>
  <c r="G24"/>
  <c r="F25"/>
  <c r="G25"/>
  <c r="F26"/>
  <c r="G26"/>
  <c r="F27"/>
  <c r="G27"/>
  <c r="F28"/>
  <c r="G28"/>
  <c r="B9" i="8"/>
  <c r="B12"/>
  <c r="B17"/>
  <c r="F17"/>
  <c r="G17"/>
  <c r="B18"/>
  <c r="C18"/>
  <c r="D18"/>
  <c r="F18"/>
  <c r="G18"/>
  <c r="F19"/>
  <c r="G19"/>
  <c r="F20"/>
  <c r="G20"/>
  <c r="F21"/>
  <c r="G21"/>
  <c r="F22"/>
  <c r="G22"/>
  <c r="F23"/>
  <c r="G23"/>
  <c r="F24"/>
  <c r="G24"/>
  <c r="F25"/>
  <c r="G25"/>
  <c r="F26"/>
  <c r="G26"/>
  <c r="F27"/>
  <c r="G27"/>
  <c r="F28"/>
  <c r="G28"/>
  <c r="D6" i="3"/>
  <c r="C12"/>
  <c r="G12"/>
  <c r="H12"/>
  <c r="C13"/>
  <c r="D13"/>
  <c r="E13"/>
  <c r="G13"/>
  <c r="H13"/>
  <c r="G14"/>
  <c r="H14"/>
  <c r="G15"/>
  <c r="H15"/>
  <c r="G16"/>
  <c r="H16"/>
  <c r="G17"/>
  <c r="H17"/>
  <c r="G18"/>
  <c r="H18"/>
  <c r="G19"/>
  <c r="H19"/>
  <c r="G20"/>
  <c r="H20"/>
  <c r="G21"/>
  <c r="H21"/>
  <c r="G22"/>
  <c r="H22"/>
  <c r="G23"/>
  <c r="H23"/>
  <c r="G24"/>
  <c r="H24"/>
  <c r="B9" i="13"/>
  <c r="G18"/>
  <c r="B17"/>
  <c r="F17"/>
  <c r="G17"/>
  <c r="B18"/>
  <c r="C18"/>
  <c r="F18"/>
  <c r="F19"/>
  <c r="G19"/>
  <c r="F20"/>
  <c r="G20"/>
  <c r="F21"/>
  <c r="G21"/>
  <c r="F22"/>
  <c r="G22"/>
  <c r="F23"/>
  <c r="G23"/>
  <c r="B9" i="21"/>
  <c r="B13"/>
  <c r="B18"/>
  <c r="F18"/>
  <c r="G18"/>
  <c r="H18"/>
  <c r="F36"/>
  <c r="F37"/>
  <c r="E4"/>
  <c r="B19"/>
  <c r="C19"/>
  <c r="D19"/>
  <c r="E19"/>
  <c r="B20"/>
  <c r="F19"/>
  <c r="G19"/>
  <c r="F20"/>
  <c r="G20"/>
  <c r="H20"/>
  <c r="F21"/>
  <c r="G21"/>
  <c r="H21"/>
  <c r="F22"/>
  <c r="G22"/>
  <c r="H22"/>
  <c r="F23"/>
  <c r="G23"/>
  <c r="H23"/>
  <c r="F24"/>
  <c r="G24"/>
  <c r="H24"/>
  <c r="F25"/>
  <c r="G25"/>
  <c r="H25"/>
  <c r="F26"/>
  <c r="G26"/>
  <c r="H26"/>
  <c r="F27"/>
  <c r="G27"/>
  <c r="H27"/>
  <c r="F28"/>
  <c r="G28"/>
  <c r="H28"/>
  <c r="F29"/>
  <c r="G29"/>
  <c r="H29"/>
  <c r="F30"/>
  <c r="G30"/>
  <c r="H30"/>
  <c r="H19"/>
  <c r="H26" i="3"/>
  <c r="H27"/>
  <c r="G2"/>
  <c r="F26" i="13"/>
  <c r="F27"/>
  <c r="E3"/>
  <c r="E18" i="8"/>
  <c r="B19"/>
  <c r="G20" i="44"/>
  <c r="G19"/>
  <c r="F32"/>
  <c r="F33"/>
  <c r="E3"/>
  <c r="E18" i="34"/>
  <c r="B19"/>
  <c r="E18" i="28"/>
  <c r="B19"/>
  <c r="F13" i="3"/>
  <c r="C14"/>
  <c r="E17" i="36"/>
  <c r="F17"/>
  <c r="C18"/>
  <c r="E17" i="38"/>
  <c r="F17"/>
  <c r="C18"/>
  <c r="G2" i="39"/>
  <c r="G2" i="38"/>
  <c r="E17" i="39"/>
  <c r="E17" i="40"/>
  <c r="F17" i="39"/>
  <c r="C18"/>
  <c r="G2" i="40"/>
  <c r="F17"/>
  <c r="C18"/>
  <c r="H17" i="41"/>
  <c r="G2"/>
  <c r="H18"/>
  <c r="H19"/>
  <c r="H20"/>
  <c r="H21"/>
  <c r="H22"/>
  <c r="H23"/>
  <c r="H24"/>
  <c r="H25"/>
  <c r="H26"/>
  <c r="H27"/>
  <c r="H28"/>
  <c r="H29"/>
  <c r="H30"/>
  <c r="H31"/>
  <c r="H32"/>
  <c r="H33"/>
  <c r="H34"/>
  <c r="H35"/>
  <c r="H36"/>
  <c r="H37"/>
  <c r="H38"/>
  <c r="H39"/>
  <c r="H40"/>
  <c r="H41"/>
  <c r="H42"/>
  <c r="H43"/>
  <c r="H44"/>
  <c r="H45"/>
  <c r="H46"/>
  <c r="H47"/>
  <c r="H48"/>
  <c r="H49"/>
  <c r="H50"/>
  <c r="H51"/>
  <c r="H52"/>
  <c r="D17"/>
  <c r="E17" i="42"/>
  <c r="F17"/>
  <c r="C18"/>
  <c r="H58"/>
  <c r="H57"/>
  <c r="H56"/>
  <c r="H55"/>
  <c r="H54"/>
  <c r="H53"/>
  <c r="H52"/>
  <c r="H51"/>
  <c r="H50"/>
  <c r="H49"/>
  <c r="H48"/>
  <c r="H47"/>
  <c r="H46"/>
  <c r="H45"/>
  <c r="H44"/>
  <c r="H43"/>
  <c r="H42"/>
  <c r="H41"/>
  <c r="H40"/>
  <c r="H39"/>
  <c r="H38"/>
  <c r="H37"/>
  <c r="H36"/>
  <c r="H35"/>
  <c r="H34"/>
  <c r="H33"/>
  <c r="H32"/>
  <c r="H31"/>
  <c r="H30"/>
  <c r="H29"/>
  <c r="H28"/>
  <c r="H27"/>
  <c r="H26"/>
  <c r="H25"/>
  <c r="H24"/>
  <c r="H23"/>
  <c r="H22"/>
  <c r="H21"/>
  <c r="H20"/>
  <c r="H19"/>
  <c r="H18"/>
  <c r="G2"/>
  <c r="G3"/>
  <c r="G4"/>
  <c r="E17" i="41"/>
  <c r="F17"/>
  <c r="C18"/>
  <c r="G3" i="40"/>
  <c r="C12" i="18"/>
  <c r="G4" i="40"/>
  <c r="H69"/>
  <c r="G4" i="38"/>
  <c r="G3"/>
  <c r="C14" i="18"/>
  <c r="H69" i="38"/>
  <c r="D18" i="39"/>
  <c r="G4"/>
  <c r="G3"/>
  <c r="C15" i="18"/>
  <c r="H69" i="39"/>
  <c r="C19" i="34"/>
  <c r="D19"/>
  <c r="E19"/>
  <c r="B20"/>
  <c r="E18" i="39"/>
  <c r="F18"/>
  <c r="C19"/>
  <c r="D18" i="41"/>
  <c r="G4"/>
  <c r="G3"/>
  <c r="H69"/>
  <c r="D18" i="36"/>
  <c r="D14" i="3"/>
  <c r="E14"/>
  <c r="F14"/>
  <c r="C15"/>
  <c r="C19" i="8"/>
  <c r="D19"/>
  <c r="E19"/>
  <c r="B20"/>
  <c r="C20" i="21"/>
  <c r="D20"/>
  <c r="E20"/>
  <c r="B21"/>
  <c r="D19" i="39"/>
  <c r="C20" i="34"/>
  <c r="D20"/>
  <c r="E20"/>
  <c r="B21"/>
  <c r="D18" i="42"/>
  <c r="D18" i="40"/>
  <c r="D18" i="38"/>
  <c r="C19" i="28"/>
  <c r="D19"/>
  <c r="E19"/>
  <c r="B20"/>
  <c r="H69" i="42"/>
  <c r="F33" i="21"/>
  <c r="F34"/>
  <c r="E3"/>
  <c r="D18" i="32"/>
  <c r="D18" i="13"/>
  <c r="E18"/>
  <c r="B19"/>
  <c r="E18" i="32"/>
  <c r="B19"/>
  <c r="F29" i="8"/>
  <c r="G29"/>
  <c r="F32"/>
  <c r="F33"/>
  <c r="E3"/>
  <c r="C5" i="18"/>
  <c r="D18" i="44"/>
  <c r="E18"/>
  <c r="B19"/>
  <c r="G29" i="43"/>
  <c r="G28"/>
  <c r="F32"/>
  <c r="F33"/>
  <c r="E3"/>
  <c r="E18"/>
  <c r="B19"/>
  <c r="G29" i="34"/>
  <c r="G28"/>
  <c r="G27"/>
  <c r="G26"/>
  <c r="G25"/>
  <c r="G24"/>
  <c r="G23"/>
  <c r="G22"/>
  <c r="G21"/>
  <c r="G20"/>
  <c r="G19"/>
  <c r="G18"/>
  <c r="F32"/>
  <c r="F33"/>
  <c r="E3"/>
  <c r="C6" i="18"/>
  <c r="G29" i="28"/>
  <c r="G28"/>
  <c r="G27"/>
  <c r="G26"/>
  <c r="G25"/>
  <c r="G24"/>
  <c r="G23"/>
  <c r="G22"/>
  <c r="G21"/>
  <c r="G20"/>
  <c r="G19"/>
  <c r="G18"/>
  <c r="F32"/>
  <c r="F33"/>
  <c r="E3"/>
  <c r="C7" i="18"/>
  <c r="G29" i="32"/>
  <c r="G28"/>
  <c r="G27"/>
  <c r="G26"/>
  <c r="G25"/>
  <c r="G24"/>
  <c r="G23"/>
  <c r="G22"/>
  <c r="G21"/>
  <c r="G20"/>
  <c r="G19"/>
  <c r="G18"/>
  <c r="F32"/>
  <c r="F33"/>
  <c r="E3"/>
  <c r="C8" i="18"/>
  <c r="H39" i="36"/>
  <c r="H38"/>
  <c r="H37"/>
  <c r="H36"/>
  <c r="H35"/>
  <c r="H34"/>
  <c r="H33"/>
  <c r="H32"/>
  <c r="H31"/>
  <c r="H30"/>
  <c r="H29"/>
  <c r="H28"/>
  <c r="H27"/>
  <c r="H26"/>
  <c r="H25"/>
  <c r="H24"/>
  <c r="H23"/>
  <c r="H22"/>
  <c r="H21"/>
  <c r="H20"/>
  <c r="H19"/>
  <c r="H18"/>
  <c r="G2"/>
  <c r="C20" i="28"/>
  <c r="D20"/>
  <c r="E20"/>
  <c r="B21"/>
  <c r="C21" i="34"/>
  <c r="D21"/>
  <c r="E21"/>
  <c r="B22"/>
  <c r="C21" i="21"/>
  <c r="D21"/>
  <c r="E21"/>
  <c r="B22"/>
  <c r="D15" i="3"/>
  <c r="E15"/>
  <c r="F15"/>
  <c r="C16"/>
  <c r="C20" i="8"/>
  <c r="D20"/>
  <c r="E20"/>
  <c r="B21"/>
  <c r="C19" i="44"/>
  <c r="D19"/>
  <c r="E19"/>
  <c r="B20"/>
  <c r="C19" i="32"/>
  <c r="D19"/>
  <c r="E19"/>
  <c r="B20"/>
  <c r="E18" i="38"/>
  <c r="F18"/>
  <c r="C19"/>
  <c r="E18" i="42"/>
  <c r="F18"/>
  <c r="C19"/>
  <c r="E19" i="39"/>
  <c r="F19"/>
  <c r="C20"/>
  <c r="E18" i="36"/>
  <c r="F18"/>
  <c r="C19"/>
  <c r="E18" i="41"/>
  <c r="F18"/>
  <c r="C19"/>
  <c r="D6" i="18"/>
  <c r="D7"/>
  <c r="G3" i="36"/>
  <c r="C11" i="18"/>
  <c r="G4" i="36"/>
  <c r="H69"/>
  <c r="C19" i="43"/>
  <c r="D19"/>
  <c r="E19"/>
  <c r="B20"/>
  <c r="C19" i="13"/>
  <c r="D19"/>
  <c r="E19"/>
  <c r="B20"/>
  <c r="E18" i="40"/>
  <c r="F18"/>
  <c r="C19"/>
  <c r="C20" i="32"/>
  <c r="D20"/>
  <c r="E20"/>
  <c r="B21"/>
  <c r="D16" i="3"/>
  <c r="E16"/>
  <c r="F16"/>
  <c r="C17"/>
  <c r="C22" i="34"/>
  <c r="D22"/>
  <c r="E22"/>
  <c r="B23"/>
  <c r="C20" i="44"/>
  <c r="D20"/>
  <c r="E20"/>
  <c r="B21"/>
  <c r="C21" i="8"/>
  <c r="D21"/>
  <c r="E21"/>
  <c r="B22"/>
  <c r="C22" i="21"/>
  <c r="D22"/>
  <c r="E22"/>
  <c r="B23"/>
  <c r="C21" i="28"/>
  <c r="D21"/>
  <c r="E21"/>
  <c r="B22"/>
  <c r="C20" i="13"/>
  <c r="D20"/>
  <c r="E20"/>
  <c r="B21"/>
  <c r="C20" i="43"/>
  <c r="D20"/>
  <c r="E20"/>
  <c r="B21"/>
  <c r="D19" i="41"/>
  <c r="D19" i="36"/>
  <c r="D20" i="39"/>
  <c r="D19" i="42"/>
  <c r="D19" i="38"/>
  <c r="D19" i="40"/>
  <c r="D8" i="18"/>
  <c r="C21" i="43"/>
  <c r="D21"/>
  <c r="E21"/>
  <c r="B22"/>
  <c r="C22" i="28"/>
  <c r="D22"/>
  <c r="E22"/>
  <c r="B23"/>
  <c r="C22" i="8"/>
  <c r="D22"/>
  <c r="E22"/>
  <c r="B23"/>
  <c r="D17" i="3"/>
  <c r="E17"/>
  <c r="F17"/>
  <c r="C18"/>
  <c r="C21" i="13"/>
  <c r="D21"/>
  <c r="E21"/>
  <c r="B22"/>
  <c r="C23" i="21"/>
  <c r="D23"/>
  <c r="E23"/>
  <c r="B24"/>
  <c r="C21" i="44"/>
  <c r="D21"/>
  <c r="E21"/>
  <c r="B22"/>
  <c r="C23" i="34"/>
  <c r="D23"/>
  <c r="E23"/>
  <c r="B24"/>
  <c r="C21" i="32"/>
  <c r="D21"/>
  <c r="E21"/>
  <c r="B22"/>
  <c r="E19" i="42"/>
  <c r="F19"/>
  <c r="C20"/>
  <c r="E19" i="41"/>
  <c r="F19"/>
  <c r="C20"/>
  <c r="E19" i="38"/>
  <c r="F19"/>
  <c r="C20"/>
  <c r="E20" i="39"/>
  <c r="F20"/>
  <c r="C21"/>
  <c r="E19" i="36"/>
  <c r="F19"/>
  <c r="C20"/>
  <c r="E19" i="40"/>
  <c r="F19"/>
  <c r="C20"/>
  <c r="C24" i="34"/>
  <c r="D24"/>
  <c r="E24"/>
  <c r="B25"/>
  <c r="C22" i="44"/>
  <c r="D22"/>
  <c r="E22"/>
  <c r="B23"/>
  <c r="C24" i="21"/>
  <c r="D24"/>
  <c r="E24"/>
  <c r="B25"/>
  <c r="C22" i="13"/>
  <c r="D22"/>
  <c r="E22"/>
  <c r="B23"/>
  <c r="D18" i="3"/>
  <c r="E18"/>
  <c r="F18"/>
  <c r="C19"/>
  <c r="C23" i="8"/>
  <c r="D23"/>
  <c r="E23"/>
  <c r="B24"/>
  <c r="C23" i="28"/>
  <c r="D23"/>
  <c r="E23"/>
  <c r="B24"/>
  <c r="C22" i="43"/>
  <c r="D22"/>
  <c r="E22"/>
  <c r="B23"/>
  <c r="C22" i="32"/>
  <c r="D22"/>
  <c r="E22"/>
  <c r="B23"/>
  <c r="D20" i="40"/>
  <c r="D20" i="36"/>
  <c r="D21" i="39"/>
  <c r="D20" i="38"/>
  <c r="D20" i="41"/>
  <c r="D20" i="42"/>
  <c r="C23" i="43"/>
  <c r="D23"/>
  <c r="E23"/>
  <c r="B24"/>
  <c r="C24" i="28"/>
  <c r="D24"/>
  <c r="E24"/>
  <c r="B25"/>
  <c r="D19" i="3"/>
  <c r="E19"/>
  <c r="F19"/>
  <c r="C20"/>
  <c r="C23" i="13"/>
  <c r="D23"/>
  <c r="E23"/>
  <c r="C23" i="44"/>
  <c r="D23"/>
  <c r="E23"/>
  <c r="B24"/>
  <c r="C25" i="34"/>
  <c r="D25"/>
  <c r="E25"/>
  <c r="B26"/>
  <c r="C23" i="32"/>
  <c r="D23"/>
  <c r="E23"/>
  <c r="B24"/>
  <c r="C24" i="8"/>
  <c r="D24"/>
  <c r="E24"/>
  <c r="B25"/>
  <c r="C25" i="21"/>
  <c r="D25"/>
  <c r="E25"/>
  <c r="B26"/>
  <c r="E20" i="42"/>
  <c r="F20"/>
  <c r="C21"/>
  <c r="E20" i="41"/>
  <c r="F20"/>
  <c r="C21"/>
  <c r="E20" i="38"/>
  <c r="F20"/>
  <c r="C21"/>
  <c r="E21" i="39"/>
  <c r="F21"/>
  <c r="C22"/>
  <c r="E20" i="36"/>
  <c r="F20"/>
  <c r="C21"/>
  <c r="E20" i="40"/>
  <c r="F20"/>
  <c r="C21"/>
  <c r="C24" i="32"/>
  <c r="D24"/>
  <c r="E24"/>
  <c r="B25"/>
  <c r="C24" i="44"/>
  <c r="D24"/>
  <c r="E24"/>
  <c r="B25"/>
  <c r="C24" i="43"/>
  <c r="D24"/>
  <c r="E24"/>
  <c r="B25"/>
  <c r="C26" i="21"/>
  <c r="D26"/>
  <c r="E26"/>
  <c r="B27"/>
  <c r="C25" i="8"/>
  <c r="D25"/>
  <c r="E25"/>
  <c r="B26"/>
  <c r="C26" i="34"/>
  <c r="D26"/>
  <c r="E26"/>
  <c r="B27"/>
  <c r="D20" i="3"/>
  <c r="E20"/>
  <c r="F20"/>
  <c r="C21"/>
  <c r="C25" i="28"/>
  <c r="D25"/>
  <c r="E25"/>
  <c r="B26"/>
  <c r="D21" i="40"/>
  <c r="D22" i="39"/>
  <c r="D21" i="42"/>
  <c r="D21" i="36"/>
  <c r="D21" i="38"/>
  <c r="D21" i="41"/>
  <c r="D21" i="3"/>
  <c r="E21"/>
  <c r="F21"/>
  <c r="C22"/>
  <c r="C25" i="43"/>
  <c r="D25"/>
  <c r="E25"/>
  <c r="B26"/>
  <c r="C26" i="28"/>
  <c r="D26"/>
  <c r="E26"/>
  <c r="B27"/>
  <c r="C27" i="34"/>
  <c r="D27"/>
  <c r="E27"/>
  <c r="B28"/>
  <c r="C26" i="8"/>
  <c r="D26"/>
  <c r="E26"/>
  <c r="B27"/>
  <c r="C27" i="21"/>
  <c r="D27"/>
  <c r="E27"/>
  <c r="B28"/>
  <c r="C25" i="44"/>
  <c r="D25"/>
  <c r="E25"/>
  <c r="B26"/>
  <c r="E25" i="32"/>
  <c r="B26"/>
  <c r="C25"/>
  <c r="D25"/>
  <c r="E21" i="41"/>
  <c r="F21"/>
  <c r="C22"/>
  <c r="E21" i="38"/>
  <c r="F21"/>
  <c r="C22"/>
  <c r="E21" i="36"/>
  <c r="F21"/>
  <c r="C22"/>
  <c r="E21" i="42"/>
  <c r="F21"/>
  <c r="C22"/>
  <c r="E22" i="39"/>
  <c r="F22"/>
  <c r="C23"/>
  <c r="E21" i="40"/>
  <c r="F21"/>
  <c r="C22"/>
  <c r="C28" i="21"/>
  <c r="D28"/>
  <c r="E28"/>
  <c r="B29"/>
  <c r="C28" i="34"/>
  <c r="D28"/>
  <c r="E28"/>
  <c r="B29"/>
  <c r="C26" i="43"/>
  <c r="D26"/>
  <c r="E26"/>
  <c r="B27"/>
  <c r="C26" i="44"/>
  <c r="D26"/>
  <c r="E26"/>
  <c r="B27"/>
  <c r="C27" i="8"/>
  <c r="D27"/>
  <c r="E27"/>
  <c r="B28"/>
  <c r="C27" i="28"/>
  <c r="D27"/>
  <c r="E27"/>
  <c r="B28"/>
  <c r="D22" i="3"/>
  <c r="E22"/>
  <c r="F22"/>
  <c r="C23"/>
  <c r="D22" i="40"/>
  <c r="D23" i="39"/>
  <c r="D22" i="42"/>
  <c r="D22" i="41"/>
  <c r="D22" i="36"/>
  <c r="D22" i="38"/>
  <c r="E26" i="32"/>
  <c r="B27"/>
  <c r="C26"/>
  <c r="D26"/>
  <c r="C28" i="28"/>
  <c r="D28"/>
  <c r="E28"/>
  <c r="B29"/>
  <c r="C27" i="44"/>
  <c r="D27"/>
  <c r="E27"/>
  <c r="B28"/>
  <c r="C29" i="34"/>
  <c r="D29"/>
  <c r="E29"/>
  <c r="D23" i="3"/>
  <c r="E23"/>
  <c r="F23"/>
  <c r="C24"/>
  <c r="C28" i="8"/>
  <c r="D28"/>
  <c r="E28"/>
  <c r="B29"/>
  <c r="C27" i="43"/>
  <c r="D27"/>
  <c r="E27"/>
  <c r="B28"/>
  <c r="C29" i="21"/>
  <c r="D29"/>
  <c r="E29"/>
  <c r="B30"/>
  <c r="C27" i="32"/>
  <c r="D27"/>
  <c r="E27"/>
  <c r="B28"/>
  <c r="E22" i="38"/>
  <c r="F22"/>
  <c r="C23"/>
  <c r="E22" i="36"/>
  <c r="F22"/>
  <c r="C23"/>
  <c r="E22" i="41"/>
  <c r="F22"/>
  <c r="C23"/>
  <c r="E23" i="39"/>
  <c r="F23"/>
  <c r="C24"/>
  <c r="E22" i="40"/>
  <c r="F22"/>
  <c r="C23"/>
  <c r="E22" i="42"/>
  <c r="F22"/>
  <c r="C23"/>
  <c r="C28" i="32"/>
  <c r="D28"/>
  <c r="E28"/>
  <c r="B29"/>
  <c r="C30" i="21"/>
  <c r="D30"/>
  <c r="E30"/>
  <c r="D24" i="3"/>
  <c r="E24"/>
  <c r="F24"/>
  <c r="C29" i="28"/>
  <c r="D29"/>
  <c r="E29"/>
  <c r="C28" i="43"/>
  <c r="D28"/>
  <c r="E28"/>
  <c r="B29"/>
  <c r="C29" i="8"/>
  <c r="D29"/>
  <c r="E29"/>
  <c r="C28" i="44"/>
  <c r="D28"/>
  <c r="E28"/>
  <c r="B29"/>
  <c r="D23" i="42"/>
  <c r="E23"/>
  <c r="F23"/>
  <c r="C24"/>
  <c r="D23" i="40"/>
  <c r="E23"/>
  <c r="F23"/>
  <c r="C24"/>
  <c r="D24" i="39"/>
  <c r="E24"/>
  <c r="F24"/>
  <c r="C25"/>
  <c r="D23" i="41"/>
  <c r="E23"/>
  <c r="F23"/>
  <c r="C24"/>
  <c r="D23" i="36"/>
  <c r="E23"/>
  <c r="F23"/>
  <c r="C24"/>
  <c r="D23" i="38"/>
  <c r="E23"/>
  <c r="F23"/>
  <c r="C24"/>
  <c r="F24" i="42"/>
  <c r="C25"/>
  <c r="D24"/>
  <c r="E24"/>
  <c r="D24" i="38"/>
  <c r="E24"/>
  <c r="F24"/>
  <c r="C25"/>
  <c r="D24" i="36"/>
  <c r="E24"/>
  <c r="F24"/>
  <c r="C25"/>
  <c r="D24" i="41"/>
  <c r="E24"/>
  <c r="F24"/>
  <c r="C25"/>
  <c r="D25" i="39"/>
  <c r="E25"/>
  <c r="F25"/>
  <c r="C26"/>
  <c r="D24" i="40"/>
  <c r="E24"/>
  <c r="F24"/>
  <c r="C25"/>
  <c r="C29" i="44"/>
  <c r="D29"/>
  <c r="E29"/>
  <c r="C29" i="43"/>
  <c r="D29"/>
  <c r="E29"/>
  <c r="C29" i="32"/>
  <c r="D29"/>
  <c r="E29"/>
  <c r="D25" i="40"/>
  <c r="E25"/>
  <c r="F25"/>
  <c r="C26"/>
  <c r="D25" i="41"/>
  <c r="E25"/>
  <c r="F25"/>
  <c r="C26"/>
  <c r="D25" i="38"/>
  <c r="E25"/>
  <c r="F25"/>
  <c r="C26"/>
  <c r="D26" i="39"/>
  <c r="E26"/>
  <c r="F26"/>
  <c r="C27"/>
  <c r="D25" i="36"/>
  <c r="E25"/>
  <c r="F25"/>
  <c r="C26"/>
  <c r="F25" i="42"/>
  <c r="C26"/>
  <c r="D25"/>
  <c r="E25"/>
  <c r="D26" i="36"/>
  <c r="E26"/>
  <c r="F26"/>
  <c r="C27"/>
  <c r="D26" i="41"/>
  <c r="E26"/>
  <c r="F26"/>
  <c r="C27"/>
  <c r="D27" i="39"/>
  <c r="E27"/>
  <c r="F27"/>
  <c r="C28"/>
  <c r="D26" i="38"/>
  <c r="E26"/>
  <c r="F26"/>
  <c r="C27"/>
  <c r="D26" i="40"/>
  <c r="E26"/>
  <c r="F26"/>
  <c r="C27"/>
  <c r="F26" i="42"/>
  <c r="C27"/>
  <c r="D26"/>
  <c r="E26"/>
  <c r="D27" i="40"/>
  <c r="E27"/>
  <c r="F27"/>
  <c r="C28"/>
  <c r="D27" i="38"/>
  <c r="E27"/>
  <c r="F27"/>
  <c r="C28"/>
  <c r="D27" i="41"/>
  <c r="E27"/>
  <c r="F27"/>
  <c r="C28"/>
  <c r="D27" i="36"/>
  <c r="E27"/>
  <c r="F27"/>
  <c r="C28"/>
  <c r="D28" i="39"/>
  <c r="E28"/>
  <c r="F28"/>
  <c r="C29"/>
  <c r="D27" i="42"/>
  <c r="E27"/>
  <c r="F27"/>
  <c r="C28"/>
  <c r="F28"/>
  <c r="C29"/>
  <c r="D28"/>
  <c r="E28"/>
  <c r="D29" i="39"/>
  <c r="E29"/>
  <c r="F29"/>
  <c r="C30"/>
  <c r="D28" i="36"/>
  <c r="E28"/>
  <c r="F28"/>
  <c r="C29"/>
  <c r="D28" i="41"/>
  <c r="E28"/>
  <c r="F28"/>
  <c r="C29"/>
  <c r="D28" i="38"/>
  <c r="E28"/>
  <c r="F28"/>
  <c r="C29"/>
  <c r="D28" i="40"/>
  <c r="E28"/>
  <c r="F28"/>
  <c r="C29"/>
  <c r="D29"/>
  <c r="E29"/>
  <c r="F29"/>
  <c r="C30"/>
  <c r="D29" i="38"/>
  <c r="E29"/>
  <c r="F29"/>
  <c r="C30"/>
  <c r="D29" i="41"/>
  <c r="E29"/>
  <c r="F29"/>
  <c r="C30"/>
  <c r="D29" i="36"/>
  <c r="E29"/>
  <c r="F29"/>
  <c r="C30"/>
  <c r="D30" i="39"/>
  <c r="E30"/>
  <c r="F30"/>
  <c r="C31"/>
  <c r="F29" i="42"/>
  <c r="C30"/>
  <c r="D29"/>
  <c r="E29"/>
  <c r="D30" i="36"/>
  <c r="E30"/>
  <c r="F30"/>
  <c r="C31"/>
  <c r="D30" i="38"/>
  <c r="E30"/>
  <c r="F30"/>
  <c r="C31"/>
  <c r="D30" i="40"/>
  <c r="E30"/>
  <c r="F30"/>
  <c r="C31"/>
  <c r="D31" i="39"/>
  <c r="E31"/>
  <c r="F31"/>
  <c r="C32"/>
  <c r="D30" i="41"/>
  <c r="E30"/>
  <c r="F30"/>
  <c r="C31"/>
  <c r="D30" i="42"/>
  <c r="E30"/>
  <c r="F30"/>
  <c r="C31"/>
  <c r="F31"/>
  <c r="C32"/>
  <c r="D31"/>
  <c r="E31"/>
  <c r="D31" i="41"/>
  <c r="E31"/>
  <c r="F31"/>
  <c r="C32"/>
  <c r="D32" i="39"/>
  <c r="E32"/>
  <c r="F32"/>
  <c r="C33"/>
  <c r="D31" i="40"/>
  <c r="E31"/>
  <c r="F31"/>
  <c r="C32"/>
  <c r="D31" i="38"/>
  <c r="E31"/>
  <c r="F31"/>
  <c r="C32"/>
  <c r="D31" i="36"/>
  <c r="E31"/>
  <c r="F31"/>
  <c r="C32"/>
  <c r="D32" i="38"/>
  <c r="E32"/>
  <c r="F32"/>
  <c r="C33"/>
  <c r="D33" i="39"/>
  <c r="E33"/>
  <c r="F33"/>
  <c r="C34"/>
  <c r="D32" i="36"/>
  <c r="E32"/>
  <c r="F32"/>
  <c r="C33"/>
  <c r="D32" i="40"/>
  <c r="E32"/>
  <c r="F32"/>
  <c r="C33"/>
  <c r="D32" i="41"/>
  <c r="E32"/>
  <c r="F32"/>
  <c r="C33"/>
  <c r="F32" i="42"/>
  <c r="C33"/>
  <c r="D32"/>
  <c r="E32"/>
  <c r="D33" i="40"/>
  <c r="E33"/>
  <c r="F33"/>
  <c r="C34"/>
  <c r="D33" i="36"/>
  <c r="E33"/>
  <c r="F33"/>
  <c r="C34"/>
  <c r="D33" i="41"/>
  <c r="E33"/>
  <c r="F33"/>
  <c r="C34"/>
  <c r="D34" i="39"/>
  <c r="E34"/>
  <c r="F34"/>
  <c r="C35"/>
  <c r="D33" i="38"/>
  <c r="E33"/>
  <c r="F33"/>
  <c r="C34"/>
  <c r="D33" i="42"/>
  <c r="E33"/>
  <c r="F33"/>
  <c r="C34"/>
  <c r="F34"/>
  <c r="C35"/>
  <c r="D34"/>
  <c r="E34"/>
  <c r="D34" i="38"/>
  <c r="E34"/>
  <c r="F34"/>
  <c r="C35"/>
  <c r="D35" i="39"/>
  <c r="E35"/>
  <c r="F35"/>
  <c r="C36"/>
  <c r="D34" i="41"/>
  <c r="E34"/>
  <c r="F34"/>
  <c r="C35"/>
  <c r="D34" i="36"/>
  <c r="E34"/>
  <c r="F34"/>
  <c r="C35"/>
  <c r="D34" i="40"/>
  <c r="E34"/>
  <c r="F34"/>
  <c r="C35"/>
  <c r="D35" i="36"/>
  <c r="E35"/>
  <c r="F35"/>
  <c r="C36"/>
  <c r="D35" i="41"/>
  <c r="E35"/>
  <c r="F35"/>
  <c r="C36"/>
  <c r="D35" i="38"/>
  <c r="E35"/>
  <c r="F35"/>
  <c r="C36"/>
  <c r="D35" i="40"/>
  <c r="E35"/>
  <c r="F35"/>
  <c r="C36"/>
  <c r="D36" i="39"/>
  <c r="E36"/>
  <c r="F36"/>
  <c r="C37"/>
  <c r="F35" i="42"/>
  <c r="C36"/>
  <c r="D35"/>
  <c r="E35"/>
  <c r="D37" i="39"/>
  <c r="E37"/>
  <c r="F37"/>
  <c r="C38"/>
  <c r="D36" i="40"/>
  <c r="E36"/>
  <c r="F36"/>
  <c r="C37"/>
  <c r="D36" i="38"/>
  <c r="E36"/>
  <c r="F36"/>
  <c r="C37"/>
  <c r="D36" i="41"/>
  <c r="E36"/>
  <c r="F36"/>
  <c r="C37"/>
  <c r="D36" i="36"/>
  <c r="E36"/>
  <c r="F36"/>
  <c r="C37"/>
  <c r="F36" i="42"/>
  <c r="C37"/>
  <c r="D36"/>
  <c r="E36"/>
  <c r="D37" i="36"/>
  <c r="E37"/>
  <c r="F37"/>
  <c r="C38"/>
  <c r="D37" i="38"/>
  <c r="E37"/>
  <c r="F37"/>
  <c r="C38"/>
  <c r="D37" i="40"/>
  <c r="E37"/>
  <c r="F37"/>
  <c r="C38"/>
  <c r="D38" i="39"/>
  <c r="E38"/>
  <c r="F38"/>
  <c r="C39"/>
  <c r="D37" i="41"/>
  <c r="E37"/>
  <c r="F37"/>
  <c r="C38"/>
  <c r="F37" i="42"/>
  <c r="C38"/>
  <c r="D37"/>
  <c r="E37"/>
  <c r="D39" i="39"/>
  <c r="E39"/>
  <c r="F39"/>
  <c r="C40"/>
  <c r="D38" i="38"/>
  <c r="E38"/>
  <c r="F38"/>
  <c r="C39"/>
  <c r="D38" i="41"/>
  <c r="E38"/>
  <c r="F38"/>
  <c r="C39"/>
  <c r="D38" i="40"/>
  <c r="E38"/>
  <c r="F38"/>
  <c r="C39"/>
  <c r="D38" i="36"/>
  <c r="E38"/>
  <c r="F38"/>
  <c r="C39"/>
  <c r="D38" i="42"/>
  <c r="E38"/>
  <c r="F38"/>
  <c r="C39"/>
  <c r="F39"/>
  <c r="C40"/>
  <c r="D39"/>
  <c r="E39"/>
  <c r="D39" i="36"/>
  <c r="E39"/>
  <c r="F39"/>
  <c r="C40"/>
  <c r="D39" i="40"/>
  <c r="E39"/>
  <c r="F39"/>
  <c r="C40"/>
  <c r="D39" i="41"/>
  <c r="E39"/>
  <c r="F39"/>
  <c r="C40"/>
  <c r="D39" i="38"/>
  <c r="E39"/>
  <c r="F39"/>
  <c r="C40"/>
  <c r="D40" i="39"/>
  <c r="E40"/>
  <c r="F40"/>
  <c r="C41"/>
  <c r="D40" i="40"/>
  <c r="E40"/>
  <c r="F40"/>
  <c r="C41"/>
  <c r="D40" i="36"/>
  <c r="E40"/>
  <c r="F40"/>
  <c r="C41"/>
  <c r="D41" i="39"/>
  <c r="E41"/>
  <c r="F41"/>
  <c r="C42"/>
  <c r="D40" i="38"/>
  <c r="E40"/>
  <c r="F40"/>
  <c r="C41"/>
  <c r="D40" i="41"/>
  <c r="E40"/>
  <c r="F40"/>
  <c r="C41"/>
  <c r="F40" i="42"/>
  <c r="C41"/>
  <c r="D40"/>
  <c r="E40"/>
  <c r="D41" i="41"/>
  <c r="E41"/>
  <c r="F41"/>
  <c r="C42"/>
  <c r="D42" i="39"/>
  <c r="E42"/>
  <c r="F42"/>
  <c r="C43"/>
  <c r="D41" i="36"/>
  <c r="E41"/>
  <c r="F41"/>
  <c r="C42"/>
  <c r="D41" i="38"/>
  <c r="E41"/>
  <c r="F41"/>
  <c r="C42"/>
  <c r="D41" i="40"/>
  <c r="E41"/>
  <c r="F41"/>
  <c r="C42"/>
  <c r="F41" i="42"/>
  <c r="C42"/>
  <c r="D41"/>
  <c r="E41"/>
  <c r="D42" i="36"/>
  <c r="E42"/>
  <c r="F42"/>
  <c r="C43"/>
  <c r="D42" i="41"/>
  <c r="E42"/>
  <c r="F42"/>
  <c r="C43"/>
  <c r="D42" i="40"/>
  <c r="E42"/>
  <c r="F42"/>
  <c r="C43"/>
  <c r="D42" i="38"/>
  <c r="E42"/>
  <c r="F42"/>
  <c r="C43"/>
  <c r="D43" i="39"/>
  <c r="E43"/>
  <c r="F43"/>
  <c r="C44"/>
  <c r="F42" i="42"/>
  <c r="C43"/>
  <c r="D42"/>
  <c r="E42"/>
  <c r="D44" i="39"/>
  <c r="E44"/>
  <c r="F44"/>
  <c r="C45"/>
  <c r="D43" i="38"/>
  <c r="E43"/>
  <c r="F43"/>
  <c r="C44"/>
  <c r="D43" i="36"/>
  <c r="E43"/>
  <c r="F43"/>
  <c r="C44"/>
  <c r="D43" i="40"/>
  <c r="E43"/>
  <c r="F43"/>
  <c r="C44"/>
  <c r="D43" i="41"/>
  <c r="E43"/>
  <c r="F43"/>
  <c r="C44"/>
  <c r="F43" i="42"/>
  <c r="C44"/>
  <c r="D43"/>
  <c r="E43"/>
  <c r="D44" i="40"/>
  <c r="E44"/>
  <c r="F44"/>
  <c r="C45"/>
  <c r="D44" i="36"/>
  <c r="E44"/>
  <c r="F44"/>
  <c r="C45"/>
  <c r="D44" i="38"/>
  <c r="E44"/>
  <c r="F44"/>
  <c r="C45"/>
  <c r="D44" i="41"/>
  <c r="E44"/>
  <c r="F44"/>
  <c r="C45"/>
  <c r="D45" i="39"/>
  <c r="E45"/>
  <c r="F45"/>
  <c r="C46"/>
  <c r="F44" i="42"/>
  <c r="C45"/>
  <c r="D44"/>
  <c r="E44"/>
  <c r="D46" i="39"/>
  <c r="E46"/>
  <c r="F46"/>
  <c r="C47"/>
  <c r="D45" i="41"/>
  <c r="E45"/>
  <c r="F45"/>
  <c r="C46"/>
  <c r="D45" i="38"/>
  <c r="E45"/>
  <c r="F45"/>
  <c r="C46"/>
  <c r="D45" i="36"/>
  <c r="E45"/>
  <c r="F45"/>
  <c r="C46"/>
  <c r="D45" i="40"/>
  <c r="E45"/>
  <c r="F45"/>
  <c r="C46"/>
  <c r="F45" i="42"/>
  <c r="C46"/>
  <c r="D45"/>
  <c r="E45"/>
  <c r="D46" i="40"/>
  <c r="E46"/>
  <c r="F46"/>
  <c r="C47"/>
  <c r="D46" i="41"/>
  <c r="E46"/>
  <c r="F46"/>
  <c r="C47"/>
  <c r="D47" i="39"/>
  <c r="E47"/>
  <c r="F47"/>
  <c r="C48"/>
  <c r="D46" i="36"/>
  <c r="E46"/>
  <c r="F46"/>
  <c r="C47"/>
  <c r="D46" i="38"/>
  <c r="E46"/>
  <c r="F46"/>
  <c r="C47"/>
  <c r="F46" i="42"/>
  <c r="C47"/>
  <c r="D46"/>
  <c r="E46"/>
  <c r="D47" i="38"/>
  <c r="E47"/>
  <c r="F47"/>
  <c r="C48"/>
  <c r="D48" i="39"/>
  <c r="E48"/>
  <c r="F48"/>
  <c r="C49"/>
  <c r="D47" i="36"/>
  <c r="E47"/>
  <c r="F47"/>
  <c r="C48"/>
  <c r="D47" i="41"/>
  <c r="E47"/>
  <c r="F47"/>
  <c r="C48"/>
  <c r="D47" i="40"/>
  <c r="E47"/>
  <c r="F47"/>
  <c r="C48"/>
  <c r="F47" i="42"/>
  <c r="C48"/>
  <c r="D47"/>
  <c r="E47"/>
  <c r="D48" i="36"/>
  <c r="E48"/>
  <c r="F48"/>
  <c r="C49"/>
  <c r="D49" i="39"/>
  <c r="E49"/>
  <c r="F49"/>
  <c r="C50"/>
  <c r="D48" i="38"/>
  <c r="E48"/>
  <c r="F48"/>
  <c r="C49"/>
  <c r="D48" i="40"/>
  <c r="E48"/>
  <c r="F48"/>
  <c r="C49"/>
  <c r="D48" i="41"/>
  <c r="E48"/>
  <c r="F48"/>
  <c r="C49"/>
  <c r="F48" i="42"/>
  <c r="C49"/>
  <c r="D48"/>
  <c r="E48"/>
  <c r="D49" i="40"/>
  <c r="E49"/>
  <c r="F49"/>
  <c r="C50"/>
  <c r="D50" i="39"/>
  <c r="E50"/>
  <c r="F50"/>
  <c r="C51"/>
  <c r="D49" i="36"/>
  <c r="E49"/>
  <c r="F49"/>
  <c r="C50"/>
  <c r="D49" i="41"/>
  <c r="E49"/>
  <c r="F49"/>
  <c r="C50"/>
  <c r="D49" i="38"/>
  <c r="E49"/>
  <c r="F49"/>
  <c r="C50"/>
  <c r="F49" i="42"/>
  <c r="C50"/>
  <c r="D49"/>
  <c r="E49"/>
  <c r="D50" i="41"/>
  <c r="E50"/>
  <c r="F50"/>
  <c r="C51"/>
  <c r="D50" i="36"/>
  <c r="E50"/>
  <c r="F50"/>
  <c r="C51"/>
  <c r="D50" i="40"/>
  <c r="E50"/>
  <c r="F50"/>
  <c r="C51"/>
  <c r="D50" i="38"/>
  <c r="E50"/>
  <c r="F50"/>
  <c r="C51"/>
  <c r="D51" i="39"/>
  <c r="E51"/>
  <c r="F51"/>
  <c r="C52"/>
  <c r="F50" i="42"/>
  <c r="C51"/>
  <c r="D50"/>
  <c r="E50"/>
  <c r="D52" i="39"/>
  <c r="E52"/>
  <c r="F52"/>
  <c r="C53"/>
  <c r="D51" i="38"/>
  <c r="E51"/>
  <c r="F51"/>
  <c r="C52"/>
  <c r="D51" i="36"/>
  <c r="E51"/>
  <c r="F51"/>
  <c r="C52"/>
  <c r="D51" i="40"/>
  <c r="E51"/>
  <c r="F51"/>
  <c r="C52"/>
  <c r="D51" i="41"/>
  <c r="E51"/>
  <c r="F51"/>
  <c r="C52"/>
  <c r="F51" i="42"/>
  <c r="C52"/>
  <c r="D51"/>
  <c r="E51"/>
  <c r="D52" i="41"/>
  <c r="E52"/>
  <c r="F52"/>
  <c r="C53"/>
  <c r="D52" i="36"/>
  <c r="E52"/>
  <c r="F52"/>
  <c r="C53"/>
  <c r="D52" i="38"/>
  <c r="E52"/>
  <c r="F52"/>
  <c r="C53"/>
  <c r="D52" i="40"/>
  <c r="E52"/>
  <c r="F52"/>
  <c r="C53"/>
  <c r="D53" i="39"/>
  <c r="E53"/>
  <c r="F53"/>
  <c r="C54"/>
  <c r="F52" i="42"/>
  <c r="C53"/>
  <c r="D52"/>
  <c r="E52"/>
  <c r="D54" i="39"/>
  <c r="E54"/>
  <c r="F54"/>
  <c r="C55"/>
  <c r="D53" i="36"/>
  <c r="E53"/>
  <c r="F53"/>
  <c r="C54"/>
  <c r="D53" i="40"/>
  <c r="E53"/>
  <c r="F53"/>
  <c r="C54"/>
  <c r="D53" i="38"/>
  <c r="E53"/>
  <c r="F53"/>
  <c r="C54"/>
  <c r="D53" i="41"/>
  <c r="E53"/>
  <c r="F53"/>
  <c r="C54"/>
  <c r="F53" i="42"/>
  <c r="C54"/>
  <c r="D53"/>
  <c r="E53"/>
  <c r="D54" i="41"/>
  <c r="E54"/>
  <c r="F54"/>
  <c r="C55"/>
  <c r="D54" i="38"/>
  <c r="E54"/>
  <c r="F54"/>
  <c r="C55"/>
  <c r="D54" i="36"/>
  <c r="E54"/>
  <c r="F54"/>
  <c r="C55"/>
  <c r="D55" i="39"/>
  <c r="E55"/>
  <c r="F55"/>
  <c r="C56"/>
  <c r="D54" i="40"/>
  <c r="E54"/>
  <c r="F54"/>
  <c r="C55"/>
  <c r="F54" i="42"/>
  <c r="C55"/>
  <c r="D54"/>
  <c r="E54"/>
  <c r="D55" i="41"/>
  <c r="E55"/>
  <c r="F55"/>
  <c r="C56"/>
  <c r="D55" i="40"/>
  <c r="E55"/>
  <c r="F55"/>
  <c r="C56"/>
  <c r="D56" i="39"/>
  <c r="E56"/>
  <c r="F56"/>
  <c r="C57"/>
  <c r="D55" i="36"/>
  <c r="E55"/>
  <c r="F55"/>
  <c r="C56"/>
  <c r="D55" i="38"/>
  <c r="E55"/>
  <c r="F55"/>
  <c r="C56"/>
  <c r="F55" i="42"/>
  <c r="C56"/>
  <c r="D55"/>
  <c r="E55"/>
  <c r="D56" i="38"/>
  <c r="E56"/>
  <c r="F56"/>
  <c r="C57"/>
  <c r="D56" i="36"/>
  <c r="E56"/>
  <c r="F56"/>
  <c r="C57"/>
  <c r="D56" i="40"/>
  <c r="E56"/>
  <c r="F56"/>
  <c r="C57"/>
  <c r="D56" i="41"/>
  <c r="E56"/>
  <c r="F56"/>
  <c r="C57"/>
  <c r="D57" i="39"/>
  <c r="E57"/>
  <c r="F57"/>
  <c r="C58"/>
  <c r="D56" i="42"/>
  <c r="E56"/>
  <c r="F56"/>
  <c r="C57"/>
  <c r="F57"/>
  <c r="C58"/>
  <c r="D57"/>
  <c r="E57"/>
  <c r="D58" i="39"/>
  <c r="E58"/>
  <c r="F58"/>
  <c r="C59"/>
  <c r="D57" i="41"/>
  <c r="E57"/>
  <c r="F57"/>
  <c r="C58"/>
  <c r="D57" i="40"/>
  <c r="E57"/>
  <c r="F57"/>
  <c r="C58"/>
  <c r="D57" i="36"/>
  <c r="E57"/>
  <c r="F57"/>
  <c r="C58"/>
  <c r="D57" i="38"/>
  <c r="E57"/>
  <c r="F57"/>
  <c r="C58"/>
  <c r="D58"/>
  <c r="E58"/>
  <c r="F58"/>
  <c r="C59"/>
  <c r="D58" i="36"/>
  <c r="E58"/>
  <c r="F58"/>
  <c r="C59"/>
  <c r="D58" i="41"/>
  <c r="E58"/>
  <c r="F58"/>
  <c r="C59"/>
  <c r="D58" i="40"/>
  <c r="E58"/>
  <c r="F58"/>
  <c r="C59"/>
  <c r="D59" i="39"/>
  <c r="E59"/>
  <c r="F59"/>
  <c r="C60"/>
  <c r="F58" i="42"/>
  <c r="C59"/>
  <c r="D58"/>
  <c r="E58"/>
  <c r="D60" i="39"/>
  <c r="E60"/>
  <c r="F60"/>
  <c r="C61"/>
  <c r="D59" i="41"/>
  <c r="E59"/>
  <c r="F59"/>
  <c r="C60"/>
  <c r="D59" i="40"/>
  <c r="E59"/>
  <c r="F59"/>
  <c r="C60"/>
  <c r="D59" i="36"/>
  <c r="E59"/>
  <c r="F59"/>
  <c r="C60"/>
  <c r="D59" i="38"/>
  <c r="E59"/>
  <c r="F59"/>
  <c r="C60"/>
  <c r="D59" i="42"/>
  <c r="E59"/>
  <c r="F59"/>
  <c r="C60"/>
  <c r="D60"/>
  <c r="E60"/>
  <c r="F60"/>
  <c r="C61"/>
  <c r="D60" i="38"/>
  <c r="E60"/>
  <c r="F60"/>
  <c r="C61"/>
  <c r="D60" i="36"/>
  <c r="E60"/>
  <c r="F60"/>
  <c r="C61"/>
  <c r="D60" i="40"/>
  <c r="E60"/>
  <c r="F60"/>
  <c r="C61"/>
  <c r="D60" i="41"/>
  <c r="E60"/>
  <c r="F60"/>
  <c r="C61"/>
  <c r="D61" i="39"/>
  <c r="E61"/>
  <c r="F61"/>
  <c r="C62"/>
  <c r="D61" i="36"/>
  <c r="E61"/>
  <c r="F61"/>
  <c r="C62"/>
  <c r="D61" i="42"/>
  <c r="E61"/>
  <c r="F61"/>
  <c r="C62"/>
  <c r="D62" i="39"/>
  <c r="E62"/>
  <c r="F62"/>
  <c r="C63"/>
  <c r="D61" i="41"/>
  <c r="E61"/>
  <c r="F61"/>
  <c r="C62"/>
  <c r="D61" i="40"/>
  <c r="E61"/>
  <c r="F61"/>
  <c r="C62"/>
  <c r="D61" i="38"/>
  <c r="E61"/>
  <c r="F61"/>
  <c r="C62"/>
  <c r="D62" i="41"/>
  <c r="E62"/>
  <c r="F62"/>
  <c r="C63"/>
  <c r="D63" i="39"/>
  <c r="E63"/>
  <c r="F63"/>
  <c r="C64"/>
  <c r="D62" i="36"/>
  <c r="E62"/>
  <c r="F62"/>
  <c r="C63"/>
  <c r="D62" i="38"/>
  <c r="E62"/>
  <c r="F62"/>
  <c r="C63"/>
  <c r="D62" i="40"/>
  <c r="E62"/>
  <c r="F62"/>
  <c r="C63"/>
  <c r="D62" i="42"/>
  <c r="E62"/>
  <c r="F62"/>
  <c r="C63"/>
  <c r="D63"/>
  <c r="E63"/>
  <c r="F63"/>
  <c r="C64"/>
  <c r="D63" i="40"/>
  <c r="E63"/>
  <c r="F63"/>
  <c r="C64"/>
  <c r="D63" i="36"/>
  <c r="E63"/>
  <c r="F63"/>
  <c r="C64"/>
  <c r="D63" i="41"/>
  <c r="E63"/>
  <c r="F63"/>
  <c r="C64"/>
  <c r="D63" i="38"/>
  <c r="E63"/>
  <c r="F63"/>
  <c r="C64"/>
  <c r="D64" i="39"/>
  <c r="E64"/>
  <c r="F64"/>
  <c r="C65"/>
  <c r="D65"/>
  <c r="E65"/>
  <c r="F65"/>
  <c r="C66"/>
  <c r="D64" i="38"/>
  <c r="E64"/>
  <c r="F64"/>
  <c r="C65"/>
  <c r="D64" i="41"/>
  <c r="E64"/>
  <c r="F64"/>
  <c r="C65"/>
  <c r="D64" i="36"/>
  <c r="E64"/>
  <c r="F64"/>
  <c r="C65"/>
  <c r="D64" i="40"/>
  <c r="E64"/>
  <c r="F64"/>
  <c r="C65"/>
  <c r="D64" i="42"/>
  <c r="E64"/>
  <c r="F64"/>
  <c r="C65"/>
  <c r="D65"/>
  <c r="E65"/>
  <c r="F65"/>
  <c r="C66"/>
  <c r="D65" i="36"/>
  <c r="E65"/>
  <c r="F65"/>
  <c r="C66"/>
  <c r="D65" i="38"/>
  <c r="E65"/>
  <c r="F65"/>
  <c r="C66"/>
  <c r="D66" i="39"/>
  <c r="D65" i="40"/>
  <c r="E65"/>
  <c r="F65"/>
  <c r="C66"/>
  <c r="D65" i="41"/>
  <c r="E65"/>
  <c r="F65"/>
  <c r="C66"/>
  <c r="D66"/>
  <c r="D66" i="36"/>
  <c r="D66" i="40"/>
  <c r="D66" i="38"/>
  <c r="D66" i="42"/>
  <c r="E66" i="39"/>
  <c r="F66"/>
  <c r="G5"/>
  <c r="E66" i="42"/>
  <c r="F66"/>
  <c r="G5"/>
  <c r="E66" i="38"/>
  <c r="F66"/>
  <c r="G5"/>
  <c r="E66" i="40"/>
  <c r="F66"/>
  <c r="G5"/>
  <c r="E66" i="36"/>
  <c r="F66"/>
  <c r="G5"/>
  <c r="E66" i="41"/>
  <c r="F66"/>
  <c r="G5"/>
  <c r="C13" i="18"/>
  <c r="D5" l="1"/>
</calcChain>
</file>

<file path=xl/comments1.xml><?xml version="1.0" encoding="utf-8"?>
<comments xmlns="http://schemas.openxmlformats.org/spreadsheetml/2006/main">
  <authors>
    <author>Author</author>
  </authors>
  <commentList>
    <comment ref="D6" authorId="0">
      <text>
        <r>
          <rPr>
            <b/>
            <sz val="9"/>
            <color indexed="81"/>
            <rFont val="Tahoma"/>
            <family val="2"/>
          </rPr>
          <t>Author:</t>
        </r>
        <r>
          <rPr>
            <sz val="9"/>
            <color indexed="81"/>
            <rFont val="Tahoma"/>
            <family val="2"/>
          </rPr>
          <t xml:space="preserve">
Enter Loan Amount
</t>
        </r>
      </text>
    </comment>
    <comment ref="D7" authorId="0">
      <text>
        <r>
          <rPr>
            <b/>
            <sz val="9"/>
            <color indexed="81"/>
            <rFont val="Tahoma"/>
            <family val="2"/>
          </rPr>
          <t>Author:</t>
        </r>
        <r>
          <rPr>
            <sz val="9"/>
            <color indexed="81"/>
            <rFont val="Tahoma"/>
            <family val="2"/>
          </rPr>
          <t xml:space="preserve">
Number of Months the loan wil be active
</t>
        </r>
      </text>
    </comment>
    <comment ref="D8" authorId="0">
      <text>
        <r>
          <rPr>
            <b/>
            <sz val="9"/>
            <color indexed="81"/>
            <rFont val="Tahoma"/>
            <family val="2"/>
          </rPr>
          <t>Author:</t>
        </r>
        <r>
          <rPr>
            <b/>
            <sz val="9"/>
            <color indexed="81"/>
            <rFont val="Tahoma"/>
            <family val="2"/>
          </rPr>
          <t xml:space="preserve">
Interest Rate offered by the bank
</t>
        </r>
      </text>
    </comment>
    <comment ref="D10" authorId="0">
      <text>
        <r>
          <rPr>
            <b/>
            <sz val="9"/>
            <color indexed="81"/>
            <rFont val="Tahoma"/>
            <family val="2"/>
          </rPr>
          <t>Author:</t>
        </r>
        <r>
          <rPr>
            <sz val="9"/>
            <color indexed="81"/>
            <rFont val="Tahoma"/>
            <family val="2"/>
          </rPr>
          <t xml:space="preserve">
Input in % only( Don’t input number)
Input only processing fees, rest all charges to be inputted in other charges
</t>
        </r>
      </text>
    </comment>
    <comment ref="D11" authorId="0">
      <text>
        <r>
          <rPr>
            <b/>
            <sz val="9"/>
            <color indexed="81"/>
            <rFont val="Tahoma"/>
            <family val="2"/>
          </rPr>
          <t>Author:</t>
        </r>
        <r>
          <rPr>
            <sz val="9"/>
            <color indexed="81"/>
            <rFont val="Tahoma"/>
            <family val="2"/>
          </rPr>
          <t xml:space="preserve">
All other charges ecept processing fees</t>
        </r>
      </text>
    </comment>
  </commentList>
</comments>
</file>

<file path=xl/sharedStrings.xml><?xml version="1.0" encoding="utf-8"?>
<sst xmlns="http://schemas.openxmlformats.org/spreadsheetml/2006/main" count="354" uniqueCount="69">
  <si>
    <t>Initial Loan Amount</t>
  </si>
  <si>
    <t>Security Deposit %</t>
  </si>
  <si>
    <t>Interest Rate</t>
  </si>
  <si>
    <t>Principal</t>
  </si>
  <si>
    <t>Interest</t>
  </si>
  <si>
    <t>Tenor of the Loan</t>
  </si>
  <si>
    <t>EMI</t>
  </si>
  <si>
    <t>Principal Paid</t>
  </si>
  <si>
    <t>Principal O/S</t>
  </si>
  <si>
    <t>Months</t>
  </si>
  <si>
    <t>Saving Mobiled</t>
  </si>
  <si>
    <t>Cashflow</t>
  </si>
  <si>
    <t xml:space="preserve">Monthly Saving </t>
  </si>
  <si>
    <t>Monthly Percentage Rate</t>
  </si>
  <si>
    <t>Annualized percentage rate</t>
  </si>
  <si>
    <t>Calculation</t>
  </si>
  <si>
    <t>Prompt Repayment Rebate</t>
  </si>
  <si>
    <t>APR</t>
  </si>
  <si>
    <t>Prompt repayment Rebate</t>
  </si>
  <si>
    <t>Processing Fee</t>
  </si>
  <si>
    <t>Inputs</t>
  </si>
  <si>
    <t>Monthly ASD</t>
  </si>
  <si>
    <t>Saving Mobilzed</t>
  </si>
  <si>
    <t>Festival Loan</t>
  </si>
  <si>
    <t>Combo Loan</t>
  </si>
  <si>
    <t>1st Cycle Rebate</t>
  </si>
  <si>
    <t>2nd Cycle Rebate</t>
  </si>
  <si>
    <t>APR (1st)</t>
  </si>
  <si>
    <t>APR (2nd)</t>
  </si>
  <si>
    <t>Monthly Percentage Rate (1st)</t>
  </si>
  <si>
    <t>Annualized percentage rate (1st)</t>
  </si>
  <si>
    <t>Monthly Percentage Rate (2nd)</t>
  </si>
  <si>
    <t>Annualized percentage rate (2nd)</t>
  </si>
  <si>
    <t>Loyalty Rebate</t>
  </si>
  <si>
    <t xml:space="preserve">APR </t>
  </si>
  <si>
    <t>Original</t>
  </si>
  <si>
    <t>Revised</t>
  </si>
  <si>
    <t>Family Loan - 1st Cycle</t>
  </si>
  <si>
    <t>Family Loan - Repeat Cycle</t>
  </si>
  <si>
    <t>Business Loan - 1st Cycle</t>
  </si>
  <si>
    <t>Business Loan - Repeat Cycle</t>
  </si>
  <si>
    <t xml:space="preserve"> APR Summary</t>
  </si>
  <si>
    <t>Monthly Loans</t>
  </si>
  <si>
    <t>Bandhan - Weekly</t>
  </si>
  <si>
    <t>Input</t>
  </si>
  <si>
    <t>Monthly IIR</t>
  </si>
  <si>
    <t xml:space="preserve">Weekly </t>
  </si>
  <si>
    <t>Annual Rate</t>
  </si>
  <si>
    <t>Interest Paid</t>
  </si>
  <si>
    <t>Weekly ASD</t>
  </si>
  <si>
    <t>Weeks</t>
  </si>
  <si>
    <t xml:space="preserve">SKS - Minimum Weekly </t>
  </si>
  <si>
    <t xml:space="preserve">SKS - Maximum Weekly </t>
  </si>
  <si>
    <t>Equitas</t>
  </si>
  <si>
    <t>26.9%-28.5%</t>
  </si>
  <si>
    <t>Name of MFI</t>
  </si>
  <si>
    <t>Ujjivan - Business repeat Revised</t>
  </si>
  <si>
    <t>Ujjivan - Business repeat Original</t>
  </si>
  <si>
    <t>Processing Fee aftr service tax</t>
  </si>
  <si>
    <t>APR Calculator</t>
  </si>
  <si>
    <t>Tenor</t>
  </si>
  <si>
    <t>Loan Amount</t>
  </si>
  <si>
    <t>Rate</t>
  </si>
  <si>
    <t>Other Charges</t>
  </si>
  <si>
    <t>PF</t>
  </si>
  <si>
    <t>Actual PV</t>
  </si>
  <si>
    <t>Details</t>
  </si>
  <si>
    <t>Notes on How to Use Calculator</t>
  </si>
  <si>
    <t xml:space="preserve">1.       Annual Percentage Rate depends on various factors like interest rate, processing fee,  other charges etc. The APR calculator is provided for customer convenience to compare the annual cost of credit.
2.       APR calculator is provided to compute annualized credit cost which includes interest rate and charges, applicable at the time of loan origination.
3.       APR calculator generally does not include charges like stamp duty, prepayment charges, CERSAI charges etc. But, if required, they can be added in other charges field.
4.       To calculate APR, please provide input for Loan Amount in INR, Tenure in months, ROI (in reducing rate without % symbol), processing fee of your loan and other charges.
5.       Basis the five fields calculator will show the APR in output field.
6.       The output values mentioned in the APR calculator are based on the input provided in the respective fields, as indicated in the calculator. You are requested to use the calculator without making any changes to the calculator to achieve desired output. Ujjivan Small  Finance Bank Limited shall not be responsible for any output produced due to changes in the  calculator or incorrect input field.
</t>
  </si>
</sst>
</file>

<file path=xl/styles.xml><?xml version="1.0" encoding="utf-8"?>
<styleSheet xmlns="http://schemas.openxmlformats.org/spreadsheetml/2006/main">
  <numFmts count="5">
    <numFmt numFmtId="8" formatCode="&quot;$&quot;#,##0.00_);[Red]\(&quot;$&quot;#,##0.00\)"/>
    <numFmt numFmtId="43" formatCode="_(* #,##0.00_);_(* \(#,##0.00\);_(* &quot;-&quot;??_);_(@_)"/>
    <numFmt numFmtId="164" formatCode="&quot; &quot;#,##0.00_);[Red]\(&quot; &quot;#,##0.00\)"/>
    <numFmt numFmtId="165" formatCode="_(* #,##0_);_(* \(#,##0\);_(* &quot;-&quot;??_);_(@_)"/>
    <numFmt numFmtId="166" formatCode="_(* #,##0.000_);_(* \(#,##0.000\);_(* &quot;-&quot;??_);_(@_)"/>
  </numFmts>
  <fonts count="9">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6"/>
      <color theme="1"/>
      <name val="Calibri"/>
      <family val="2"/>
      <scheme val="minor"/>
    </font>
    <font>
      <sz val="10"/>
      <color theme="1"/>
      <name val="Arial Unicode MS"/>
      <family val="2"/>
    </font>
    <font>
      <sz val="9"/>
      <color indexed="81"/>
      <name val="Tahoma"/>
      <family val="2"/>
    </font>
    <font>
      <b/>
      <sz val="9"/>
      <color indexed="81"/>
      <name val="Tahoma"/>
      <family val="2"/>
    </font>
  </fonts>
  <fills count="5">
    <fill>
      <patternFill patternType="none"/>
    </fill>
    <fill>
      <patternFill patternType="gray125"/>
    </fill>
    <fill>
      <patternFill patternType="solid">
        <fgColor theme="3" tint="0.39997558519241921"/>
        <bgColor indexed="64"/>
      </patternFill>
    </fill>
    <fill>
      <patternFill patternType="solid">
        <fgColor rgb="FFFFC000"/>
        <bgColor indexed="64"/>
      </patternFill>
    </fill>
    <fill>
      <patternFill patternType="solid">
        <fgColor theme="9" tint="0.79998168889431442"/>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top style="medium">
        <color indexed="64"/>
      </top>
      <bottom/>
      <diagonal/>
    </border>
    <border>
      <left/>
      <right/>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11">
    <xf numFmtId="0" fontId="0" fillId="0" borderId="0" xfId="0"/>
    <xf numFmtId="9" fontId="0" fillId="0" borderId="0" xfId="0" applyNumberFormat="1" applyAlignment="1">
      <alignment horizontal="center"/>
    </xf>
    <xf numFmtId="0" fontId="0" fillId="0" borderId="0" xfId="0" applyAlignment="1"/>
    <xf numFmtId="165" fontId="1" fillId="0" borderId="0" xfId="1" applyNumberFormat="1" applyFont="1" applyAlignment="1"/>
    <xf numFmtId="9" fontId="0" fillId="0" borderId="0" xfId="0" applyNumberFormat="1" applyAlignment="1"/>
    <xf numFmtId="10" fontId="0" fillId="0" borderId="0" xfId="0" applyNumberFormat="1" applyAlignment="1"/>
    <xf numFmtId="9" fontId="1" fillId="0" borderId="0" xfId="2" applyFont="1" applyAlignment="1"/>
    <xf numFmtId="0" fontId="2" fillId="2" borderId="0" xfId="0" applyFont="1" applyFill="1" applyAlignment="1">
      <alignment horizontal="center"/>
    </xf>
    <xf numFmtId="0" fontId="2" fillId="0" borderId="0" xfId="0" applyFont="1" applyAlignment="1">
      <alignment horizontal="center"/>
    </xf>
    <xf numFmtId="3" fontId="0" fillId="0" borderId="0" xfId="0" applyNumberFormat="1" applyAlignment="1"/>
    <xf numFmtId="10" fontId="1" fillId="0" borderId="0" xfId="2" applyNumberFormat="1" applyFont="1" applyAlignment="1"/>
    <xf numFmtId="3" fontId="1" fillId="0" borderId="0" xfId="2" applyNumberFormat="1" applyFont="1" applyAlignment="1"/>
    <xf numFmtId="0" fontId="2" fillId="0" borderId="0" xfId="0" applyFont="1" applyFill="1" applyAlignment="1">
      <alignment horizontal="center"/>
    </xf>
    <xf numFmtId="0" fontId="2" fillId="2" borderId="1" xfId="0" applyFont="1" applyFill="1" applyBorder="1" applyAlignment="1">
      <alignment horizontal="center"/>
    </xf>
    <xf numFmtId="3" fontId="0" fillId="0" borderId="2" xfId="0" applyNumberFormat="1" applyBorder="1" applyAlignment="1"/>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3" fontId="0" fillId="0" borderId="6" xfId="0" applyNumberFormat="1" applyBorder="1" applyAlignment="1"/>
    <xf numFmtId="3" fontId="0" fillId="0" borderId="7" xfId="0" applyNumberFormat="1" applyBorder="1" applyAlignment="1"/>
    <xf numFmtId="3" fontId="0" fillId="0" borderId="8" xfId="0" applyNumberFormat="1" applyBorder="1" applyAlignment="1"/>
    <xf numFmtId="8" fontId="0" fillId="0" borderId="0" xfId="0" applyNumberFormat="1" applyAlignment="1"/>
    <xf numFmtId="165" fontId="1" fillId="0" borderId="0" xfId="1" applyNumberFormat="1" applyFont="1" applyAlignment="1"/>
    <xf numFmtId="1" fontId="0" fillId="0" borderId="0" xfId="0" applyNumberFormat="1" applyAlignment="1"/>
    <xf numFmtId="165" fontId="0" fillId="0" borderId="0" xfId="0" applyNumberFormat="1" applyAlignment="1"/>
    <xf numFmtId="10" fontId="1" fillId="0" borderId="0" xfId="2" applyNumberFormat="1" applyFont="1" applyAlignment="1"/>
    <xf numFmtId="0" fontId="3" fillId="0" borderId="0" xfId="0" applyFont="1" applyAlignment="1">
      <alignment horizontal="center" vertical="center"/>
    </xf>
    <xf numFmtId="165" fontId="1" fillId="0" borderId="0" xfId="1" applyNumberFormat="1" applyFont="1" applyAlignment="1">
      <alignment horizontal="right"/>
    </xf>
    <xf numFmtId="0" fontId="0" fillId="0" borderId="9" xfId="0" applyBorder="1" applyAlignment="1">
      <alignment horizontal="center"/>
    </xf>
    <xf numFmtId="0" fontId="0" fillId="0" borderId="10" xfId="0" applyBorder="1" applyAlignment="1">
      <alignment horizontal="center"/>
    </xf>
    <xf numFmtId="9" fontId="1" fillId="0" borderId="0" xfId="2" applyNumberFormat="1" applyFont="1" applyAlignment="1"/>
    <xf numFmtId="10" fontId="0" fillId="0" borderId="0" xfId="0" applyNumberFormat="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0" fillId="0" borderId="0" xfId="0" applyFont="1" applyBorder="1" applyAlignment="1"/>
    <xf numFmtId="0" fontId="0" fillId="0" borderId="0" xfId="0" applyBorder="1" applyAlignment="1"/>
    <xf numFmtId="0" fontId="4" fillId="0" borderId="0" xfId="0" applyFont="1" applyBorder="1" applyAlignment="1"/>
    <xf numFmtId="0" fontId="0" fillId="0" borderId="11" xfId="0" applyBorder="1" applyAlignment="1"/>
    <xf numFmtId="0" fontId="0" fillId="0" borderId="12" xfId="0" applyBorder="1" applyAlignment="1"/>
    <xf numFmtId="10" fontId="0" fillId="0" borderId="13" xfId="0" applyNumberFormat="1" applyFont="1" applyBorder="1" applyAlignment="1"/>
    <xf numFmtId="10" fontId="0" fillId="0" borderId="14" xfId="0" applyNumberFormat="1" applyFont="1" applyBorder="1" applyAlignment="1"/>
    <xf numFmtId="10" fontId="0" fillId="0" borderId="15" xfId="0" applyNumberFormat="1" applyFont="1" applyBorder="1" applyAlignment="1"/>
    <xf numFmtId="10" fontId="0" fillId="0" borderId="16" xfId="0" applyNumberFormat="1" applyFont="1" applyBorder="1" applyAlignment="1"/>
    <xf numFmtId="0" fontId="2" fillId="0" borderId="17" xfId="0" applyFont="1" applyBorder="1" applyAlignment="1">
      <alignment horizontal="center"/>
    </xf>
    <xf numFmtId="0" fontId="2" fillId="0" borderId="1" xfId="0" applyFont="1" applyBorder="1" applyAlignment="1">
      <alignment horizontal="center"/>
    </xf>
    <xf numFmtId="0" fontId="2" fillId="0" borderId="18" xfId="0" applyFont="1" applyBorder="1" applyAlignment="1">
      <alignment horizontal="center"/>
    </xf>
    <xf numFmtId="0" fontId="0" fillId="0" borderId="2" xfId="0" applyBorder="1" applyAlignment="1"/>
    <xf numFmtId="10" fontId="0" fillId="0" borderId="2" xfId="0" applyNumberFormat="1" applyBorder="1" applyAlignment="1"/>
    <xf numFmtId="10" fontId="1" fillId="0" borderId="2" xfId="2" applyNumberFormat="1" applyFont="1" applyBorder="1" applyAlignment="1"/>
    <xf numFmtId="0" fontId="0" fillId="0" borderId="2" xfId="0" applyFill="1" applyBorder="1" applyAlignment="1"/>
    <xf numFmtId="1" fontId="0" fillId="0" borderId="2" xfId="0" applyNumberFormat="1" applyBorder="1" applyAlignment="1"/>
    <xf numFmtId="43" fontId="0" fillId="0" borderId="0" xfId="0" applyNumberFormat="1" applyAlignment="1"/>
    <xf numFmtId="43" fontId="1" fillId="0" borderId="0" xfId="1" applyFont="1" applyAlignment="1"/>
    <xf numFmtId="164" fontId="1" fillId="0" borderId="0" xfId="1" applyNumberFormat="1" applyFont="1" applyAlignment="1"/>
    <xf numFmtId="166" fontId="1" fillId="0" borderId="0" xfId="1" applyNumberFormat="1" applyFont="1" applyAlignment="1"/>
    <xf numFmtId="0" fontId="0" fillId="0" borderId="9" xfId="0" applyBorder="1" applyAlignment="1"/>
    <xf numFmtId="0" fontId="0" fillId="0" borderId="6" xfId="0" applyBorder="1" applyAlignment="1"/>
    <xf numFmtId="165" fontId="0" fillId="0" borderId="2" xfId="0" applyNumberFormat="1" applyBorder="1" applyAlignment="1"/>
    <xf numFmtId="165" fontId="0" fillId="0" borderId="6" xfId="0" applyNumberFormat="1" applyBorder="1" applyAlignment="1"/>
    <xf numFmtId="166" fontId="0" fillId="0" borderId="2" xfId="0" applyNumberFormat="1" applyBorder="1" applyAlignment="1"/>
    <xf numFmtId="165" fontId="0" fillId="0" borderId="0" xfId="0" applyNumberFormat="1" applyBorder="1" applyAlignment="1"/>
    <xf numFmtId="1" fontId="0" fillId="0" borderId="0" xfId="0" applyNumberFormat="1" applyBorder="1" applyAlignment="1"/>
    <xf numFmtId="2" fontId="0" fillId="0" borderId="0" xfId="0" applyNumberFormat="1" applyAlignment="1"/>
    <xf numFmtId="0" fontId="2" fillId="2" borderId="1" xfId="0" applyFont="1" applyFill="1" applyBorder="1" applyAlignment="1"/>
    <xf numFmtId="0" fontId="2" fillId="0" borderId="0" xfId="0" applyFont="1" applyFill="1" applyAlignment="1"/>
    <xf numFmtId="0" fontId="2" fillId="0" borderId="4" xfId="0" applyFont="1" applyBorder="1" applyAlignment="1"/>
    <xf numFmtId="0" fontId="0" fillId="0" borderId="11" xfId="0" applyFill="1" applyBorder="1" applyAlignment="1"/>
    <xf numFmtId="0" fontId="0" fillId="0" borderId="12" xfId="0" applyFill="1" applyBorder="1" applyAlignment="1"/>
    <xf numFmtId="10" fontId="0" fillId="0" borderId="15" xfId="0" applyNumberFormat="1" applyFont="1" applyBorder="1" applyAlignment="1">
      <alignment horizontal="center"/>
    </xf>
    <xf numFmtId="0" fontId="0" fillId="0" borderId="16" xfId="0" applyBorder="1" applyAlignment="1">
      <alignment horizontal="center"/>
    </xf>
    <xf numFmtId="0" fontId="2" fillId="0" borderId="17" xfId="0" applyFont="1" applyFill="1" applyBorder="1" applyAlignment="1">
      <alignment horizontal="center"/>
    </xf>
    <xf numFmtId="0" fontId="4" fillId="0" borderId="17" xfId="0" applyFont="1" applyBorder="1" applyAlignment="1">
      <alignment horizontal="center"/>
    </xf>
    <xf numFmtId="0" fontId="4" fillId="0" borderId="19" xfId="0" applyFont="1" applyBorder="1" applyAlignment="1">
      <alignment horizontal="center"/>
    </xf>
    <xf numFmtId="0" fontId="4" fillId="0" borderId="18" xfId="0" applyFont="1" applyBorder="1" applyAlignment="1">
      <alignment horizontal="center"/>
    </xf>
    <xf numFmtId="0" fontId="6" fillId="0" borderId="0" xfId="0" applyFont="1"/>
    <xf numFmtId="0" fontId="5" fillId="3" borderId="20" xfId="0" applyFont="1" applyFill="1" applyBorder="1" applyAlignment="1">
      <alignment horizontal="center"/>
    </xf>
    <xf numFmtId="0" fontId="5" fillId="3" borderId="21" xfId="0" applyFont="1" applyFill="1" applyBorder="1" applyAlignment="1">
      <alignment horizontal="center"/>
    </xf>
    <xf numFmtId="0" fontId="0" fillId="0" borderId="9" xfId="0" applyBorder="1" applyProtection="1">
      <protection hidden="1"/>
    </xf>
    <xf numFmtId="0" fontId="0" fillId="0" borderId="6" xfId="0" applyBorder="1" applyProtection="1">
      <protection hidden="1"/>
    </xf>
    <xf numFmtId="0" fontId="3" fillId="3" borderId="10" xfId="0" applyFont="1" applyFill="1" applyBorder="1"/>
    <xf numFmtId="10" fontId="3" fillId="3" borderId="8" xfId="0" applyNumberFormat="1" applyFont="1" applyFill="1" applyBorder="1" applyProtection="1">
      <protection hidden="1"/>
    </xf>
    <xf numFmtId="0" fontId="5" fillId="3" borderId="12" xfId="0" applyFont="1" applyFill="1" applyBorder="1" applyAlignment="1">
      <alignment horizontal="center"/>
    </xf>
    <xf numFmtId="0" fontId="5" fillId="3" borderId="14" xfId="0" applyFont="1" applyFill="1" applyBorder="1" applyAlignment="1">
      <alignment horizontal="center"/>
    </xf>
    <xf numFmtId="0" fontId="2" fillId="0" borderId="1" xfId="0" applyFont="1" applyBorder="1"/>
    <xf numFmtId="0" fontId="2" fillId="0" borderId="24" xfId="0" applyFont="1" applyBorder="1"/>
    <xf numFmtId="0" fontId="0" fillId="0" borderId="22" xfId="0" applyBorder="1" applyProtection="1">
      <protection hidden="1"/>
    </xf>
    <xf numFmtId="0" fontId="0" fillId="0" borderId="23" xfId="0" applyBorder="1" applyProtection="1">
      <protection hidden="1"/>
    </xf>
    <xf numFmtId="0" fontId="0" fillId="0" borderId="1" xfId="0" applyBorder="1" applyProtection="1">
      <protection locked="0"/>
    </xf>
    <xf numFmtId="9" fontId="0" fillId="0" borderId="1" xfId="0" applyNumberFormat="1" applyBorder="1" applyProtection="1">
      <protection locked="0"/>
    </xf>
    <xf numFmtId="8" fontId="0" fillId="0" borderId="25" xfId="0" applyNumberFormat="1" applyBorder="1" applyProtection="1">
      <protection hidden="1"/>
    </xf>
    <xf numFmtId="10" fontId="0" fillId="0" borderId="1" xfId="0" applyNumberFormat="1" applyBorder="1" applyProtection="1">
      <protection locked="0"/>
    </xf>
    <xf numFmtId="0" fontId="2" fillId="0" borderId="17" xfId="0" applyFont="1" applyBorder="1" applyAlignment="1">
      <alignment horizontal="center"/>
    </xf>
    <xf numFmtId="0" fontId="2" fillId="0" borderId="18" xfId="0" applyFont="1" applyBorder="1" applyAlignment="1">
      <alignment horizontal="center"/>
    </xf>
    <xf numFmtId="0" fontId="3" fillId="0" borderId="0" xfId="0" applyFont="1" applyFill="1" applyBorder="1"/>
    <xf numFmtId="10" fontId="3" fillId="0" borderId="0" xfId="0" applyNumberFormat="1" applyFont="1" applyFill="1" applyBorder="1" applyProtection="1">
      <protection hidden="1"/>
    </xf>
    <xf numFmtId="0" fontId="3" fillId="3" borderId="20" xfId="0" applyFont="1" applyFill="1" applyBorder="1" applyAlignment="1">
      <alignment horizontal="center"/>
    </xf>
    <xf numFmtId="0" fontId="3" fillId="3" borderId="21" xfId="0" applyFont="1" applyFill="1" applyBorder="1" applyAlignment="1">
      <alignment horizontal="center"/>
    </xf>
    <xf numFmtId="0" fontId="0" fillId="0" borderId="20" xfId="0" applyBorder="1"/>
    <xf numFmtId="0" fontId="0" fillId="0" borderId="26" xfId="0" applyBorder="1"/>
    <xf numFmtId="0" fontId="0" fillId="0" borderId="21" xfId="0" applyBorder="1"/>
    <xf numFmtId="0" fontId="0" fillId="0" borderId="11" xfId="0" applyBorder="1"/>
    <xf numFmtId="0" fontId="0" fillId="0" borderId="0" xfId="0" applyBorder="1"/>
    <xf numFmtId="0" fontId="0" fillId="0" borderId="13" xfId="0" applyBorder="1"/>
    <xf numFmtId="0" fontId="0" fillId="0" borderId="12" xfId="0" applyBorder="1"/>
    <xf numFmtId="0" fontId="0" fillId="0" borderId="27" xfId="0" applyBorder="1"/>
    <xf numFmtId="0" fontId="0" fillId="0" borderId="14" xfId="0" applyBorder="1"/>
    <xf numFmtId="0" fontId="2" fillId="4" borderId="11" xfId="0" applyFont="1" applyFill="1" applyBorder="1" applyAlignment="1">
      <alignment horizontal="left" wrapText="1"/>
    </xf>
    <xf numFmtId="0" fontId="2" fillId="4" borderId="13" xfId="0" applyFont="1" applyFill="1" applyBorder="1" applyAlignment="1">
      <alignment horizontal="left" wrapText="1"/>
    </xf>
    <xf numFmtId="0" fontId="2" fillId="4" borderId="12" xfId="0" applyFont="1" applyFill="1" applyBorder="1" applyAlignment="1">
      <alignment horizontal="left" wrapText="1"/>
    </xf>
    <xf numFmtId="0" fontId="2" fillId="4" borderId="14" xfId="0" applyFont="1" applyFill="1" applyBorder="1" applyAlignment="1">
      <alignment horizontal="left" wrapText="1"/>
    </xf>
  </cellXfs>
  <cellStyles count="3">
    <cellStyle name="Comma" xfId="1" builtinId="3"/>
    <cellStyle name="Normal" xfId="0" builtinId="0"/>
    <cellStyle name="Percent"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F24"/>
  <sheetViews>
    <sheetView tabSelected="1" workbookViewId="0">
      <selection activeCell="D6" sqref="D6"/>
    </sheetView>
  </sheetViews>
  <sheetFormatPr defaultRowHeight="15"/>
  <cols>
    <col min="3" max="3" width="35.5703125" customWidth="1"/>
    <col min="4" max="4" width="34.85546875" customWidth="1"/>
    <col min="5" max="5" width="10.85546875" bestFit="1" customWidth="1"/>
    <col min="9" max="9" width="10.5703125" bestFit="1" customWidth="1"/>
    <col min="12" max="13" width="14.28515625" bestFit="1" customWidth="1"/>
  </cols>
  <sheetData>
    <row r="1" spans="1:6" ht="15.75" thickBot="1">
      <c r="A1" s="102"/>
    </row>
    <row r="2" spans="1:6" ht="15.75" thickBot="1">
      <c r="A2" s="101"/>
      <c r="B2" s="98"/>
      <c r="C2" s="99"/>
      <c r="D2" s="99"/>
      <c r="E2" s="99"/>
      <c r="F2" s="100"/>
    </row>
    <row r="3" spans="1:6" ht="21" customHeight="1">
      <c r="A3" s="101"/>
      <c r="B3" s="101"/>
      <c r="C3" s="76" t="s">
        <v>59</v>
      </c>
      <c r="D3" s="77"/>
      <c r="E3" s="102"/>
      <c r="F3" s="103"/>
    </row>
    <row r="4" spans="1:6" ht="21" customHeight="1" thickBot="1">
      <c r="A4" s="101"/>
      <c r="B4" s="101"/>
      <c r="C4" s="82"/>
      <c r="D4" s="83"/>
      <c r="E4" s="102"/>
      <c r="F4" s="103"/>
    </row>
    <row r="5" spans="1:6" ht="15.75" thickBot="1">
      <c r="A5" s="101"/>
      <c r="B5" s="101"/>
      <c r="C5" s="92" t="s">
        <v>66</v>
      </c>
      <c r="D5" s="93"/>
      <c r="E5" s="102"/>
      <c r="F5" s="103"/>
    </row>
    <row r="6" spans="1:6" ht="15.75" thickBot="1">
      <c r="A6" s="101"/>
      <c r="B6" s="101"/>
      <c r="C6" s="84" t="s">
        <v>61</v>
      </c>
      <c r="D6" s="88">
        <v>50000</v>
      </c>
      <c r="E6" s="102"/>
      <c r="F6" s="103"/>
    </row>
    <row r="7" spans="1:6" ht="15.75" thickBot="1">
      <c r="A7" s="101"/>
      <c r="B7" s="101"/>
      <c r="C7" s="84" t="s">
        <v>60</v>
      </c>
      <c r="D7" s="88">
        <v>24</v>
      </c>
      <c r="E7" s="102"/>
      <c r="F7" s="103"/>
    </row>
    <row r="8" spans="1:6" ht="15.75" thickBot="1">
      <c r="A8" s="101"/>
      <c r="B8" s="101"/>
      <c r="C8" s="84" t="s">
        <v>62</v>
      </c>
      <c r="D8" s="91">
        <v>0.1575</v>
      </c>
      <c r="E8" s="102"/>
      <c r="F8" s="103"/>
    </row>
    <row r="9" spans="1:6" ht="15.75" hidden="1" thickBot="1">
      <c r="A9" s="101"/>
      <c r="B9" s="101"/>
      <c r="C9" s="85" t="s">
        <v>6</v>
      </c>
      <c r="D9" s="90">
        <f>PMT(D8/12,D7,D6,0)</f>
        <v>-2442.1871174384423</v>
      </c>
      <c r="E9" s="102"/>
      <c r="F9" s="103"/>
    </row>
    <row r="10" spans="1:6" ht="15.75" thickBot="1">
      <c r="A10" s="101"/>
      <c r="B10" s="101"/>
      <c r="C10" s="84" t="s">
        <v>19</v>
      </c>
      <c r="D10" s="89">
        <v>0.01</v>
      </c>
      <c r="E10" s="102"/>
      <c r="F10" s="103"/>
    </row>
    <row r="11" spans="1:6" ht="15.75" thickBot="1">
      <c r="A11" s="101"/>
      <c r="B11" s="101"/>
      <c r="C11" s="84" t="s">
        <v>63</v>
      </c>
      <c r="D11" s="88">
        <v>100</v>
      </c>
      <c r="E11" s="102"/>
      <c r="F11" s="103"/>
    </row>
    <row r="12" spans="1:6" hidden="1">
      <c r="A12" s="101"/>
      <c r="B12" s="101"/>
      <c r="C12" s="86" t="s">
        <v>64</v>
      </c>
      <c r="D12" s="87">
        <f>D10*D6</f>
        <v>500</v>
      </c>
      <c r="E12" s="102"/>
      <c r="F12" s="103"/>
    </row>
    <row r="13" spans="1:6" hidden="1">
      <c r="A13" s="101"/>
      <c r="B13" s="101"/>
      <c r="C13" s="78" t="s">
        <v>65</v>
      </c>
      <c r="D13" s="79">
        <f>D6-D11-D12</f>
        <v>49400</v>
      </c>
      <c r="E13" s="102"/>
      <c r="F13" s="103"/>
    </row>
    <row r="14" spans="1:6" ht="19.5" thickBot="1">
      <c r="A14" s="101"/>
      <c r="B14" s="101"/>
      <c r="C14" s="80" t="s">
        <v>17</v>
      </c>
      <c r="D14" s="81">
        <f>RATE(D7,D9,D13,0)*12</f>
        <v>0.169890154030924</v>
      </c>
      <c r="E14" s="102"/>
      <c r="F14" s="103"/>
    </row>
    <row r="15" spans="1:6" ht="19.5" thickBot="1">
      <c r="A15" s="101"/>
      <c r="B15" s="101"/>
      <c r="C15" s="94"/>
      <c r="D15" s="95"/>
      <c r="E15" s="102"/>
      <c r="F15" s="103"/>
    </row>
    <row r="16" spans="1:6" ht="18.75">
      <c r="A16" s="101"/>
      <c r="B16" s="101"/>
      <c r="C16" s="96" t="s">
        <v>67</v>
      </c>
      <c r="D16" s="97"/>
      <c r="E16" s="102"/>
      <c r="F16" s="103"/>
    </row>
    <row r="17" spans="1:6" ht="48.75" customHeight="1">
      <c r="A17" s="101"/>
      <c r="B17" s="101"/>
      <c r="C17" s="107" t="s">
        <v>68</v>
      </c>
      <c r="D17" s="108"/>
      <c r="E17" s="102"/>
      <c r="F17" s="103"/>
    </row>
    <row r="18" spans="1:6">
      <c r="A18" s="101"/>
      <c r="B18" s="101"/>
      <c r="C18" s="107"/>
      <c r="D18" s="108"/>
      <c r="E18" s="102"/>
      <c r="F18" s="103"/>
    </row>
    <row r="19" spans="1:6">
      <c r="A19" s="101"/>
      <c r="B19" s="101"/>
      <c r="C19" s="107"/>
      <c r="D19" s="108"/>
      <c r="E19" s="102"/>
      <c r="F19" s="103"/>
    </row>
    <row r="20" spans="1:6">
      <c r="A20" s="101"/>
      <c r="B20" s="101"/>
      <c r="C20" s="107"/>
      <c r="D20" s="108"/>
      <c r="E20" s="102"/>
      <c r="F20" s="103"/>
    </row>
    <row r="21" spans="1:6">
      <c r="A21" s="101"/>
      <c r="B21" s="101"/>
      <c r="C21" s="107"/>
      <c r="D21" s="108"/>
      <c r="E21" s="102"/>
      <c r="F21" s="103"/>
    </row>
    <row r="22" spans="1:6" ht="201" customHeight="1" thickBot="1">
      <c r="A22" s="101"/>
      <c r="B22" s="101"/>
      <c r="C22" s="109"/>
      <c r="D22" s="110"/>
      <c r="E22" s="102"/>
      <c r="F22" s="103"/>
    </row>
    <row r="23" spans="1:6">
      <c r="A23" s="101"/>
      <c r="B23" s="101"/>
      <c r="C23" s="102"/>
      <c r="D23" s="102"/>
      <c r="E23" s="102"/>
      <c r="F23" s="103"/>
    </row>
    <row r="24" spans="1:6" ht="15.75" thickBot="1">
      <c r="A24" s="102"/>
      <c r="B24" s="104"/>
      <c r="C24" s="105"/>
      <c r="D24" s="105"/>
      <c r="E24" s="105"/>
      <c r="F24" s="106"/>
    </row>
  </sheetData>
  <sheetProtection sheet="1" objects="1" scenarios="1" selectLockedCells="1"/>
  <mergeCells count="4">
    <mergeCell ref="C17:D22"/>
    <mergeCell ref="C16:D16"/>
    <mergeCell ref="C3:D4"/>
    <mergeCell ref="C5:D5"/>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G76"/>
  <sheetViews>
    <sheetView workbookViewId="0">
      <selection activeCell="B12" sqref="B12"/>
    </sheetView>
  </sheetViews>
  <sheetFormatPr defaultRowHeight="15"/>
  <cols>
    <col min="1" max="1" width="24.42578125" style="2" customWidth="1"/>
    <col min="2" max="2" width="10.5703125" style="2" bestFit="1" customWidth="1"/>
    <col min="3" max="3" width="13.140625" style="2" bestFit="1" customWidth="1"/>
    <col min="4" max="4" width="13.140625" style="2" customWidth="1"/>
    <col min="5" max="6" width="15.7109375" style="2" bestFit="1" customWidth="1"/>
    <col min="7" max="16384" width="9.140625" style="2"/>
  </cols>
  <sheetData>
    <row r="1" spans="1:7" ht="18.75">
      <c r="A1" s="26"/>
    </row>
    <row r="2" spans="1:7" ht="15.75" thickBot="1"/>
    <row r="3" spans="1:7" ht="15.75" thickBot="1">
      <c r="A3" s="13" t="s">
        <v>20</v>
      </c>
      <c r="D3" s="13" t="s">
        <v>27</v>
      </c>
      <c r="E3" s="31">
        <f>F33</f>
        <v>0.33653058668605951</v>
      </c>
    </row>
    <row r="5" spans="1:7">
      <c r="A5" s="2" t="s">
        <v>0</v>
      </c>
      <c r="B5" s="22">
        <v>10000</v>
      </c>
    </row>
    <row r="6" spans="1:7">
      <c r="A6" s="2" t="s">
        <v>1</v>
      </c>
      <c r="B6" s="4">
        <v>0.1</v>
      </c>
    </row>
    <row r="7" spans="1:7">
      <c r="A7" s="2" t="s">
        <v>2</v>
      </c>
      <c r="B7" s="5">
        <v>0.25</v>
      </c>
      <c r="E7" s="11"/>
    </row>
    <row r="8" spans="1:7">
      <c r="A8" s="2" t="s">
        <v>5</v>
      </c>
      <c r="B8" s="2">
        <v>12</v>
      </c>
      <c r="E8" s="25"/>
    </row>
    <row r="9" spans="1:7">
      <c r="A9" s="2" t="s">
        <v>6</v>
      </c>
      <c r="B9" s="27">
        <f>-PMT(B7/B8,B8,B5,0,0)</f>
        <v>950.44203263909253</v>
      </c>
      <c r="C9" s="21"/>
    </row>
    <row r="10" spans="1:7">
      <c r="A10" s="2" t="s">
        <v>21</v>
      </c>
      <c r="B10" s="2">
        <v>0</v>
      </c>
    </row>
    <row r="11" spans="1:7">
      <c r="A11" s="2" t="s">
        <v>33</v>
      </c>
      <c r="B11" s="2">
        <v>50</v>
      </c>
    </row>
    <row r="12" spans="1:7">
      <c r="A12" s="2" t="s">
        <v>58</v>
      </c>
      <c r="B12" s="23">
        <f>(B5*B13)/(1+10.3%)</f>
        <v>181.32366273798732</v>
      </c>
      <c r="D12" s="4"/>
    </row>
    <row r="13" spans="1:7" ht="15.75" thickBot="1">
      <c r="A13" s="2" t="s">
        <v>19</v>
      </c>
      <c r="B13" s="4">
        <v>0.02</v>
      </c>
    </row>
    <row r="14" spans="1:7" ht="15.75" thickBot="1">
      <c r="A14" s="13" t="s">
        <v>15</v>
      </c>
    </row>
    <row r="15" spans="1:7" ht="15.75" thickBot="1">
      <c r="A15" s="12"/>
    </row>
    <row r="16" spans="1:7">
      <c r="A16" s="32" t="s">
        <v>9</v>
      </c>
      <c r="B16" s="33" t="s">
        <v>3</v>
      </c>
      <c r="C16" s="33" t="s">
        <v>4</v>
      </c>
      <c r="D16" s="33" t="s">
        <v>7</v>
      </c>
      <c r="E16" s="33" t="s">
        <v>8</v>
      </c>
      <c r="F16" s="33" t="s">
        <v>22</v>
      </c>
      <c r="G16" s="34" t="s">
        <v>11</v>
      </c>
    </row>
    <row r="17" spans="1:7">
      <c r="A17" s="28">
        <v>0</v>
      </c>
      <c r="B17" s="14">
        <f>B5</f>
        <v>10000</v>
      </c>
      <c r="C17" s="14"/>
      <c r="D17" s="14"/>
      <c r="E17" s="14"/>
      <c r="F17" s="14">
        <f>-B5*B6</f>
        <v>-1000</v>
      </c>
      <c r="G17" s="18">
        <f>B17+F17-B12</f>
        <v>8818.6763372620135</v>
      </c>
    </row>
    <row r="18" spans="1:7">
      <c r="A18" s="28">
        <v>1</v>
      </c>
      <c r="B18" s="14">
        <f>B5</f>
        <v>10000</v>
      </c>
      <c r="C18" s="14">
        <f>B18*$B$7/$B$8</f>
        <v>208.33333333333334</v>
      </c>
      <c r="D18" s="14">
        <f>$B$9-C18</f>
        <v>742.10869930575916</v>
      </c>
      <c r="E18" s="14">
        <f>B18-D18</f>
        <v>9257.8913006942403</v>
      </c>
      <c r="F18" s="14">
        <f>-$B$10</f>
        <v>0</v>
      </c>
      <c r="G18" s="18">
        <f>-$B$9+F18</f>
        <v>-950.44203263909253</v>
      </c>
    </row>
    <row r="19" spans="1:7">
      <c r="A19" s="28">
        <v>2</v>
      </c>
      <c r="B19" s="14">
        <f>E18</f>
        <v>9257.8913006942403</v>
      </c>
      <c r="C19" s="14">
        <f>B19*$B$7/$B$8</f>
        <v>192.87273543113</v>
      </c>
      <c r="D19" s="14">
        <f>$B$9-C19</f>
        <v>757.56929720796256</v>
      </c>
      <c r="E19" s="14">
        <f>B19-D19</f>
        <v>8500.322003486277</v>
      </c>
      <c r="F19" s="14">
        <f t="shared" ref="F19:F28" si="0">-$B$10</f>
        <v>0</v>
      </c>
      <c r="G19" s="18">
        <f t="shared" ref="G19:G28" si="1">-$B$9+F19</f>
        <v>-950.44203263909253</v>
      </c>
    </row>
    <row r="20" spans="1:7">
      <c r="A20" s="28">
        <v>3</v>
      </c>
      <c r="B20" s="14">
        <f t="shared" ref="B20:B27" si="2">E19</f>
        <v>8500.322003486277</v>
      </c>
      <c r="C20" s="14">
        <f t="shared" ref="C20:C29" si="3">B20*$B$7/$B$8</f>
        <v>177.09004173929745</v>
      </c>
      <c r="D20" s="14">
        <f t="shared" ref="D20:D29" si="4">$B$9-C20</f>
        <v>773.35199089979506</v>
      </c>
      <c r="E20" s="14">
        <f t="shared" ref="E20:E27" si="5">B20-D20</f>
        <v>7726.970012586482</v>
      </c>
      <c r="F20" s="14">
        <f t="shared" si="0"/>
        <v>0</v>
      </c>
      <c r="G20" s="18">
        <f t="shared" si="1"/>
        <v>-950.44203263909253</v>
      </c>
    </row>
    <row r="21" spans="1:7">
      <c r="A21" s="28">
        <v>4</v>
      </c>
      <c r="B21" s="14">
        <f t="shared" si="2"/>
        <v>7726.970012586482</v>
      </c>
      <c r="C21" s="14">
        <f t="shared" si="3"/>
        <v>160.97854192888505</v>
      </c>
      <c r="D21" s="14">
        <f t="shared" si="4"/>
        <v>789.46349071020745</v>
      </c>
      <c r="E21" s="14">
        <f t="shared" si="5"/>
        <v>6937.5065218762747</v>
      </c>
      <c r="F21" s="14">
        <f t="shared" si="0"/>
        <v>0</v>
      </c>
      <c r="G21" s="18">
        <f t="shared" si="1"/>
        <v>-950.44203263909253</v>
      </c>
    </row>
    <row r="22" spans="1:7">
      <c r="A22" s="28">
        <v>5</v>
      </c>
      <c r="B22" s="14">
        <f t="shared" si="2"/>
        <v>6937.5065218762747</v>
      </c>
      <c r="C22" s="14">
        <f t="shared" si="3"/>
        <v>144.53138587242239</v>
      </c>
      <c r="D22" s="14">
        <f t="shared" si="4"/>
        <v>805.9106467666702</v>
      </c>
      <c r="E22" s="14">
        <f t="shared" si="5"/>
        <v>6131.5958751096041</v>
      </c>
      <c r="F22" s="14">
        <f t="shared" si="0"/>
        <v>0</v>
      </c>
      <c r="G22" s="18">
        <f t="shared" si="1"/>
        <v>-950.44203263909253</v>
      </c>
    </row>
    <row r="23" spans="1:7">
      <c r="A23" s="28">
        <v>6</v>
      </c>
      <c r="B23" s="14">
        <f t="shared" si="2"/>
        <v>6131.5958751096041</v>
      </c>
      <c r="C23" s="14">
        <f t="shared" si="3"/>
        <v>127.74158073145009</v>
      </c>
      <c r="D23" s="14">
        <f t="shared" si="4"/>
        <v>822.70045190764245</v>
      </c>
      <c r="E23" s="14">
        <f t="shared" si="5"/>
        <v>5308.8954232019614</v>
      </c>
      <c r="F23" s="14">
        <f t="shared" si="0"/>
        <v>0</v>
      </c>
      <c r="G23" s="18">
        <f t="shared" si="1"/>
        <v>-950.44203263909253</v>
      </c>
    </row>
    <row r="24" spans="1:7">
      <c r="A24" s="28">
        <v>7</v>
      </c>
      <c r="B24" s="14">
        <f t="shared" si="2"/>
        <v>5308.8954232019614</v>
      </c>
      <c r="C24" s="14">
        <f t="shared" si="3"/>
        <v>110.6019879833742</v>
      </c>
      <c r="D24" s="14">
        <f t="shared" si="4"/>
        <v>839.84004465571832</v>
      </c>
      <c r="E24" s="14">
        <f t="shared" si="5"/>
        <v>4469.0553785462434</v>
      </c>
      <c r="F24" s="14">
        <f t="shared" si="0"/>
        <v>0</v>
      </c>
      <c r="G24" s="18">
        <f t="shared" si="1"/>
        <v>-950.44203263909253</v>
      </c>
    </row>
    <row r="25" spans="1:7">
      <c r="A25" s="28">
        <v>8</v>
      </c>
      <c r="B25" s="14">
        <f t="shared" si="2"/>
        <v>4469.0553785462434</v>
      </c>
      <c r="C25" s="14">
        <f t="shared" si="3"/>
        <v>93.105320386380072</v>
      </c>
      <c r="D25" s="14">
        <f t="shared" si="4"/>
        <v>857.33671225271246</v>
      </c>
      <c r="E25" s="14">
        <f t="shared" si="5"/>
        <v>3611.718666293531</v>
      </c>
      <c r="F25" s="14">
        <f t="shared" si="0"/>
        <v>0</v>
      </c>
      <c r="G25" s="18">
        <f t="shared" si="1"/>
        <v>-950.44203263909253</v>
      </c>
    </row>
    <row r="26" spans="1:7">
      <c r="A26" s="28">
        <v>9</v>
      </c>
      <c r="B26" s="14">
        <f t="shared" si="2"/>
        <v>3611.718666293531</v>
      </c>
      <c r="C26" s="14">
        <f t="shared" si="3"/>
        <v>75.244138881115234</v>
      </c>
      <c r="D26" s="14">
        <f t="shared" si="4"/>
        <v>875.19789375797734</v>
      </c>
      <c r="E26" s="14">
        <f t="shared" si="5"/>
        <v>2736.5207725355535</v>
      </c>
      <c r="F26" s="14">
        <f t="shared" si="0"/>
        <v>0</v>
      </c>
      <c r="G26" s="18">
        <f t="shared" si="1"/>
        <v>-950.44203263909253</v>
      </c>
    </row>
    <row r="27" spans="1:7">
      <c r="A27" s="28">
        <v>10</v>
      </c>
      <c r="B27" s="14">
        <f t="shared" si="2"/>
        <v>2736.5207725355535</v>
      </c>
      <c r="C27" s="14">
        <f t="shared" si="3"/>
        <v>57.010849427824034</v>
      </c>
      <c r="D27" s="14">
        <f t="shared" si="4"/>
        <v>893.43118321126849</v>
      </c>
      <c r="E27" s="14">
        <f t="shared" si="5"/>
        <v>1843.089589324285</v>
      </c>
      <c r="F27" s="14">
        <f t="shared" si="0"/>
        <v>0</v>
      </c>
      <c r="G27" s="18">
        <f t="shared" si="1"/>
        <v>-950.44203263909253</v>
      </c>
    </row>
    <row r="28" spans="1:7">
      <c r="A28" s="28">
        <v>11</v>
      </c>
      <c r="B28" s="14">
        <f>E27</f>
        <v>1843.089589324285</v>
      </c>
      <c r="C28" s="14">
        <f>B28*$B$7/$B$8</f>
        <v>38.397699777589274</v>
      </c>
      <c r="D28" s="14">
        <f>$B$9-C28</f>
        <v>912.04433286150322</v>
      </c>
      <c r="E28" s="14">
        <f>B28-D28</f>
        <v>931.04525646278182</v>
      </c>
      <c r="F28" s="14">
        <f t="shared" si="0"/>
        <v>0</v>
      </c>
      <c r="G28" s="18">
        <f t="shared" si="1"/>
        <v>-950.44203263909253</v>
      </c>
    </row>
    <row r="29" spans="1:7" ht="15.75" thickBot="1">
      <c r="A29" s="29">
        <v>12</v>
      </c>
      <c r="B29" s="19">
        <f>E28</f>
        <v>931.04525646278182</v>
      </c>
      <c r="C29" s="19">
        <f t="shared" si="3"/>
        <v>19.396776176307956</v>
      </c>
      <c r="D29" s="19">
        <f t="shared" si="4"/>
        <v>931.04525646278455</v>
      </c>
      <c r="E29" s="19">
        <f>B29-D29</f>
        <v>-2.7284841053187847E-12</v>
      </c>
      <c r="F29" s="19">
        <f>-SUM(F17:F28)</f>
        <v>1000</v>
      </c>
      <c r="G29" s="20">
        <f>-$B$9+$F$29+B11</f>
        <v>99.557967360907469</v>
      </c>
    </row>
    <row r="31" spans="1:7">
      <c r="F31" s="5"/>
      <c r="G31" s="4"/>
    </row>
    <row r="32" spans="1:7">
      <c r="B32" s="2" t="s">
        <v>29</v>
      </c>
      <c r="F32" s="5">
        <f>IRR(G17:G29)</f>
        <v>2.8044215557171626E-2</v>
      </c>
    </row>
    <row r="33" spans="1:6">
      <c r="B33" s="2" t="s">
        <v>30</v>
      </c>
      <c r="F33" s="25">
        <f>F32*12</f>
        <v>0.33653058668605951</v>
      </c>
    </row>
    <row r="38" spans="1:6">
      <c r="B38" s="4"/>
    </row>
    <row r="40" spans="1:6">
      <c r="B40" s="22"/>
    </row>
    <row r="45" spans="1:6">
      <c r="B45" s="23"/>
      <c r="C45" s="24"/>
      <c r="D45" s="24"/>
      <c r="F45" s="24"/>
    </row>
    <row r="46" spans="1:6">
      <c r="A46" s="24"/>
      <c r="B46" s="23"/>
      <c r="C46" s="24"/>
      <c r="D46" s="24"/>
      <c r="F46" s="24"/>
    </row>
    <row r="47" spans="1:6">
      <c r="A47" s="24"/>
      <c r="B47" s="23"/>
      <c r="C47" s="24"/>
      <c r="D47" s="24"/>
      <c r="F47" s="24"/>
    </row>
    <row r="48" spans="1:6">
      <c r="A48" s="24"/>
      <c r="B48" s="23"/>
      <c r="C48" s="24"/>
      <c r="D48" s="24"/>
      <c r="F48" s="24"/>
    </row>
    <row r="49" spans="1:6">
      <c r="A49" s="24"/>
      <c r="B49" s="23"/>
      <c r="C49" s="24"/>
      <c r="D49" s="24"/>
      <c r="F49" s="24"/>
    </row>
    <row r="50" spans="1:6">
      <c r="A50" s="24"/>
      <c r="B50" s="23"/>
      <c r="C50" s="24"/>
      <c r="D50" s="24"/>
      <c r="F50" s="24"/>
    </row>
    <row r="51" spans="1:6">
      <c r="A51" s="24"/>
      <c r="B51" s="23"/>
      <c r="C51" s="24"/>
      <c r="D51" s="24"/>
      <c r="F51" s="24"/>
    </row>
    <row r="52" spans="1:6">
      <c r="A52" s="24"/>
      <c r="B52" s="23"/>
      <c r="C52" s="24"/>
      <c r="D52" s="24"/>
      <c r="F52" s="24"/>
    </row>
    <row r="53" spans="1:6">
      <c r="A53" s="24"/>
      <c r="B53" s="23"/>
      <c r="C53" s="24"/>
      <c r="D53" s="24"/>
      <c r="F53" s="24"/>
    </row>
    <row r="54" spans="1:6">
      <c r="A54" s="24"/>
      <c r="B54" s="23"/>
      <c r="C54" s="24"/>
      <c r="D54" s="24"/>
      <c r="F54" s="24"/>
    </row>
    <row r="55" spans="1:6">
      <c r="A55" s="24"/>
      <c r="B55" s="23"/>
      <c r="C55" s="24"/>
      <c r="D55" s="24"/>
      <c r="F55" s="24"/>
    </row>
    <row r="56" spans="1:6">
      <c r="A56" s="24"/>
      <c r="B56" s="23"/>
      <c r="C56" s="24"/>
      <c r="D56" s="24"/>
      <c r="F56" s="24"/>
    </row>
    <row r="57" spans="1:6">
      <c r="A57" s="24"/>
      <c r="B57" s="23"/>
      <c r="C57" s="24"/>
      <c r="D57" s="24"/>
      <c r="F57" s="24"/>
    </row>
    <row r="58" spans="1:6">
      <c r="A58" s="24"/>
      <c r="B58" s="23"/>
      <c r="C58" s="24"/>
      <c r="D58" s="24"/>
      <c r="F58" s="24"/>
    </row>
    <row r="59" spans="1:6">
      <c r="A59" s="24"/>
      <c r="B59" s="23"/>
      <c r="C59" s="24"/>
      <c r="D59" s="24"/>
      <c r="F59" s="24"/>
    </row>
    <row r="60" spans="1:6">
      <c r="A60" s="24"/>
      <c r="B60" s="23"/>
      <c r="C60" s="24"/>
      <c r="D60" s="24"/>
      <c r="F60" s="24"/>
    </row>
    <row r="61" spans="1:6">
      <c r="A61" s="24"/>
      <c r="B61" s="23"/>
      <c r="C61" s="24"/>
      <c r="D61" s="24"/>
      <c r="F61" s="24"/>
    </row>
    <row r="62" spans="1:6">
      <c r="A62" s="24"/>
      <c r="B62" s="23"/>
      <c r="C62" s="24"/>
      <c r="D62" s="24"/>
      <c r="F62" s="24"/>
    </row>
    <row r="63" spans="1:6">
      <c r="A63" s="24"/>
      <c r="B63" s="23"/>
      <c r="C63" s="24"/>
      <c r="D63" s="24"/>
      <c r="F63" s="24"/>
    </row>
    <row r="64" spans="1:6">
      <c r="A64" s="24"/>
      <c r="B64" s="23"/>
      <c r="C64" s="24"/>
      <c r="D64" s="24"/>
      <c r="F64" s="24"/>
    </row>
    <row r="65" spans="1:6">
      <c r="A65" s="24"/>
      <c r="B65" s="23"/>
      <c r="C65" s="24"/>
      <c r="D65" s="24"/>
      <c r="F65" s="24"/>
    </row>
    <row r="66" spans="1:6">
      <c r="A66" s="24"/>
      <c r="B66" s="23"/>
      <c r="C66" s="24"/>
      <c r="D66" s="24"/>
      <c r="F66" s="24"/>
    </row>
    <row r="67" spans="1:6">
      <c r="A67" s="24"/>
      <c r="B67" s="23"/>
      <c r="C67" s="24"/>
      <c r="D67" s="24"/>
      <c r="F67" s="24"/>
    </row>
    <row r="68" spans="1:6">
      <c r="A68" s="24"/>
      <c r="B68" s="23"/>
      <c r="C68" s="24"/>
      <c r="D68" s="24"/>
      <c r="F68" s="24"/>
    </row>
    <row r="70" spans="1:6">
      <c r="F70" s="5"/>
    </row>
    <row r="71" spans="1:6">
      <c r="F71" s="25"/>
    </row>
    <row r="72" spans="1:6">
      <c r="C72" s="75"/>
    </row>
    <row r="73" spans="1:6">
      <c r="C73" s="75"/>
      <c r="E73" s="25"/>
    </row>
    <row r="74" spans="1:6">
      <c r="E74" s="5"/>
    </row>
    <row r="76" spans="1:6">
      <c r="E76" s="25"/>
    </row>
  </sheetData>
  <mergeCells count="1">
    <mergeCell ref="C72:C73"/>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G76"/>
  <sheetViews>
    <sheetView workbookViewId="0">
      <selection activeCell="G7" sqref="G7"/>
    </sheetView>
  </sheetViews>
  <sheetFormatPr defaultRowHeight="15"/>
  <cols>
    <col min="1" max="1" width="24.42578125" style="2" customWidth="1"/>
    <col min="2" max="2" width="10.5703125" style="2" bestFit="1" customWidth="1"/>
    <col min="3" max="3" width="13.140625" style="2" bestFit="1" customWidth="1"/>
    <col min="4" max="4" width="13.140625" style="2" customWidth="1"/>
    <col min="5" max="6" width="15.7109375" style="2" bestFit="1" customWidth="1"/>
    <col min="7" max="16384" width="9.140625" style="2"/>
  </cols>
  <sheetData>
    <row r="1" spans="1:7" ht="18.75">
      <c r="A1" s="26"/>
    </row>
    <row r="2" spans="1:7" ht="15.75" thickBot="1"/>
    <row r="3" spans="1:7" ht="15.75" thickBot="1">
      <c r="A3" s="13" t="s">
        <v>20</v>
      </c>
      <c r="D3" s="13" t="s">
        <v>27</v>
      </c>
      <c r="E3" s="31">
        <f>F33</f>
        <v>0.32604573771103329</v>
      </c>
    </row>
    <row r="5" spans="1:7">
      <c r="A5" s="2" t="s">
        <v>0</v>
      </c>
      <c r="B5" s="22">
        <v>10000</v>
      </c>
    </row>
    <row r="6" spans="1:7">
      <c r="A6" s="2" t="s">
        <v>1</v>
      </c>
      <c r="B6" s="4">
        <v>0.1</v>
      </c>
    </row>
    <row r="7" spans="1:7">
      <c r="A7" s="2" t="s">
        <v>2</v>
      </c>
      <c r="B7" s="5">
        <v>0.245</v>
      </c>
      <c r="E7" s="11"/>
    </row>
    <row r="8" spans="1:7">
      <c r="A8" s="2" t="s">
        <v>5</v>
      </c>
      <c r="B8" s="2">
        <v>12</v>
      </c>
      <c r="E8" s="25"/>
    </row>
    <row r="9" spans="1:7">
      <c r="A9" s="2" t="s">
        <v>6</v>
      </c>
      <c r="B9" s="27">
        <f>-PMT(B7/B8,B8,B5,0,0)</f>
        <v>948.01733665017184</v>
      </c>
      <c r="C9" s="21"/>
    </row>
    <row r="10" spans="1:7">
      <c r="A10" s="2" t="s">
        <v>21</v>
      </c>
      <c r="B10" s="2">
        <v>0</v>
      </c>
    </row>
    <row r="11" spans="1:7">
      <c r="A11" s="2" t="s">
        <v>33</v>
      </c>
      <c r="B11" s="2">
        <v>75</v>
      </c>
    </row>
    <row r="12" spans="1:7">
      <c r="A12" s="2" t="s">
        <v>19</v>
      </c>
      <c r="B12" s="23">
        <f>200/(1+10.3%)</f>
        <v>181.32366273798732</v>
      </c>
    </row>
    <row r="13" spans="1:7" ht="15.75" thickBot="1"/>
    <row r="14" spans="1:7" ht="15.75" thickBot="1">
      <c r="A14" s="13" t="s">
        <v>15</v>
      </c>
    </row>
    <row r="15" spans="1:7" ht="15.75" thickBot="1">
      <c r="A15" s="12"/>
    </row>
    <row r="16" spans="1:7">
      <c r="A16" s="32" t="s">
        <v>9</v>
      </c>
      <c r="B16" s="33" t="s">
        <v>3</v>
      </c>
      <c r="C16" s="33" t="s">
        <v>4</v>
      </c>
      <c r="D16" s="33" t="s">
        <v>7</v>
      </c>
      <c r="E16" s="33" t="s">
        <v>8</v>
      </c>
      <c r="F16" s="33" t="s">
        <v>22</v>
      </c>
      <c r="G16" s="34" t="s">
        <v>11</v>
      </c>
    </row>
    <row r="17" spans="1:7">
      <c r="A17" s="28">
        <v>0</v>
      </c>
      <c r="B17" s="14">
        <f>B5</f>
        <v>10000</v>
      </c>
      <c r="C17" s="14"/>
      <c r="D17" s="14"/>
      <c r="E17" s="14"/>
      <c r="F17" s="14">
        <f>-B5*B6</f>
        <v>-1000</v>
      </c>
      <c r="G17" s="18">
        <f>B17+F17-B12</f>
        <v>8818.6763372620135</v>
      </c>
    </row>
    <row r="18" spans="1:7">
      <c r="A18" s="28">
        <v>1</v>
      </c>
      <c r="B18" s="14">
        <f>B5</f>
        <v>10000</v>
      </c>
      <c r="C18" s="14">
        <f>B18*$B$7/$B$8</f>
        <v>204.16666666666666</v>
      </c>
      <c r="D18" s="14">
        <f>$B$9-C18</f>
        <v>743.85066998350521</v>
      </c>
      <c r="E18" s="14">
        <f>B18-D18</f>
        <v>9256.1493300164948</v>
      </c>
      <c r="F18" s="14">
        <f>-$B$10</f>
        <v>0</v>
      </c>
      <c r="G18" s="18">
        <f>-$B$9+F18</f>
        <v>-948.01733665017184</v>
      </c>
    </row>
    <row r="19" spans="1:7">
      <c r="A19" s="28">
        <v>2</v>
      </c>
      <c r="B19" s="14">
        <f>E18</f>
        <v>9256.1493300164948</v>
      </c>
      <c r="C19" s="14">
        <f>B19*$B$7/$B$8</f>
        <v>188.97971548783676</v>
      </c>
      <c r="D19" s="14">
        <f>$B$9-C19</f>
        <v>759.03762116233509</v>
      </c>
      <c r="E19" s="14">
        <f>B19-D19</f>
        <v>8497.1117088541596</v>
      </c>
      <c r="F19" s="14">
        <f t="shared" ref="F19:F28" si="0">-$B$10</f>
        <v>0</v>
      </c>
      <c r="G19" s="18">
        <f t="shared" ref="G19:G28" si="1">-$B$9+F19</f>
        <v>-948.01733665017184</v>
      </c>
    </row>
    <row r="20" spans="1:7">
      <c r="A20" s="28">
        <v>3</v>
      </c>
      <c r="B20" s="14">
        <f t="shared" ref="B20:B27" si="2">E19</f>
        <v>8497.1117088541596</v>
      </c>
      <c r="C20" s="14">
        <f t="shared" ref="C20:C29" si="3">B20*$B$7/$B$8</f>
        <v>173.48269738910574</v>
      </c>
      <c r="D20" s="14">
        <f t="shared" ref="D20:D29" si="4">$B$9-C20</f>
        <v>774.5346392610661</v>
      </c>
      <c r="E20" s="14">
        <f t="shared" ref="E20:E27" si="5">B20-D20</f>
        <v>7722.5770695930933</v>
      </c>
      <c r="F20" s="14">
        <f t="shared" si="0"/>
        <v>0</v>
      </c>
      <c r="G20" s="18">
        <f t="shared" si="1"/>
        <v>-948.01733665017184</v>
      </c>
    </row>
    <row r="21" spans="1:7">
      <c r="A21" s="28">
        <v>4</v>
      </c>
      <c r="B21" s="14">
        <f t="shared" si="2"/>
        <v>7722.5770695930933</v>
      </c>
      <c r="C21" s="14">
        <f t="shared" si="3"/>
        <v>157.66928183752566</v>
      </c>
      <c r="D21" s="14">
        <f t="shared" si="4"/>
        <v>790.34805481264618</v>
      </c>
      <c r="E21" s="14">
        <f t="shared" si="5"/>
        <v>6932.229014780447</v>
      </c>
      <c r="F21" s="14">
        <f t="shared" si="0"/>
        <v>0</v>
      </c>
      <c r="G21" s="18">
        <f t="shared" si="1"/>
        <v>-948.01733665017184</v>
      </c>
    </row>
    <row r="22" spans="1:7">
      <c r="A22" s="28">
        <v>5</v>
      </c>
      <c r="B22" s="14">
        <f t="shared" si="2"/>
        <v>6932.229014780447</v>
      </c>
      <c r="C22" s="14">
        <f t="shared" si="3"/>
        <v>141.53300905176746</v>
      </c>
      <c r="D22" s="14">
        <f t="shared" si="4"/>
        <v>806.48432759840443</v>
      </c>
      <c r="E22" s="14">
        <f t="shared" si="5"/>
        <v>6125.744687182043</v>
      </c>
      <c r="F22" s="14">
        <f t="shared" si="0"/>
        <v>0</v>
      </c>
      <c r="G22" s="18">
        <f t="shared" si="1"/>
        <v>-948.01733665017184</v>
      </c>
    </row>
    <row r="23" spans="1:7">
      <c r="A23" s="28">
        <v>6</v>
      </c>
      <c r="B23" s="14">
        <f t="shared" si="2"/>
        <v>6125.744687182043</v>
      </c>
      <c r="C23" s="14">
        <f t="shared" si="3"/>
        <v>125.06728736330005</v>
      </c>
      <c r="D23" s="14">
        <f t="shared" si="4"/>
        <v>822.95004928687183</v>
      </c>
      <c r="E23" s="14">
        <f t="shared" si="5"/>
        <v>5302.794637895171</v>
      </c>
      <c r="F23" s="14">
        <f t="shared" si="0"/>
        <v>0</v>
      </c>
      <c r="G23" s="18">
        <f t="shared" si="1"/>
        <v>-948.01733665017184</v>
      </c>
    </row>
    <row r="24" spans="1:7">
      <c r="A24" s="28">
        <v>7</v>
      </c>
      <c r="B24" s="14">
        <f t="shared" si="2"/>
        <v>5302.794637895171</v>
      </c>
      <c r="C24" s="14">
        <f t="shared" si="3"/>
        <v>108.26539052369309</v>
      </c>
      <c r="D24" s="14">
        <f t="shared" si="4"/>
        <v>839.75194612647874</v>
      </c>
      <c r="E24" s="14">
        <f t="shared" si="5"/>
        <v>4463.0426917686927</v>
      </c>
      <c r="F24" s="14">
        <f t="shared" si="0"/>
        <v>0</v>
      </c>
      <c r="G24" s="18">
        <f t="shared" si="1"/>
        <v>-948.01733665017184</v>
      </c>
    </row>
    <row r="25" spans="1:7">
      <c r="A25" s="28">
        <v>8</v>
      </c>
      <c r="B25" s="14">
        <f t="shared" si="2"/>
        <v>4463.0426917686927</v>
      </c>
      <c r="C25" s="14">
        <f t="shared" si="3"/>
        <v>91.12045495694413</v>
      </c>
      <c r="D25" s="14">
        <f t="shared" si="4"/>
        <v>856.89688169322767</v>
      </c>
      <c r="E25" s="14">
        <f t="shared" si="5"/>
        <v>3606.1458100754653</v>
      </c>
      <c r="F25" s="14">
        <f t="shared" si="0"/>
        <v>0</v>
      </c>
      <c r="G25" s="18">
        <f t="shared" si="1"/>
        <v>-948.01733665017184</v>
      </c>
    </row>
    <row r="26" spans="1:7">
      <c r="A26" s="28">
        <v>9</v>
      </c>
      <c r="B26" s="14">
        <f t="shared" si="2"/>
        <v>3606.1458100754653</v>
      </c>
      <c r="C26" s="14">
        <f t="shared" si="3"/>
        <v>73.625476955707413</v>
      </c>
      <c r="D26" s="14">
        <f t="shared" si="4"/>
        <v>874.39185969446442</v>
      </c>
      <c r="E26" s="14">
        <f t="shared" si="5"/>
        <v>2731.7539503810008</v>
      </c>
      <c r="F26" s="14">
        <f t="shared" si="0"/>
        <v>0</v>
      </c>
      <c r="G26" s="18">
        <f t="shared" si="1"/>
        <v>-948.01733665017184</v>
      </c>
    </row>
    <row r="27" spans="1:7">
      <c r="A27" s="28">
        <v>10</v>
      </c>
      <c r="B27" s="14">
        <f t="shared" si="2"/>
        <v>2731.7539503810008</v>
      </c>
      <c r="C27" s="14">
        <f t="shared" si="3"/>
        <v>55.773309820278769</v>
      </c>
      <c r="D27" s="14">
        <f t="shared" si="4"/>
        <v>892.24402682989307</v>
      </c>
      <c r="E27" s="14">
        <f t="shared" si="5"/>
        <v>1839.5099235511077</v>
      </c>
      <c r="F27" s="14">
        <f t="shared" si="0"/>
        <v>0</v>
      </c>
      <c r="G27" s="18">
        <f t="shared" si="1"/>
        <v>-948.01733665017184</v>
      </c>
    </row>
    <row r="28" spans="1:7">
      <c r="A28" s="28">
        <v>11</v>
      </c>
      <c r="B28" s="14">
        <f>E27</f>
        <v>1839.5099235511077</v>
      </c>
      <c r="C28" s="14">
        <f>B28*$B$7/$B$8</f>
        <v>37.556660939168445</v>
      </c>
      <c r="D28" s="14">
        <f>$B$9-C28</f>
        <v>910.46067571100343</v>
      </c>
      <c r="E28" s="14">
        <f>B28-D28</f>
        <v>929.04924784010427</v>
      </c>
      <c r="F28" s="14">
        <f t="shared" si="0"/>
        <v>0</v>
      </c>
      <c r="G28" s="18">
        <f t="shared" si="1"/>
        <v>-948.01733665017184</v>
      </c>
    </row>
    <row r="29" spans="1:7" ht="15.75" thickBot="1">
      <c r="A29" s="29">
        <v>12</v>
      </c>
      <c r="B29" s="19">
        <f>E28</f>
        <v>929.04924784010427</v>
      </c>
      <c r="C29" s="19">
        <f t="shared" si="3"/>
        <v>18.968088810068796</v>
      </c>
      <c r="D29" s="19">
        <f t="shared" si="4"/>
        <v>929.04924784010302</v>
      </c>
      <c r="E29" s="19">
        <f>B29-D29</f>
        <v>1.2505552149377763E-12</v>
      </c>
      <c r="F29" s="19">
        <f>-SUM(F17:F28)</f>
        <v>1000</v>
      </c>
      <c r="G29" s="20">
        <f>-$B$9+$F$29+B11</f>
        <v>126.98266334982816</v>
      </c>
    </row>
    <row r="31" spans="1:7">
      <c r="F31" s="5"/>
      <c r="G31" s="4"/>
    </row>
    <row r="32" spans="1:7">
      <c r="B32" s="2" t="s">
        <v>29</v>
      </c>
      <c r="F32" s="5">
        <f>IRR(G17:G29)</f>
        <v>2.7170478142586107E-2</v>
      </c>
    </row>
    <row r="33" spans="1:6">
      <c r="B33" s="2" t="s">
        <v>30</v>
      </c>
      <c r="F33" s="25">
        <f>F32*12</f>
        <v>0.32604573771103329</v>
      </c>
    </row>
    <row r="38" spans="1:6">
      <c r="B38" s="4"/>
    </row>
    <row r="40" spans="1:6">
      <c r="B40" s="22"/>
    </row>
    <row r="45" spans="1:6">
      <c r="B45" s="23"/>
      <c r="C45" s="24"/>
      <c r="D45" s="24"/>
      <c r="F45" s="24"/>
    </row>
    <row r="46" spans="1:6">
      <c r="A46" s="24"/>
      <c r="B46" s="23"/>
      <c r="C46" s="24"/>
      <c r="D46" s="24"/>
      <c r="F46" s="24"/>
    </row>
    <row r="47" spans="1:6">
      <c r="A47" s="24"/>
      <c r="B47" s="23"/>
      <c r="C47" s="24"/>
      <c r="D47" s="24"/>
      <c r="F47" s="24"/>
    </row>
    <row r="48" spans="1:6">
      <c r="A48" s="24"/>
      <c r="B48" s="23"/>
      <c r="C48" s="24"/>
      <c r="D48" s="24"/>
      <c r="F48" s="24"/>
    </row>
    <row r="49" spans="1:6">
      <c r="A49" s="24"/>
      <c r="B49" s="23"/>
      <c r="C49" s="24"/>
      <c r="D49" s="24"/>
      <c r="F49" s="24"/>
    </row>
    <row r="50" spans="1:6">
      <c r="A50" s="24"/>
      <c r="B50" s="23"/>
      <c r="C50" s="24"/>
      <c r="D50" s="24"/>
      <c r="F50" s="24"/>
    </row>
    <row r="51" spans="1:6">
      <c r="A51" s="24"/>
      <c r="B51" s="23"/>
      <c r="C51" s="24"/>
      <c r="D51" s="24"/>
      <c r="F51" s="24"/>
    </row>
    <row r="52" spans="1:6">
      <c r="A52" s="24"/>
      <c r="B52" s="23"/>
      <c r="C52" s="24"/>
      <c r="D52" s="24"/>
      <c r="F52" s="24"/>
    </row>
    <row r="53" spans="1:6">
      <c r="A53" s="24"/>
      <c r="B53" s="23"/>
      <c r="C53" s="24"/>
      <c r="D53" s="24"/>
      <c r="F53" s="24"/>
    </row>
    <row r="54" spans="1:6">
      <c r="A54" s="24"/>
      <c r="B54" s="23"/>
      <c r="C54" s="24"/>
      <c r="D54" s="24"/>
      <c r="F54" s="24"/>
    </row>
    <row r="55" spans="1:6">
      <c r="A55" s="24"/>
      <c r="B55" s="23"/>
      <c r="C55" s="24"/>
      <c r="D55" s="24"/>
      <c r="F55" s="24"/>
    </row>
    <row r="56" spans="1:6">
      <c r="A56" s="24"/>
      <c r="B56" s="23"/>
      <c r="C56" s="24"/>
      <c r="D56" s="24"/>
      <c r="F56" s="24"/>
    </row>
    <row r="57" spans="1:6">
      <c r="A57" s="24"/>
      <c r="B57" s="23"/>
      <c r="C57" s="24"/>
      <c r="D57" s="24"/>
      <c r="F57" s="24"/>
    </row>
    <row r="58" spans="1:6">
      <c r="A58" s="24"/>
      <c r="B58" s="23"/>
      <c r="C58" s="24"/>
      <c r="D58" s="24"/>
      <c r="F58" s="24"/>
    </row>
    <row r="59" spans="1:6">
      <c r="A59" s="24"/>
      <c r="B59" s="23"/>
      <c r="C59" s="24"/>
      <c r="D59" s="24"/>
      <c r="F59" s="24"/>
    </row>
    <row r="60" spans="1:6">
      <c r="A60" s="24"/>
      <c r="B60" s="23"/>
      <c r="C60" s="24"/>
      <c r="D60" s="24"/>
      <c r="F60" s="24"/>
    </row>
    <row r="61" spans="1:6">
      <c r="A61" s="24"/>
      <c r="B61" s="23"/>
      <c r="C61" s="24"/>
      <c r="D61" s="24"/>
      <c r="F61" s="24"/>
    </row>
    <row r="62" spans="1:6">
      <c r="A62" s="24"/>
      <c r="B62" s="23"/>
      <c r="C62" s="24"/>
      <c r="D62" s="24"/>
      <c r="F62" s="24"/>
    </row>
    <row r="63" spans="1:6">
      <c r="A63" s="24"/>
      <c r="B63" s="23"/>
      <c r="C63" s="24"/>
      <c r="D63" s="24"/>
      <c r="F63" s="24"/>
    </row>
    <row r="64" spans="1:6">
      <c r="A64" s="24"/>
      <c r="B64" s="23"/>
      <c r="C64" s="24"/>
      <c r="D64" s="24"/>
      <c r="F64" s="24"/>
    </row>
    <row r="65" spans="1:6">
      <c r="A65" s="24"/>
      <c r="B65" s="23"/>
      <c r="C65" s="24"/>
      <c r="D65" s="24"/>
      <c r="F65" s="24"/>
    </row>
    <row r="66" spans="1:6">
      <c r="A66" s="24"/>
      <c r="B66" s="23"/>
      <c r="C66" s="24"/>
      <c r="D66" s="24"/>
      <c r="F66" s="24"/>
    </row>
    <row r="67" spans="1:6">
      <c r="A67" s="24"/>
      <c r="B67" s="23"/>
      <c r="C67" s="24"/>
      <c r="D67" s="24"/>
      <c r="F67" s="24"/>
    </row>
    <row r="68" spans="1:6">
      <c r="A68" s="24"/>
      <c r="B68" s="23"/>
      <c r="C68" s="24"/>
      <c r="D68" s="24"/>
      <c r="F68" s="24"/>
    </row>
    <row r="70" spans="1:6">
      <c r="F70" s="5"/>
    </row>
    <row r="71" spans="1:6">
      <c r="F71" s="25"/>
    </row>
    <row r="72" spans="1:6">
      <c r="C72" s="75"/>
    </row>
    <row r="73" spans="1:6">
      <c r="C73" s="75"/>
      <c r="E73" s="25"/>
    </row>
    <row r="74" spans="1:6">
      <c r="E74" s="5"/>
    </row>
    <row r="76" spans="1:6">
      <c r="E76" s="25"/>
    </row>
  </sheetData>
  <mergeCells count="1">
    <mergeCell ref="C72:C73"/>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B1:H69"/>
  <sheetViews>
    <sheetView workbookViewId="0">
      <selection activeCell="I19" sqref="I19"/>
    </sheetView>
  </sheetViews>
  <sheetFormatPr defaultRowHeight="15"/>
  <cols>
    <col min="1" max="2" width="9.140625" style="2"/>
    <col min="3" max="3" width="26.42578125" style="2" customWidth="1"/>
    <col min="4" max="4" width="10.5703125" style="2" bestFit="1" customWidth="1"/>
    <col min="5" max="5" width="13.140625" style="2" bestFit="1" customWidth="1"/>
    <col min="6" max="6" width="13.140625" style="2" customWidth="1"/>
    <col min="7" max="7" width="14.7109375" style="2" bestFit="1" customWidth="1"/>
    <col min="8" max="16384" width="9.140625" style="2"/>
  </cols>
  <sheetData>
    <row r="1" spans="2:8" ht="15.75" thickBot="1"/>
    <row r="2" spans="2:8" ht="15.75" thickBot="1">
      <c r="C2" s="13" t="s">
        <v>44</v>
      </c>
      <c r="F2" s="47" t="s">
        <v>45</v>
      </c>
      <c r="G2" s="48">
        <f>IRR(H16:H66,0)</f>
        <v>6.4659414699252959E-3</v>
      </c>
    </row>
    <row r="3" spans="2:8">
      <c r="F3" s="47" t="s">
        <v>17</v>
      </c>
      <c r="G3" s="48">
        <f>G2*D7</f>
        <v>0.28450142467671302</v>
      </c>
    </row>
    <row r="4" spans="2:8">
      <c r="C4" s="2" t="s">
        <v>46</v>
      </c>
      <c r="D4" s="22">
        <v>10000</v>
      </c>
      <c r="F4" s="47" t="s">
        <v>47</v>
      </c>
      <c r="G4" s="49">
        <f>G2*52</f>
        <v>0.33622895643611539</v>
      </c>
    </row>
    <row r="5" spans="2:8">
      <c r="C5" s="2" t="s">
        <v>1</v>
      </c>
      <c r="D5" s="4">
        <v>0.1</v>
      </c>
      <c r="F5" s="50" t="s">
        <v>48</v>
      </c>
      <c r="G5" s="51">
        <f>SUM(D17:D66)</f>
        <v>1007.005567978611</v>
      </c>
    </row>
    <row r="6" spans="2:8">
      <c r="C6" s="2" t="s">
        <v>2</v>
      </c>
      <c r="D6" s="5">
        <v>0.191</v>
      </c>
      <c r="G6" s="52"/>
    </row>
    <row r="7" spans="2:8">
      <c r="C7" s="2" t="s">
        <v>5</v>
      </c>
      <c r="D7" s="53">
        <v>44</v>
      </c>
    </row>
    <row r="8" spans="2:8">
      <c r="C8" s="2" t="s">
        <v>6</v>
      </c>
      <c r="D8" s="54">
        <f>-PMT(D6/D7,D7,D4,0,0)</f>
        <v>250.15921745405933</v>
      </c>
    </row>
    <row r="9" spans="2:8">
      <c r="C9" s="2" t="s">
        <v>49</v>
      </c>
      <c r="D9" s="55">
        <v>0</v>
      </c>
    </row>
    <row r="10" spans="2:8">
      <c r="C10" s="2" t="s">
        <v>16</v>
      </c>
      <c r="D10" s="55">
        <v>0</v>
      </c>
    </row>
    <row r="11" spans="2:8">
      <c r="C11" s="2" t="s">
        <v>19</v>
      </c>
      <c r="D11" s="55">
        <v>200</v>
      </c>
    </row>
    <row r="12" spans="2:8" ht="15.75" thickBot="1"/>
    <row r="13" spans="2:8" ht="15.75" thickBot="1">
      <c r="C13" s="13" t="s">
        <v>15</v>
      </c>
    </row>
    <row r="14" spans="2:8" ht="15.75" thickBot="1">
      <c r="C14" s="12"/>
    </row>
    <row r="15" spans="2:8">
      <c r="B15" s="32" t="s">
        <v>50</v>
      </c>
      <c r="C15" s="33" t="s">
        <v>3</v>
      </c>
      <c r="D15" s="33" t="s">
        <v>4</v>
      </c>
      <c r="E15" s="33" t="s">
        <v>7</v>
      </c>
      <c r="F15" s="33" t="s">
        <v>8</v>
      </c>
      <c r="G15" s="33" t="s">
        <v>10</v>
      </c>
      <c r="H15" s="34" t="s">
        <v>11</v>
      </c>
    </row>
    <row r="16" spans="2:8">
      <c r="B16" s="56">
        <v>0</v>
      </c>
      <c r="C16" s="47">
        <f>D4</f>
        <v>10000</v>
      </c>
      <c r="D16" s="47"/>
      <c r="E16" s="47"/>
      <c r="F16" s="47"/>
      <c r="G16" s="47">
        <f>-D4*D5</f>
        <v>-1000</v>
      </c>
      <c r="H16" s="57">
        <f>C16+G16-D11</f>
        <v>8800</v>
      </c>
    </row>
    <row r="17" spans="2:8">
      <c r="B17" s="56">
        <v>1</v>
      </c>
      <c r="C17" s="47">
        <f>D4</f>
        <v>10000</v>
      </c>
      <c r="D17" s="51">
        <f>C17*$D$6/$D$7</f>
        <v>43.409090909090907</v>
      </c>
      <c r="E17" s="58">
        <f>IF(B17&lt;=$D$7,$D$8,0)-D17</f>
        <v>206.75012654496842</v>
      </c>
      <c r="F17" s="58">
        <f>C17-E17</f>
        <v>9793.2498734550318</v>
      </c>
      <c r="G17" s="58">
        <f>-$D$9+IF(B17=$D$7,($D$4*$D$5),0)+IF(B17=$D$7,($D$10),0)</f>
        <v>0</v>
      </c>
      <c r="H17" s="59">
        <f>IF(B17&lt;=$D$7,(-$D$8+G17),"")</f>
        <v>-250.15921745405933</v>
      </c>
    </row>
    <row r="18" spans="2:8">
      <c r="B18" s="56">
        <v>2</v>
      </c>
      <c r="C18" s="58">
        <f>F17</f>
        <v>9793.2498734550318</v>
      </c>
      <c r="D18" s="51">
        <f>C18*$D$6/$D$7</f>
        <v>42.511607405225249</v>
      </c>
      <c r="E18" s="58">
        <f t="shared" ref="E18:E66" si="0">IF(B18&lt;=$D$7,$D$8,0)-D18</f>
        <v>207.64761004883408</v>
      </c>
      <c r="F18" s="58">
        <f>C18-E18</f>
        <v>9585.6022634061974</v>
      </c>
      <c r="G18" s="58">
        <f t="shared" ref="G18:G66" si="1">-$D$9+IF(B18=$D$7,($D$4*$D$5),0)+IF(B18=$D$7,($D$10),0)</f>
        <v>0</v>
      </c>
      <c r="H18" s="59">
        <f t="shared" ref="H18:H66" si="2">IF(B18&lt;=$D$7,(-$D$8+G18),"")</f>
        <v>-250.15921745405933</v>
      </c>
    </row>
    <row r="19" spans="2:8">
      <c r="B19" s="56">
        <v>3</v>
      </c>
      <c r="C19" s="58">
        <f t="shared" ref="C19:C26" si="3">F18</f>
        <v>9585.6022634061974</v>
      </c>
      <c r="D19" s="51">
        <f t="shared" ref="D19:D66" si="4">C19*$D$6/$D$7</f>
        <v>41.610228007058716</v>
      </c>
      <c r="E19" s="58">
        <f t="shared" si="0"/>
        <v>208.54898944700062</v>
      </c>
      <c r="F19" s="58">
        <f t="shared" ref="F19:F26" si="5">C19-E19</f>
        <v>9377.0532739591963</v>
      </c>
      <c r="G19" s="58">
        <f t="shared" si="1"/>
        <v>0</v>
      </c>
      <c r="H19" s="59">
        <f t="shared" si="2"/>
        <v>-250.15921745405933</v>
      </c>
    </row>
    <row r="20" spans="2:8">
      <c r="B20" s="56">
        <v>4</v>
      </c>
      <c r="C20" s="58">
        <f t="shared" si="3"/>
        <v>9377.0532739591963</v>
      </c>
      <c r="D20" s="51">
        <f t="shared" si="4"/>
        <v>40.704935802868334</v>
      </c>
      <c r="E20" s="58">
        <f t="shared" si="0"/>
        <v>209.454281651191</v>
      </c>
      <c r="F20" s="58">
        <f t="shared" si="5"/>
        <v>9167.5989923080051</v>
      </c>
      <c r="G20" s="58">
        <f t="shared" si="1"/>
        <v>0</v>
      </c>
      <c r="H20" s="59">
        <f t="shared" si="2"/>
        <v>-250.15921745405933</v>
      </c>
    </row>
    <row r="21" spans="2:8">
      <c r="B21" s="56">
        <v>5</v>
      </c>
      <c r="C21" s="58">
        <f t="shared" si="3"/>
        <v>9167.5989923080051</v>
      </c>
      <c r="D21" s="51">
        <f t="shared" si="4"/>
        <v>39.795713807518844</v>
      </c>
      <c r="E21" s="58">
        <f t="shared" si="0"/>
        <v>210.36350364654049</v>
      </c>
      <c r="F21" s="58">
        <f t="shared" si="5"/>
        <v>8957.2354886614648</v>
      </c>
      <c r="G21" s="58">
        <f t="shared" si="1"/>
        <v>0</v>
      </c>
      <c r="H21" s="59">
        <f t="shared" si="2"/>
        <v>-250.15921745405933</v>
      </c>
    </row>
    <row r="22" spans="2:8">
      <c r="B22" s="56">
        <v>6</v>
      </c>
      <c r="C22" s="58">
        <f t="shared" si="3"/>
        <v>8957.2354886614648</v>
      </c>
      <c r="D22" s="51">
        <f t="shared" si="4"/>
        <v>38.882544962144088</v>
      </c>
      <c r="E22" s="58">
        <f t="shared" si="0"/>
        <v>211.27667249191524</v>
      </c>
      <c r="F22" s="58">
        <f t="shared" si="5"/>
        <v>8745.9588161695501</v>
      </c>
      <c r="G22" s="58">
        <f t="shared" si="1"/>
        <v>0</v>
      </c>
      <c r="H22" s="59">
        <f t="shared" si="2"/>
        <v>-250.15921745405933</v>
      </c>
    </row>
    <row r="23" spans="2:8">
      <c r="B23" s="56">
        <v>7</v>
      </c>
      <c r="C23" s="58">
        <f t="shared" si="3"/>
        <v>8745.9588161695501</v>
      </c>
      <c r="D23" s="51">
        <f t="shared" si="4"/>
        <v>37.965412133826909</v>
      </c>
      <c r="E23" s="58">
        <f t="shared" si="0"/>
        <v>212.19380532023243</v>
      </c>
      <c r="F23" s="58">
        <f t="shared" si="5"/>
        <v>8533.7650108493181</v>
      </c>
      <c r="G23" s="58">
        <f t="shared" si="1"/>
        <v>0</v>
      </c>
      <c r="H23" s="59">
        <f t="shared" si="2"/>
        <v>-250.15921745405933</v>
      </c>
    </row>
    <row r="24" spans="2:8">
      <c r="B24" s="56">
        <v>8</v>
      </c>
      <c r="C24" s="58">
        <f t="shared" si="3"/>
        <v>8533.7650108493181</v>
      </c>
      <c r="D24" s="51">
        <f t="shared" si="4"/>
        <v>37.044298115277719</v>
      </c>
      <c r="E24" s="58">
        <f t="shared" si="0"/>
        <v>213.11491933878162</v>
      </c>
      <c r="F24" s="58">
        <f t="shared" si="5"/>
        <v>8320.6500915105371</v>
      </c>
      <c r="G24" s="58">
        <f t="shared" si="1"/>
        <v>0</v>
      </c>
      <c r="H24" s="59">
        <f t="shared" si="2"/>
        <v>-250.15921745405933</v>
      </c>
    </row>
    <row r="25" spans="2:8">
      <c r="B25" s="56">
        <v>9</v>
      </c>
      <c r="C25" s="58">
        <f t="shared" si="3"/>
        <v>8320.6500915105371</v>
      </c>
      <c r="D25" s="51">
        <f t="shared" si="4"/>
        <v>36.119185624511651</v>
      </c>
      <c r="E25" s="58">
        <f t="shared" si="0"/>
        <v>214.04003182954767</v>
      </c>
      <c r="F25" s="58">
        <f t="shared" si="5"/>
        <v>8106.6100596809893</v>
      </c>
      <c r="G25" s="58">
        <f t="shared" si="1"/>
        <v>0</v>
      </c>
      <c r="H25" s="59">
        <f t="shared" si="2"/>
        <v>-250.15921745405933</v>
      </c>
    </row>
    <row r="26" spans="2:8">
      <c r="B26" s="56">
        <v>10</v>
      </c>
      <c r="C26" s="58">
        <f t="shared" si="3"/>
        <v>8106.6100596809893</v>
      </c>
      <c r="D26" s="51">
        <f t="shared" si="4"/>
        <v>35.190057304524295</v>
      </c>
      <c r="E26" s="58">
        <f t="shared" si="0"/>
        <v>214.96916014953504</v>
      </c>
      <c r="F26" s="58">
        <f t="shared" si="5"/>
        <v>7891.6408995314541</v>
      </c>
      <c r="G26" s="58">
        <f t="shared" si="1"/>
        <v>0</v>
      </c>
      <c r="H26" s="59">
        <f t="shared" si="2"/>
        <v>-250.15921745405933</v>
      </c>
    </row>
    <row r="27" spans="2:8">
      <c r="B27" s="56">
        <v>11</v>
      </c>
      <c r="C27" s="58">
        <f>F26</f>
        <v>7891.6408995314541</v>
      </c>
      <c r="D27" s="51">
        <f>C27*$D$6/$D$7</f>
        <v>34.256895722966085</v>
      </c>
      <c r="E27" s="58">
        <f t="shared" si="0"/>
        <v>215.90232173109325</v>
      </c>
      <c r="F27" s="58">
        <f>C27-E27</f>
        <v>7675.7385778003609</v>
      </c>
      <c r="G27" s="58">
        <f t="shared" si="1"/>
        <v>0</v>
      </c>
      <c r="H27" s="59">
        <f t="shared" si="2"/>
        <v>-250.15921745405933</v>
      </c>
    </row>
    <row r="28" spans="2:8">
      <c r="B28" s="56">
        <v>12</v>
      </c>
      <c r="C28" s="58">
        <f>F27</f>
        <v>7675.7385778003609</v>
      </c>
      <c r="D28" s="51">
        <f t="shared" si="4"/>
        <v>33.319683371815202</v>
      </c>
      <c r="E28" s="58">
        <f t="shared" si="0"/>
        <v>216.83953408224414</v>
      </c>
      <c r="F28" s="58">
        <f>C28-E28</f>
        <v>7458.8990437181164</v>
      </c>
      <c r="G28" s="58">
        <f t="shared" si="1"/>
        <v>0</v>
      </c>
      <c r="H28" s="59">
        <f t="shared" si="2"/>
        <v>-250.15921745405933</v>
      </c>
    </row>
    <row r="29" spans="2:8">
      <c r="B29" s="56">
        <v>13</v>
      </c>
      <c r="C29" s="58">
        <f t="shared" ref="C29:C66" si="6">F28</f>
        <v>7458.8990437181164</v>
      </c>
      <c r="D29" s="51">
        <f t="shared" si="4"/>
        <v>32.378402667049095</v>
      </c>
      <c r="E29" s="58">
        <f t="shared" si="0"/>
        <v>217.78081478701023</v>
      </c>
      <c r="F29" s="58">
        <f t="shared" ref="F29:F66" si="7">C29-E29</f>
        <v>7241.1182289311064</v>
      </c>
      <c r="G29" s="58">
        <f t="shared" si="1"/>
        <v>0</v>
      </c>
      <c r="H29" s="59">
        <f t="shared" si="2"/>
        <v>-250.15921745405933</v>
      </c>
    </row>
    <row r="30" spans="2:8">
      <c r="B30" s="56">
        <v>14</v>
      </c>
      <c r="C30" s="58">
        <f t="shared" si="6"/>
        <v>7241.1182289311064</v>
      </c>
      <c r="D30" s="51">
        <f t="shared" si="4"/>
        <v>31.433035948314572</v>
      </c>
      <c r="E30" s="58">
        <f t="shared" si="0"/>
        <v>218.72618150574476</v>
      </c>
      <c r="F30" s="58">
        <f t="shared" si="7"/>
        <v>7022.3920474253619</v>
      </c>
      <c r="G30" s="58">
        <f t="shared" si="1"/>
        <v>0</v>
      </c>
      <c r="H30" s="59">
        <f t="shared" si="2"/>
        <v>-250.15921745405933</v>
      </c>
    </row>
    <row r="31" spans="2:8">
      <c r="B31" s="56">
        <v>15</v>
      </c>
      <c r="C31" s="58">
        <f t="shared" si="6"/>
        <v>7022.3920474253619</v>
      </c>
      <c r="D31" s="51">
        <f t="shared" si="4"/>
        <v>30.483565478596457</v>
      </c>
      <c r="E31" s="58">
        <f t="shared" si="0"/>
        <v>219.67565197546287</v>
      </c>
      <c r="F31" s="58">
        <f t="shared" si="7"/>
        <v>6802.7163954498992</v>
      </c>
      <c r="G31" s="58">
        <f t="shared" si="1"/>
        <v>0</v>
      </c>
      <c r="H31" s="59">
        <f t="shared" si="2"/>
        <v>-250.15921745405933</v>
      </c>
    </row>
    <row r="32" spans="2:8">
      <c r="B32" s="56">
        <v>16</v>
      </c>
      <c r="C32" s="58">
        <f t="shared" si="6"/>
        <v>6802.7163954498992</v>
      </c>
      <c r="D32" s="51">
        <f t="shared" si="4"/>
        <v>29.529973443884789</v>
      </c>
      <c r="E32" s="58">
        <f t="shared" si="0"/>
        <v>220.62924401017455</v>
      </c>
      <c r="F32" s="58">
        <f t="shared" si="7"/>
        <v>6582.0871514397249</v>
      </c>
      <c r="G32" s="58">
        <f t="shared" si="1"/>
        <v>0</v>
      </c>
      <c r="H32" s="59">
        <f t="shared" si="2"/>
        <v>-250.15921745405933</v>
      </c>
    </row>
    <row r="33" spans="2:8">
      <c r="B33" s="56">
        <v>17</v>
      </c>
      <c r="C33" s="58">
        <f t="shared" si="6"/>
        <v>6582.0871514397249</v>
      </c>
      <c r="D33" s="51">
        <f t="shared" si="4"/>
        <v>28.572241952840624</v>
      </c>
      <c r="E33" s="58">
        <f t="shared" si="0"/>
        <v>221.58697550121872</v>
      </c>
      <c r="F33" s="58">
        <f t="shared" si="7"/>
        <v>6360.5001759385059</v>
      </c>
      <c r="G33" s="58">
        <f t="shared" si="1"/>
        <v>0</v>
      </c>
      <c r="H33" s="59">
        <f t="shared" si="2"/>
        <v>-250.15921745405933</v>
      </c>
    </row>
    <row r="34" spans="2:8">
      <c r="B34" s="56">
        <v>18</v>
      </c>
      <c r="C34" s="58">
        <f t="shared" si="6"/>
        <v>6360.5001759385059</v>
      </c>
      <c r="D34" s="51">
        <f t="shared" si="4"/>
        <v>27.610353036460332</v>
      </c>
      <c r="E34" s="58">
        <f t="shared" si="0"/>
        <v>222.54886441759899</v>
      </c>
      <c r="F34" s="58">
        <f t="shared" si="7"/>
        <v>6137.9513115209065</v>
      </c>
      <c r="G34" s="58">
        <f t="shared" si="1"/>
        <v>0</v>
      </c>
      <c r="H34" s="59">
        <f t="shared" si="2"/>
        <v>-250.15921745405933</v>
      </c>
    </row>
    <row r="35" spans="2:8">
      <c r="B35" s="56">
        <v>19</v>
      </c>
      <c r="C35" s="58">
        <f t="shared" si="6"/>
        <v>6137.9513115209065</v>
      </c>
      <c r="D35" s="51">
        <f t="shared" si="4"/>
        <v>26.644288647738481</v>
      </c>
      <c r="E35" s="58">
        <f t="shared" si="0"/>
        <v>223.51492880632085</v>
      </c>
      <c r="F35" s="58">
        <f t="shared" si="7"/>
        <v>5914.4363827145853</v>
      </c>
      <c r="G35" s="58">
        <f t="shared" si="1"/>
        <v>0</v>
      </c>
      <c r="H35" s="59">
        <f t="shared" si="2"/>
        <v>-250.15921745405933</v>
      </c>
    </row>
    <row r="36" spans="2:8">
      <c r="B36" s="56">
        <v>20</v>
      </c>
      <c r="C36" s="58">
        <f t="shared" si="6"/>
        <v>5914.4363827145853</v>
      </c>
      <c r="D36" s="51">
        <f t="shared" si="4"/>
        <v>25.674030661329223</v>
      </c>
      <c r="E36" s="58">
        <f t="shared" si="0"/>
        <v>224.4851867927301</v>
      </c>
      <c r="F36" s="58">
        <f t="shared" si="7"/>
        <v>5689.9511959218553</v>
      </c>
      <c r="G36" s="58">
        <f t="shared" si="1"/>
        <v>0</v>
      </c>
      <c r="H36" s="59">
        <f t="shared" si="2"/>
        <v>-250.15921745405933</v>
      </c>
    </row>
    <row r="37" spans="2:8">
      <c r="B37" s="56">
        <v>21</v>
      </c>
      <c r="C37" s="58">
        <f t="shared" si="6"/>
        <v>5689.9511959218553</v>
      </c>
      <c r="D37" s="51">
        <f t="shared" si="4"/>
        <v>24.699560873206234</v>
      </c>
      <c r="E37" s="58">
        <f t="shared" si="0"/>
        <v>225.45965658085311</v>
      </c>
      <c r="F37" s="58">
        <f t="shared" si="7"/>
        <v>5464.491539341002</v>
      </c>
      <c r="G37" s="58">
        <f t="shared" si="1"/>
        <v>0</v>
      </c>
      <c r="H37" s="59">
        <f t="shared" si="2"/>
        <v>-250.15921745405933</v>
      </c>
    </row>
    <row r="38" spans="2:8">
      <c r="B38" s="56">
        <v>22</v>
      </c>
      <c r="C38" s="58">
        <f t="shared" si="6"/>
        <v>5464.491539341002</v>
      </c>
      <c r="D38" s="51">
        <f t="shared" si="4"/>
        <v>23.720861000321168</v>
      </c>
      <c r="E38" s="58">
        <f t="shared" si="0"/>
        <v>226.43835645373815</v>
      </c>
      <c r="F38" s="58">
        <f t="shared" si="7"/>
        <v>5238.0531828872636</v>
      </c>
      <c r="G38" s="58">
        <f t="shared" si="1"/>
        <v>0</v>
      </c>
      <c r="H38" s="59">
        <f t="shared" si="2"/>
        <v>-250.15921745405933</v>
      </c>
    </row>
    <row r="39" spans="2:8">
      <c r="B39" s="56">
        <v>23</v>
      </c>
      <c r="C39" s="58">
        <f t="shared" si="6"/>
        <v>5238.0531828872636</v>
      </c>
      <c r="D39" s="51">
        <f t="shared" si="4"/>
        <v>22.737912680260621</v>
      </c>
      <c r="E39" s="58">
        <f t="shared" si="0"/>
        <v>227.42130477379871</v>
      </c>
      <c r="F39" s="58">
        <f t="shared" si="7"/>
        <v>5010.6318781134651</v>
      </c>
      <c r="G39" s="58">
        <f t="shared" si="1"/>
        <v>0</v>
      </c>
      <c r="H39" s="59">
        <f t="shared" si="2"/>
        <v>-250.15921745405933</v>
      </c>
    </row>
    <row r="40" spans="2:8">
      <c r="B40" s="56">
        <v>24</v>
      </c>
      <c r="C40" s="58">
        <f t="shared" si="6"/>
        <v>5010.6318781134651</v>
      </c>
      <c r="D40" s="51">
        <f t="shared" si="4"/>
        <v>21.750697470901631</v>
      </c>
      <c r="E40" s="58">
        <f t="shared" si="0"/>
        <v>228.4085199831577</v>
      </c>
      <c r="F40" s="58">
        <f t="shared" si="7"/>
        <v>4782.2233581303071</v>
      </c>
      <c r="G40" s="58">
        <f t="shared" si="1"/>
        <v>0</v>
      </c>
      <c r="H40" s="59">
        <f t="shared" si="2"/>
        <v>-250.15921745405933</v>
      </c>
    </row>
    <row r="41" spans="2:8">
      <c r="B41" s="56">
        <v>25</v>
      </c>
      <c r="C41" s="58">
        <f t="shared" si="6"/>
        <v>4782.2233581303071</v>
      </c>
      <c r="D41" s="51">
        <f t="shared" si="4"/>
        <v>20.759196850065653</v>
      </c>
      <c r="E41" s="58">
        <f t="shared" si="0"/>
        <v>229.40002060399368</v>
      </c>
      <c r="F41" s="58">
        <f t="shared" si="7"/>
        <v>4552.8233375263135</v>
      </c>
      <c r="G41" s="58">
        <f t="shared" si="1"/>
        <v>0</v>
      </c>
      <c r="H41" s="59">
        <f t="shared" si="2"/>
        <v>-250.15921745405933</v>
      </c>
    </row>
    <row r="42" spans="2:8">
      <c r="B42" s="56">
        <v>26</v>
      </c>
      <c r="C42" s="58">
        <f t="shared" si="6"/>
        <v>4552.8233375263135</v>
      </c>
      <c r="D42" s="51">
        <f t="shared" si="4"/>
        <v>19.763392215171041</v>
      </c>
      <c r="E42" s="58">
        <f t="shared" si="0"/>
        <v>230.39582523888828</v>
      </c>
      <c r="F42" s="58">
        <f t="shared" si="7"/>
        <v>4322.4275122874251</v>
      </c>
      <c r="G42" s="58">
        <f t="shared" si="1"/>
        <v>0</v>
      </c>
      <c r="H42" s="59">
        <f t="shared" si="2"/>
        <v>-250.15921745405933</v>
      </c>
    </row>
    <row r="43" spans="2:8">
      <c r="B43" s="56">
        <v>27</v>
      </c>
      <c r="C43" s="58">
        <f t="shared" si="6"/>
        <v>4322.4275122874251</v>
      </c>
      <c r="D43" s="51">
        <f t="shared" si="4"/>
        <v>18.763264882884048</v>
      </c>
      <c r="E43" s="58">
        <f t="shared" si="0"/>
        <v>231.39595257117529</v>
      </c>
      <c r="F43" s="58">
        <f t="shared" si="7"/>
        <v>4091.0315597162498</v>
      </c>
      <c r="G43" s="58">
        <f t="shared" si="1"/>
        <v>0</v>
      </c>
      <c r="H43" s="59">
        <f t="shared" si="2"/>
        <v>-250.15921745405933</v>
      </c>
    </row>
    <row r="44" spans="2:8">
      <c r="B44" s="56">
        <v>28</v>
      </c>
      <c r="C44" s="58">
        <f t="shared" si="6"/>
        <v>4091.0315597162498</v>
      </c>
      <c r="D44" s="51">
        <f t="shared" si="4"/>
        <v>17.758796088768268</v>
      </c>
      <c r="E44" s="58">
        <f t="shared" si="0"/>
        <v>232.40042136529107</v>
      </c>
      <c r="F44" s="58">
        <f t="shared" si="7"/>
        <v>3858.6311383509587</v>
      </c>
      <c r="G44" s="58">
        <f t="shared" si="1"/>
        <v>0</v>
      </c>
      <c r="H44" s="59">
        <f t="shared" si="2"/>
        <v>-250.15921745405933</v>
      </c>
    </row>
    <row r="45" spans="2:8">
      <c r="B45" s="56">
        <v>29</v>
      </c>
      <c r="C45" s="58">
        <f t="shared" si="6"/>
        <v>3858.6311383509587</v>
      </c>
      <c r="D45" s="51">
        <f t="shared" si="4"/>
        <v>16.749966986932574</v>
      </c>
      <c r="E45" s="58">
        <f t="shared" si="0"/>
        <v>233.40925046712675</v>
      </c>
      <c r="F45" s="58">
        <f t="shared" si="7"/>
        <v>3625.2218878838321</v>
      </c>
      <c r="G45" s="58">
        <f t="shared" si="1"/>
        <v>0</v>
      </c>
      <c r="H45" s="59">
        <f t="shared" si="2"/>
        <v>-250.15921745405933</v>
      </c>
    </row>
    <row r="46" spans="2:8">
      <c r="B46" s="56">
        <v>30</v>
      </c>
      <c r="C46" s="58">
        <f t="shared" si="6"/>
        <v>3625.2218878838321</v>
      </c>
      <c r="D46" s="51">
        <f t="shared" si="4"/>
        <v>15.736758649677546</v>
      </c>
      <c r="E46" s="58">
        <f t="shared" si="0"/>
        <v>234.42245880438179</v>
      </c>
      <c r="F46" s="58">
        <f t="shared" si="7"/>
        <v>3390.7994290794504</v>
      </c>
      <c r="G46" s="58">
        <f t="shared" si="1"/>
        <v>0</v>
      </c>
      <c r="H46" s="59">
        <f t="shared" si="2"/>
        <v>-250.15921745405933</v>
      </c>
    </row>
    <row r="47" spans="2:8">
      <c r="B47" s="56">
        <v>31</v>
      </c>
      <c r="C47" s="58">
        <f t="shared" si="6"/>
        <v>3390.7994290794504</v>
      </c>
      <c r="D47" s="51">
        <f t="shared" si="4"/>
        <v>14.719152067140341</v>
      </c>
      <c r="E47" s="58">
        <f t="shared" si="0"/>
        <v>235.440065386919</v>
      </c>
      <c r="F47" s="58">
        <f t="shared" si="7"/>
        <v>3155.3593636925316</v>
      </c>
      <c r="G47" s="58">
        <f t="shared" si="1"/>
        <v>0</v>
      </c>
      <c r="H47" s="59">
        <f t="shared" si="2"/>
        <v>-250.15921745405933</v>
      </c>
    </row>
    <row r="48" spans="2:8">
      <c r="B48" s="56">
        <v>32</v>
      </c>
      <c r="C48" s="58">
        <f t="shared" si="6"/>
        <v>3155.3593636925316</v>
      </c>
      <c r="D48" s="51">
        <f t="shared" si="4"/>
        <v>13.697128146938036</v>
      </c>
      <c r="E48" s="58">
        <f t="shared" si="0"/>
        <v>236.46208930712129</v>
      </c>
      <c r="F48" s="58">
        <f t="shared" si="7"/>
        <v>2918.8972743854101</v>
      </c>
      <c r="G48" s="58">
        <f t="shared" si="1"/>
        <v>0</v>
      </c>
      <c r="H48" s="59">
        <f t="shared" si="2"/>
        <v>-250.15921745405933</v>
      </c>
    </row>
    <row r="49" spans="2:8">
      <c r="B49" s="56">
        <v>33</v>
      </c>
      <c r="C49" s="58">
        <f t="shared" si="6"/>
        <v>2918.8972743854101</v>
      </c>
      <c r="D49" s="51">
        <f t="shared" si="4"/>
        <v>12.670667713809394</v>
      </c>
      <c r="E49" s="58">
        <f t="shared" si="0"/>
        <v>237.48854974024994</v>
      </c>
      <c r="F49" s="58">
        <f t="shared" si="7"/>
        <v>2681.40872464516</v>
      </c>
      <c r="G49" s="58">
        <f t="shared" si="1"/>
        <v>0</v>
      </c>
      <c r="H49" s="59">
        <f t="shared" si="2"/>
        <v>-250.15921745405933</v>
      </c>
    </row>
    <row r="50" spans="2:8">
      <c r="B50" s="56">
        <v>34</v>
      </c>
      <c r="C50" s="58">
        <f t="shared" si="6"/>
        <v>2681.40872464516</v>
      </c>
      <c r="D50" s="51">
        <f t="shared" si="4"/>
        <v>11.639751509255126</v>
      </c>
      <c r="E50" s="58">
        <f t="shared" si="0"/>
        <v>238.51946594480421</v>
      </c>
      <c r="F50" s="58">
        <f t="shared" si="7"/>
        <v>2442.8892587003556</v>
      </c>
      <c r="G50" s="58">
        <f t="shared" si="1"/>
        <v>0</v>
      </c>
      <c r="H50" s="59">
        <f t="shared" si="2"/>
        <v>-250.15921745405933</v>
      </c>
    </row>
    <row r="51" spans="2:8">
      <c r="B51" s="56">
        <v>35</v>
      </c>
      <c r="C51" s="58">
        <f t="shared" si="6"/>
        <v>2442.8892587003556</v>
      </c>
      <c r="D51" s="51">
        <f t="shared" si="4"/>
        <v>10.604360191176545</v>
      </c>
      <c r="E51" s="58">
        <f t="shared" si="0"/>
        <v>239.55485726288279</v>
      </c>
      <c r="F51" s="58">
        <f t="shared" si="7"/>
        <v>2203.3344014374729</v>
      </c>
      <c r="G51" s="58">
        <f t="shared" si="1"/>
        <v>0</v>
      </c>
      <c r="H51" s="59">
        <f t="shared" si="2"/>
        <v>-250.15921745405933</v>
      </c>
    </row>
    <row r="52" spans="2:8">
      <c r="B52" s="56">
        <v>36</v>
      </c>
      <c r="C52" s="58">
        <f t="shared" si="6"/>
        <v>2203.3344014374729</v>
      </c>
      <c r="D52" s="51">
        <f t="shared" si="4"/>
        <v>9.564474333512667</v>
      </c>
      <c r="E52" s="58">
        <f t="shared" si="0"/>
        <v>240.59474312054667</v>
      </c>
      <c r="F52" s="58">
        <f t="shared" si="7"/>
        <v>1962.7396583169264</v>
      </c>
      <c r="G52" s="58">
        <f t="shared" si="1"/>
        <v>0</v>
      </c>
      <c r="H52" s="59">
        <f t="shared" si="2"/>
        <v>-250.15921745405933</v>
      </c>
    </row>
    <row r="53" spans="2:8">
      <c r="B53" s="56">
        <v>37</v>
      </c>
      <c r="C53" s="58">
        <f t="shared" si="6"/>
        <v>1962.7396583169264</v>
      </c>
      <c r="D53" s="51">
        <f t="shared" si="4"/>
        <v>8.5200744258757481</v>
      </c>
      <c r="E53" s="58">
        <f t="shared" si="0"/>
        <v>241.63914302818358</v>
      </c>
      <c r="F53" s="58">
        <f t="shared" si="7"/>
        <v>1721.1005152887428</v>
      </c>
      <c r="G53" s="58">
        <f t="shared" si="1"/>
        <v>0</v>
      </c>
      <c r="H53" s="59">
        <f t="shared" si="2"/>
        <v>-250.15921745405933</v>
      </c>
    </row>
    <row r="54" spans="2:8">
      <c r="B54" s="56">
        <v>38</v>
      </c>
      <c r="C54" s="58">
        <f t="shared" si="6"/>
        <v>1721.1005152887428</v>
      </c>
      <c r="D54" s="51">
        <f t="shared" si="4"/>
        <v>7.4711408731852238</v>
      </c>
      <c r="E54" s="58">
        <f t="shared" si="0"/>
        <v>242.68807658087411</v>
      </c>
      <c r="F54" s="58">
        <f t="shared" si="7"/>
        <v>1478.4124387078687</v>
      </c>
      <c r="G54" s="58">
        <f t="shared" si="1"/>
        <v>0</v>
      </c>
      <c r="H54" s="59">
        <f t="shared" si="2"/>
        <v>-250.15921745405933</v>
      </c>
    </row>
    <row r="55" spans="2:8">
      <c r="B55" s="56">
        <v>39</v>
      </c>
      <c r="C55" s="58">
        <f t="shared" si="6"/>
        <v>1478.4124387078687</v>
      </c>
      <c r="D55" s="51">
        <f t="shared" si="4"/>
        <v>6.417653995300066</v>
      </c>
      <c r="E55" s="58">
        <f t="shared" si="0"/>
        <v>243.74156345875926</v>
      </c>
      <c r="F55" s="58">
        <f t="shared" si="7"/>
        <v>1234.6708752491095</v>
      </c>
      <c r="G55" s="58">
        <f t="shared" si="1"/>
        <v>0</v>
      </c>
      <c r="H55" s="59">
        <f t="shared" si="2"/>
        <v>-250.15921745405933</v>
      </c>
    </row>
    <row r="56" spans="2:8">
      <c r="B56" s="56">
        <v>40</v>
      </c>
      <c r="C56" s="58">
        <f t="shared" si="6"/>
        <v>1234.6708752491095</v>
      </c>
      <c r="D56" s="51">
        <f t="shared" si="4"/>
        <v>5.3595940266495434</v>
      </c>
      <c r="E56" s="58">
        <f t="shared" si="0"/>
        <v>244.79962342740978</v>
      </c>
      <c r="F56" s="58">
        <f t="shared" si="7"/>
        <v>989.87125182169973</v>
      </c>
      <c r="G56" s="58">
        <f t="shared" si="1"/>
        <v>0</v>
      </c>
      <c r="H56" s="59">
        <f t="shared" si="2"/>
        <v>-250.15921745405933</v>
      </c>
    </row>
    <row r="57" spans="2:8">
      <c r="B57" s="56">
        <v>41</v>
      </c>
      <c r="C57" s="58">
        <f t="shared" si="6"/>
        <v>989.87125182169973</v>
      </c>
      <c r="D57" s="51">
        <f t="shared" si="4"/>
        <v>4.2969411158623778</v>
      </c>
      <c r="E57" s="58">
        <f t="shared" si="0"/>
        <v>245.86227633819695</v>
      </c>
      <c r="F57" s="58">
        <f t="shared" si="7"/>
        <v>744.00897548350281</v>
      </c>
      <c r="G57" s="58">
        <f t="shared" si="1"/>
        <v>0</v>
      </c>
      <c r="H57" s="59">
        <f t="shared" si="2"/>
        <v>-250.15921745405933</v>
      </c>
    </row>
    <row r="58" spans="2:8">
      <c r="B58" s="56">
        <v>42</v>
      </c>
      <c r="C58" s="58">
        <f t="shared" si="6"/>
        <v>744.00897548350281</v>
      </c>
      <c r="D58" s="51">
        <f t="shared" si="4"/>
        <v>3.2296753253942962</v>
      </c>
      <c r="E58" s="58">
        <f t="shared" si="0"/>
        <v>246.92954212866505</v>
      </c>
      <c r="F58" s="58">
        <f t="shared" si="7"/>
        <v>497.07943335483776</v>
      </c>
      <c r="G58" s="58">
        <f t="shared" si="1"/>
        <v>0</v>
      </c>
      <c r="H58" s="59">
        <f t="shared" si="2"/>
        <v>-250.15921745405933</v>
      </c>
    </row>
    <row r="59" spans="2:8">
      <c r="B59" s="56">
        <v>43</v>
      </c>
      <c r="C59" s="58">
        <f t="shared" si="6"/>
        <v>497.07943335483776</v>
      </c>
      <c r="D59" s="51">
        <f t="shared" si="4"/>
        <v>2.1577766311539546</v>
      </c>
      <c r="E59" s="58">
        <f t="shared" si="0"/>
        <v>248.00144082290538</v>
      </c>
      <c r="F59" s="58">
        <f t="shared" si="7"/>
        <v>249.07799253193238</v>
      </c>
      <c r="G59" s="58">
        <f t="shared" si="1"/>
        <v>0</v>
      </c>
      <c r="H59" s="59">
        <f t="shared" si="2"/>
        <v>-250.15921745405933</v>
      </c>
    </row>
    <row r="60" spans="2:8">
      <c r="B60" s="56">
        <v>44</v>
      </c>
      <c r="C60" s="58">
        <f t="shared" si="6"/>
        <v>249.07799253193238</v>
      </c>
      <c r="D60" s="51">
        <f t="shared" si="4"/>
        <v>1.0812249221272519</v>
      </c>
      <c r="E60" s="58">
        <f t="shared" si="0"/>
        <v>249.07799253193207</v>
      </c>
      <c r="F60" s="58">
        <f t="shared" si="7"/>
        <v>3.1263880373444408E-13</v>
      </c>
      <c r="G60" s="58">
        <f>-$D$9+IF(B60=$D$7,($D$4*$D$5),0)+IF(B60=$D$7,($D$10),0)</f>
        <v>1000</v>
      </c>
      <c r="H60" s="59">
        <f>IF(B60&lt;=$D$7,(-$D$8+G60),"")</f>
        <v>749.84078254594067</v>
      </c>
    </row>
    <row r="61" spans="2:8">
      <c r="B61" s="56">
        <v>45</v>
      </c>
      <c r="C61" s="58">
        <f t="shared" si="6"/>
        <v>3.1263880373444408E-13</v>
      </c>
      <c r="D61" s="51">
        <f t="shared" si="4"/>
        <v>1.3571366253017914E-15</v>
      </c>
      <c r="E61" s="58">
        <f t="shared" si="0"/>
        <v>-1.3571366253017914E-15</v>
      </c>
      <c r="F61" s="60">
        <f t="shared" si="7"/>
        <v>3.1399594035974589E-13</v>
      </c>
      <c r="G61" s="58">
        <f t="shared" si="1"/>
        <v>0</v>
      </c>
      <c r="H61" s="59" t="str">
        <f t="shared" si="2"/>
        <v/>
      </c>
    </row>
    <row r="62" spans="2:8">
      <c r="B62" s="56">
        <v>46</v>
      </c>
      <c r="C62" s="58">
        <f t="shared" si="6"/>
        <v>3.1399594035974589E-13</v>
      </c>
      <c r="D62" s="51">
        <f t="shared" si="4"/>
        <v>1.3630278320161697E-15</v>
      </c>
      <c r="E62" s="58">
        <f t="shared" si="0"/>
        <v>-1.3630278320161697E-15</v>
      </c>
      <c r="F62" s="58">
        <f>C62-E62</f>
        <v>3.1535896819176208E-13</v>
      </c>
      <c r="G62" s="58">
        <f t="shared" si="1"/>
        <v>0</v>
      </c>
      <c r="H62" s="59" t="str">
        <f t="shared" si="2"/>
        <v/>
      </c>
    </row>
    <row r="63" spans="2:8">
      <c r="B63" s="56">
        <v>47</v>
      </c>
      <c r="C63" s="58">
        <f t="shared" si="6"/>
        <v>3.1535896819176208E-13</v>
      </c>
      <c r="D63" s="51">
        <f t="shared" si="4"/>
        <v>1.3689446119233309E-15</v>
      </c>
      <c r="E63" s="58">
        <f t="shared" si="0"/>
        <v>-1.3689446119233309E-15</v>
      </c>
      <c r="F63" s="58">
        <f t="shared" si="7"/>
        <v>3.1672791280368541E-13</v>
      </c>
      <c r="G63" s="58">
        <f t="shared" si="1"/>
        <v>0</v>
      </c>
      <c r="H63" s="59" t="str">
        <f t="shared" si="2"/>
        <v/>
      </c>
    </row>
    <row r="64" spans="2:8">
      <c r="B64" s="56">
        <v>48</v>
      </c>
      <c r="C64" s="58">
        <f t="shared" si="6"/>
        <v>3.1672791280368541E-13</v>
      </c>
      <c r="D64" s="51">
        <f t="shared" si="4"/>
        <v>1.3748870760341798E-15</v>
      </c>
      <c r="E64" s="58">
        <f t="shared" si="0"/>
        <v>-1.3748870760341798E-15</v>
      </c>
      <c r="F64" s="58">
        <f t="shared" si="7"/>
        <v>3.1810279987971957E-13</v>
      </c>
      <c r="G64" s="58">
        <f t="shared" si="1"/>
        <v>0</v>
      </c>
      <c r="H64" s="59" t="str">
        <f t="shared" si="2"/>
        <v/>
      </c>
    </row>
    <row r="65" spans="2:8">
      <c r="B65" s="56">
        <v>49</v>
      </c>
      <c r="C65" s="58">
        <f t="shared" si="6"/>
        <v>3.1810279987971957E-13</v>
      </c>
      <c r="D65" s="51">
        <f t="shared" si="4"/>
        <v>1.3808553358415098E-15</v>
      </c>
      <c r="E65" s="58">
        <f t="shared" si="0"/>
        <v>-1.3808553358415098E-15</v>
      </c>
      <c r="F65" s="58">
        <f t="shared" si="7"/>
        <v>3.1948365521556107E-13</v>
      </c>
      <c r="G65" s="58">
        <f t="shared" si="1"/>
        <v>0</v>
      </c>
      <c r="H65" s="59" t="str">
        <f t="shared" si="2"/>
        <v/>
      </c>
    </row>
    <row r="66" spans="2:8">
      <c r="B66" s="56">
        <v>50</v>
      </c>
      <c r="C66" s="58">
        <f t="shared" si="6"/>
        <v>3.1948365521556107E-13</v>
      </c>
      <c r="D66" s="51">
        <f t="shared" si="4"/>
        <v>1.3868495033220948E-15</v>
      </c>
      <c r="E66" s="58">
        <f t="shared" si="0"/>
        <v>-1.3868495033220948E-15</v>
      </c>
      <c r="F66" s="58">
        <f t="shared" si="7"/>
        <v>3.2087050471888315E-13</v>
      </c>
      <c r="G66" s="58">
        <f t="shared" si="1"/>
        <v>0</v>
      </c>
      <c r="H66" s="59" t="str">
        <f t="shared" si="2"/>
        <v/>
      </c>
    </row>
    <row r="67" spans="2:8">
      <c r="B67" s="36"/>
      <c r="C67" s="61"/>
      <c r="D67" s="62"/>
      <c r="E67" s="61"/>
      <c r="F67" s="61"/>
      <c r="G67" s="36"/>
      <c r="H67" s="61"/>
    </row>
    <row r="68" spans="2:8">
      <c r="C68" s="2" t="s">
        <v>13</v>
      </c>
    </row>
    <row r="69" spans="2:8">
      <c r="C69" s="2" t="s">
        <v>14</v>
      </c>
      <c r="H69" s="6">
        <f>G2*52</f>
        <v>0.33622895643611539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B1:K69"/>
  <sheetViews>
    <sheetView workbookViewId="0">
      <selection activeCell="D7" sqref="D7"/>
    </sheetView>
  </sheetViews>
  <sheetFormatPr defaultRowHeight="15"/>
  <cols>
    <col min="1" max="2" width="9.140625" style="2"/>
    <col min="3" max="3" width="26.42578125" style="2" customWidth="1"/>
    <col min="4" max="4" width="10.5703125" style="2" bestFit="1" customWidth="1"/>
    <col min="5" max="5" width="13.140625" style="2" bestFit="1" customWidth="1"/>
    <col min="6" max="6" width="13.140625" style="2" customWidth="1"/>
    <col min="7" max="7" width="14.7109375" style="2" bestFit="1" customWidth="1"/>
    <col min="8" max="10" width="9.140625" style="2"/>
    <col min="11" max="11" width="13" style="2" customWidth="1"/>
    <col min="12" max="16384" width="9.140625" style="2"/>
  </cols>
  <sheetData>
    <row r="1" spans="2:11" ht="15.75" thickBot="1"/>
    <row r="2" spans="2:11" ht="15.75" thickBot="1">
      <c r="C2" s="64" t="s">
        <v>44</v>
      </c>
      <c r="F2" s="47" t="s">
        <v>45</v>
      </c>
      <c r="G2" s="48">
        <f>IRR(H16:H66,0)</f>
        <v>5.6087666339912357E-3</v>
      </c>
    </row>
    <row r="3" spans="2:11">
      <c r="F3" s="47" t="s">
        <v>17</v>
      </c>
      <c r="G3" s="48">
        <f>G2*D7</f>
        <v>0.28043833169956178</v>
      </c>
      <c r="I3" s="63"/>
    </row>
    <row r="4" spans="2:11">
      <c r="C4" s="2" t="s">
        <v>46</v>
      </c>
      <c r="D4" s="22">
        <v>10000</v>
      </c>
      <c r="F4" s="47" t="s">
        <v>47</v>
      </c>
      <c r="G4" s="49">
        <f>G2*52</f>
        <v>0.29165586496754425</v>
      </c>
    </row>
    <row r="5" spans="2:11">
      <c r="C5" s="2" t="s">
        <v>1</v>
      </c>
      <c r="D5" s="4">
        <v>0</v>
      </c>
      <c r="F5" s="50" t="s">
        <v>48</v>
      </c>
      <c r="G5" s="51">
        <f>SUM(D17:D66)</f>
        <v>1359.9931038376981</v>
      </c>
    </row>
    <row r="6" spans="2:11">
      <c r="C6" s="2" t="s">
        <v>2</v>
      </c>
      <c r="D6" s="5">
        <v>0.25600000000000001</v>
      </c>
      <c r="G6" s="52"/>
    </row>
    <row r="7" spans="2:11">
      <c r="C7" s="2" t="s">
        <v>5</v>
      </c>
      <c r="D7" s="53">
        <v>50</v>
      </c>
      <c r="K7" s="5"/>
    </row>
    <row r="8" spans="2:11">
      <c r="C8" s="2" t="s">
        <v>6</v>
      </c>
      <c r="D8" s="54">
        <f>-PMT(D6/D7,D7,D4,0,0)</f>
        <v>227.19986207675399</v>
      </c>
      <c r="K8" s="5"/>
    </row>
    <row r="9" spans="2:11">
      <c r="C9" s="2" t="s">
        <v>49</v>
      </c>
      <c r="D9" s="55">
        <v>0</v>
      </c>
      <c r="K9" s="5"/>
    </row>
    <row r="10" spans="2:11">
      <c r="C10" s="2" t="s">
        <v>16</v>
      </c>
      <c r="D10" s="55">
        <v>0</v>
      </c>
      <c r="K10" s="5"/>
    </row>
    <row r="11" spans="2:11">
      <c r="C11" s="2" t="s">
        <v>19</v>
      </c>
      <c r="D11" s="55">
        <f>(D4*1%+30)/(1+10.3%)</f>
        <v>117.86038077969175</v>
      </c>
      <c r="K11" s="5"/>
    </row>
    <row r="12" spans="2:11" ht="15.75" thickBot="1">
      <c r="K12" s="5"/>
    </row>
    <row r="13" spans="2:11" ht="15.75" thickBot="1">
      <c r="C13" s="64" t="s">
        <v>15</v>
      </c>
      <c r="K13" s="5"/>
    </row>
    <row r="14" spans="2:11" ht="15.75" thickBot="1">
      <c r="C14" s="65"/>
      <c r="K14" s="5"/>
    </row>
    <row r="15" spans="2:11">
      <c r="B15" s="32" t="s">
        <v>50</v>
      </c>
      <c r="C15" s="66" t="s">
        <v>3</v>
      </c>
      <c r="D15" s="33" t="s">
        <v>4</v>
      </c>
      <c r="E15" s="33" t="s">
        <v>7</v>
      </c>
      <c r="F15" s="33" t="s">
        <v>8</v>
      </c>
      <c r="G15" s="33" t="s">
        <v>10</v>
      </c>
      <c r="H15" s="34" t="s">
        <v>11</v>
      </c>
      <c r="K15" s="5"/>
    </row>
    <row r="16" spans="2:11">
      <c r="B16" s="56">
        <v>0</v>
      </c>
      <c r="C16" s="47">
        <f>D4</f>
        <v>10000</v>
      </c>
      <c r="D16" s="47"/>
      <c r="E16" s="47"/>
      <c r="F16" s="47"/>
      <c r="G16" s="47">
        <f>-D4*D5</f>
        <v>0</v>
      </c>
      <c r="H16" s="57">
        <f>C16+G16-D11</f>
        <v>9882.1396192203083</v>
      </c>
      <c r="K16" s="5"/>
    </row>
    <row r="17" spans="2:8">
      <c r="B17" s="56">
        <v>1</v>
      </c>
      <c r="C17" s="47">
        <f>D4</f>
        <v>10000</v>
      </c>
      <c r="D17" s="51">
        <f>C17*$D$6/$D$7</f>
        <v>51.2</v>
      </c>
      <c r="E17" s="58">
        <f>IF(B17&lt;=$D$7,$D$8,0)-D17</f>
        <v>175.99986207675397</v>
      </c>
      <c r="F17" s="58">
        <f>C17-E17</f>
        <v>9824.0001379232453</v>
      </c>
      <c r="G17" s="58">
        <f>-$D$9+IF(B17=$D$7,($D$4*$D$5),0)+IF(B17=$D$7,($D$10),0)</f>
        <v>0</v>
      </c>
      <c r="H17" s="59">
        <f>IF(B17&lt;=$D$7,(-$D$8+G17),"")</f>
        <v>-227.19986207675399</v>
      </c>
    </row>
    <row r="18" spans="2:8">
      <c r="B18" s="56">
        <v>2</v>
      </c>
      <c r="C18" s="58">
        <f>F17</f>
        <v>9824.0001379232453</v>
      </c>
      <c r="D18" s="51">
        <f>C18*$D$6/$D$7</f>
        <v>50.298880706167019</v>
      </c>
      <c r="E18" s="58">
        <f t="shared" ref="E18:E66" si="0">IF(B18&lt;=$D$7,$D$8,0)-D18</f>
        <v>176.90098137058698</v>
      </c>
      <c r="F18" s="58">
        <f>C18-E18</f>
        <v>9647.0991565526583</v>
      </c>
      <c r="G18" s="58">
        <f t="shared" ref="G18:G66" si="1">-$D$9+IF(B18=$D$7,($D$4*$D$5),0)+IF(B18=$D$7,($D$10),0)</f>
        <v>0</v>
      </c>
      <c r="H18" s="59">
        <f t="shared" ref="H18:H66" si="2">IF(B18&lt;=$D$7,(-$D$8+G18),"")</f>
        <v>-227.19986207675399</v>
      </c>
    </row>
    <row r="19" spans="2:8">
      <c r="B19" s="56">
        <v>3</v>
      </c>
      <c r="C19" s="58">
        <f t="shared" ref="C19:C26" si="3">F18</f>
        <v>9647.0991565526583</v>
      </c>
      <c r="D19" s="51">
        <f t="shared" ref="D19:D66" si="4">C19*$D$6/$D$7</f>
        <v>49.393147681549607</v>
      </c>
      <c r="E19" s="58">
        <f t="shared" si="0"/>
        <v>177.80671439520438</v>
      </c>
      <c r="F19" s="58">
        <f t="shared" ref="F19:F26" si="5">C19-E19</f>
        <v>9469.2924421574535</v>
      </c>
      <c r="G19" s="58">
        <f t="shared" si="1"/>
        <v>0</v>
      </c>
      <c r="H19" s="59">
        <f t="shared" si="2"/>
        <v>-227.19986207675399</v>
      </c>
    </row>
    <row r="20" spans="2:8">
      <c r="B20" s="56">
        <v>4</v>
      </c>
      <c r="C20" s="58">
        <f t="shared" si="3"/>
        <v>9469.2924421574535</v>
      </c>
      <c r="D20" s="51">
        <f t="shared" si="4"/>
        <v>48.482777303846163</v>
      </c>
      <c r="E20" s="58">
        <f t="shared" si="0"/>
        <v>178.71708477290781</v>
      </c>
      <c r="F20" s="58">
        <f t="shared" si="5"/>
        <v>9290.575357384545</v>
      </c>
      <c r="G20" s="58">
        <f t="shared" si="1"/>
        <v>0</v>
      </c>
      <c r="H20" s="59">
        <f t="shared" si="2"/>
        <v>-227.19986207675399</v>
      </c>
    </row>
    <row r="21" spans="2:8">
      <c r="B21" s="56">
        <v>5</v>
      </c>
      <c r="C21" s="58">
        <f t="shared" si="3"/>
        <v>9290.575357384545</v>
      </c>
      <c r="D21" s="51">
        <f t="shared" si="4"/>
        <v>47.567745829808871</v>
      </c>
      <c r="E21" s="58">
        <f t="shared" si="0"/>
        <v>179.63211624694512</v>
      </c>
      <c r="F21" s="58">
        <f t="shared" si="5"/>
        <v>9110.9432411376001</v>
      </c>
      <c r="G21" s="58">
        <f t="shared" si="1"/>
        <v>0</v>
      </c>
      <c r="H21" s="59">
        <f t="shared" si="2"/>
        <v>-227.19986207675399</v>
      </c>
    </row>
    <row r="22" spans="2:8">
      <c r="B22" s="56">
        <v>6</v>
      </c>
      <c r="C22" s="58">
        <f t="shared" si="3"/>
        <v>9110.9432411376001</v>
      </c>
      <c r="D22" s="51">
        <f t="shared" si="4"/>
        <v>46.648029394624508</v>
      </c>
      <c r="E22" s="58">
        <f t="shared" si="0"/>
        <v>180.55183268212949</v>
      </c>
      <c r="F22" s="58">
        <f t="shared" si="5"/>
        <v>8930.3914084554708</v>
      </c>
      <c r="G22" s="58">
        <f t="shared" si="1"/>
        <v>0</v>
      </c>
      <c r="H22" s="59">
        <f t="shared" si="2"/>
        <v>-227.19986207675399</v>
      </c>
    </row>
    <row r="23" spans="2:8">
      <c r="B23" s="56">
        <v>7</v>
      </c>
      <c r="C23" s="58">
        <f t="shared" si="3"/>
        <v>8930.3914084554708</v>
      </c>
      <c r="D23" s="51">
        <f t="shared" si="4"/>
        <v>45.723604011292011</v>
      </c>
      <c r="E23" s="58">
        <f t="shared" si="0"/>
        <v>181.47625806546199</v>
      </c>
      <c r="F23" s="58">
        <f t="shared" si="5"/>
        <v>8748.9151503900084</v>
      </c>
      <c r="G23" s="58">
        <f t="shared" si="1"/>
        <v>0</v>
      </c>
      <c r="H23" s="59">
        <f t="shared" si="2"/>
        <v>-227.19986207675399</v>
      </c>
    </row>
    <row r="24" spans="2:8">
      <c r="B24" s="56">
        <v>8</v>
      </c>
      <c r="C24" s="58">
        <f t="shared" si="3"/>
        <v>8748.9151503900084</v>
      </c>
      <c r="D24" s="51">
        <f t="shared" si="4"/>
        <v>44.794445569996839</v>
      </c>
      <c r="E24" s="58">
        <f t="shared" si="0"/>
        <v>182.40541650675715</v>
      </c>
      <c r="F24" s="58">
        <f t="shared" si="5"/>
        <v>8566.5097338832511</v>
      </c>
      <c r="G24" s="58">
        <f t="shared" si="1"/>
        <v>0</v>
      </c>
      <c r="H24" s="59">
        <f t="shared" si="2"/>
        <v>-227.19986207675399</v>
      </c>
    </row>
    <row r="25" spans="2:8">
      <c r="B25" s="56">
        <v>9</v>
      </c>
      <c r="C25" s="58">
        <f t="shared" si="3"/>
        <v>8566.5097338832511</v>
      </c>
      <c r="D25" s="51">
        <f t="shared" si="4"/>
        <v>43.860529837482247</v>
      </c>
      <c r="E25" s="58">
        <f t="shared" si="0"/>
        <v>183.33933223927176</v>
      </c>
      <c r="F25" s="58">
        <f t="shared" si="5"/>
        <v>8383.1704016439799</v>
      </c>
      <c r="G25" s="58">
        <f t="shared" si="1"/>
        <v>0</v>
      </c>
      <c r="H25" s="59">
        <f t="shared" si="2"/>
        <v>-227.19986207675399</v>
      </c>
    </row>
    <row r="26" spans="2:8">
      <c r="B26" s="56">
        <v>10</v>
      </c>
      <c r="C26" s="58">
        <f t="shared" si="3"/>
        <v>8383.1704016439799</v>
      </c>
      <c r="D26" s="51">
        <f t="shared" si="4"/>
        <v>42.921832456417178</v>
      </c>
      <c r="E26" s="58">
        <f t="shared" si="0"/>
        <v>184.27802962033681</v>
      </c>
      <c r="F26" s="58">
        <f t="shared" si="5"/>
        <v>8198.8923720236435</v>
      </c>
      <c r="G26" s="58">
        <f t="shared" si="1"/>
        <v>0</v>
      </c>
      <c r="H26" s="59">
        <f t="shared" si="2"/>
        <v>-227.19986207675399</v>
      </c>
    </row>
    <row r="27" spans="2:8">
      <c r="B27" s="56">
        <v>11</v>
      </c>
      <c r="C27" s="58">
        <f>F26</f>
        <v>8198.8923720236435</v>
      </c>
      <c r="D27" s="51">
        <f>C27*$D$6/$D$7</f>
        <v>41.978328944761053</v>
      </c>
      <c r="E27" s="58">
        <f t="shared" si="0"/>
        <v>185.22153313199294</v>
      </c>
      <c r="F27" s="58">
        <f>C27-E27</f>
        <v>8013.6708388916504</v>
      </c>
      <c r="G27" s="58">
        <f t="shared" si="1"/>
        <v>0</v>
      </c>
      <c r="H27" s="59">
        <f t="shared" si="2"/>
        <v>-227.19986207675399</v>
      </c>
    </row>
    <row r="28" spans="2:8">
      <c r="B28" s="56">
        <v>12</v>
      </c>
      <c r="C28" s="58">
        <f>F27</f>
        <v>8013.6708388916504</v>
      </c>
      <c r="D28" s="51">
        <f t="shared" si="4"/>
        <v>41.029994695125254</v>
      </c>
      <c r="E28" s="58">
        <f t="shared" si="0"/>
        <v>186.16986738162873</v>
      </c>
      <c r="F28" s="58">
        <f>C28-E28</f>
        <v>7827.5009715100214</v>
      </c>
      <c r="G28" s="58">
        <f t="shared" si="1"/>
        <v>0</v>
      </c>
      <c r="H28" s="59">
        <f t="shared" si="2"/>
        <v>-227.19986207675399</v>
      </c>
    </row>
    <row r="29" spans="2:8">
      <c r="B29" s="56">
        <v>13</v>
      </c>
      <c r="C29" s="58">
        <f t="shared" ref="C29:C66" si="6">F28</f>
        <v>7827.5009715100214</v>
      </c>
      <c r="D29" s="51">
        <f t="shared" si="4"/>
        <v>40.076804974131306</v>
      </c>
      <c r="E29" s="58">
        <f t="shared" si="0"/>
        <v>187.12305710262268</v>
      </c>
      <c r="F29" s="58">
        <f t="shared" ref="F29:F66" si="7">C29-E29</f>
        <v>7640.3779144073987</v>
      </c>
      <c r="G29" s="58">
        <f t="shared" si="1"/>
        <v>0</v>
      </c>
      <c r="H29" s="59">
        <f t="shared" si="2"/>
        <v>-227.19986207675399</v>
      </c>
    </row>
    <row r="30" spans="2:8">
      <c r="B30" s="56">
        <v>14</v>
      </c>
      <c r="C30" s="58">
        <f t="shared" si="6"/>
        <v>7640.3779144073987</v>
      </c>
      <c r="D30" s="51">
        <f t="shared" si="4"/>
        <v>39.118734921765878</v>
      </c>
      <c r="E30" s="58">
        <f t="shared" si="0"/>
        <v>188.08112715498811</v>
      </c>
      <c r="F30" s="58">
        <f t="shared" si="7"/>
        <v>7452.2967872524105</v>
      </c>
      <c r="G30" s="58">
        <f t="shared" si="1"/>
        <v>0</v>
      </c>
      <c r="H30" s="59">
        <f t="shared" si="2"/>
        <v>-227.19986207675399</v>
      </c>
    </row>
    <row r="31" spans="2:8">
      <c r="B31" s="56">
        <v>15</v>
      </c>
      <c r="C31" s="58">
        <f t="shared" si="6"/>
        <v>7452.2967872524105</v>
      </c>
      <c r="D31" s="51">
        <f t="shared" si="4"/>
        <v>38.155759550732341</v>
      </c>
      <c r="E31" s="58">
        <f t="shared" si="0"/>
        <v>189.04410252602165</v>
      </c>
      <c r="F31" s="58">
        <f t="shared" si="7"/>
        <v>7263.2526847263889</v>
      </c>
      <c r="G31" s="58">
        <f t="shared" si="1"/>
        <v>0</v>
      </c>
      <c r="H31" s="59">
        <f t="shared" si="2"/>
        <v>-227.19986207675399</v>
      </c>
    </row>
    <row r="32" spans="2:8">
      <c r="B32" s="56">
        <v>16</v>
      </c>
      <c r="C32" s="58">
        <f t="shared" si="6"/>
        <v>7263.2526847263889</v>
      </c>
      <c r="D32" s="51">
        <f t="shared" si="4"/>
        <v>37.18785374579911</v>
      </c>
      <c r="E32" s="58">
        <f t="shared" si="0"/>
        <v>190.01200833095487</v>
      </c>
      <c r="F32" s="58">
        <f t="shared" si="7"/>
        <v>7073.2406763954341</v>
      </c>
      <c r="G32" s="58">
        <f t="shared" si="1"/>
        <v>0</v>
      </c>
      <c r="H32" s="59">
        <f t="shared" si="2"/>
        <v>-227.19986207675399</v>
      </c>
    </row>
    <row r="33" spans="2:8">
      <c r="B33" s="56">
        <v>17</v>
      </c>
      <c r="C33" s="58">
        <f t="shared" si="6"/>
        <v>7073.2406763954341</v>
      </c>
      <c r="D33" s="51">
        <f t="shared" si="4"/>
        <v>36.214992263144623</v>
      </c>
      <c r="E33" s="58">
        <f t="shared" si="0"/>
        <v>190.98486981360935</v>
      </c>
      <c r="F33" s="58">
        <f t="shared" si="7"/>
        <v>6882.2558065818248</v>
      </c>
      <c r="G33" s="58">
        <f t="shared" si="1"/>
        <v>0</v>
      </c>
      <c r="H33" s="59">
        <f t="shared" si="2"/>
        <v>-227.19986207675399</v>
      </c>
    </row>
    <row r="34" spans="2:8">
      <c r="B34" s="56">
        <v>18</v>
      </c>
      <c r="C34" s="58">
        <f t="shared" si="6"/>
        <v>6882.2558065818248</v>
      </c>
      <c r="D34" s="51">
        <f t="shared" si="4"/>
        <v>35.237149729698942</v>
      </c>
      <c r="E34" s="58">
        <f t="shared" si="0"/>
        <v>191.96271234705506</v>
      </c>
      <c r="F34" s="58">
        <f t="shared" si="7"/>
        <v>6690.2930942347693</v>
      </c>
      <c r="G34" s="58">
        <f t="shared" si="1"/>
        <v>0</v>
      </c>
      <c r="H34" s="59">
        <f t="shared" si="2"/>
        <v>-227.19986207675399</v>
      </c>
    </row>
    <row r="35" spans="2:8">
      <c r="B35" s="56">
        <v>19</v>
      </c>
      <c r="C35" s="58">
        <f t="shared" si="6"/>
        <v>6690.2930942347693</v>
      </c>
      <c r="D35" s="51">
        <f t="shared" si="4"/>
        <v>34.254300642482022</v>
      </c>
      <c r="E35" s="58">
        <f t="shared" si="0"/>
        <v>192.94556143427195</v>
      </c>
      <c r="F35" s="58">
        <f t="shared" si="7"/>
        <v>6497.347532800497</v>
      </c>
      <c r="G35" s="58">
        <f t="shared" si="1"/>
        <v>0</v>
      </c>
      <c r="H35" s="59">
        <f t="shared" si="2"/>
        <v>-227.19986207675399</v>
      </c>
    </row>
    <row r="36" spans="2:8">
      <c r="B36" s="56">
        <v>20</v>
      </c>
      <c r="C36" s="58">
        <f t="shared" si="6"/>
        <v>6497.347532800497</v>
      </c>
      <c r="D36" s="51">
        <f t="shared" si="4"/>
        <v>33.266419367938546</v>
      </c>
      <c r="E36" s="58">
        <f t="shared" si="0"/>
        <v>193.93344270881545</v>
      </c>
      <c r="F36" s="58">
        <f t="shared" si="7"/>
        <v>6303.4140900916818</v>
      </c>
      <c r="G36" s="58">
        <f t="shared" si="1"/>
        <v>0</v>
      </c>
      <c r="H36" s="59">
        <f t="shared" si="2"/>
        <v>-227.19986207675399</v>
      </c>
    </row>
    <row r="37" spans="2:8">
      <c r="B37" s="56">
        <v>21</v>
      </c>
      <c r="C37" s="58">
        <f t="shared" si="6"/>
        <v>6303.4140900916818</v>
      </c>
      <c r="D37" s="51">
        <f t="shared" si="4"/>
        <v>32.27348014126941</v>
      </c>
      <c r="E37" s="58">
        <f t="shared" si="0"/>
        <v>194.92638193548459</v>
      </c>
      <c r="F37" s="58">
        <f t="shared" si="7"/>
        <v>6108.4877081561972</v>
      </c>
      <c r="G37" s="58">
        <f t="shared" si="1"/>
        <v>0</v>
      </c>
      <c r="H37" s="59">
        <f t="shared" si="2"/>
        <v>-227.19986207675399</v>
      </c>
    </row>
    <row r="38" spans="2:8">
      <c r="B38" s="56">
        <v>22</v>
      </c>
      <c r="C38" s="58">
        <f t="shared" si="6"/>
        <v>6108.4877081561972</v>
      </c>
      <c r="D38" s="51">
        <f t="shared" si="4"/>
        <v>31.275457065759728</v>
      </c>
      <c r="E38" s="58">
        <f t="shared" si="0"/>
        <v>195.92440501099426</v>
      </c>
      <c r="F38" s="58">
        <f t="shared" si="7"/>
        <v>5912.5633031452026</v>
      </c>
      <c r="G38" s="58">
        <f t="shared" si="1"/>
        <v>0</v>
      </c>
      <c r="H38" s="59">
        <f t="shared" si="2"/>
        <v>-227.19986207675399</v>
      </c>
    </row>
    <row r="39" spans="2:8">
      <c r="B39" s="56">
        <v>23</v>
      </c>
      <c r="C39" s="58">
        <f t="shared" si="6"/>
        <v>5912.5633031452026</v>
      </c>
      <c r="D39" s="51">
        <f t="shared" si="4"/>
        <v>30.272324112103437</v>
      </c>
      <c r="E39" s="58">
        <f t="shared" si="0"/>
        <v>196.92753796465055</v>
      </c>
      <c r="F39" s="58">
        <f t="shared" si="7"/>
        <v>5715.635765180552</v>
      </c>
      <c r="G39" s="58">
        <f t="shared" si="1"/>
        <v>0</v>
      </c>
      <c r="H39" s="59">
        <f t="shared" si="2"/>
        <v>-227.19986207675399</v>
      </c>
    </row>
    <row r="40" spans="2:8">
      <c r="B40" s="56">
        <v>24</v>
      </c>
      <c r="C40" s="58">
        <f t="shared" si="6"/>
        <v>5715.635765180552</v>
      </c>
      <c r="D40" s="51">
        <f t="shared" si="4"/>
        <v>29.264055117724428</v>
      </c>
      <c r="E40" s="58">
        <f t="shared" si="0"/>
        <v>197.93580695902955</v>
      </c>
      <c r="F40" s="58">
        <f t="shared" si="7"/>
        <v>5517.6999582215221</v>
      </c>
      <c r="G40" s="58">
        <f t="shared" si="1"/>
        <v>0</v>
      </c>
      <c r="H40" s="59">
        <f t="shared" si="2"/>
        <v>-227.19986207675399</v>
      </c>
    </row>
    <row r="41" spans="2:8">
      <c r="B41" s="56">
        <v>25</v>
      </c>
      <c r="C41" s="58">
        <f t="shared" si="6"/>
        <v>5517.6999582215221</v>
      </c>
      <c r="D41" s="51">
        <f t="shared" si="4"/>
        <v>28.250623786094192</v>
      </c>
      <c r="E41" s="58">
        <f t="shared" si="0"/>
        <v>198.94923829065979</v>
      </c>
      <c r="F41" s="58">
        <f t="shared" si="7"/>
        <v>5318.750719930862</v>
      </c>
      <c r="G41" s="58">
        <f t="shared" si="1"/>
        <v>0</v>
      </c>
      <c r="H41" s="59">
        <f t="shared" si="2"/>
        <v>-227.19986207675399</v>
      </c>
    </row>
    <row r="42" spans="2:8">
      <c r="B42" s="56">
        <v>26</v>
      </c>
      <c r="C42" s="58">
        <f t="shared" si="6"/>
        <v>5318.750719930862</v>
      </c>
      <c r="D42" s="51">
        <f t="shared" si="4"/>
        <v>27.232003686046014</v>
      </c>
      <c r="E42" s="58">
        <f t="shared" si="0"/>
        <v>199.96785839070799</v>
      </c>
      <c r="F42" s="58">
        <f t="shared" si="7"/>
        <v>5118.782861540154</v>
      </c>
      <c r="G42" s="58">
        <f t="shared" si="1"/>
        <v>0</v>
      </c>
      <c r="H42" s="59">
        <f t="shared" si="2"/>
        <v>-227.19986207675399</v>
      </c>
    </row>
    <row r="43" spans="2:8">
      <c r="B43" s="56">
        <v>27</v>
      </c>
      <c r="C43" s="58">
        <f t="shared" si="6"/>
        <v>5118.782861540154</v>
      </c>
      <c r="D43" s="51">
        <f t="shared" si="4"/>
        <v>26.208168251085588</v>
      </c>
      <c r="E43" s="58">
        <f t="shared" si="0"/>
        <v>200.99169382566839</v>
      </c>
      <c r="F43" s="58">
        <f t="shared" si="7"/>
        <v>4917.7911677144857</v>
      </c>
      <c r="G43" s="58">
        <f t="shared" si="1"/>
        <v>0</v>
      </c>
      <c r="H43" s="59">
        <f t="shared" si="2"/>
        <v>-227.19986207675399</v>
      </c>
    </row>
    <row r="44" spans="2:8">
      <c r="B44" s="56">
        <v>28</v>
      </c>
      <c r="C44" s="58">
        <f t="shared" si="6"/>
        <v>4917.7911677144857</v>
      </c>
      <c r="D44" s="51">
        <f t="shared" si="4"/>
        <v>25.179090778698168</v>
      </c>
      <c r="E44" s="58">
        <f t="shared" si="0"/>
        <v>202.02077129805582</v>
      </c>
      <c r="F44" s="58">
        <f t="shared" si="7"/>
        <v>4715.7703964164302</v>
      </c>
      <c r="G44" s="58">
        <f t="shared" si="1"/>
        <v>0</v>
      </c>
      <c r="H44" s="59">
        <f t="shared" si="2"/>
        <v>-227.19986207675399</v>
      </c>
    </row>
    <row r="45" spans="2:8">
      <c r="B45" s="56">
        <v>29</v>
      </c>
      <c r="C45" s="58">
        <f t="shared" si="6"/>
        <v>4715.7703964164302</v>
      </c>
      <c r="D45" s="51">
        <f t="shared" si="4"/>
        <v>24.144744429652125</v>
      </c>
      <c r="E45" s="58">
        <f t="shared" si="0"/>
        <v>203.05511764710187</v>
      </c>
      <c r="F45" s="58">
        <f t="shared" si="7"/>
        <v>4512.7152787693285</v>
      </c>
      <c r="G45" s="58">
        <f t="shared" si="1"/>
        <v>0</v>
      </c>
      <c r="H45" s="59">
        <f t="shared" si="2"/>
        <v>-227.19986207675399</v>
      </c>
    </row>
    <row r="46" spans="2:8">
      <c r="B46" s="56">
        <v>30</v>
      </c>
      <c r="C46" s="58">
        <f t="shared" si="6"/>
        <v>4512.7152787693285</v>
      </c>
      <c r="D46" s="51">
        <f t="shared" si="4"/>
        <v>23.105102227298961</v>
      </c>
      <c r="E46" s="58">
        <f t="shared" si="0"/>
        <v>204.09475984945502</v>
      </c>
      <c r="F46" s="58">
        <f t="shared" si="7"/>
        <v>4308.6205189198736</v>
      </c>
      <c r="G46" s="58">
        <f t="shared" si="1"/>
        <v>0</v>
      </c>
      <c r="H46" s="59">
        <f t="shared" si="2"/>
        <v>-227.19986207675399</v>
      </c>
    </row>
    <row r="47" spans="2:8">
      <c r="B47" s="56">
        <v>31</v>
      </c>
      <c r="C47" s="58">
        <f t="shared" si="6"/>
        <v>4308.6205189198736</v>
      </c>
      <c r="D47" s="51">
        <f t="shared" si="4"/>
        <v>22.060137056869753</v>
      </c>
      <c r="E47" s="58">
        <f t="shared" si="0"/>
        <v>205.13972501988422</v>
      </c>
      <c r="F47" s="58">
        <f t="shared" si="7"/>
        <v>4103.4807938999893</v>
      </c>
      <c r="G47" s="58">
        <f t="shared" si="1"/>
        <v>0</v>
      </c>
      <c r="H47" s="59">
        <f t="shared" si="2"/>
        <v>-227.19986207675399</v>
      </c>
    </row>
    <row r="48" spans="2:8">
      <c r="B48" s="56">
        <v>32</v>
      </c>
      <c r="C48" s="58">
        <f t="shared" si="6"/>
        <v>4103.4807938999893</v>
      </c>
      <c r="D48" s="51">
        <f t="shared" si="4"/>
        <v>21.009821664767948</v>
      </c>
      <c r="E48" s="58">
        <f t="shared" si="0"/>
        <v>206.19004041198605</v>
      </c>
      <c r="F48" s="58">
        <f t="shared" si="7"/>
        <v>3897.2907534880032</v>
      </c>
      <c r="G48" s="58">
        <f t="shared" si="1"/>
        <v>0</v>
      </c>
      <c r="H48" s="59">
        <f t="shared" si="2"/>
        <v>-227.19986207675399</v>
      </c>
    </row>
    <row r="49" spans="2:8">
      <c r="B49" s="56">
        <v>33</v>
      </c>
      <c r="C49" s="58">
        <f t="shared" si="6"/>
        <v>3897.2907534880032</v>
      </c>
      <c r="D49" s="51">
        <f t="shared" si="4"/>
        <v>19.954128657858579</v>
      </c>
      <c r="E49" s="58">
        <f t="shared" si="0"/>
        <v>207.24573341889541</v>
      </c>
      <c r="F49" s="58">
        <f t="shared" si="7"/>
        <v>3690.045020069108</v>
      </c>
      <c r="G49" s="58">
        <f t="shared" si="1"/>
        <v>0</v>
      </c>
      <c r="H49" s="59">
        <f t="shared" si="2"/>
        <v>-227.19986207675399</v>
      </c>
    </row>
    <row r="50" spans="2:8">
      <c r="B50" s="56">
        <v>34</v>
      </c>
      <c r="C50" s="58">
        <f t="shared" si="6"/>
        <v>3690.045020069108</v>
      </c>
      <c r="D50" s="51">
        <f t="shared" si="4"/>
        <v>18.893030502753835</v>
      </c>
      <c r="E50" s="58">
        <f t="shared" si="0"/>
        <v>208.30683157400014</v>
      </c>
      <c r="F50" s="58">
        <f t="shared" si="7"/>
        <v>3481.7381884951078</v>
      </c>
      <c r="G50" s="58">
        <f t="shared" si="1"/>
        <v>0</v>
      </c>
      <c r="H50" s="59">
        <f t="shared" si="2"/>
        <v>-227.19986207675399</v>
      </c>
    </row>
    <row r="51" spans="2:8">
      <c r="B51" s="56">
        <v>35</v>
      </c>
      <c r="C51" s="58">
        <f t="shared" si="6"/>
        <v>3481.7381884951078</v>
      </c>
      <c r="D51" s="51">
        <f t="shared" si="4"/>
        <v>17.826499525094953</v>
      </c>
      <c r="E51" s="58">
        <f t="shared" si="0"/>
        <v>209.37336255165903</v>
      </c>
      <c r="F51" s="58">
        <f t="shared" si="7"/>
        <v>3272.364825943449</v>
      </c>
      <c r="G51" s="58">
        <f t="shared" si="1"/>
        <v>0</v>
      </c>
      <c r="H51" s="59">
        <f t="shared" si="2"/>
        <v>-227.19986207675399</v>
      </c>
    </row>
    <row r="52" spans="2:8">
      <c r="B52" s="56">
        <v>36</v>
      </c>
      <c r="C52" s="58">
        <f t="shared" si="6"/>
        <v>3272.364825943449</v>
      </c>
      <c r="D52" s="51">
        <f t="shared" si="4"/>
        <v>16.754507908830462</v>
      </c>
      <c r="E52" s="58">
        <f t="shared" si="0"/>
        <v>210.44535416792354</v>
      </c>
      <c r="F52" s="58">
        <f t="shared" si="7"/>
        <v>3061.9194717755254</v>
      </c>
      <c r="G52" s="58">
        <f t="shared" si="1"/>
        <v>0</v>
      </c>
      <c r="H52" s="59">
        <f t="shared" si="2"/>
        <v>-227.19986207675399</v>
      </c>
    </row>
    <row r="53" spans="2:8">
      <c r="B53" s="56">
        <v>37</v>
      </c>
      <c r="C53" s="58">
        <f t="shared" si="6"/>
        <v>3061.9194717755254</v>
      </c>
      <c r="D53" s="51">
        <f t="shared" si="4"/>
        <v>15.67702769549069</v>
      </c>
      <c r="E53" s="58">
        <f t="shared" si="0"/>
        <v>211.52283438126329</v>
      </c>
      <c r="F53" s="58">
        <f t="shared" si="7"/>
        <v>2850.3966373942621</v>
      </c>
      <c r="G53" s="58">
        <f t="shared" si="1"/>
        <v>0</v>
      </c>
      <c r="H53" s="59">
        <f t="shared" si="2"/>
        <v>-227.19986207675399</v>
      </c>
    </row>
    <row r="54" spans="2:8">
      <c r="B54" s="56">
        <v>38</v>
      </c>
      <c r="C54" s="58">
        <f t="shared" si="6"/>
        <v>2850.3966373942621</v>
      </c>
      <c r="D54" s="51">
        <f t="shared" si="4"/>
        <v>14.594030783458622</v>
      </c>
      <c r="E54" s="58">
        <f t="shared" si="0"/>
        <v>212.60583129329535</v>
      </c>
      <c r="F54" s="58">
        <f t="shared" si="7"/>
        <v>2637.7908061009666</v>
      </c>
      <c r="G54" s="58">
        <f t="shared" si="1"/>
        <v>0</v>
      </c>
      <c r="H54" s="59">
        <f t="shared" si="2"/>
        <v>-227.19986207675399</v>
      </c>
    </row>
    <row r="55" spans="2:8">
      <c r="B55" s="56">
        <v>39</v>
      </c>
      <c r="C55" s="58">
        <f t="shared" si="6"/>
        <v>2637.7908061009666</v>
      </c>
      <c r="D55" s="51">
        <f t="shared" si="4"/>
        <v>13.50548892723695</v>
      </c>
      <c r="E55" s="58">
        <f t="shared" si="0"/>
        <v>213.69437314951705</v>
      </c>
      <c r="F55" s="58">
        <f t="shared" si="7"/>
        <v>2424.0964329514495</v>
      </c>
      <c r="G55" s="58">
        <f t="shared" si="1"/>
        <v>0</v>
      </c>
      <c r="H55" s="59">
        <f t="shared" si="2"/>
        <v>-227.19986207675399</v>
      </c>
    </row>
    <row r="56" spans="2:8">
      <c r="B56" s="56">
        <v>40</v>
      </c>
      <c r="C56" s="58">
        <f t="shared" si="6"/>
        <v>2424.0964329514495</v>
      </c>
      <c r="D56" s="51">
        <f t="shared" si="4"/>
        <v>12.41137373671142</v>
      </c>
      <c r="E56" s="58">
        <f t="shared" si="0"/>
        <v>214.78848834004256</v>
      </c>
      <c r="F56" s="58">
        <f t="shared" si="7"/>
        <v>2209.307944611407</v>
      </c>
      <c r="G56" s="58">
        <f t="shared" si="1"/>
        <v>0</v>
      </c>
      <c r="H56" s="59">
        <f t="shared" si="2"/>
        <v>-227.19986207675399</v>
      </c>
    </row>
    <row r="57" spans="2:8">
      <c r="B57" s="56">
        <v>41</v>
      </c>
      <c r="C57" s="58">
        <f t="shared" si="6"/>
        <v>2209.307944611407</v>
      </c>
      <c r="D57" s="51">
        <f t="shared" si="4"/>
        <v>11.311656676410404</v>
      </c>
      <c r="E57" s="58">
        <f t="shared" si="0"/>
        <v>215.88820540034359</v>
      </c>
      <c r="F57" s="58">
        <f t="shared" si="7"/>
        <v>1993.4197392110634</v>
      </c>
      <c r="G57" s="58">
        <f t="shared" si="1"/>
        <v>0</v>
      </c>
      <c r="H57" s="59">
        <f t="shared" si="2"/>
        <v>-227.19986207675399</v>
      </c>
    </row>
    <row r="58" spans="2:8">
      <c r="B58" s="56">
        <v>42</v>
      </c>
      <c r="C58" s="58">
        <f t="shared" si="6"/>
        <v>1993.4197392110634</v>
      </c>
      <c r="D58" s="51">
        <f t="shared" si="4"/>
        <v>10.206309064760646</v>
      </c>
      <c r="E58" s="58">
        <f t="shared" si="0"/>
        <v>216.99355301199336</v>
      </c>
      <c r="F58" s="58">
        <f t="shared" si="7"/>
        <v>1776.4261861990701</v>
      </c>
      <c r="G58" s="58">
        <f t="shared" si="1"/>
        <v>0</v>
      </c>
      <c r="H58" s="59">
        <f t="shared" si="2"/>
        <v>-227.19986207675399</v>
      </c>
    </row>
    <row r="59" spans="2:8">
      <c r="B59" s="56">
        <v>43</v>
      </c>
      <c r="C59" s="58">
        <f t="shared" si="6"/>
        <v>1776.4261861990701</v>
      </c>
      <c r="D59" s="51">
        <f t="shared" si="4"/>
        <v>9.0953020733392389</v>
      </c>
      <c r="E59" s="58">
        <f t="shared" si="0"/>
        <v>218.10456000341475</v>
      </c>
      <c r="F59" s="58">
        <f t="shared" si="7"/>
        <v>1558.3216261956554</v>
      </c>
      <c r="G59" s="58">
        <f t="shared" si="1"/>
        <v>0</v>
      </c>
      <c r="H59" s="59">
        <f t="shared" si="2"/>
        <v>-227.19986207675399</v>
      </c>
    </row>
    <row r="60" spans="2:8">
      <c r="B60" s="56">
        <v>44</v>
      </c>
      <c r="C60" s="58">
        <f t="shared" si="6"/>
        <v>1558.3216261956554</v>
      </c>
      <c r="D60" s="51">
        <f t="shared" si="4"/>
        <v>7.9786067261217557</v>
      </c>
      <c r="E60" s="58">
        <f t="shared" si="0"/>
        <v>219.22125535063222</v>
      </c>
      <c r="F60" s="58">
        <f t="shared" si="7"/>
        <v>1339.1003708450232</v>
      </c>
      <c r="G60" s="58">
        <f>-$D$9+IF(B60=$D$7,($D$4*$D$5),0)+IF(B60=$D$7,($D$10),0)</f>
        <v>0</v>
      </c>
      <c r="H60" s="59">
        <f>IF(B60&lt;=$D$7,(-$D$8+G60),"")</f>
        <v>-227.19986207675399</v>
      </c>
    </row>
    <row r="61" spans="2:8">
      <c r="B61" s="56">
        <v>45</v>
      </c>
      <c r="C61" s="58">
        <f t="shared" si="6"/>
        <v>1339.1003708450232</v>
      </c>
      <c r="D61" s="51">
        <f t="shared" si="4"/>
        <v>6.8561938987265192</v>
      </c>
      <c r="E61" s="58">
        <f t="shared" si="0"/>
        <v>220.34366817802746</v>
      </c>
      <c r="F61" s="60">
        <f t="shared" si="7"/>
        <v>1118.7567026669958</v>
      </c>
      <c r="G61" s="58">
        <f t="shared" si="1"/>
        <v>0</v>
      </c>
      <c r="H61" s="59">
        <f t="shared" si="2"/>
        <v>-227.19986207675399</v>
      </c>
    </row>
    <row r="62" spans="2:8">
      <c r="B62" s="56">
        <v>46</v>
      </c>
      <c r="C62" s="58">
        <f t="shared" si="6"/>
        <v>1118.7567026669958</v>
      </c>
      <c r="D62" s="51">
        <f t="shared" si="4"/>
        <v>5.7280343176550188</v>
      </c>
      <c r="E62" s="58">
        <f t="shared" si="0"/>
        <v>221.47182775909897</v>
      </c>
      <c r="F62" s="58">
        <f>C62-E62</f>
        <v>897.28487490789689</v>
      </c>
      <c r="G62" s="58">
        <f t="shared" si="1"/>
        <v>0</v>
      </c>
      <c r="H62" s="59">
        <f t="shared" si="2"/>
        <v>-227.19986207675399</v>
      </c>
    </row>
    <row r="63" spans="2:8">
      <c r="B63" s="56">
        <v>47</v>
      </c>
      <c r="C63" s="58">
        <f t="shared" si="6"/>
        <v>897.28487490789689</v>
      </c>
      <c r="D63" s="51">
        <f t="shared" si="4"/>
        <v>4.5940985595284323</v>
      </c>
      <c r="E63" s="58">
        <f t="shared" si="0"/>
        <v>222.60576351722557</v>
      </c>
      <c r="F63" s="58">
        <f t="shared" si="7"/>
        <v>674.67911139067132</v>
      </c>
      <c r="G63" s="58">
        <f t="shared" si="1"/>
        <v>0</v>
      </c>
      <c r="H63" s="59">
        <f t="shared" si="2"/>
        <v>-227.19986207675399</v>
      </c>
    </row>
    <row r="64" spans="2:8">
      <c r="B64" s="56">
        <v>48</v>
      </c>
      <c r="C64" s="58">
        <f t="shared" si="6"/>
        <v>674.67911139067132</v>
      </c>
      <c r="D64" s="51">
        <f t="shared" si="4"/>
        <v>3.4543570503202377</v>
      </c>
      <c r="E64" s="58">
        <f t="shared" si="0"/>
        <v>223.74550502643376</v>
      </c>
      <c r="F64" s="58">
        <f t="shared" si="7"/>
        <v>450.93360636423756</v>
      </c>
      <c r="G64" s="58">
        <f t="shared" si="1"/>
        <v>0</v>
      </c>
      <c r="H64" s="59">
        <f t="shared" si="2"/>
        <v>-227.19986207675399</v>
      </c>
    </row>
    <row r="65" spans="2:8">
      <c r="B65" s="56">
        <v>49</v>
      </c>
      <c r="C65" s="58">
        <f t="shared" si="6"/>
        <v>450.93360636423756</v>
      </c>
      <c r="D65" s="51">
        <f t="shared" si="4"/>
        <v>2.3087800645848962</v>
      </c>
      <c r="E65" s="58">
        <f t="shared" si="0"/>
        <v>224.89108201216908</v>
      </c>
      <c r="F65" s="58">
        <f t="shared" si="7"/>
        <v>226.04252435206848</v>
      </c>
      <c r="G65" s="58">
        <f t="shared" si="1"/>
        <v>0</v>
      </c>
      <c r="H65" s="59">
        <f t="shared" si="2"/>
        <v>-227.19986207675399</v>
      </c>
    </row>
    <row r="66" spans="2:8">
      <c r="B66" s="56">
        <v>50</v>
      </c>
      <c r="C66" s="58">
        <f t="shared" si="6"/>
        <v>226.04252435206848</v>
      </c>
      <c r="D66" s="51">
        <f t="shared" si="4"/>
        <v>1.1573377246825907</v>
      </c>
      <c r="E66" s="58">
        <f t="shared" si="0"/>
        <v>226.04252435207141</v>
      </c>
      <c r="F66" s="58">
        <f t="shared" si="7"/>
        <v>-2.9274360713316128E-12</v>
      </c>
      <c r="G66" s="58">
        <f t="shared" si="1"/>
        <v>0</v>
      </c>
      <c r="H66" s="59">
        <f t="shared" si="2"/>
        <v>-227.19986207675399</v>
      </c>
    </row>
    <row r="67" spans="2:8">
      <c r="B67" s="36"/>
      <c r="C67" s="61"/>
      <c r="D67" s="62"/>
      <c r="E67" s="61"/>
      <c r="F67" s="61"/>
      <c r="G67" s="36"/>
      <c r="H67" s="61"/>
    </row>
    <row r="68" spans="2:8">
      <c r="C68" s="2" t="s">
        <v>13</v>
      </c>
    </row>
    <row r="69" spans="2:8">
      <c r="C69" s="2" t="s">
        <v>14</v>
      </c>
      <c r="H69" s="6">
        <f>G2*52</f>
        <v>0.29165586496754425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B1:K69"/>
  <sheetViews>
    <sheetView workbookViewId="0">
      <selection activeCell="D7" sqref="D7"/>
    </sheetView>
  </sheetViews>
  <sheetFormatPr defaultRowHeight="15"/>
  <cols>
    <col min="1" max="2" width="9.140625" style="2"/>
    <col min="3" max="3" width="26.42578125" style="2" customWidth="1"/>
    <col min="4" max="4" width="10.5703125" style="2" bestFit="1" customWidth="1"/>
    <col min="5" max="5" width="13.140625" style="2" bestFit="1" customWidth="1"/>
    <col min="6" max="6" width="13.140625" style="2" customWidth="1"/>
    <col min="7" max="7" width="14.7109375" style="2" bestFit="1" customWidth="1"/>
    <col min="8" max="10" width="9.140625" style="2"/>
    <col min="11" max="11" width="13" style="2" customWidth="1"/>
    <col min="12" max="16384" width="9.140625" style="2"/>
  </cols>
  <sheetData>
    <row r="1" spans="2:11" ht="15.75" thickBot="1"/>
    <row r="2" spans="2:11" ht="15.75" thickBot="1">
      <c r="C2" s="64" t="s">
        <v>44</v>
      </c>
      <c r="F2" s="47" t="s">
        <v>45</v>
      </c>
      <c r="G2" s="48">
        <f>IRR(H16:H66,0)</f>
        <v>6.5330587713920973E-3</v>
      </c>
    </row>
    <row r="3" spans="2:11">
      <c r="F3" s="47" t="s">
        <v>17</v>
      </c>
      <c r="G3" s="48">
        <f>G2*D7</f>
        <v>0.32665293856960487</v>
      </c>
      <c r="I3" s="63"/>
    </row>
    <row r="4" spans="2:11">
      <c r="C4" s="2" t="s">
        <v>46</v>
      </c>
      <c r="D4" s="22">
        <v>10000</v>
      </c>
      <c r="F4" s="47" t="s">
        <v>47</v>
      </c>
      <c r="G4" s="49">
        <f>G2*52</f>
        <v>0.33971905611238906</v>
      </c>
    </row>
    <row r="5" spans="2:11">
      <c r="C5" s="2" t="s">
        <v>1</v>
      </c>
      <c r="D5" s="4">
        <v>0</v>
      </c>
      <c r="F5" s="50" t="s">
        <v>48</v>
      </c>
      <c r="G5" s="51">
        <f>SUM(D17:D66)</f>
        <v>1615.8301692783655</v>
      </c>
    </row>
    <row r="6" spans="2:11">
      <c r="C6" s="2" t="s">
        <v>2</v>
      </c>
      <c r="D6" s="5">
        <v>0.30199999999999999</v>
      </c>
      <c r="G6" s="52"/>
    </row>
    <row r="7" spans="2:11">
      <c r="C7" s="2" t="s">
        <v>5</v>
      </c>
      <c r="D7" s="53">
        <v>50</v>
      </c>
      <c r="K7" s="5"/>
    </row>
    <row r="8" spans="2:11">
      <c r="C8" s="2" t="s">
        <v>6</v>
      </c>
      <c r="D8" s="54">
        <f>-PMT(D6/D7,D7,D4,0,0)</f>
        <v>232.31660338556736</v>
      </c>
      <c r="K8" s="5"/>
    </row>
    <row r="9" spans="2:11">
      <c r="C9" s="2" t="s">
        <v>49</v>
      </c>
      <c r="D9" s="55">
        <v>0</v>
      </c>
      <c r="K9" s="5"/>
    </row>
    <row r="10" spans="2:11">
      <c r="C10" s="2" t="s">
        <v>16</v>
      </c>
      <c r="D10" s="55">
        <v>0</v>
      </c>
      <c r="K10" s="5"/>
    </row>
    <row r="11" spans="2:11">
      <c r="C11" s="2" t="s">
        <v>19</v>
      </c>
      <c r="D11" s="55">
        <f>(D4*1%+30)/(1+10.3%)</f>
        <v>117.86038077969175</v>
      </c>
      <c r="K11" s="5"/>
    </row>
    <row r="12" spans="2:11" ht="15.75" thickBot="1">
      <c r="K12" s="5"/>
    </row>
    <row r="13" spans="2:11" ht="15.75" thickBot="1">
      <c r="C13" s="64" t="s">
        <v>15</v>
      </c>
      <c r="K13" s="5"/>
    </row>
    <row r="14" spans="2:11" ht="15.75" thickBot="1">
      <c r="C14" s="65"/>
      <c r="K14" s="5"/>
    </row>
    <row r="15" spans="2:11">
      <c r="B15" s="32" t="s">
        <v>50</v>
      </c>
      <c r="C15" s="66" t="s">
        <v>3</v>
      </c>
      <c r="D15" s="33" t="s">
        <v>4</v>
      </c>
      <c r="E15" s="33" t="s">
        <v>7</v>
      </c>
      <c r="F15" s="33" t="s">
        <v>8</v>
      </c>
      <c r="G15" s="33" t="s">
        <v>10</v>
      </c>
      <c r="H15" s="34" t="s">
        <v>11</v>
      </c>
      <c r="K15" s="5"/>
    </row>
    <row r="16" spans="2:11">
      <c r="B16" s="56">
        <v>0</v>
      </c>
      <c r="C16" s="47">
        <f>D4</f>
        <v>10000</v>
      </c>
      <c r="D16" s="47"/>
      <c r="E16" s="47"/>
      <c r="F16" s="47"/>
      <c r="G16" s="47">
        <f>-D4*D5</f>
        <v>0</v>
      </c>
      <c r="H16" s="57">
        <f>C16+G16-D11</f>
        <v>9882.1396192203083</v>
      </c>
      <c r="K16" s="5"/>
    </row>
    <row r="17" spans="2:8">
      <c r="B17" s="56">
        <v>1</v>
      </c>
      <c r="C17" s="47">
        <f>D4</f>
        <v>10000</v>
      </c>
      <c r="D17" s="51">
        <f>C17*$D$6/$D$7</f>
        <v>60.4</v>
      </c>
      <c r="E17" s="58">
        <f>IF(B17&lt;=$D$7,$D$8,0)-D17</f>
        <v>171.91660338556736</v>
      </c>
      <c r="F17" s="58">
        <f>C17-E17</f>
        <v>9828.0833966144328</v>
      </c>
      <c r="G17" s="58">
        <f>-$D$9+IF(B17=$D$7,($D$4*$D$5),0)+IF(B17=$D$7,($D$10),0)</f>
        <v>0</v>
      </c>
      <c r="H17" s="59">
        <f>IF(B17&lt;=$D$7,(-$D$8+G17),"")</f>
        <v>-232.31660338556736</v>
      </c>
    </row>
    <row r="18" spans="2:8">
      <c r="B18" s="56">
        <v>2</v>
      </c>
      <c r="C18" s="58">
        <f>F17</f>
        <v>9828.0833966144328</v>
      </c>
      <c r="D18" s="51">
        <f>C18*$D$6/$D$7</f>
        <v>59.361623715551168</v>
      </c>
      <c r="E18" s="58">
        <f t="shared" ref="E18:E66" si="0">IF(B18&lt;=$D$7,$D$8,0)-D18</f>
        <v>172.9549796700162</v>
      </c>
      <c r="F18" s="58">
        <f>C18-E18</f>
        <v>9655.128416944417</v>
      </c>
      <c r="G18" s="58">
        <f t="shared" ref="G18:G66" si="1">-$D$9+IF(B18=$D$7,($D$4*$D$5),0)+IF(B18=$D$7,($D$10),0)</f>
        <v>0</v>
      </c>
      <c r="H18" s="59">
        <f t="shared" ref="H18:H66" si="2">IF(B18&lt;=$D$7,(-$D$8+G18),"")</f>
        <v>-232.31660338556736</v>
      </c>
    </row>
    <row r="19" spans="2:8">
      <c r="B19" s="56">
        <v>3</v>
      </c>
      <c r="C19" s="58">
        <f t="shared" ref="C19:C26" si="3">F18</f>
        <v>9655.128416944417</v>
      </c>
      <c r="D19" s="51">
        <f t="shared" ref="D19:D66" si="4">C19*$D$6/$D$7</f>
        <v>58.316975638344275</v>
      </c>
      <c r="E19" s="58">
        <f t="shared" si="0"/>
        <v>173.99962774722309</v>
      </c>
      <c r="F19" s="58">
        <f t="shared" ref="F19:F26" si="5">C19-E19</f>
        <v>9481.1287891971933</v>
      </c>
      <c r="G19" s="58">
        <f t="shared" si="1"/>
        <v>0</v>
      </c>
      <c r="H19" s="59">
        <f t="shared" si="2"/>
        <v>-232.31660338556736</v>
      </c>
    </row>
    <row r="20" spans="2:8">
      <c r="B20" s="56">
        <v>4</v>
      </c>
      <c r="C20" s="58">
        <f t="shared" si="3"/>
        <v>9481.1287891971933</v>
      </c>
      <c r="D20" s="51">
        <f t="shared" si="4"/>
        <v>57.266017886751044</v>
      </c>
      <c r="E20" s="58">
        <f t="shared" si="0"/>
        <v>175.0505854988163</v>
      </c>
      <c r="F20" s="58">
        <f t="shared" si="5"/>
        <v>9306.0782036983765</v>
      </c>
      <c r="G20" s="58">
        <f t="shared" si="1"/>
        <v>0</v>
      </c>
      <c r="H20" s="59">
        <f t="shared" si="2"/>
        <v>-232.31660338556736</v>
      </c>
    </row>
    <row r="21" spans="2:8">
      <c r="B21" s="56">
        <v>5</v>
      </c>
      <c r="C21" s="58">
        <f t="shared" si="3"/>
        <v>9306.0782036983765</v>
      </c>
      <c r="D21" s="51">
        <f t="shared" si="4"/>
        <v>56.208712350338189</v>
      </c>
      <c r="E21" s="58">
        <f t="shared" si="0"/>
        <v>176.10789103522916</v>
      </c>
      <c r="F21" s="58">
        <f t="shared" si="5"/>
        <v>9129.9703126631466</v>
      </c>
      <c r="G21" s="58">
        <f t="shared" si="1"/>
        <v>0</v>
      </c>
      <c r="H21" s="59">
        <f t="shared" si="2"/>
        <v>-232.31660338556736</v>
      </c>
    </row>
    <row r="22" spans="2:8">
      <c r="B22" s="56">
        <v>6</v>
      </c>
      <c r="C22" s="58">
        <f t="shared" si="3"/>
        <v>9129.9703126631466</v>
      </c>
      <c r="D22" s="51">
        <f t="shared" si="4"/>
        <v>55.145020688485403</v>
      </c>
      <c r="E22" s="58">
        <f t="shared" si="0"/>
        <v>177.17158269708196</v>
      </c>
      <c r="F22" s="58">
        <f t="shared" si="5"/>
        <v>8952.7987299660654</v>
      </c>
      <c r="G22" s="58">
        <f t="shared" si="1"/>
        <v>0</v>
      </c>
      <c r="H22" s="59">
        <f t="shared" si="2"/>
        <v>-232.31660338556736</v>
      </c>
    </row>
    <row r="23" spans="2:8">
      <c r="B23" s="56">
        <v>7</v>
      </c>
      <c r="C23" s="58">
        <f t="shared" si="3"/>
        <v>8952.7987299660654</v>
      </c>
      <c r="D23" s="51">
        <f t="shared" si="4"/>
        <v>54.074904328995032</v>
      </c>
      <c r="E23" s="58">
        <f t="shared" si="0"/>
        <v>178.24169905657232</v>
      </c>
      <c r="F23" s="58">
        <f t="shared" si="5"/>
        <v>8774.5570309094928</v>
      </c>
      <c r="G23" s="58">
        <f t="shared" si="1"/>
        <v>0</v>
      </c>
      <c r="H23" s="59">
        <f t="shared" si="2"/>
        <v>-232.31660338556736</v>
      </c>
    </row>
    <row r="24" spans="2:8">
      <c r="B24" s="56">
        <v>8</v>
      </c>
      <c r="C24" s="58">
        <f t="shared" si="3"/>
        <v>8774.5570309094928</v>
      </c>
      <c r="D24" s="51">
        <f t="shared" si="4"/>
        <v>52.99832446669334</v>
      </c>
      <c r="E24" s="58">
        <f t="shared" si="0"/>
        <v>179.31827891887403</v>
      </c>
      <c r="F24" s="58">
        <f t="shared" si="5"/>
        <v>8595.2387519906188</v>
      </c>
      <c r="G24" s="58">
        <f t="shared" si="1"/>
        <v>0</v>
      </c>
      <c r="H24" s="59">
        <f t="shared" si="2"/>
        <v>-232.31660338556736</v>
      </c>
    </row>
    <row r="25" spans="2:8">
      <c r="B25" s="56">
        <v>9</v>
      </c>
      <c r="C25" s="58">
        <f t="shared" si="3"/>
        <v>8595.2387519906188</v>
      </c>
      <c r="D25" s="51">
        <f t="shared" si="4"/>
        <v>51.915242062023339</v>
      </c>
      <c r="E25" s="58">
        <f t="shared" si="0"/>
        <v>180.40136132354402</v>
      </c>
      <c r="F25" s="58">
        <f t="shared" si="5"/>
        <v>8414.8373906670749</v>
      </c>
      <c r="G25" s="58">
        <f t="shared" si="1"/>
        <v>0</v>
      </c>
      <c r="H25" s="59">
        <f t="shared" si="2"/>
        <v>-232.31660338556736</v>
      </c>
    </row>
    <row r="26" spans="2:8">
      <c r="B26" s="56">
        <v>10</v>
      </c>
      <c r="C26" s="58">
        <f t="shared" si="3"/>
        <v>8414.8373906670749</v>
      </c>
      <c r="D26" s="51">
        <f t="shared" si="4"/>
        <v>50.825617839629132</v>
      </c>
      <c r="E26" s="58">
        <f t="shared" si="0"/>
        <v>181.49098554593823</v>
      </c>
      <c r="F26" s="58">
        <f t="shared" si="5"/>
        <v>8233.3464051211358</v>
      </c>
      <c r="G26" s="58">
        <f t="shared" si="1"/>
        <v>0</v>
      </c>
      <c r="H26" s="59">
        <f t="shared" si="2"/>
        <v>-232.31660338556736</v>
      </c>
    </row>
    <row r="27" spans="2:8">
      <c r="B27" s="56">
        <v>11</v>
      </c>
      <c r="C27" s="58">
        <f>F26</f>
        <v>8233.3464051211358</v>
      </c>
      <c r="D27" s="51">
        <f>C27*$D$6/$D$7</f>
        <v>49.729412286931655</v>
      </c>
      <c r="E27" s="58">
        <f t="shared" si="0"/>
        <v>182.58719109863571</v>
      </c>
      <c r="F27" s="58">
        <f>C27-E27</f>
        <v>8050.7592140224997</v>
      </c>
      <c r="G27" s="58">
        <f t="shared" si="1"/>
        <v>0</v>
      </c>
      <c r="H27" s="59">
        <f t="shared" si="2"/>
        <v>-232.31660338556736</v>
      </c>
    </row>
    <row r="28" spans="2:8">
      <c r="B28" s="56">
        <v>12</v>
      </c>
      <c r="C28" s="58">
        <f>F27</f>
        <v>8050.7592140224997</v>
      </c>
      <c r="D28" s="51">
        <f t="shared" si="4"/>
        <v>48.626585652695894</v>
      </c>
      <c r="E28" s="58">
        <f t="shared" si="0"/>
        <v>183.69001773287147</v>
      </c>
      <c r="F28" s="58">
        <f>C28-E28</f>
        <v>7867.0691962896281</v>
      </c>
      <c r="G28" s="58">
        <f t="shared" si="1"/>
        <v>0</v>
      </c>
      <c r="H28" s="59">
        <f t="shared" si="2"/>
        <v>-232.31660338556736</v>
      </c>
    </row>
    <row r="29" spans="2:8">
      <c r="B29" s="56">
        <v>13</v>
      </c>
      <c r="C29" s="58">
        <f t="shared" ref="C29:C66" si="6">F28</f>
        <v>7867.0691962896281</v>
      </c>
      <c r="D29" s="51">
        <f t="shared" si="4"/>
        <v>47.517097945589349</v>
      </c>
      <c r="E29" s="58">
        <f t="shared" si="0"/>
        <v>184.79950543997802</v>
      </c>
      <c r="F29" s="58">
        <f t="shared" ref="F29:F66" si="7">C29-E29</f>
        <v>7682.26969084965</v>
      </c>
      <c r="G29" s="58">
        <f t="shared" si="1"/>
        <v>0</v>
      </c>
      <c r="H29" s="59">
        <f t="shared" si="2"/>
        <v>-232.31660338556736</v>
      </c>
    </row>
    <row r="30" spans="2:8">
      <c r="B30" s="56">
        <v>14</v>
      </c>
      <c r="C30" s="58">
        <f t="shared" si="6"/>
        <v>7682.26969084965</v>
      </c>
      <c r="D30" s="51">
        <f t="shared" si="4"/>
        <v>46.40090893273188</v>
      </c>
      <c r="E30" s="58">
        <f t="shared" si="0"/>
        <v>185.91569445283548</v>
      </c>
      <c r="F30" s="58">
        <f t="shared" si="7"/>
        <v>7496.3539963968142</v>
      </c>
      <c r="G30" s="58">
        <f t="shared" si="1"/>
        <v>0</v>
      </c>
      <c r="H30" s="59">
        <f t="shared" si="2"/>
        <v>-232.31660338556736</v>
      </c>
    </row>
    <row r="31" spans="2:8">
      <c r="B31" s="56">
        <v>15</v>
      </c>
      <c r="C31" s="58">
        <f t="shared" si="6"/>
        <v>7496.3539963968142</v>
      </c>
      <c r="D31" s="51">
        <f t="shared" si="4"/>
        <v>45.277978138236762</v>
      </c>
      <c r="E31" s="58">
        <f t="shared" si="0"/>
        <v>187.0386252473306</v>
      </c>
      <c r="F31" s="58">
        <f t="shared" si="7"/>
        <v>7309.3153711494833</v>
      </c>
      <c r="G31" s="58">
        <f t="shared" si="1"/>
        <v>0</v>
      </c>
      <c r="H31" s="59">
        <f t="shared" si="2"/>
        <v>-232.31660338556736</v>
      </c>
    </row>
    <row r="32" spans="2:8">
      <c r="B32" s="56">
        <v>16</v>
      </c>
      <c r="C32" s="58">
        <f t="shared" si="6"/>
        <v>7309.3153711494833</v>
      </c>
      <c r="D32" s="51">
        <f t="shared" si="4"/>
        <v>44.148264841742872</v>
      </c>
      <c r="E32" s="58">
        <f t="shared" si="0"/>
        <v>188.16833854382449</v>
      </c>
      <c r="F32" s="58">
        <f t="shared" si="7"/>
        <v>7121.1470326056588</v>
      </c>
      <c r="G32" s="58">
        <f t="shared" si="1"/>
        <v>0</v>
      </c>
      <c r="H32" s="59">
        <f t="shared" si="2"/>
        <v>-232.31660338556736</v>
      </c>
    </row>
    <row r="33" spans="2:8">
      <c r="B33" s="56">
        <v>17</v>
      </c>
      <c r="C33" s="58">
        <f t="shared" si="6"/>
        <v>7121.1470326056588</v>
      </c>
      <c r="D33" s="51">
        <f t="shared" si="4"/>
        <v>43.011728076938176</v>
      </c>
      <c r="E33" s="58">
        <f t="shared" si="0"/>
        <v>189.30487530862919</v>
      </c>
      <c r="F33" s="58">
        <f t="shared" si="7"/>
        <v>6931.8421572970292</v>
      </c>
      <c r="G33" s="58">
        <f t="shared" si="1"/>
        <v>0</v>
      </c>
      <c r="H33" s="59">
        <f t="shared" si="2"/>
        <v>-232.31660338556736</v>
      </c>
    </row>
    <row r="34" spans="2:8">
      <c r="B34" s="56">
        <v>18</v>
      </c>
      <c r="C34" s="58">
        <f t="shared" si="6"/>
        <v>6931.8421572970292</v>
      </c>
      <c r="D34" s="51">
        <f t="shared" si="4"/>
        <v>41.868326630074051</v>
      </c>
      <c r="E34" s="58">
        <f t="shared" si="0"/>
        <v>190.44827675549331</v>
      </c>
      <c r="F34" s="58">
        <f t="shared" si="7"/>
        <v>6741.3938805415355</v>
      </c>
      <c r="G34" s="58">
        <f t="shared" si="1"/>
        <v>0</v>
      </c>
      <c r="H34" s="59">
        <f t="shared" si="2"/>
        <v>-232.31660338556736</v>
      </c>
    </row>
    <row r="35" spans="2:8">
      <c r="B35" s="56">
        <v>19</v>
      </c>
      <c r="C35" s="58">
        <f t="shared" si="6"/>
        <v>6741.3938805415355</v>
      </c>
      <c r="D35" s="51">
        <f t="shared" si="4"/>
        <v>40.718019038470878</v>
      </c>
      <c r="E35" s="58">
        <f t="shared" si="0"/>
        <v>191.59858434709648</v>
      </c>
      <c r="F35" s="58">
        <f t="shared" si="7"/>
        <v>6549.7952961944393</v>
      </c>
      <c r="G35" s="58">
        <f t="shared" si="1"/>
        <v>0</v>
      </c>
      <c r="H35" s="59">
        <f t="shared" si="2"/>
        <v>-232.31660338556736</v>
      </c>
    </row>
    <row r="36" spans="2:8">
      <c r="B36" s="56">
        <v>20</v>
      </c>
      <c r="C36" s="58">
        <f t="shared" si="6"/>
        <v>6549.7952961944393</v>
      </c>
      <c r="D36" s="51">
        <f t="shared" si="4"/>
        <v>39.560763589014414</v>
      </c>
      <c r="E36" s="58">
        <f t="shared" si="0"/>
        <v>192.75583979655295</v>
      </c>
      <c r="F36" s="58">
        <f t="shared" si="7"/>
        <v>6357.0394563978862</v>
      </c>
      <c r="G36" s="58">
        <f t="shared" si="1"/>
        <v>0</v>
      </c>
      <c r="H36" s="59">
        <f t="shared" si="2"/>
        <v>-232.31660338556736</v>
      </c>
    </row>
    <row r="37" spans="2:8">
      <c r="B37" s="56">
        <v>21</v>
      </c>
      <c r="C37" s="58">
        <f t="shared" si="6"/>
        <v>6357.0394563978862</v>
      </c>
      <c r="D37" s="51">
        <f t="shared" si="4"/>
        <v>38.396518316643231</v>
      </c>
      <c r="E37" s="58">
        <f t="shared" si="0"/>
        <v>193.92008506892412</v>
      </c>
      <c r="F37" s="58">
        <f t="shared" si="7"/>
        <v>6163.1193713289622</v>
      </c>
      <c r="G37" s="58">
        <f t="shared" si="1"/>
        <v>0</v>
      </c>
      <c r="H37" s="59">
        <f t="shared" si="2"/>
        <v>-232.31660338556736</v>
      </c>
    </row>
    <row r="38" spans="2:8">
      <c r="B38" s="56">
        <v>22</v>
      </c>
      <c r="C38" s="58">
        <f t="shared" si="6"/>
        <v>6163.1193713289622</v>
      </c>
      <c r="D38" s="51">
        <f t="shared" si="4"/>
        <v>37.225241002826927</v>
      </c>
      <c r="E38" s="58">
        <f t="shared" si="0"/>
        <v>195.09136238274044</v>
      </c>
      <c r="F38" s="58">
        <f t="shared" si="7"/>
        <v>5968.0280089462221</v>
      </c>
      <c r="G38" s="58">
        <f t="shared" si="1"/>
        <v>0</v>
      </c>
      <c r="H38" s="59">
        <f t="shared" si="2"/>
        <v>-232.31660338556736</v>
      </c>
    </row>
    <row r="39" spans="2:8">
      <c r="B39" s="56">
        <v>23</v>
      </c>
      <c r="C39" s="58">
        <f t="shared" si="6"/>
        <v>5968.0280089462221</v>
      </c>
      <c r="D39" s="51">
        <f t="shared" si="4"/>
        <v>36.046889174035179</v>
      </c>
      <c r="E39" s="58">
        <f t="shared" si="0"/>
        <v>196.26971421153218</v>
      </c>
      <c r="F39" s="58">
        <f t="shared" si="7"/>
        <v>5771.75829473469</v>
      </c>
      <c r="G39" s="58">
        <f t="shared" si="1"/>
        <v>0</v>
      </c>
      <c r="H39" s="59">
        <f t="shared" si="2"/>
        <v>-232.31660338556736</v>
      </c>
    </row>
    <row r="40" spans="2:8">
      <c r="B40" s="56">
        <v>24</v>
      </c>
      <c r="C40" s="58">
        <f t="shared" si="6"/>
        <v>5771.75829473469</v>
      </c>
      <c r="D40" s="51">
        <f t="shared" si="4"/>
        <v>34.861420100197527</v>
      </c>
      <c r="E40" s="58">
        <f t="shared" si="0"/>
        <v>197.45518328536983</v>
      </c>
      <c r="F40" s="58">
        <f t="shared" si="7"/>
        <v>5574.3031114493206</v>
      </c>
      <c r="G40" s="58">
        <f t="shared" si="1"/>
        <v>0</v>
      </c>
      <c r="H40" s="59">
        <f t="shared" si="2"/>
        <v>-232.31660338556736</v>
      </c>
    </row>
    <row r="41" spans="2:8">
      <c r="B41" s="56">
        <v>25</v>
      </c>
      <c r="C41" s="58">
        <f t="shared" si="6"/>
        <v>5574.3031114493206</v>
      </c>
      <c r="D41" s="51">
        <f t="shared" si="4"/>
        <v>33.668790793153896</v>
      </c>
      <c r="E41" s="58">
        <f t="shared" si="0"/>
        <v>198.64781259241346</v>
      </c>
      <c r="F41" s="58">
        <f t="shared" si="7"/>
        <v>5375.6552988569074</v>
      </c>
      <c r="G41" s="58">
        <f t="shared" si="1"/>
        <v>0</v>
      </c>
      <c r="H41" s="59">
        <f t="shared" si="2"/>
        <v>-232.31660338556736</v>
      </c>
    </row>
    <row r="42" spans="2:8">
      <c r="B42" s="56">
        <v>26</v>
      </c>
      <c r="C42" s="58">
        <f t="shared" si="6"/>
        <v>5375.6552988569074</v>
      </c>
      <c r="D42" s="51">
        <f t="shared" si="4"/>
        <v>32.468958005095722</v>
      </c>
      <c r="E42" s="58">
        <f t="shared" si="0"/>
        <v>199.84764538047165</v>
      </c>
      <c r="F42" s="58">
        <f t="shared" si="7"/>
        <v>5175.8076534764359</v>
      </c>
      <c r="G42" s="58">
        <f t="shared" si="1"/>
        <v>0</v>
      </c>
      <c r="H42" s="59">
        <f t="shared" si="2"/>
        <v>-232.31660338556736</v>
      </c>
    </row>
    <row r="43" spans="2:8">
      <c r="B43" s="56">
        <v>27</v>
      </c>
      <c r="C43" s="58">
        <f t="shared" si="6"/>
        <v>5175.8076534764359</v>
      </c>
      <c r="D43" s="51">
        <f t="shared" si="4"/>
        <v>31.261878226997673</v>
      </c>
      <c r="E43" s="58">
        <f t="shared" si="0"/>
        <v>201.05472515856968</v>
      </c>
      <c r="F43" s="58">
        <f t="shared" si="7"/>
        <v>4974.7529283178665</v>
      </c>
      <c r="G43" s="58">
        <f t="shared" si="1"/>
        <v>0</v>
      </c>
      <c r="H43" s="59">
        <f t="shared" si="2"/>
        <v>-232.31660338556736</v>
      </c>
    </row>
    <row r="44" spans="2:8">
      <c r="B44" s="56">
        <v>28</v>
      </c>
      <c r="C44" s="58">
        <f t="shared" si="6"/>
        <v>4974.7529283178665</v>
      </c>
      <c r="D44" s="51">
        <f t="shared" si="4"/>
        <v>30.047507687039911</v>
      </c>
      <c r="E44" s="58">
        <f t="shared" si="0"/>
        <v>202.26909569852745</v>
      </c>
      <c r="F44" s="58">
        <f t="shared" si="7"/>
        <v>4772.4838326193394</v>
      </c>
      <c r="G44" s="58">
        <f t="shared" si="1"/>
        <v>0</v>
      </c>
      <c r="H44" s="59">
        <f t="shared" si="2"/>
        <v>-232.31660338556736</v>
      </c>
    </row>
    <row r="45" spans="2:8">
      <c r="B45" s="56">
        <v>29</v>
      </c>
      <c r="C45" s="58">
        <f t="shared" si="6"/>
        <v>4772.4838326193394</v>
      </c>
      <c r="D45" s="51">
        <f t="shared" si="4"/>
        <v>28.825802349020808</v>
      </c>
      <c r="E45" s="58">
        <f t="shared" si="0"/>
        <v>203.49080103654654</v>
      </c>
      <c r="F45" s="58">
        <f t="shared" si="7"/>
        <v>4568.9930315827933</v>
      </c>
      <c r="G45" s="58">
        <f t="shared" si="1"/>
        <v>0</v>
      </c>
      <c r="H45" s="59">
        <f t="shared" si="2"/>
        <v>-232.31660338556736</v>
      </c>
    </row>
    <row r="46" spans="2:8">
      <c r="B46" s="56">
        <v>30</v>
      </c>
      <c r="C46" s="58">
        <f t="shared" si="6"/>
        <v>4568.9930315827933</v>
      </c>
      <c r="D46" s="51">
        <f t="shared" si="4"/>
        <v>27.59671791076007</v>
      </c>
      <c r="E46" s="58">
        <f t="shared" si="0"/>
        <v>204.71988547480728</v>
      </c>
      <c r="F46" s="58">
        <f t="shared" si="7"/>
        <v>4364.2731461079857</v>
      </c>
      <c r="G46" s="58">
        <f t="shared" si="1"/>
        <v>0</v>
      </c>
      <c r="H46" s="59">
        <f t="shared" si="2"/>
        <v>-232.31660338556736</v>
      </c>
    </row>
    <row r="47" spans="2:8">
      <c r="B47" s="56">
        <v>31</v>
      </c>
      <c r="C47" s="58">
        <f t="shared" si="6"/>
        <v>4364.2731461079857</v>
      </c>
      <c r="D47" s="51">
        <f t="shared" si="4"/>
        <v>26.360209802492232</v>
      </c>
      <c r="E47" s="58">
        <f t="shared" si="0"/>
        <v>205.95639358307514</v>
      </c>
      <c r="F47" s="58">
        <f t="shared" si="7"/>
        <v>4158.316752524911</v>
      </c>
      <c r="G47" s="58">
        <f t="shared" si="1"/>
        <v>0</v>
      </c>
      <c r="H47" s="59">
        <f t="shared" si="2"/>
        <v>-232.31660338556736</v>
      </c>
    </row>
    <row r="48" spans="2:8">
      <c r="B48" s="56">
        <v>32</v>
      </c>
      <c r="C48" s="58">
        <f t="shared" si="6"/>
        <v>4158.316752524911</v>
      </c>
      <c r="D48" s="51">
        <f t="shared" si="4"/>
        <v>25.116233185250461</v>
      </c>
      <c r="E48" s="58">
        <f t="shared" si="0"/>
        <v>207.20037020031691</v>
      </c>
      <c r="F48" s="58">
        <f t="shared" si="7"/>
        <v>3951.1163823245943</v>
      </c>
      <c r="G48" s="58">
        <f t="shared" si="1"/>
        <v>0</v>
      </c>
      <c r="H48" s="59">
        <f t="shared" si="2"/>
        <v>-232.31660338556736</v>
      </c>
    </row>
    <row r="49" spans="2:8">
      <c r="B49" s="56">
        <v>33</v>
      </c>
      <c r="C49" s="58">
        <f t="shared" si="6"/>
        <v>3951.1163823245943</v>
      </c>
      <c r="D49" s="51">
        <f t="shared" si="4"/>
        <v>23.864742949240551</v>
      </c>
      <c r="E49" s="58">
        <f t="shared" si="0"/>
        <v>208.4518604363268</v>
      </c>
      <c r="F49" s="58">
        <f t="shared" si="7"/>
        <v>3742.6645218882677</v>
      </c>
      <c r="G49" s="58">
        <f t="shared" si="1"/>
        <v>0</v>
      </c>
      <c r="H49" s="59">
        <f t="shared" si="2"/>
        <v>-232.31660338556736</v>
      </c>
    </row>
    <row r="50" spans="2:8">
      <c r="B50" s="56">
        <v>34</v>
      </c>
      <c r="C50" s="58">
        <f t="shared" si="6"/>
        <v>3742.6645218882677</v>
      </c>
      <c r="D50" s="51">
        <f t="shared" si="4"/>
        <v>22.605693712205134</v>
      </c>
      <c r="E50" s="58">
        <f t="shared" si="0"/>
        <v>209.71090967336224</v>
      </c>
      <c r="F50" s="58">
        <f t="shared" si="7"/>
        <v>3532.9536122149057</v>
      </c>
      <c r="G50" s="58">
        <f t="shared" si="1"/>
        <v>0</v>
      </c>
      <c r="H50" s="59">
        <f t="shared" si="2"/>
        <v>-232.31660338556736</v>
      </c>
    </row>
    <row r="51" spans="2:8">
      <c r="B51" s="56">
        <v>35</v>
      </c>
      <c r="C51" s="58">
        <f t="shared" si="6"/>
        <v>3532.9536122149057</v>
      </c>
      <c r="D51" s="51">
        <f t="shared" si="4"/>
        <v>21.33903981777803</v>
      </c>
      <c r="E51" s="58">
        <f t="shared" si="0"/>
        <v>210.97756356778933</v>
      </c>
      <c r="F51" s="58">
        <f t="shared" si="7"/>
        <v>3321.9760486471164</v>
      </c>
      <c r="G51" s="58">
        <f t="shared" si="1"/>
        <v>0</v>
      </c>
      <c r="H51" s="59">
        <f t="shared" si="2"/>
        <v>-232.31660338556736</v>
      </c>
    </row>
    <row r="52" spans="2:8">
      <c r="B52" s="56">
        <v>36</v>
      </c>
      <c r="C52" s="58">
        <f t="shared" si="6"/>
        <v>3321.9760486471164</v>
      </c>
      <c r="D52" s="51">
        <f t="shared" si="4"/>
        <v>20.064735333828583</v>
      </c>
      <c r="E52" s="58">
        <f t="shared" si="0"/>
        <v>212.25186805173877</v>
      </c>
      <c r="F52" s="58">
        <f t="shared" si="7"/>
        <v>3109.7241805953777</v>
      </c>
      <c r="G52" s="58">
        <f t="shared" si="1"/>
        <v>0</v>
      </c>
      <c r="H52" s="59">
        <f t="shared" si="2"/>
        <v>-232.31660338556736</v>
      </c>
    </row>
    <row r="53" spans="2:8">
      <c r="B53" s="56">
        <v>37</v>
      </c>
      <c r="C53" s="58">
        <f t="shared" si="6"/>
        <v>3109.7241805953777</v>
      </c>
      <c r="D53" s="51">
        <f t="shared" si="4"/>
        <v>18.78273405079608</v>
      </c>
      <c r="E53" s="58">
        <f t="shared" si="0"/>
        <v>213.53386933477128</v>
      </c>
      <c r="F53" s="58">
        <f t="shared" si="7"/>
        <v>2896.1903112606064</v>
      </c>
      <c r="G53" s="58">
        <f t="shared" si="1"/>
        <v>0</v>
      </c>
      <c r="H53" s="59">
        <f t="shared" si="2"/>
        <v>-232.31660338556736</v>
      </c>
    </row>
    <row r="54" spans="2:8">
      <c r="B54" s="56">
        <v>38</v>
      </c>
      <c r="C54" s="58">
        <f t="shared" si="6"/>
        <v>2896.1903112606064</v>
      </c>
      <c r="D54" s="51">
        <f t="shared" si="4"/>
        <v>17.49298948001406</v>
      </c>
      <c r="E54" s="58">
        <f t="shared" si="0"/>
        <v>214.82361390555332</v>
      </c>
      <c r="F54" s="58">
        <f t="shared" si="7"/>
        <v>2681.366697355053</v>
      </c>
      <c r="G54" s="58">
        <f t="shared" si="1"/>
        <v>0</v>
      </c>
      <c r="H54" s="59">
        <f t="shared" si="2"/>
        <v>-232.31660338556736</v>
      </c>
    </row>
    <row r="55" spans="2:8">
      <c r="B55" s="56">
        <v>39</v>
      </c>
      <c r="C55" s="58">
        <f t="shared" si="6"/>
        <v>2681.366697355053</v>
      </c>
      <c r="D55" s="51">
        <f t="shared" si="4"/>
        <v>16.195454852024522</v>
      </c>
      <c r="E55" s="58">
        <f t="shared" si="0"/>
        <v>216.12114853354285</v>
      </c>
      <c r="F55" s="58">
        <f t="shared" si="7"/>
        <v>2465.2455488215101</v>
      </c>
      <c r="G55" s="58">
        <f t="shared" si="1"/>
        <v>0</v>
      </c>
      <c r="H55" s="59">
        <f t="shared" si="2"/>
        <v>-232.31660338556736</v>
      </c>
    </row>
    <row r="56" spans="2:8">
      <c r="B56" s="56">
        <v>40</v>
      </c>
      <c r="C56" s="58">
        <f t="shared" si="6"/>
        <v>2465.2455488215101</v>
      </c>
      <c r="D56" s="51">
        <f t="shared" si="4"/>
        <v>14.89008311488192</v>
      </c>
      <c r="E56" s="58">
        <f t="shared" si="0"/>
        <v>217.42652027068544</v>
      </c>
      <c r="F56" s="58">
        <f t="shared" si="7"/>
        <v>2247.8190285508244</v>
      </c>
      <c r="G56" s="58">
        <f t="shared" si="1"/>
        <v>0</v>
      </c>
      <c r="H56" s="59">
        <f t="shared" si="2"/>
        <v>-232.31660338556736</v>
      </c>
    </row>
    <row r="57" spans="2:8">
      <c r="B57" s="56">
        <v>41</v>
      </c>
      <c r="C57" s="58">
        <f t="shared" si="6"/>
        <v>2247.8190285508244</v>
      </c>
      <c r="D57" s="51">
        <f t="shared" si="4"/>
        <v>13.576826932446979</v>
      </c>
      <c r="E57" s="58">
        <f t="shared" si="0"/>
        <v>218.73977645312038</v>
      </c>
      <c r="F57" s="58">
        <f t="shared" si="7"/>
        <v>2029.0792520977041</v>
      </c>
      <c r="G57" s="58">
        <f t="shared" si="1"/>
        <v>0</v>
      </c>
      <c r="H57" s="59">
        <f t="shared" si="2"/>
        <v>-232.31660338556736</v>
      </c>
    </row>
    <row r="58" spans="2:8">
      <c r="B58" s="56">
        <v>42</v>
      </c>
      <c r="C58" s="58">
        <f t="shared" si="6"/>
        <v>2029.0792520977041</v>
      </c>
      <c r="D58" s="51">
        <f t="shared" si="4"/>
        <v>12.255638682670133</v>
      </c>
      <c r="E58" s="58">
        <f t="shared" si="0"/>
        <v>220.06096470289722</v>
      </c>
      <c r="F58" s="58">
        <f t="shared" si="7"/>
        <v>1809.0182873948067</v>
      </c>
      <c r="G58" s="58">
        <f t="shared" si="1"/>
        <v>0</v>
      </c>
      <c r="H58" s="59">
        <f t="shared" si="2"/>
        <v>-232.31660338556736</v>
      </c>
    </row>
    <row r="59" spans="2:8">
      <c r="B59" s="56">
        <v>43</v>
      </c>
      <c r="C59" s="58">
        <f t="shared" si="6"/>
        <v>1809.0182873948067</v>
      </c>
      <c r="D59" s="51">
        <f t="shared" si="4"/>
        <v>10.926470455864633</v>
      </c>
      <c r="E59" s="58">
        <f t="shared" si="0"/>
        <v>221.39013292970273</v>
      </c>
      <c r="F59" s="58">
        <f t="shared" si="7"/>
        <v>1587.628154465104</v>
      </c>
      <c r="G59" s="58">
        <f t="shared" si="1"/>
        <v>0</v>
      </c>
      <c r="H59" s="59">
        <f t="shared" si="2"/>
        <v>-232.31660338556736</v>
      </c>
    </row>
    <row r="60" spans="2:8">
      <c r="B60" s="56">
        <v>44</v>
      </c>
      <c r="C60" s="58">
        <f t="shared" si="6"/>
        <v>1587.628154465104</v>
      </c>
      <c r="D60" s="51">
        <f t="shared" si="4"/>
        <v>9.5892740529692269</v>
      </c>
      <c r="E60" s="58">
        <f t="shared" si="0"/>
        <v>222.72732933259815</v>
      </c>
      <c r="F60" s="58">
        <f t="shared" si="7"/>
        <v>1364.9008251325058</v>
      </c>
      <c r="G60" s="58">
        <f>-$D$9+IF(B60=$D$7,($D$4*$D$5),0)+IF(B60=$D$7,($D$10),0)</f>
        <v>0</v>
      </c>
      <c r="H60" s="59">
        <f>IF(B60&lt;=$D$7,(-$D$8+G60),"")</f>
        <v>-232.31660338556736</v>
      </c>
    </row>
    <row r="61" spans="2:8">
      <c r="B61" s="56">
        <v>45</v>
      </c>
      <c r="C61" s="58">
        <f t="shared" si="6"/>
        <v>1364.9008251325058</v>
      </c>
      <c r="D61" s="51">
        <f t="shared" si="4"/>
        <v>8.2440009838003352</v>
      </c>
      <c r="E61" s="58">
        <f t="shared" si="0"/>
        <v>224.07260240176703</v>
      </c>
      <c r="F61" s="60">
        <f t="shared" si="7"/>
        <v>1140.8282227307388</v>
      </c>
      <c r="G61" s="58">
        <f t="shared" si="1"/>
        <v>0</v>
      </c>
      <c r="H61" s="59">
        <f t="shared" si="2"/>
        <v>-232.31660338556736</v>
      </c>
    </row>
    <row r="62" spans="2:8">
      <c r="B62" s="56">
        <v>46</v>
      </c>
      <c r="C62" s="58">
        <f t="shared" si="6"/>
        <v>1140.8282227307388</v>
      </c>
      <c r="D62" s="51">
        <f t="shared" si="4"/>
        <v>6.8906024652936626</v>
      </c>
      <c r="E62" s="58">
        <f t="shared" si="0"/>
        <v>225.42600092027371</v>
      </c>
      <c r="F62" s="58">
        <f>C62-E62</f>
        <v>915.40222181046511</v>
      </c>
      <c r="G62" s="58">
        <f t="shared" si="1"/>
        <v>0</v>
      </c>
      <c r="H62" s="59">
        <f t="shared" si="2"/>
        <v>-232.31660338556736</v>
      </c>
    </row>
    <row r="63" spans="2:8">
      <c r="B63" s="56">
        <v>47</v>
      </c>
      <c r="C63" s="58">
        <f t="shared" si="6"/>
        <v>915.40222181046511</v>
      </c>
      <c r="D63" s="51">
        <f t="shared" si="4"/>
        <v>5.5290294197352088</v>
      </c>
      <c r="E63" s="58">
        <f t="shared" si="0"/>
        <v>226.78757396583217</v>
      </c>
      <c r="F63" s="58">
        <f t="shared" si="7"/>
        <v>688.61464784463294</v>
      </c>
      <c r="G63" s="58">
        <f t="shared" si="1"/>
        <v>0</v>
      </c>
      <c r="H63" s="59">
        <f t="shared" si="2"/>
        <v>-232.31660338556736</v>
      </c>
    </row>
    <row r="64" spans="2:8">
      <c r="B64" s="56">
        <v>48</v>
      </c>
      <c r="C64" s="58">
        <f t="shared" si="6"/>
        <v>688.61464784463294</v>
      </c>
      <c r="D64" s="51">
        <f t="shared" si="4"/>
        <v>4.1592324729815831</v>
      </c>
      <c r="E64" s="58">
        <f t="shared" si="0"/>
        <v>228.15737091258578</v>
      </c>
      <c r="F64" s="58">
        <f t="shared" si="7"/>
        <v>460.45727693204719</v>
      </c>
      <c r="G64" s="58">
        <f t="shared" si="1"/>
        <v>0</v>
      </c>
      <c r="H64" s="59">
        <f t="shared" si="2"/>
        <v>-232.31660338556736</v>
      </c>
    </row>
    <row r="65" spans="2:8">
      <c r="B65" s="56">
        <v>49</v>
      </c>
      <c r="C65" s="58">
        <f t="shared" si="6"/>
        <v>460.45727693204719</v>
      </c>
      <c r="D65" s="51">
        <f t="shared" si="4"/>
        <v>2.781161952669565</v>
      </c>
      <c r="E65" s="58">
        <f t="shared" si="0"/>
        <v>229.53544143289778</v>
      </c>
      <c r="F65" s="58">
        <f t="shared" si="7"/>
        <v>230.92183549914941</v>
      </c>
      <c r="G65" s="58">
        <f t="shared" si="1"/>
        <v>0</v>
      </c>
      <c r="H65" s="59">
        <f t="shared" si="2"/>
        <v>-232.31660338556736</v>
      </c>
    </row>
    <row r="66" spans="2:8">
      <c r="B66" s="56">
        <v>50</v>
      </c>
      <c r="C66" s="58">
        <f t="shared" si="6"/>
        <v>230.92183549914941</v>
      </c>
      <c r="D66" s="51">
        <f t="shared" si="4"/>
        <v>1.3947678864148625</v>
      </c>
      <c r="E66" s="58">
        <f t="shared" si="0"/>
        <v>230.92183549915251</v>
      </c>
      <c r="F66" s="58">
        <f t="shared" si="7"/>
        <v>-3.0979663279140368E-12</v>
      </c>
      <c r="G66" s="58">
        <f t="shared" si="1"/>
        <v>0</v>
      </c>
      <c r="H66" s="59">
        <f t="shared" si="2"/>
        <v>-232.31660338556736</v>
      </c>
    </row>
    <row r="67" spans="2:8">
      <c r="B67" s="36"/>
      <c r="C67" s="61"/>
      <c r="D67" s="62"/>
      <c r="E67" s="61"/>
      <c r="F67" s="61"/>
      <c r="G67" s="36"/>
      <c r="H67" s="61"/>
    </row>
    <row r="68" spans="2:8">
      <c r="C68" s="2" t="s">
        <v>13</v>
      </c>
    </row>
    <row r="69" spans="2:8">
      <c r="C69" s="2" t="s">
        <v>14</v>
      </c>
      <c r="H69" s="6">
        <f>G2*52</f>
        <v>0.33971905611238906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B1:K69"/>
  <sheetViews>
    <sheetView workbookViewId="0">
      <selection activeCell="D7" sqref="D7"/>
    </sheetView>
  </sheetViews>
  <sheetFormatPr defaultRowHeight="15"/>
  <cols>
    <col min="1" max="2" width="9.140625" style="2"/>
    <col min="3" max="3" width="26.42578125" style="2" customWidth="1"/>
    <col min="4" max="4" width="10.5703125" style="2" bestFit="1" customWidth="1"/>
    <col min="5" max="5" width="13.140625" style="2" bestFit="1" customWidth="1"/>
    <col min="6" max="6" width="13.140625" style="2" customWidth="1"/>
    <col min="7" max="7" width="14.7109375" style="2" bestFit="1" customWidth="1"/>
    <col min="8" max="10" width="9.140625" style="2"/>
    <col min="11" max="11" width="13" style="2" customWidth="1"/>
    <col min="12" max="16384" width="9.140625" style="2"/>
  </cols>
  <sheetData>
    <row r="1" spans="2:11" ht="15.75" thickBot="1"/>
    <row r="2" spans="2:11" ht="15.75" thickBot="1">
      <c r="C2" s="13" t="s">
        <v>44</v>
      </c>
      <c r="F2" s="47" t="s">
        <v>45</v>
      </c>
      <c r="G2" s="48">
        <f>IRR(H16:H66,0)</f>
        <v>6.6468175570024712E-3</v>
      </c>
    </row>
    <row r="3" spans="2:11">
      <c r="F3" s="47" t="s">
        <v>17</v>
      </c>
      <c r="G3" s="48">
        <f>G2*D7</f>
        <v>0.31904724273611862</v>
      </c>
      <c r="I3" s="63">
        <f>24.2-25</f>
        <v>-0.80000000000000071</v>
      </c>
    </row>
    <row r="4" spans="2:11">
      <c r="C4" s="2" t="s">
        <v>46</v>
      </c>
      <c r="D4" s="22">
        <v>10000</v>
      </c>
      <c r="F4" s="47" t="s">
        <v>47</v>
      </c>
      <c r="G4" s="49">
        <f>G2*52</f>
        <v>0.3456345129641285</v>
      </c>
    </row>
    <row r="5" spans="2:11">
      <c r="C5" s="2" t="s">
        <v>1</v>
      </c>
      <c r="D5" s="4">
        <v>0.1</v>
      </c>
      <c r="F5" s="50" t="s">
        <v>48</v>
      </c>
      <c r="G5" s="51">
        <f>SUM(D17:D66)</f>
        <v>1245.325791512598</v>
      </c>
      <c r="I5" s="2">
        <f>22.26-23.08</f>
        <v>-0.81999999999999673</v>
      </c>
    </row>
    <row r="6" spans="2:11">
      <c r="C6" s="2" t="s">
        <v>2</v>
      </c>
      <c r="D6" s="5">
        <v>0.23499999999999999</v>
      </c>
      <c r="G6" s="52"/>
    </row>
    <row r="7" spans="2:11">
      <c r="C7" s="2" t="s">
        <v>5</v>
      </c>
      <c r="D7" s="53">
        <v>48</v>
      </c>
      <c r="K7" s="5"/>
    </row>
    <row r="8" spans="2:11">
      <c r="C8" s="2" t="s">
        <v>6</v>
      </c>
      <c r="D8" s="54">
        <f>-PMT(D6/D7,D7,D4,0,0)</f>
        <v>234.27762065651248</v>
      </c>
      <c r="K8" s="5"/>
    </row>
    <row r="9" spans="2:11">
      <c r="C9" s="2" t="s">
        <v>49</v>
      </c>
      <c r="D9" s="55">
        <v>0</v>
      </c>
      <c r="K9" s="5"/>
    </row>
    <row r="10" spans="2:11">
      <c r="C10" s="2" t="s">
        <v>16</v>
      </c>
      <c r="D10" s="55">
        <v>75</v>
      </c>
      <c r="K10" s="5"/>
    </row>
    <row r="11" spans="2:11">
      <c r="C11" s="2" t="s">
        <v>19</v>
      </c>
      <c r="D11" s="55">
        <f>200/(1+10.3%)</f>
        <v>181.32366273798732</v>
      </c>
      <c r="K11" s="5"/>
    </row>
    <row r="12" spans="2:11" ht="15.75" thickBot="1">
      <c r="K12" s="5"/>
    </row>
    <row r="13" spans="2:11" ht="15.75" thickBot="1">
      <c r="C13" s="13" t="s">
        <v>15</v>
      </c>
      <c r="K13" s="5"/>
    </row>
    <row r="14" spans="2:11" ht="15.75" thickBot="1">
      <c r="C14" s="12"/>
      <c r="K14" s="5"/>
    </row>
    <row r="15" spans="2:11">
      <c r="B15" s="32" t="s">
        <v>50</v>
      </c>
      <c r="C15" s="33" t="s">
        <v>3</v>
      </c>
      <c r="D15" s="33" t="s">
        <v>4</v>
      </c>
      <c r="E15" s="33" t="s">
        <v>7</v>
      </c>
      <c r="F15" s="33" t="s">
        <v>8</v>
      </c>
      <c r="G15" s="33" t="s">
        <v>10</v>
      </c>
      <c r="H15" s="34" t="s">
        <v>11</v>
      </c>
      <c r="K15" s="5"/>
    </row>
    <row r="16" spans="2:11">
      <c r="B16" s="56">
        <v>0</v>
      </c>
      <c r="C16" s="47">
        <f>D4</f>
        <v>10000</v>
      </c>
      <c r="D16" s="47"/>
      <c r="E16" s="47"/>
      <c r="F16" s="47"/>
      <c r="G16" s="47">
        <f>-D4*D5</f>
        <v>-1000</v>
      </c>
      <c r="H16" s="57">
        <f>C16+G16-D11</f>
        <v>8818.6763372620135</v>
      </c>
      <c r="K16" s="5"/>
    </row>
    <row r="17" spans="2:8">
      <c r="B17" s="56">
        <v>1</v>
      </c>
      <c r="C17" s="47">
        <f>D4</f>
        <v>10000</v>
      </c>
      <c r="D17" s="51">
        <f>C17*$D$6/$D$7</f>
        <v>48.958333333333336</v>
      </c>
      <c r="E17" s="58">
        <f>IF(B17&lt;=$D$7,$D$8,0)-D17</f>
        <v>185.31928732317914</v>
      </c>
      <c r="F17" s="58">
        <f>C17-E17</f>
        <v>9814.6807126768217</v>
      </c>
      <c r="G17" s="58">
        <f>-$D$9+IF(B17=$D$7,($D$4*$D$5),0)+IF(B17=$D$7,($D$10),0)</f>
        <v>0</v>
      </c>
      <c r="H17" s="59">
        <f>IF(B17&lt;=$D$7,(-$D$8+G17),"")</f>
        <v>-234.27762065651248</v>
      </c>
    </row>
    <row r="18" spans="2:8">
      <c r="B18" s="56">
        <v>2</v>
      </c>
      <c r="C18" s="58">
        <f>F17</f>
        <v>9814.6807126768217</v>
      </c>
      <c r="D18" s="51">
        <f>C18*$D$6/$D$7</f>
        <v>48.051040989146941</v>
      </c>
      <c r="E18" s="58">
        <f t="shared" ref="E18:E66" si="0">IF(B18&lt;=$D$7,$D$8,0)-D18</f>
        <v>186.22657966736554</v>
      </c>
      <c r="F18" s="58">
        <f>C18-E18</f>
        <v>9628.4541330094562</v>
      </c>
      <c r="G18" s="58">
        <f t="shared" ref="G18:G66" si="1">-$D$9+IF(B18=$D$7,($D$4*$D$5),0)+IF(B18=$D$7,($D$10),0)</f>
        <v>0</v>
      </c>
      <c r="H18" s="59">
        <f t="shared" ref="H18:H66" si="2">IF(B18&lt;=$D$7,(-$D$8+G18),"")</f>
        <v>-234.27762065651248</v>
      </c>
    </row>
    <row r="19" spans="2:8">
      <c r="B19" s="56">
        <v>3</v>
      </c>
      <c r="C19" s="58">
        <f t="shared" ref="C19:C26" si="3">F18</f>
        <v>9628.4541330094562</v>
      </c>
      <c r="D19" s="51">
        <f t="shared" ref="D19:D66" si="4">C19*$D$6/$D$7</f>
        <v>47.139306692858788</v>
      </c>
      <c r="E19" s="58">
        <f t="shared" si="0"/>
        <v>187.1383139636537</v>
      </c>
      <c r="F19" s="58">
        <f t="shared" ref="F19:F26" si="5">C19-E19</f>
        <v>9441.3158190458016</v>
      </c>
      <c r="G19" s="58">
        <f t="shared" si="1"/>
        <v>0</v>
      </c>
      <c r="H19" s="59">
        <f t="shared" si="2"/>
        <v>-234.27762065651248</v>
      </c>
    </row>
    <row r="20" spans="2:8">
      <c r="B20" s="56">
        <v>4</v>
      </c>
      <c r="C20" s="58">
        <f t="shared" si="3"/>
        <v>9441.3158190458016</v>
      </c>
      <c r="D20" s="51">
        <f t="shared" si="4"/>
        <v>46.223108697411732</v>
      </c>
      <c r="E20" s="58">
        <f t="shared" si="0"/>
        <v>188.05451195910075</v>
      </c>
      <c r="F20" s="58">
        <f t="shared" si="5"/>
        <v>9253.261307086701</v>
      </c>
      <c r="G20" s="58">
        <f t="shared" si="1"/>
        <v>0</v>
      </c>
      <c r="H20" s="59">
        <f t="shared" si="2"/>
        <v>-234.27762065651248</v>
      </c>
    </row>
    <row r="21" spans="2:8">
      <c r="B21" s="56">
        <v>5</v>
      </c>
      <c r="C21" s="58">
        <f t="shared" si="3"/>
        <v>9253.261307086701</v>
      </c>
      <c r="D21" s="51">
        <f t="shared" si="4"/>
        <v>45.302425149278633</v>
      </c>
      <c r="E21" s="58">
        <f t="shared" si="0"/>
        <v>188.97519550723385</v>
      </c>
      <c r="F21" s="58">
        <f t="shared" si="5"/>
        <v>9064.2861115794676</v>
      </c>
      <c r="G21" s="58">
        <f t="shared" si="1"/>
        <v>0</v>
      </c>
      <c r="H21" s="59">
        <f t="shared" si="2"/>
        <v>-234.27762065651248</v>
      </c>
    </row>
    <row r="22" spans="2:8">
      <c r="B22" s="56">
        <v>6</v>
      </c>
      <c r="C22" s="58">
        <f t="shared" si="3"/>
        <v>9064.2861115794676</v>
      </c>
      <c r="D22" s="51">
        <f t="shared" si="4"/>
        <v>44.37723408794114</v>
      </c>
      <c r="E22" s="58">
        <f t="shared" si="0"/>
        <v>189.90038656857135</v>
      </c>
      <c r="F22" s="58">
        <f t="shared" si="5"/>
        <v>8874.3857250108958</v>
      </c>
      <c r="G22" s="58">
        <f t="shared" si="1"/>
        <v>0</v>
      </c>
      <c r="H22" s="59">
        <f t="shared" si="2"/>
        <v>-234.27762065651248</v>
      </c>
    </row>
    <row r="23" spans="2:8">
      <c r="B23" s="56">
        <v>7</v>
      </c>
      <c r="C23" s="58">
        <f t="shared" si="3"/>
        <v>8874.3857250108958</v>
      </c>
      <c r="D23" s="51">
        <f t="shared" si="4"/>
        <v>43.447513445365843</v>
      </c>
      <c r="E23" s="58">
        <f t="shared" si="0"/>
        <v>190.83010721114664</v>
      </c>
      <c r="F23" s="58">
        <f t="shared" si="5"/>
        <v>8683.5556177997496</v>
      </c>
      <c r="G23" s="58">
        <f t="shared" si="1"/>
        <v>0</v>
      </c>
      <c r="H23" s="59">
        <f t="shared" si="2"/>
        <v>-234.27762065651248</v>
      </c>
    </row>
    <row r="24" spans="2:8">
      <c r="B24" s="56">
        <v>8</v>
      </c>
      <c r="C24" s="58">
        <f t="shared" si="3"/>
        <v>8683.5556177997496</v>
      </c>
      <c r="D24" s="51">
        <f t="shared" si="4"/>
        <v>42.51324104547794</v>
      </c>
      <c r="E24" s="58">
        <f t="shared" si="0"/>
        <v>191.76437961103454</v>
      </c>
      <c r="F24" s="58">
        <f t="shared" si="5"/>
        <v>8491.7912381887145</v>
      </c>
      <c r="G24" s="58">
        <f t="shared" si="1"/>
        <v>0</v>
      </c>
      <c r="H24" s="59">
        <f t="shared" si="2"/>
        <v>-234.27762065651248</v>
      </c>
    </row>
    <row r="25" spans="2:8">
      <c r="B25" s="56">
        <v>9</v>
      </c>
      <c r="C25" s="58">
        <f t="shared" si="3"/>
        <v>8491.7912381887145</v>
      </c>
      <c r="D25" s="51">
        <f t="shared" si="4"/>
        <v>41.57439460363225</v>
      </c>
      <c r="E25" s="58">
        <f t="shared" si="0"/>
        <v>192.70322605288024</v>
      </c>
      <c r="F25" s="58">
        <f t="shared" si="5"/>
        <v>8299.088012135835</v>
      </c>
      <c r="G25" s="58">
        <f t="shared" si="1"/>
        <v>0</v>
      </c>
      <c r="H25" s="59">
        <f t="shared" si="2"/>
        <v>-234.27762065651248</v>
      </c>
    </row>
    <row r="26" spans="2:8">
      <c r="B26" s="56">
        <v>10</v>
      </c>
      <c r="C26" s="58">
        <f t="shared" si="3"/>
        <v>8299.088012135835</v>
      </c>
      <c r="D26" s="51">
        <f t="shared" si="4"/>
        <v>40.63095172608169</v>
      </c>
      <c r="E26" s="58">
        <f t="shared" si="0"/>
        <v>193.64666893043079</v>
      </c>
      <c r="F26" s="58">
        <f t="shared" si="5"/>
        <v>8105.4413432054043</v>
      </c>
      <c r="G26" s="58">
        <f t="shared" si="1"/>
        <v>0</v>
      </c>
      <c r="H26" s="59">
        <f t="shared" si="2"/>
        <v>-234.27762065651248</v>
      </c>
    </row>
    <row r="27" spans="2:8">
      <c r="B27" s="56">
        <v>11</v>
      </c>
      <c r="C27" s="58">
        <f>F26</f>
        <v>8105.4413432054043</v>
      </c>
      <c r="D27" s="51">
        <f>C27*$D$6/$D$7</f>
        <v>39.682889909443126</v>
      </c>
      <c r="E27" s="58">
        <f t="shared" si="0"/>
        <v>194.59473074706935</v>
      </c>
      <c r="F27" s="58">
        <f>C27-E27</f>
        <v>7910.8466124583347</v>
      </c>
      <c r="G27" s="58">
        <f t="shared" si="1"/>
        <v>0</v>
      </c>
      <c r="H27" s="59">
        <f t="shared" si="2"/>
        <v>-234.27762065651248</v>
      </c>
    </row>
    <row r="28" spans="2:8">
      <c r="B28" s="56">
        <v>12</v>
      </c>
      <c r="C28" s="58">
        <f>F27</f>
        <v>7910.8466124583347</v>
      </c>
      <c r="D28" s="51">
        <f t="shared" si="4"/>
        <v>38.730186540160595</v>
      </c>
      <c r="E28" s="58">
        <f t="shared" si="0"/>
        <v>195.54743411635189</v>
      </c>
      <c r="F28" s="58">
        <f>C28-E28</f>
        <v>7715.299178341983</v>
      </c>
      <c r="G28" s="58">
        <f t="shared" si="1"/>
        <v>0</v>
      </c>
      <c r="H28" s="59">
        <f t="shared" si="2"/>
        <v>-234.27762065651248</v>
      </c>
    </row>
    <row r="29" spans="2:8">
      <c r="B29" s="56">
        <v>13</v>
      </c>
      <c r="C29" s="58">
        <f t="shared" ref="C29:C66" si="6">F28</f>
        <v>7715.299178341983</v>
      </c>
      <c r="D29" s="51">
        <f t="shared" si="4"/>
        <v>37.772818893965955</v>
      </c>
      <c r="E29" s="58">
        <f t="shared" si="0"/>
        <v>196.50480176254652</v>
      </c>
      <c r="F29" s="58">
        <f t="shared" ref="F29:F66" si="7">C29-E29</f>
        <v>7518.7943765794362</v>
      </c>
      <c r="G29" s="58">
        <f t="shared" si="1"/>
        <v>0</v>
      </c>
      <c r="H29" s="59">
        <f t="shared" si="2"/>
        <v>-234.27762065651248</v>
      </c>
    </row>
    <row r="30" spans="2:8">
      <c r="B30" s="56">
        <v>14</v>
      </c>
      <c r="C30" s="58">
        <f t="shared" si="6"/>
        <v>7518.7943765794362</v>
      </c>
      <c r="D30" s="51">
        <f t="shared" si="4"/>
        <v>36.810764135336818</v>
      </c>
      <c r="E30" s="58">
        <f t="shared" si="0"/>
        <v>197.46685652117566</v>
      </c>
      <c r="F30" s="58">
        <f t="shared" si="7"/>
        <v>7321.3275200582602</v>
      </c>
      <c r="G30" s="58">
        <f t="shared" si="1"/>
        <v>0</v>
      </c>
      <c r="H30" s="59">
        <f t="shared" si="2"/>
        <v>-234.27762065651248</v>
      </c>
    </row>
    <row r="31" spans="2:8">
      <c r="B31" s="56">
        <v>15</v>
      </c>
      <c r="C31" s="58">
        <f t="shared" si="6"/>
        <v>7321.3275200582602</v>
      </c>
      <c r="D31" s="51">
        <f t="shared" si="4"/>
        <v>35.843999316951901</v>
      </c>
      <c r="E31" s="58">
        <f t="shared" si="0"/>
        <v>198.43362133956057</v>
      </c>
      <c r="F31" s="58">
        <f t="shared" si="7"/>
        <v>7122.8938987186993</v>
      </c>
      <c r="G31" s="58">
        <f t="shared" si="1"/>
        <v>0</v>
      </c>
      <c r="H31" s="59">
        <f t="shared" si="2"/>
        <v>-234.27762065651248</v>
      </c>
    </row>
    <row r="32" spans="2:8">
      <c r="B32" s="56">
        <v>16</v>
      </c>
      <c r="C32" s="58">
        <f t="shared" si="6"/>
        <v>7122.8938987186993</v>
      </c>
      <c r="D32" s="51">
        <f t="shared" si="4"/>
        <v>34.872501379143628</v>
      </c>
      <c r="E32" s="58">
        <f t="shared" si="0"/>
        <v>199.40511927736884</v>
      </c>
      <c r="F32" s="58">
        <f t="shared" si="7"/>
        <v>6923.4887794413307</v>
      </c>
      <c r="G32" s="58">
        <f t="shared" si="1"/>
        <v>0</v>
      </c>
      <c r="H32" s="59">
        <f t="shared" si="2"/>
        <v>-234.27762065651248</v>
      </c>
    </row>
    <row r="33" spans="2:8">
      <c r="B33" s="56">
        <v>17</v>
      </c>
      <c r="C33" s="58">
        <f t="shared" si="6"/>
        <v>6923.4887794413307</v>
      </c>
      <c r="D33" s="51">
        <f t="shared" si="4"/>
        <v>33.896247149348177</v>
      </c>
      <c r="E33" s="58">
        <f t="shared" si="0"/>
        <v>200.38137350716431</v>
      </c>
      <c r="F33" s="58">
        <f t="shared" si="7"/>
        <v>6723.1074059341663</v>
      </c>
      <c r="G33" s="58">
        <f t="shared" si="1"/>
        <v>0</v>
      </c>
      <c r="H33" s="59">
        <f t="shared" si="2"/>
        <v>-234.27762065651248</v>
      </c>
    </row>
    <row r="34" spans="2:8">
      <c r="B34" s="56">
        <v>18</v>
      </c>
      <c r="C34" s="58">
        <f t="shared" si="6"/>
        <v>6723.1074059341663</v>
      </c>
      <c r="D34" s="51">
        <f t="shared" si="4"/>
        <v>32.915213341552686</v>
      </c>
      <c r="E34" s="58">
        <f t="shared" si="0"/>
        <v>201.3624073149598</v>
      </c>
      <c r="F34" s="58">
        <f t="shared" si="7"/>
        <v>6521.7449986192069</v>
      </c>
      <c r="G34" s="58">
        <f t="shared" si="1"/>
        <v>0</v>
      </c>
      <c r="H34" s="59">
        <f t="shared" si="2"/>
        <v>-234.27762065651248</v>
      </c>
    </row>
    <row r="35" spans="2:8">
      <c r="B35" s="56">
        <v>19</v>
      </c>
      <c r="C35" s="58">
        <f t="shared" si="6"/>
        <v>6521.7449986192069</v>
      </c>
      <c r="D35" s="51">
        <f t="shared" si="4"/>
        <v>31.929376555739864</v>
      </c>
      <c r="E35" s="58">
        <f t="shared" si="0"/>
        <v>202.3482441007726</v>
      </c>
      <c r="F35" s="58">
        <f t="shared" si="7"/>
        <v>6319.3967545184341</v>
      </c>
      <c r="G35" s="58">
        <f t="shared" si="1"/>
        <v>0</v>
      </c>
      <c r="H35" s="59">
        <f t="shared" si="2"/>
        <v>-234.27762065651248</v>
      </c>
    </row>
    <row r="36" spans="2:8">
      <c r="B36" s="56">
        <v>20</v>
      </c>
      <c r="C36" s="58">
        <f t="shared" si="6"/>
        <v>6319.3967545184341</v>
      </c>
      <c r="D36" s="51">
        <f t="shared" si="4"/>
        <v>30.938713277329835</v>
      </c>
      <c r="E36" s="58">
        <f t="shared" si="0"/>
        <v>203.33890737918264</v>
      </c>
      <c r="F36" s="58">
        <f t="shared" si="7"/>
        <v>6116.0578471392519</v>
      </c>
      <c r="G36" s="58">
        <f t="shared" si="1"/>
        <v>0</v>
      </c>
      <c r="H36" s="59">
        <f t="shared" si="2"/>
        <v>-234.27762065651248</v>
      </c>
    </row>
    <row r="37" spans="2:8">
      <c r="B37" s="56">
        <v>21</v>
      </c>
      <c r="C37" s="58">
        <f t="shared" si="6"/>
        <v>6116.0578471392519</v>
      </c>
      <c r="D37" s="51">
        <f t="shared" si="4"/>
        <v>29.94319987661925</v>
      </c>
      <c r="E37" s="58">
        <f t="shared" si="0"/>
        <v>204.33442077989324</v>
      </c>
      <c r="F37" s="58">
        <f t="shared" si="7"/>
        <v>5911.7234263593582</v>
      </c>
      <c r="G37" s="58">
        <f t="shared" si="1"/>
        <v>0</v>
      </c>
      <c r="H37" s="59">
        <f t="shared" si="2"/>
        <v>-234.27762065651248</v>
      </c>
    </row>
    <row r="38" spans="2:8">
      <c r="B38" s="56">
        <v>22</v>
      </c>
      <c r="C38" s="58">
        <f t="shared" si="6"/>
        <v>5911.7234263593582</v>
      </c>
      <c r="D38" s="51">
        <f t="shared" si="4"/>
        <v>28.94281260821769</v>
      </c>
      <c r="E38" s="58">
        <f t="shared" si="0"/>
        <v>205.3348080482948</v>
      </c>
      <c r="F38" s="58">
        <f t="shared" si="7"/>
        <v>5706.3886183110635</v>
      </c>
      <c r="G38" s="58">
        <f t="shared" si="1"/>
        <v>0</v>
      </c>
      <c r="H38" s="59">
        <f t="shared" si="2"/>
        <v>-234.27762065651248</v>
      </c>
    </row>
    <row r="39" spans="2:8">
      <c r="B39" s="56">
        <v>23</v>
      </c>
      <c r="C39" s="58">
        <f t="shared" si="6"/>
        <v>5706.3886183110635</v>
      </c>
      <c r="D39" s="51">
        <f t="shared" si="4"/>
        <v>27.937527610481244</v>
      </c>
      <c r="E39" s="58">
        <f t="shared" si="0"/>
        <v>206.34009304603123</v>
      </c>
      <c r="F39" s="58">
        <f t="shared" si="7"/>
        <v>5500.0485252650324</v>
      </c>
      <c r="G39" s="58">
        <f t="shared" si="1"/>
        <v>0</v>
      </c>
      <c r="H39" s="59">
        <f t="shared" si="2"/>
        <v>-234.27762065651248</v>
      </c>
    </row>
    <row r="40" spans="2:8">
      <c r="B40" s="56">
        <v>24</v>
      </c>
      <c r="C40" s="58">
        <f t="shared" si="6"/>
        <v>5500.0485252650324</v>
      </c>
      <c r="D40" s="51">
        <f t="shared" si="4"/>
        <v>26.927320904943386</v>
      </c>
      <c r="E40" s="58">
        <f t="shared" si="0"/>
        <v>207.35029975156908</v>
      </c>
      <c r="F40" s="58">
        <f t="shared" si="7"/>
        <v>5292.6982255134635</v>
      </c>
      <c r="G40" s="58">
        <f t="shared" si="1"/>
        <v>0</v>
      </c>
      <c r="H40" s="59">
        <f t="shared" si="2"/>
        <v>-234.27762065651248</v>
      </c>
    </row>
    <row r="41" spans="2:8">
      <c r="B41" s="56">
        <v>25</v>
      </c>
      <c r="C41" s="58">
        <f t="shared" si="6"/>
        <v>5292.6982255134635</v>
      </c>
      <c r="D41" s="51">
        <f t="shared" si="4"/>
        <v>25.912168395742995</v>
      </c>
      <c r="E41" s="58">
        <f t="shared" si="0"/>
        <v>208.36545226076947</v>
      </c>
      <c r="F41" s="58">
        <f t="shared" si="7"/>
        <v>5084.3327732526941</v>
      </c>
      <c r="G41" s="58">
        <f t="shared" si="1"/>
        <v>0</v>
      </c>
      <c r="H41" s="59">
        <f t="shared" si="2"/>
        <v>-234.27762065651248</v>
      </c>
    </row>
    <row r="42" spans="2:8">
      <c r="B42" s="56">
        <v>26</v>
      </c>
      <c r="C42" s="58">
        <f t="shared" si="6"/>
        <v>5084.3327732526941</v>
      </c>
      <c r="D42" s="51">
        <f t="shared" si="4"/>
        <v>24.89204586904965</v>
      </c>
      <c r="E42" s="58">
        <f t="shared" si="0"/>
        <v>209.38557478746284</v>
      </c>
      <c r="F42" s="58">
        <f t="shared" si="7"/>
        <v>4874.9471984652309</v>
      </c>
      <c r="G42" s="58">
        <f t="shared" si="1"/>
        <v>0</v>
      </c>
      <c r="H42" s="59">
        <f t="shared" si="2"/>
        <v>-234.27762065651248</v>
      </c>
    </row>
    <row r="43" spans="2:8">
      <c r="B43" s="56">
        <v>27</v>
      </c>
      <c r="C43" s="58">
        <f t="shared" si="6"/>
        <v>4874.9471984652309</v>
      </c>
      <c r="D43" s="51">
        <f t="shared" si="4"/>
        <v>23.866928992486024</v>
      </c>
      <c r="E43" s="58">
        <f t="shared" si="0"/>
        <v>210.41069166402644</v>
      </c>
      <c r="F43" s="58">
        <f t="shared" si="7"/>
        <v>4664.5365068012043</v>
      </c>
      <c r="G43" s="58">
        <f t="shared" si="1"/>
        <v>0</v>
      </c>
      <c r="H43" s="59">
        <f t="shared" si="2"/>
        <v>-234.27762065651248</v>
      </c>
    </row>
    <row r="44" spans="2:8">
      <c r="B44" s="56">
        <v>28</v>
      </c>
      <c r="C44" s="58">
        <f t="shared" si="6"/>
        <v>4664.5365068012043</v>
      </c>
      <c r="D44" s="51">
        <f t="shared" si="4"/>
        <v>22.836793314547563</v>
      </c>
      <c r="E44" s="58">
        <f t="shared" si="0"/>
        <v>211.4408273419649</v>
      </c>
      <c r="F44" s="58">
        <f t="shared" si="7"/>
        <v>4453.0956794592394</v>
      </c>
      <c r="G44" s="58">
        <f t="shared" si="1"/>
        <v>0</v>
      </c>
      <c r="H44" s="59">
        <f t="shared" si="2"/>
        <v>-234.27762065651248</v>
      </c>
    </row>
    <row r="45" spans="2:8">
      <c r="B45" s="56">
        <v>29</v>
      </c>
      <c r="C45" s="58">
        <f t="shared" si="6"/>
        <v>4453.0956794592394</v>
      </c>
      <c r="D45" s="51">
        <f t="shared" si="4"/>
        <v>21.801614264019193</v>
      </c>
      <c r="E45" s="58">
        <f t="shared" si="0"/>
        <v>212.47600639249328</v>
      </c>
      <c r="F45" s="58">
        <f t="shared" si="7"/>
        <v>4240.6196730667461</v>
      </c>
      <c r="G45" s="58">
        <f t="shared" si="1"/>
        <v>0</v>
      </c>
      <c r="H45" s="59">
        <f t="shared" si="2"/>
        <v>-234.27762065651248</v>
      </c>
    </row>
    <row r="46" spans="2:8">
      <c r="B46" s="56">
        <v>30</v>
      </c>
      <c r="C46" s="58">
        <f t="shared" si="6"/>
        <v>4240.6196730667461</v>
      </c>
      <c r="D46" s="51">
        <f t="shared" si="4"/>
        <v>20.761367149389276</v>
      </c>
      <c r="E46" s="58">
        <f t="shared" si="0"/>
        <v>213.5162535071232</v>
      </c>
      <c r="F46" s="58">
        <f t="shared" si="7"/>
        <v>4027.103419559623</v>
      </c>
      <c r="G46" s="58">
        <f t="shared" si="1"/>
        <v>0</v>
      </c>
      <c r="H46" s="59">
        <f t="shared" si="2"/>
        <v>-234.27762065651248</v>
      </c>
    </row>
    <row r="47" spans="2:8">
      <c r="B47" s="56">
        <v>31</v>
      </c>
      <c r="C47" s="58">
        <f t="shared" si="6"/>
        <v>4027.103419559623</v>
      </c>
      <c r="D47" s="51">
        <f t="shared" si="4"/>
        <v>19.716027158260655</v>
      </c>
      <c r="E47" s="58">
        <f t="shared" si="0"/>
        <v>214.56159349825182</v>
      </c>
      <c r="F47" s="58">
        <f t="shared" si="7"/>
        <v>3812.541826061371</v>
      </c>
      <c r="G47" s="58">
        <f t="shared" si="1"/>
        <v>0</v>
      </c>
      <c r="H47" s="59">
        <f t="shared" si="2"/>
        <v>-234.27762065651248</v>
      </c>
    </row>
    <row r="48" spans="2:8">
      <c r="B48" s="56">
        <v>32</v>
      </c>
      <c r="C48" s="58">
        <f t="shared" si="6"/>
        <v>3812.541826061371</v>
      </c>
      <c r="D48" s="51">
        <f t="shared" si="4"/>
        <v>18.665569356758795</v>
      </c>
      <c r="E48" s="58">
        <f t="shared" si="0"/>
        <v>215.61205129975369</v>
      </c>
      <c r="F48" s="58">
        <f t="shared" si="7"/>
        <v>3596.9297747616174</v>
      </c>
      <c r="G48" s="58">
        <f t="shared" si="1"/>
        <v>0</v>
      </c>
      <c r="H48" s="59">
        <f t="shared" si="2"/>
        <v>-234.27762065651248</v>
      </c>
    </row>
    <row r="49" spans="2:8">
      <c r="B49" s="56">
        <v>33</v>
      </c>
      <c r="C49" s="58">
        <f t="shared" si="6"/>
        <v>3596.9297747616174</v>
      </c>
      <c r="D49" s="51">
        <f t="shared" si="4"/>
        <v>17.609968688937084</v>
      </c>
      <c r="E49" s="58">
        <f t="shared" si="0"/>
        <v>216.66765196757541</v>
      </c>
      <c r="F49" s="58">
        <f t="shared" si="7"/>
        <v>3380.2621227940422</v>
      </c>
      <c r="G49" s="58">
        <f t="shared" si="1"/>
        <v>0</v>
      </c>
      <c r="H49" s="59">
        <f t="shared" si="2"/>
        <v>-234.27762065651248</v>
      </c>
    </row>
    <row r="50" spans="2:8">
      <c r="B50" s="56">
        <v>34</v>
      </c>
      <c r="C50" s="58">
        <f t="shared" si="6"/>
        <v>3380.2621227940422</v>
      </c>
      <c r="D50" s="51">
        <f t="shared" si="4"/>
        <v>16.549199976179164</v>
      </c>
      <c r="E50" s="58">
        <f t="shared" si="0"/>
        <v>217.72842068033333</v>
      </c>
      <c r="F50" s="58">
        <f t="shared" si="7"/>
        <v>3162.5337021137088</v>
      </c>
      <c r="G50" s="58">
        <f t="shared" si="1"/>
        <v>0</v>
      </c>
      <c r="H50" s="59">
        <f t="shared" si="2"/>
        <v>-234.27762065651248</v>
      </c>
    </row>
    <row r="51" spans="2:8">
      <c r="B51" s="56">
        <v>35</v>
      </c>
      <c r="C51" s="58">
        <f t="shared" si="6"/>
        <v>3162.5337021137088</v>
      </c>
      <c r="D51" s="51">
        <f t="shared" si="4"/>
        <v>15.483237916598364</v>
      </c>
      <c r="E51" s="58">
        <f t="shared" si="0"/>
        <v>218.79438273991411</v>
      </c>
      <c r="F51" s="58">
        <f t="shared" si="7"/>
        <v>2943.7393193737948</v>
      </c>
      <c r="G51" s="58">
        <f t="shared" si="1"/>
        <v>0</v>
      </c>
      <c r="H51" s="59">
        <f t="shared" si="2"/>
        <v>-234.27762065651248</v>
      </c>
    </row>
    <row r="52" spans="2:8">
      <c r="B52" s="56">
        <v>36</v>
      </c>
      <c r="C52" s="58">
        <f t="shared" si="6"/>
        <v>2943.7393193737948</v>
      </c>
      <c r="D52" s="51">
        <f t="shared" si="4"/>
        <v>14.412057084434203</v>
      </c>
      <c r="E52" s="58">
        <f t="shared" si="0"/>
        <v>219.86556357207829</v>
      </c>
      <c r="F52" s="58">
        <f t="shared" si="7"/>
        <v>2723.8737558017165</v>
      </c>
      <c r="G52" s="58">
        <f t="shared" si="1"/>
        <v>0</v>
      </c>
      <c r="H52" s="59">
        <f t="shared" si="2"/>
        <v>-234.27762065651248</v>
      </c>
    </row>
    <row r="53" spans="2:8">
      <c r="B53" s="56">
        <v>37</v>
      </c>
      <c r="C53" s="58">
        <f t="shared" si="6"/>
        <v>2723.8737558017165</v>
      </c>
      <c r="D53" s="51">
        <f t="shared" si="4"/>
        <v>13.335631929445903</v>
      </c>
      <c r="E53" s="58">
        <f t="shared" si="0"/>
        <v>220.94198872706659</v>
      </c>
      <c r="F53" s="58">
        <f t="shared" si="7"/>
        <v>2502.93176707465</v>
      </c>
      <c r="G53" s="58">
        <f t="shared" si="1"/>
        <v>0</v>
      </c>
      <c r="H53" s="59">
        <f t="shared" si="2"/>
        <v>-234.27762065651248</v>
      </c>
    </row>
    <row r="54" spans="2:8">
      <c r="B54" s="56">
        <v>38</v>
      </c>
      <c r="C54" s="58">
        <f t="shared" si="6"/>
        <v>2502.93176707465</v>
      </c>
      <c r="D54" s="51">
        <f t="shared" si="4"/>
        <v>12.253936776302973</v>
      </c>
      <c r="E54" s="58">
        <f t="shared" si="0"/>
        <v>222.02368388020952</v>
      </c>
      <c r="F54" s="58">
        <f t="shared" si="7"/>
        <v>2280.9080831944407</v>
      </c>
      <c r="G54" s="58">
        <f t="shared" si="1"/>
        <v>0</v>
      </c>
      <c r="H54" s="59">
        <f t="shared" si="2"/>
        <v>-234.27762065651248</v>
      </c>
    </row>
    <row r="55" spans="2:8">
      <c r="B55" s="56">
        <v>39</v>
      </c>
      <c r="C55" s="58">
        <f t="shared" si="6"/>
        <v>2280.9080831944407</v>
      </c>
      <c r="D55" s="51">
        <f t="shared" si="4"/>
        <v>11.166945823972782</v>
      </c>
      <c r="E55" s="58">
        <f t="shared" si="0"/>
        <v>223.1106748325397</v>
      </c>
      <c r="F55" s="58">
        <f t="shared" si="7"/>
        <v>2057.797408361901</v>
      </c>
      <c r="G55" s="58">
        <f t="shared" si="1"/>
        <v>0</v>
      </c>
      <c r="H55" s="59">
        <f t="shared" si="2"/>
        <v>-234.27762065651248</v>
      </c>
    </row>
    <row r="56" spans="2:8">
      <c r="B56" s="56">
        <v>40</v>
      </c>
      <c r="C56" s="58">
        <f t="shared" si="6"/>
        <v>2057.797408361901</v>
      </c>
      <c r="D56" s="51">
        <f t="shared" si="4"/>
        <v>10.074633145105141</v>
      </c>
      <c r="E56" s="58">
        <f t="shared" si="0"/>
        <v>224.20298751140734</v>
      </c>
      <c r="F56" s="58">
        <f t="shared" si="7"/>
        <v>1833.5944208504936</v>
      </c>
      <c r="G56" s="58">
        <f t="shared" si="1"/>
        <v>0</v>
      </c>
      <c r="H56" s="59">
        <f t="shared" si="2"/>
        <v>-234.27762065651248</v>
      </c>
    </row>
    <row r="57" spans="2:8">
      <c r="B57" s="56">
        <v>41</v>
      </c>
      <c r="C57" s="58">
        <f t="shared" si="6"/>
        <v>1833.5944208504936</v>
      </c>
      <c r="D57" s="51">
        <f t="shared" si="4"/>
        <v>8.9769726854138749</v>
      </c>
      <c r="E57" s="58">
        <f t="shared" si="0"/>
        <v>225.30064797109861</v>
      </c>
      <c r="F57" s="58">
        <f t="shared" si="7"/>
        <v>1608.293772879395</v>
      </c>
      <c r="G57" s="58">
        <f t="shared" si="1"/>
        <v>0</v>
      </c>
      <c r="H57" s="59">
        <f t="shared" si="2"/>
        <v>-234.27762065651248</v>
      </c>
    </row>
    <row r="58" spans="2:8">
      <c r="B58" s="56">
        <v>42</v>
      </c>
      <c r="C58" s="58">
        <f t="shared" si="6"/>
        <v>1608.293772879395</v>
      </c>
      <c r="D58" s="51">
        <f t="shared" si="4"/>
        <v>7.8739382630553711</v>
      </c>
      <c r="E58" s="58">
        <f t="shared" si="0"/>
        <v>226.4036823934571</v>
      </c>
      <c r="F58" s="58">
        <f t="shared" si="7"/>
        <v>1381.8900904859379</v>
      </c>
      <c r="G58" s="58">
        <f t="shared" si="1"/>
        <v>0</v>
      </c>
      <c r="H58" s="59">
        <f t="shared" si="2"/>
        <v>-234.27762065651248</v>
      </c>
    </row>
    <row r="59" spans="2:8">
      <c r="B59" s="56">
        <v>43</v>
      </c>
      <c r="C59" s="58">
        <f t="shared" si="6"/>
        <v>1381.8900904859379</v>
      </c>
      <c r="D59" s="51">
        <f t="shared" si="4"/>
        <v>6.7655035680040703</v>
      </c>
      <c r="E59" s="58">
        <f t="shared" si="0"/>
        <v>227.5121170885084</v>
      </c>
      <c r="F59" s="58">
        <f t="shared" si="7"/>
        <v>1154.3779733974295</v>
      </c>
      <c r="G59" s="58">
        <f t="shared" si="1"/>
        <v>0</v>
      </c>
      <c r="H59" s="59">
        <f t="shared" si="2"/>
        <v>-234.27762065651248</v>
      </c>
    </row>
    <row r="60" spans="2:8">
      <c r="B60" s="56">
        <v>44</v>
      </c>
      <c r="C60" s="58">
        <f t="shared" si="6"/>
        <v>1154.3779733974295</v>
      </c>
      <c r="D60" s="51">
        <f t="shared" si="4"/>
        <v>5.6516421614249142</v>
      </c>
      <c r="E60" s="58">
        <f t="shared" si="0"/>
        <v>228.62597849508757</v>
      </c>
      <c r="F60" s="58">
        <f t="shared" si="7"/>
        <v>925.75199490234195</v>
      </c>
      <c r="G60" s="58">
        <f>-$D$9+IF(B60=$D$7,($D$4*$D$5),0)+IF(B60=$D$7,($D$10),0)</f>
        <v>0</v>
      </c>
      <c r="H60" s="59">
        <f>IF(B60&lt;=$D$7,(-$D$8+G60),"")</f>
        <v>-234.27762065651248</v>
      </c>
    </row>
    <row r="61" spans="2:8">
      <c r="B61" s="56">
        <v>45</v>
      </c>
      <c r="C61" s="58">
        <f t="shared" si="6"/>
        <v>925.75199490234195</v>
      </c>
      <c r="D61" s="51">
        <f t="shared" si="4"/>
        <v>4.5323274750427158</v>
      </c>
      <c r="E61" s="58">
        <f t="shared" si="0"/>
        <v>229.74529318146978</v>
      </c>
      <c r="F61" s="60">
        <f t="shared" si="7"/>
        <v>696.00670172087212</v>
      </c>
      <c r="G61" s="58">
        <f t="shared" si="1"/>
        <v>0</v>
      </c>
      <c r="H61" s="59">
        <f t="shared" si="2"/>
        <v>-234.27762065651248</v>
      </c>
    </row>
    <row r="62" spans="2:8">
      <c r="B62" s="56">
        <v>46</v>
      </c>
      <c r="C62" s="58">
        <f t="shared" si="6"/>
        <v>696.00670172087212</v>
      </c>
      <c r="D62" s="51">
        <f t="shared" si="4"/>
        <v>3.4075328105084366</v>
      </c>
      <c r="E62" s="58">
        <f t="shared" si="0"/>
        <v>230.87008784600405</v>
      </c>
      <c r="F62" s="58">
        <f>C62-E62</f>
        <v>465.13661387486809</v>
      </c>
      <c r="G62" s="58">
        <f t="shared" si="1"/>
        <v>0</v>
      </c>
      <c r="H62" s="59">
        <f t="shared" si="2"/>
        <v>-234.27762065651248</v>
      </c>
    </row>
    <row r="63" spans="2:8">
      <c r="B63" s="56">
        <v>47</v>
      </c>
      <c r="C63" s="58">
        <f t="shared" si="6"/>
        <v>465.13661387486809</v>
      </c>
      <c r="D63" s="51">
        <f t="shared" si="4"/>
        <v>2.2772313387623746</v>
      </c>
      <c r="E63" s="58">
        <f t="shared" si="0"/>
        <v>232.00038931775012</v>
      </c>
      <c r="F63" s="58">
        <f t="shared" si="7"/>
        <v>233.13622455711797</v>
      </c>
      <c r="G63" s="58">
        <f t="shared" si="1"/>
        <v>0</v>
      </c>
      <c r="H63" s="59">
        <f t="shared" si="2"/>
        <v>-234.27762065651248</v>
      </c>
    </row>
    <row r="64" spans="2:8">
      <c r="B64" s="56">
        <v>48</v>
      </c>
      <c r="C64" s="58">
        <f t="shared" si="6"/>
        <v>233.13622455711797</v>
      </c>
      <c r="D64" s="51">
        <f t="shared" si="4"/>
        <v>1.1413960993942234</v>
      </c>
      <c r="E64" s="58">
        <f t="shared" si="0"/>
        <v>233.13622455711825</v>
      </c>
      <c r="F64" s="58">
        <f t="shared" si="7"/>
        <v>-2.8421709430404007E-13</v>
      </c>
      <c r="G64" s="58">
        <f t="shared" si="1"/>
        <v>1075</v>
      </c>
      <c r="H64" s="59">
        <f t="shared" si="2"/>
        <v>840.72237934348755</v>
      </c>
    </row>
    <row r="65" spans="2:8">
      <c r="B65" s="56">
        <v>49</v>
      </c>
      <c r="C65" s="58">
        <f t="shared" si="6"/>
        <v>-2.8421709430404007E-13</v>
      </c>
      <c r="D65" s="51">
        <f t="shared" si="4"/>
        <v>-1.3914795241968627E-15</v>
      </c>
      <c r="E65" s="58">
        <f t="shared" si="0"/>
        <v>1.3914795241968627E-15</v>
      </c>
      <c r="F65" s="58">
        <f t="shared" si="7"/>
        <v>-2.8560857382823693E-13</v>
      </c>
      <c r="G65" s="58">
        <f t="shared" si="1"/>
        <v>0</v>
      </c>
      <c r="H65" s="59" t="str">
        <f t="shared" si="2"/>
        <v/>
      </c>
    </row>
    <row r="66" spans="2:8">
      <c r="B66" s="56">
        <v>50</v>
      </c>
      <c r="C66" s="58">
        <f t="shared" si="6"/>
        <v>-2.8560857382823693E-13</v>
      </c>
      <c r="D66" s="51">
        <f t="shared" si="4"/>
        <v>-1.3982919760340765E-15</v>
      </c>
      <c r="E66" s="58">
        <f t="shared" si="0"/>
        <v>1.3982919760340765E-15</v>
      </c>
      <c r="F66" s="58">
        <f t="shared" si="7"/>
        <v>-2.8700686580427102E-13</v>
      </c>
      <c r="G66" s="58">
        <f t="shared" si="1"/>
        <v>0</v>
      </c>
      <c r="H66" s="59" t="str">
        <f t="shared" si="2"/>
        <v/>
      </c>
    </row>
    <row r="67" spans="2:8">
      <c r="B67" s="36"/>
      <c r="C67" s="61"/>
      <c r="D67" s="62"/>
      <c r="E67" s="61"/>
      <c r="F67" s="61"/>
      <c r="G67" s="36"/>
      <c r="H67" s="61"/>
    </row>
    <row r="68" spans="2:8">
      <c r="C68" s="2" t="s">
        <v>13</v>
      </c>
    </row>
    <row r="69" spans="2:8">
      <c r="C69" s="2" t="s">
        <v>14</v>
      </c>
      <c r="H69" s="6">
        <f>G2*52</f>
        <v>0.3456345129641285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B1:K69"/>
  <sheetViews>
    <sheetView workbookViewId="0">
      <selection activeCell="D7" sqref="D7"/>
    </sheetView>
  </sheetViews>
  <sheetFormatPr defaultRowHeight="15"/>
  <cols>
    <col min="1" max="2" width="9.140625" style="2"/>
    <col min="3" max="3" width="26.42578125" style="2" customWidth="1"/>
    <col min="4" max="4" width="10.5703125" style="2" bestFit="1" customWidth="1"/>
    <col min="5" max="5" width="13.140625" style="2" bestFit="1" customWidth="1"/>
    <col min="6" max="6" width="13.140625" style="2" customWidth="1"/>
    <col min="7" max="7" width="14.7109375" style="2" bestFit="1" customWidth="1"/>
    <col min="8" max="10" width="9.140625" style="2"/>
    <col min="11" max="11" width="13" style="2" customWidth="1"/>
    <col min="12" max="16384" width="9.140625" style="2"/>
  </cols>
  <sheetData>
    <row r="1" spans="2:11" ht="15.75" thickBot="1"/>
    <row r="2" spans="2:11" ht="15.75" thickBot="1">
      <c r="C2" s="64" t="s">
        <v>44</v>
      </c>
      <c r="F2" s="47" t="s">
        <v>45</v>
      </c>
      <c r="G2" s="48">
        <f>IRR(H16:H66,0)</f>
        <v>7.5068721095667978E-3</v>
      </c>
    </row>
    <row r="3" spans="2:11">
      <c r="F3" s="47" t="s">
        <v>17</v>
      </c>
      <c r="G3" s="48">
        <f>G2*D7</f>
        <v>0.3603298612592063</v>
      </c>
      <c r="I3" s="63"/>
    </row>
    <row r="4" spans="2:11">
      <c r="C4" s="2" t="s">
        <v>46</v>
      </c>
      <c r="D4" s="22">
        <v>15000</v>
      </c>
      <c r="F4" s="47" t="s">
        <v>47</v>
      </c>
      <c r="G4" s="49">
        <f>G2*52</f>
        <v>0.39035734969747349</v>
      </c>
    </row>
    <row r="5" spans="2:11">
      <c r="C5" s="2" t="s">
        <v>1</v>
      </c>
      <c r="D5" s="4">
        <v>0.1</v>
      </c>
      <c r="F5" s="50" t="s">
        <v>48</v>
      </c>
      <c r="G5" s="51">
        <f>SUM(D17:D66)</f>
        <v>1662.7531807340986</v>
      </c>
    </row>
    <row r="6" spans="2:11">
      <c r="C6" s="2" t="s">
        <v>2</v>
      </c>
      <c r="D6" s="5">
        <v>0.21</v>
      </c>
      <c r="G6" s="52"/>
    </row>
    <row r="7" spans="2:11">
      <c r="C7" s="2" t="s">
        <v>5</v>
      </c>
      <c r="D7" s="53">
        <v>48</v>
      </c>
      <c r="K7" s="5"/>
    </row>
    <row r="8" spans="2:11">
      <c r="C8" s="2" t="s">
        <v>6</v>
      </c>
      <c r="D8" s="54">
        <f>-PMT(D6/D7,D7,D4,0,0)</f>
        <v>347.1406912652937</v>
      </c>
      <c r="K8" s="5"/>
    </row>
    <row r="9" spans="2:11">
      <c r="C9" s="2" t="s">
        <v>49</v>
      </c>
      <c r="D9" s="55">
        <v>0</v>
      </c>
      <c r="K9" s="5"/>
    </row>
    <row r="10" spans="2:11">
      <c r="C10" s="2" t="s">
        <v>16</v>
      </c>
      <c r="D10" s="55">
        <v>0</v>
      </c>
      <c r="K10" s="5"/>
    </row>
    <row r="11" spans="2:11">
      <c r="C11" s="2" t="s">
        <v>19</v>
      </c>
      <c r="D11" s="55">
        <v>600</v>
      </c>
      <c r="K11" s="5"/>
    </row>
    <row r="12" spans="2:11" ht="15.75" thickBot="1">
      <c r="K12" s="5"/>
    </row>
    <row r="13" spans="2:11" ht="15.75" thickBot="1">
      <c r="C13" s="64" t="s">
        <v>15</v>
      </c>
      <c r="K13" s="5"/>
    </row>
    <row r="14" spans="2:11" ht="15.75" thickBot="1">
      <c r="C14" s="65"/>
      <c r="K14" s="5"/>
    </row>
    <row r="15" spans="2:11">
      <c r="B15" s="32" t="s">
        <v>50</v>
      </c>
      <c r="C15" s="66" t="s">
        <v>3</v>
      </c>
      <c r="D15" s="33" t="s">
        <v>4</v>
      </c>
      <c r="E15" s="33" t="s">
        <v>7</v>
      </c>
      <c r="F15" s="33" t="s">
        <v>8</v>
      </c>
      <c r="G15" s="33" t="s">
        <v>10</v>
      </c>
      <c r="H15" s="34" t="s">
        <v>11</v>
      </c>
      <c r="K15" s="5"/>
    </row>
    <row r="16" spans="2:11">
      <c r="B16" s="56">
        <v>0</v>
      </c>
      <c r="C16" s="47">
        <f>D4</f>
        <v>15000</v>
      </c>
      <c r="D16" s="47"/>
      <c r="E16" s="47"/>
      <c r="F16" s="47"/>
      <c r="G16" s="47">
        <f>-D4*D5</f>
        <v>-1500</v>
      </c>
      <c r="H16" s="57">
        <f>C16+G16-D11</f>
        <v>12900</v>
      </c>
      <c r="K16" s="5"/>
    </row>
    <row r="17" spans="2:8">
      <c r="B17" s="56">
        <v>1</v>
      </c>
      <c r="C17" s="47">
        <f>D4</f>
        <v>15000</v>
      </c>
      <c r="D17" s="51">
        <f>C17*$D$6/$D$7</f>
        <v>65.625</v>
      </c>
      <c r="E17" s="58">
        <f>IF(B17&lt;=$D$7,$D$8,0)-D17</f>
        <v>281.5156912652937</v>
      </c>
      <c r="F17" s="58">
        <f>C17-E17</f>
        <v>14718.484308734707</v>
      </c>
      <c r="G17" s="58">
        <f>-$D$9+IF(B17=$D$7,($D$4*$D$5),0)+IF(B17=$D$7,($D$10),0)</f>
        <v>0</v>
      </c>
      <c r="H17" s="59">
        <f>IF(B17&lt;=$D$7,(-$D$8+G17),"")</f>
        <v>-347.1406912652937</v>
      </c>
    </row>
    <row r="18" spans="2:8">
      <c r="B18" s="56">
        <v>2</v>
      </c>
      <c r="C18" s="58">
        <f>F17</f>
        <v>14718.484308734707</v>
      </c>
      <c r="D18" s="51">
        <f>C18*$D$6/$D$7</f>
        <v>64.393368850714339</v>
      </c>
      <c r="E18" s="58">
        <f t="shared" ref="E18:E66" si="0">IF(B18&lt;=$D$7,$D$8,0)-D18</f>
        <v>282.74732241457934</v>
      </c>
      <c r="F18" s="58">
        <f>C18-E18</f>
        <v>14435.736986320127</v>
      </c>
      <c r="G18" s="58">
        <f t="shared" ref="G18:G66" si="1">-$D$9+IF(B18=$D$7,($D$4*$D$5),0)+IF(B18=$D$7,($D$10),0)</f>
        <v>0</v>
      </c>
      <c r="H18" s="59">
        <f t="shared" ref="H18:H66" si="2">IF(B18&lt;=$D$7,(-$D$8+G18),"")</f>
        <v>-347.1406912652937</v>
      </c>
    </row>
    <row r="19" spans="2:8">
      <c r="B19" s="56">
        <v>3</v>
      </c>
      <c r="C19" s="58">
        <f t="shared" ref="C19:C26" si="3">F18</f>
        <v>14435.736986320127</v>
      </c>
      <c r="D19" s="51">
        <f t="shared" ref="D19:D66" si="4">C19*$D$6/$D$7</f>
        <v>63.156349315150557</v>
      </c>
      <c r="E19" s="58">
        <f t="shared" si="0"/>
        <v>283.98434195014312</v>
      </c>
      <c r="F19" s="58">
        <f t="shared" ref="F19:F26" si="5">C19-E19</f>
        <v>14151.752644369984</v>
      </c>
      <c r="G19" s="58">
        <f t="shared" si="1"/>
        <v>0</v>
      </c>
      <c r="H19" s="59">
        <f t="shared" si="2"/>
        <v>-347.1406912652937</v>
      </c>
    </row>
    <row r="20" spans="2:8">
      <c r="B20" s="56">
        <v>4</v>
      </c>
      <c r="C20" s="58">
        <f t="shared" si="3"/>
        <v>14151.752644369984</v>
      </c>
      <c r="D20" s="51">
        <f t="shared" si="4"/>
        <v>61.913917819118673</v>
      </c>
      <c r="E20" s="58">
        <f t="shared" si="0"/>
        <v>285.226773446175</v>
      </c>
      <c r="F20" s="58">
        <f t="shared" si="5"/>
        <v>13866.52587092381</v>
      </c>
      <c r="G20" s="58">
        <f t="shared" si="1"/>
        <v>0</v>
      </c>
      <c r="H20" s="59">
        <f t="shared" si="2"/>
        <v>-347.1406912652937</v>
      </c>
    </row>
    <row r="21" spans="2:8">
      <c r="B21" s="56">
        <v>5</v>
      </c>
      <c r="C21" s="58">
        <f t="shared" si="3"/>
        <v>13866.52587092381</v>
      </c>
      <c r="D21" s="51">
        <f t="shared" si="4"/>
        <v>60.666050685291658</v>
      </c>
      <c r="E21" s="58">
        <f t="shared" si="0"/>
        <v>286.47464058000202</v>
      </c>
      <c r="F21" s="58">
        <f t="shared" si="5"/>
        <v>13580.051230343808</v>
      </c>
      <c r="G21" s="58">
        <f t="shared" si="1"/>
        <v>0</v>
      </c>
      <c r="H21" s="59">
        <f t="shared" si="2"/>
        <v>-347.1406912652937</v>
      </c>
    </row>
    <row r="22" spans="2:8">
      <c r="B22" s="56">
        <v>6</v>
      </c>
      <c r="C22" s="58">
        <f t="shared" si="3"/>
        <v>13580.051230343808</v>
      </c>
      <c r="D22" s="51">
        <f t="shared" si="4"/>
        <v>59.412724132754157</v>
      </c>
      <c r="E22" s="58">
        <f t="shared" si="0"/>
        <v>287.72796713253956</v>
      </c>
      <c r="F22" s="58">
        <f t="shared" si="5"/>
        <v>13292.323263211269</v>
      </c>
      <c r="G22" s="58">
        <f t="shared" si="1"/>
        <v>0</v>
      </c>
      <c r="H22" s="59">
        <f t="shared" si="2"/>
        <v>-347.1406912652937</v>
      </c>
    </row>
    <row r="23" spans="2:8">
      <c r="B23" s="56">
        <v>7</v>
      </c>
      <c r="C23" s="58">
        <f t="shared" si="3"/>
        <v>13292.323263211269</v>
      </c>
      <c r="D23" s="51">
        <f t="shared" si="4"/>
        <v>58.153914276549301</v>
      </c>
      <c r="E23" s="58">
        <f t="shared" si="0"/>
        <v>288.9867769887444</v>
      </c>
      <c r="F23" s="58">
        <f t="shared" si="5"/>
        <v>13003.336486222524</v>
      </c>
      <c r="G23" s="58">
        <f t="shared" si="1"/>
        <v>0</v>
      </c>
      <c r="H23" s="59">
        <f t="shared" si="2"/>
        <v>-347.1406912652937</v>
      </c>
    </row>
    <row r="24" spans="2:8">
      <c r="B24" s="56">
        <v>8</v>
      </c>
      <c r="C24" s="58">
        <f t="shared" si="3"/>
        <v>13003.336486222524</v>
      </c>
      <c r="D24" s="51">
        <f t="shared" si="4"/>
        <v>56.889597127223539</v>
      </c>
      <c r="E24" s="58">
        <f t="shared" si="0"/>
        <v>290.25109413807013</v>
      </c>
      <c r="F24" s="58">
        <f t="shared" si="5"/>
        <v>12713.085392084455</v>
      </c>
      <c r="G24" s="58">
        <f t="shared" si="1"/>
        <v>0</v>
      </c>
      <c r="H24" s="59">
        <f t="shared" si="2"/>
        <v>-347.1406912652937</v>
      </c>
    </row>
    <row r="25" spans="2:8">
      <c r="B25" s="56">
        <v>9</v>
      </c>
      <c r="C25" s="58">
        <f t="shared" si="3"/>
        <v>12713.085392084455</v>
      </c>
      <c r="D25" s="51">
        <f t="shared" si="4"/>
        <v>55.61974859036949</v>
      </c>
      <c r="E25" s="58">
        <f t="shared" si="0"/>
        <v>291.52094267492419</v>
      </c>
      <c r="F25" s="58">
        <f t="shared" si="5"/>
        <v>12421.56444940953</v>
      </c>
      <c r="G25" s="58">
        <f t="shared" si="1"/>
        <v>0</v>
      </c>
      <c r="H25" s="59">
        <f t="shared" si="2"/>
        <v>-347.1406912652937</v>
      </c>
    </row>
    <row r="26" spans="2:8">
      <c r="B26" s="56">
        <v>10</v>
      </c>
      <c r="C26" s="58">
        <f t="shared" si="3"/>
        <v>12421.56444940953</v>
      </c>
      <c r="D26" s="51">
        <f t="shared" si="4"/>
        <v>54.344344466166696</v>
      </c>
      <c r="E26" s="58">
        <f t="shared" si="0"/>
        <v>292.79634679912698</v>
      </c>
      <c r="F26" s="58">
        <f t="shared" si="5"/>
        <v>12128.768102610404</v>
      </c>
      <c r="G26" s="58">
        <f t="shared" si="1"/>
        <v>0</v>
      </c>
      <c r="H26" s="59">
        <f t="shared" si="2"/>
        <v>-347.1406912652937</v>
      </c>
    </row>
    <row r="27" spans="2:8">
      <c r="B27" s="56">
        <v>11</v>
      </c>
      <c r="C27" s="58">
        <f>F26</f>
        <v>12128.768102610404</v>
      </c>
      <c r="D27" s="51">
        <f>C27*$D$6/$D$7</f>
        <v>53.063360448920513</v>
      </c>
      <c r="E27" s="58">
        <f t="shared" si="0"/>
        <v>294.07733081637321</v>
      </c>
      <c r="F27" s="58">
        <f>C27-E27</f>
        <v>11834.69077179403</v>
      </c>
      <c r="G27" s="58">
        <f t="shared" si="1"/>
        <v>0</v>
      </c>
      <c r="H27" s="59">
        <f t="shared" si="2"/>
        <v>-347.1406912652937</v>
      </c>
    </row>
    <row r="28" spans="2:8">
      <c r="B28" s="56">
        <v>12</v>
      </c>
      <c r="C28" s="58">
        <f>F27</f>
        <v>11834.69077179403</v>
      </c>
      <c r="D28" s="51">
        <f t="shared" si="4"/>
        <v>51.776772126598878</v>
      </c>
      <c r="E28" s="58">
        <f t="shared" si="0"/>
        <v>295.36391913869483</v>
      </c>
      <c r="F28" s="58">
        <f>C28-E28</f>
        <v>11539.326852655335</v>
      </c>
      <c r="G28" s="58">
        <f t="shared" si="1"/>
        <v>0</v>
      </c>
      <c r="H28" s="59">
        <f t="shared" si="2"/>
        <v>-347.1406912652937</v>
      </c>
    </row>
    <row r="29" spans="2:8">
      <c r="B29" s="56">
        <v>13</v>
      </c>
      <c r="C29" s="58">
        <f t="shared" ref="C29:C66" si="6">F28</f>
        <v>11539.326852655335</v>
      </c>
      <c r="D29" s="51">
        <f t="shared" si="4"/>
        <v>50.484554980367086</v>
      </c>
      <c r="E29" s="58">
        <f t="shared" si="0"/>
        <v>296.65613628492662</v>
      </c>
      <c r="F29" s="58">
        <f t="shared" ref="F29:F66" si="7">C29-E29</f>
        <v>11242.670716370409</v>
      </c>
      <c r="G29" s="58">
        <f t="shared" si="1"/>
        <v>0</v>
      </c>
      <c r="H29" s="59">
        <f t="shared" si="2"/>
        <v>-347.1406912652937</v>
      </c>
    </row>
    <row r="30" spans="2:8">
      <c r="B30" s="56">
        <v>14</v>
      </c>
      <c r="C30" s="58">
        <f t="shared" si="6"/>
        <v>11242.670716370409</v>
      </c>
      <c r="D30" s="51">
        <f t="shared" si="4"/>
        <v>49.186684384120532</v>
      </c>
      <c r="E30" s="58">
        <f t="shared" si="0"/>
        <v>297.95400688117314</v>
      </c>
      <c r="F30" s="58">
        <f t="shared" si="7"/>
        <v>10944.716709489236</v>
      </c>
      <c r="G30" s="58">
        <f t="shared" si="1"/>
        <v>0</v>
      </c>
      <c r="H30" s="59">
        <f t="shared" si="2"/>
        <v>-347.1406912652937</v>
      </c>
    </row>
    <row r="31" spans="2:8">
      <c r="B31" s="56">
        <v>15</v>
      </c>
      <c r="C31" s="58">
        <f t="shared" si="6"/>
        <v>10944.716709489236</v>
      </c>
      <c r="D31" s="51">
        <f t="shared" si="4"/>
        <v>47.883135604015401</v>
      </c>
      <c r="E31" s="58">
        <f t="shared" si="0"/>
        <v>299.25755566127827</v>
      </c>
      <c r="F31" s="58">
        <f t="shared" si="7"/>
        <v>10645.459153827956</v>
      </c>
      <c r="G31" s="58">
        <f t="shared" si="1"/>
        <v>0</v>
      </c>
      <c r="H31" s="59">
        <f t="shared" si="2"/>
        <v>-347.1406912652937</v>
      </c>
    </row>
    <row r="32" spans="2:8">
      <c r="B32" s="56">
        <v>16</v>
      </c>
      <c r="C32" s="58">
        <f t="shared" si="6"/>
        <v>10645.459153827956</v>
      </c>
      <c r="D32" s="51">
        <f t="shared" si="4"/>
        <v>46.573883797997304</v>
      </c>
      <c r="E32" s="58">
        <f t="shared" si="0"/>
        <v>300.56680746729637</v>
      </c>
      <c r="F32" s="58">
        <f t="shared" si="7"/>
        <v>10344.892346360661</v>
      </c>
      <c r="G32" s="58">
        <f t="shared" si="1"/>
        <v>0</v>
      </c>
      <c r="H32" s="59">
        <f t="shared" si="2"/>
        <v>-347.1406912652937</v>
      </c>
    </row>
    <row r="33" spans="2:8">
      <c r="B33" s="56">
        <v>17</v>
      </c>
      <c r="C33" s="58">
        <f t="shared" si="6"/>
        <v>10344.892346360661</v>
      </c>
      <c r="D33" s="51">
        <f t="shared" si="4"/>
        <v>45.258904015327886</v>
      </c>
      <c r="E33" s="58">
        <f t="shared" si="0"/>
        <v>301.88178724996578</v>
      </c>
      <c r="F33" s="58">
        <f t="shared" si="7"/>
        <v>10043.010559110695</v>
      </c>
      <c r="G33" s="58">
        <f t="shared" si="1"/>
        <v>0</v>
      </c>
      <c r="H33" s="59">
        <f t="shared" si="2"/>
        <v>-347.1406912652937</v>
      </c>
    </row>
    <row r="34" spans="2:8">
      <c r="B34" s="56">
        <v>18</v>
      </c>
      <c r="C34" s="58">
        <f t="shared" si="6"/>
        <v>10043.010559110695</v>
      </c>
      <c r="D34" s="51">
        <f t="shared" si="4"/>
        <v>43.938171196109288</v>
      </c>
      <c r="E34" s="58">
        <f t="shared" si="0"/>
        <v>303.2025200691844</v>
      </c>
      <c r="F34" s="58">
        <f t="shared" si="7"/>
        <v>9739.8080390415107</v>
      </c>
      <c r="G34" s="58">
        <f t="shared" si="1"/>
        <v>0</v>
      </c>
      <c r="H34" s="59">
        <f t="shared" si="2"/>
        <v>-347.1406912652937</v>
      </c>
    </row>
    <row r="35" spans="2:8">
      <c r="B35" s="56">
        <v>19</v>
      </c>
      <c r="C35" s="58">
        <f t="shared" si="6"/>
        <v>9739.8080390415107</v>
      </c>
      <c r="D35" s="51">
        <f t="shared" si="4"/>
        <v>42.611660170806609</v>
      </c>
      <c r="E35" s="58">
        <f t="shared" si="0"/>
        <v>304.5290310944871</v>
      </c>
      <c r="F35" s="58">
        <f t="shared" si="7"/>
        <v>9435.2790079470233</v>
      </c>
      <c r="G35" s="58">
        <f t="shared" si="1"/>
        <v>0</v>
      </c>
      <c r="H35" s="59">
        <f t="shared" si="2"/>
        <v>-347.1406912652937</v>
      </c>
    </row>
    <row r="36" spans="2:8">
      <c r="B36" s="56">
        <v>20</v>
      </c>
      <c r="C36" s="58">
        <f t="shared" si="6"/>
        <v>9435.2790079470233</v>
      </c>
      <c r="D36" s="51">
        <f t="shared" si="4"/>
        <v>41.279345659768225</v>
      </c>
      <c r="E36" s="58">
        <f t="shared" si="0"/>
        <v>305.86134560552546</v>
      </c>
      <c r="F36" s="58">
        <f t="shared" si="7"/>
        <v>9129.4176623414969</v>
      </c>
      <c r="G36" s="58">
        <f t="shared" si="1"/>
        <v>0</v>
      </c>
      <c r="H36" s="59">
        <f t="shared" si="2"/>
        <v>-347.1406912652937</v>
      </c>
    </row>
    <row r="37" spans="2:8">
      <c r="B37" s="56">
        <v>21</v>
      </c>
      <c r="C37" s="58">
        <f t="shared" si="6"/>
        <v>9129.4176623414969</v>
      </c>
      <c r="D37" s="51">
        <f t="shared" si="4"/>
        <v>39.941202272744043</v>
      </c>
      <c r="E37" s="58">
        <f t="shared" si="0"/>
        <v>307.19948899254968</v>
      </c>
      <c r="F37" s="58">
        <f t="shared" si="7"/>
        <v>8822.2181733489469</v>
      </c>
      <c r="G37" s="58">
        <f t="shared" si="1"/>
        <v>0</v>
      </c>
      <c r="H37" s="59">
        <f t="shared" si="2"/>
        <v>-347.1406912652937</v>
      </c>
    </row>
    <row r="38" spans="2:8">
      <c r="B38" s="56">
        <v>22</v>
      </c>
      <c r="C38" s="58">
        <f t="shared" si="6"/>
        <v>8822.2181733489469</v>
      </c>
      <c r="D38" s="51">
        <f t="shared" si="4"/>
        <v>38.597204508401639</v>
      </c>
      <c r="E38" s="58">
        <f t="shared" si="0"/>
        <v>308.54348675689204</v>
      </c>
      <c r="F38" s="58">
        <f t="shared" si="7"/>
        <v>8513.6746865920541</v>
      </c>
      <c r="G38" s="58">
        <f t="shared" si="1"/>
        <v>0</v>
      </c>
      <c r="H38" s="59">
        <f t="shared" si="2"/>
        <v>-347.1406912652937</v>
      </c>
    </row>
    <row r="39" spans="2:8">
      <c r="B39" s="56">
        <v>23</v>
      </c>
      <c r="C39" s="58">
        <f t="shared" si="6"/>
        <v>8513.6746865920541</v>
      </c>
      <c r="D39" s="51">
        <f t="shared" si="4"/>
        <v>37.247326753840234</v>
      </c>
      <c r="E39" s="58">
        <f t="shared" si="0"/>
        <v>309.89336451145346</v>
      </c>
      <c r="F39" s="58">
        <f t="shared" si="7"/>
        <v>8203.7813220806001</v>
      </c>
      <c r="G39" s="58">
        <f t="shared" si="1"/>
        <v>0</v>
      </c>
      <c r="H39" s="59">
        <f t="shared" si="2"/>
        <v>-347.1406912652937</v>
      </c>
    </row>
    <row r="40" spans="2:8">
      <c r="B40" s="56">
        <v>24</v>
      </c>
      <c r="C40" s="58">
        <f t="shared" si="6"/>
        <v>8203.7813220806001</v>
      </c>
      <c r="D40" s="51">
        <f t="shared" si="4"/>
        <v>35.891543284102625</v>
      </c>
      <c r="E40" s="58">
        <f t="shared" si="0"/>
        <v>311.24914798119107</v>
      </c>
      <c r="F40" s="58">
        <f t="shared" si="7"/>
        <v>7892.5321740994095</v>
      </c>
      <c r="G40" s="58">
        <f t="shared" si="1"/>
        <v>0</v>
      </c>
      <c r="H40" s="59">
        <f t="shared" si="2"/>
        <v>-347.1406912652937</v>
      </c>
    </row>
    <row r="41" spans="2:8">
      <c r="B41" s="56">
        <v>25</v>
      </c>
      <c r="C41" s="58">
        <f t="shared" si="6"/>
        <v>7892.5321740994095</v>
      </c>
      <c r="D41" s="51">
        <f t="shared" si="4"/>
        <v>34.529828261684919</v>
      </c>
      <c r="E41" s="58">
        <f t="shared" si="0"/>
        <v>312.61086300360876</v>
      </c>
      <c r="F41" s="58">
        <f t="shared" si="7"/>
        <v>7579.9213110958008</v>
      </c>
      <c r="G41" s="58">
        <f t="shared" si="1"/>
        <v>0</v>
      </c>
      <c r="H41" s="59">
        <f t="shared" si="2"/>
        <v>-347.1406912652937</v>
      </c>
    </row>
    <row r="42" spans="2:8">
      <c r="B42" s="56">
        <v>26</v>
      </c>
      <c r="C42" s="58">
        <f t="shared" si="6"/>
        <v>7579.9213110958008</v>
      </c>
      <c r="D42" s="51">
        <f t="shared" si="4"/>
        <v>33.162155736044127</v>
      </c>
      <c r="E42" s="58">
        <f t="shared" si="0"/>
        <v>313.9785355292496</v>
      </c>
      <c r="F42" s="58">
        <f t="shared" si="7"/>
        <v>7265.9427755665511</v>
      </c>
      <c r="G42" s="58">
        <f t="shared" si="1"/>
        <v>0</v>
      </c>
      <c r="H42" s="59">
        <f t="shared" si="2"/>
        <v>-347.1406912652937</v>
      </c>
    </row>
    <row r="43" spans="2:8">
      <c r="B43" s="56">
        <v>27</v>
      </c>
      <c r="C43" s="58">
        <f t="shared" si="6"/>
        <v>7265.9427755665511</v>
      </c>
      <c r="D43" s="51">
        <f t="shared" si="4"/>
        <v>31.788499643103659</v>
      </c>
      <c r="E43" s="58">
        <f t="shared" si="0"/>
        <v>315.35219162219005</v>
      </c>
      <c r="F43" s="58">
        <f t="shared" si="7"/>
        <v>6950.5905839443612</v>
      </c>
      <c r="G43" s="58">
        <f t="shared" si="1"/>
        <v>0</v>
      </c>
      <c r="H43" s="59">
        <f t="shared" si="2"/>
        <v>-347.1406912652937</v>
      </c>
    </row>
    <row r="44" spans="2:8">
      <c r="B44" s="56">
        <v>28</v>
      </c>
      <c r="C44" s="58">
        <f t="shared" si="6"/>
        <v>6950.5905839443612</v>
      </c>
      <c r="D44" s="51">
        <f t="shared" si="4"/>
        <v>30.408833804756579</v>
      </c>
      <c r="E44" s="58">
        <f t="shared" si="0"/>
        <v>316.73185746053713</v>
      </c>
      <c r="F44" s="58">
        <f t="shared" si="7"/>
        <v>6633.8587264838243</v>
      </c>
      <c r="G44" s="58">
        <f t="shared" si="1"/>
        <v>0</v>
      </c>
      <c r="H44" s="59">
        <f t="shared" si="2"/>
        <v>-347.1406912652937</v>
      </c>
    </row>
    <row r="45" spans="2:8">
      <c r="B45" s="56">
        <v>29</v>
      </c>
      <c r="C45" s="58">
        <f t="shared" si="6"/>
        <v>6633.8587264838243</v>
      </c>
      <c r="D45" s="51">
        <f t="shared" si="4"/>
        <v>29.023131928366727</v>
      </c>
      <c r="E45" s="58">
        <f t="shared" si="0"/>
        <v>318.11755933692694</v>
      </c>
      <c r="F45" s="58">
        <f t="shared" si="7"/>
        <v>6315.7411671468972</v>
      </c>
      <c r="G45" s="58">
        <f t="shared" si="1"/>
        <v>0</v>
      </c>
      <c r="H45" s="59">
        <f t="shared" si="2"/>
        <v>-347.1406912652937</v>
      </c>
    </row>
    <row r="46" spans="2:8">
      <c r="B46" s="56">
        <v>30</v>
      </c>
      <c r="C46" s="58">
        <f t="shared" si="6"/>
        <v>6315.7411671468972</v>
      </c>
      <c r="D46" s="51">
        <f t="shared" si="4"/>
        <v>27.631367606267673</v>
      </c>
      <c r="E46" s="58">
        <f t="shared" si="0"/>
        <v>319.50932365902599</v>
      </c>
      <c r="F46" s="58">
        <f t="shared" si="7"/>
        <v>5996.2318434878707</v>
      </c>
      <c r="G46" s="58">
        <f t="shared" si="1"/>
        <v>0</v>
      </c>
      <c r="H46" s="59">
        <f t="shared" si="2"/>
        <v>-347.1406912652937</v>
      </c>
    </row>
    <row r="47" spans="2:8">
      <c r="B47" s="56">
        <v>31</v>
      </c>
      <c r="C47" s="58">
        <f t="shared" si="6"/>
        <v>5996.2318434878707</v>
      </c>
      <c r="D47" s="51">
        <f t="shared" si="4"/>
        <v>26.233514315259431</v>
      </c>
      <c r="E47" s="58">
        <f t="shared" si="0"/>
        <v>320.90717695003428</v>
      </c>
      <c r="F47" s="58">
        <f t="shared" si="7"/>
        <v>5675.3246665378365</v>
      </c>
      <c r="G47" s="58">
        <f t="shared" si="1"/>
        <v>0</v>
      </c>
      <c r="H47" s="59">
        <f t="shared" si="2"/>
        <v>-347.1406912652937</v>
      </c>
    </row>
    <row r="48" spans="2:8">
      <c r="B48" s="56">
        <v>32</v>
      </c>
      <c r="C48" s="58">
        <f t="shared" si="6"/>
        <v>5675.3246665378365</v>
      </c>
      <c r="D48" s="51">
        <f t="shared" si="4"/>
        <v>24.829545416103034</v>
      </c>
      <c r="E48" s="58">
        <f t="shared" si="0"/>
        <v>322.31114584919067</v>
      </c>
      <c r="F48" s="58">
        <f t="shared" si="7"/>
        <v>5353.0135206886462</v>
      </c>
      <c r="G48" s="58">
        <f t="shared" si="1"/>
        <v>0</v>
      </c>
      <c r="H48" s="59">
        <f t="shared" si="2"/>
        <v>-347.1406912652937</v>
      </c>
    </row>
    <row r="49" spans="2:8">
      <c r="B49" s="56">
        <v>33</v>
      </c>
      <c r="C49" s="58">
        <f t="shared" si="6"/>
        <v>5353.0135206886462</v>
      </c>
      <c r="D49" s="51">
        <f t="shared" si="4"/>
        <v>23.419434153012826</v>
      </c>
      <c r="E49" s="58">
        <f t="shared" si="0"/>
        <v>323.72125711228085</v>
      </c>
      <c r="F49" s="58">
        <f t="shared" si="7"/>
        <v>5029.2922635763653</v>
      </c>
      <c r="G49" s="58">
        <f t="shared" si="1"/>
        <v>0</v>
      </c>
      <c r="H49" s="59">
        <f t="shared" si="2"/>
        <v>-347.1406912652937</v>
      </c>
    </row>
    <row r="50" spans="2:8">
      <c r="B50" s="56">
        <v>34</v>
      </c>
      <c r="C50" s="58">
        <f t="shared" si="6"/>
        <v>5029.2922635763653</v>
      </c>
      <c r="D50" s="51">
        <f t="shared" si="4"/>
        <v>22.003153653146597</v>
      </c>
      <c r="E50" s="58">
        <f t="shared" si="0"/>
        <v>325.13753761214707</v>
      </c>
      <c r="F50" s="58">
        <f t="shared" si="7"/>
        <v>4704.1547259642184</v>
      </c>
      <c r="G50" s="58">
        <f t="shared" si="1"/>
        <v>0</v>
      </c>
      <c r="H50" s="59">
        <f t="shared" si="2"/>
        <v>-347.1406912652937</v>
      </c>
    </row>
    <row r="51" spans="2:8">
      <c r="B51" s="56">
        <v>35</v>
      </c>
      <c r="C51" s="58">
        <f t="shared" si="6"/>
        <v>4704.1547259642184</v>
      </c>
      <c r="D51" s="51">
        <f t="shared" si="4"/>
        <v>20.580676926093457</v>
      </c>
      <c r="E51" s="58">
        <f t="shared" si="0"/>
        <v>326.56001433920022</v>
      </c>
      <c r="F51" s="58">
        <f t="shared" si="7"/>
        <v>4377.5947116250181</v>
      </c>
      <c r="G51" s="58">
        <f t="shared" si="1"/>
        <v>0</v>
      </c>
      <c r="H51" s="59">
        <f t="shared" si="2"/>
        <v>-347.1406912652937</v>
      </c>
    </row>
    <row r="52" spans="2:8">
      <c r="B52" s="56">
        <v>36</v>
      </c>
      <c r="C52" s="58">
        <f t="shared" si="6"/>
        <v>4377.5947116250181</v>
      </c>
      <c r="D52" s="51">
        <f t="shared" si="4"/>
        <v>19.151976863359454</v>
      </c>
      <c r="E52" s="58">
        <f t="shared" si="0"/>
        <v>327.98871440193426</v>
      </c>
      <c r="F52" s="58">
        <f t="shared" si="7"/>
        <v>4049.6059972230837</v>
      </c>
      <c r="G52" s="58">
        <f t="shared" si="1"/>
        <v>0</v>
      </c>
      <c r="H52" s="59">
        <f t="shared" si="2"/>
        <v>-347.1406912652937</v>
      </c>
    </row>
    <row r="53" spans="2:8">
      <c r="B53" s="56">
        <v>37</v>
      </c>
      <c r="C53" s="58">
        <f t="shared" si="6"/>
        <v>4049.6059972230837</v>
      </c>
      <c r="D53" s="51">
        <f t="shared" si="4"/>
        <v>17.717026237850991</v>
      </c>
      <c r="E53" s="58">
        <f t="shared" si="0"/>
        <v>329.42366502744272</v>
      </c>
      <c r="F53" s="58">
        <f t="shared" si="7"/>
        <v>3720.1823321956408</v>
      </c>
      <c r="G53" s="58">
        <f t="shared" si="1"/>
        <v>0</v>
      </c>
      <c r="H53" s="59">
        <f t="shared" si="2"/>
        <v>-347.1406912652937</v>
      </c>
    </row>
    <row r="54" spans="2:8">
      <c r="B54" s="56">
        <v>38</v>
      </c>
      <c r="C54" s="58">
        <f t="shared" si="6"/>
        <v>3720.1823321956408</v>
      </c>
      <c r="D54" s="51">
        <f t="shared" si="4"/>
        <v>16.275797703355927</v>
      </c>
      <c r="E54" s="58">
        <f t="shared" si="0"/>
        <v>330.86489356193778</v>
      </c>
      <c r="F54" s="58">
        <f t="shared" si="7"/>
        <v>3389.3174386337032</v>
      </c>
      <c r="G54" s="58">
        <f t="shared" si="1"/>
        <v>0</v>
      </c>
      <c r="H54" s="59">
        <f t="shared" si="2"/>
        <v>-347.1406912652937</v>
      </c>
    </row>
    <row r="55" spans="2:8">
      <c r="B55" s="56">
        <v>39</v>
      </c>
      <c r="C55" s="58">
        <f t="shared" si="6"/>
        <v>3389.3174386337032</v>
      </c>
      <c r="D55" s="51">
        <f t="shared" si="4"/>
        <v>14.828263794022449</v>
      </c>
      <c r="E55" s="58">
        <f t="shared" si="0"/>
        <v>332.31242747127123</v>
      </c>
      <c r="F55" s="58">
        <f t="shared" si="7"/>
        <v>3057.0050111624319</v>
      </c>
      <c r="G55" s="58">
        <f t="shared" si="1"/>
        <v>0</v>
      </c>
      <c r="H55" s="59">
        <f t="shared" si="2"/>
        <v>-347.1406912652937</v>
      </c>
    </row>
    <row r="56" spans="2:8">
      <c r="B56" s="56">
        <v>40</v>
      </c>
      <c r="C56" s="58">
        <f t="shared" si="6"/>
        <v>3057.0050111624319</v>
      </c>
      <c r="D56" s="51">
        <f t="shared" si="4"/>
        <v>13.37439692383564</v>
      </c>
      <c r="E56" s="58">
        <f t="shared" si="0"/>
        <v>333.76629434145804</v>
      </c>
      <c r="F56" s="58">
        <f t="shared" si="7"/>
        <v>2723.2387168209739</v>
      </c>
      <c r="G56" s="58">
        <f t="shared" si="1"/>
        <v>0</v>
      </c>
      <c r="H56" s="59">
        <f t="shared" si="2"/>
        <v>-347.1406912652937</v>
      </c>
    </row>
    <row r="57" spans="2:8">
      <c r="B57" s="56">
        <v>41</v>
      </c>
      <c r="C57" s="58">
        <f t="shared" si="6"/>
        <v>2723.2387168209739</v>
      </c>
      <c r="D57" s="51">
        <f t="shared" si="4"/>
        <v>11.914169386091759</v>
      </c>
      <c r="E57" s="58">
        <f t="shared" si="0"/>
        <v>335.22652187920193</v>
      </c>
      <c r="F57" s="58">
        <f t="shared" si="7"/>
        <v>2388.0121949417721</v>
      </c>
      <c r="G57" s="58">
        <f t="shared" si="1"/>
        <v>0</v>
      </c>
      <c r="H57" s="59">
        <f t="shared" si="2"/>
        <v>-347.1406912652937</v>
      </c>
    </row>
    <row r="58" spans="2:8">
      <c r="B58" s="56">
        <v>42</v>
      </c>
      <c r="C58" s="58">
        <f t="shared" si="6"/>
        <v>2388.0121949417721</v>
      </c>
      <c r="D58" s="51">
        <f t="shared" si="4"/>
        <v>10.447553352870253</v>
      </c>
      <c r="E58" s="58">
        <f t="shared" si="0"/>
        <v>336.69313791242342</v>
      </c>
      <c r="F58" s="58">
        <f t="shared" si="7"/>
        <v>2051.3190570293486</v>
      </c>
      <c r="G58" s="58">
        <f t="shared" si="1"/>
        <v>0</v>
      </c>
      <c r="H58" s="59">
        <f t="shared" si="2"/>
        <v>-347.1406912652937</v>
      </c>
    </row>
    <row r="59" spans="2:8">
      <c r="B59" s="56">
        <v>43</v>
      </c>
      <c r="C59" s="58">
        <f t="shared" si="6"/>
        <v>2051.3190570293486</v>
      </c>
      <c r="D59" s="51">
        <f t="shared" si="4"/>
        <v>8.9745208745033995</v>
      </c>
      <c r="E59" s="58">
        <f t="shared" si="0"/>
        <v>338.16617039079028</v>
      </c>
      <c r="F59" s="58">
        <f t="shared" si="7"/>
        <v>1713.1528866385584</v>
      </c>
      <c r="G59" s="58">
        <f t="shared" si="1"/>
        <v>0</v>
      </c>
      <c r="H59" s="59">
        <f t="shared" si="2"/>
        <v>-347.1406912652937</v>
      </c>
    </row>
    <row r="60" spans="2:8">
      <c r="B60" s="56">
        <v>44</v>
      </c>
      <c r="C60" s="58">
        <f t="shared" si="6"/>
        <v>1713.1528866385584</v>
      </c>
      <c r="D60" s="51">
        <f t="shared" si="4"/>
        <v>7.495043879043692</v>
      </c>
      <c r="E60" s="58">
        <f t="shared" si="0"/>
        <v>339.64564738625</v>
      </c>
      <c r="F60" s="58">
        <f t="shared" si="7"/>
        <v>1373.5072392523084</v>
      </c>
      <c r="G60" s="58">
        <f>-$D$9+IF(B60=$D$7,($D$4*$D$5),0)+IF(B60=$D$7,($D$10),0)</f>
        <v>0</v>
      </c>
      <c r="H60" s="59">
        <f>IF(B60&lt;=$D$7,(-$D$8+G60),"")</f>
        <v>-347.1406912652937</v>
      </c>
    </row>
    <row r="61" spans="2:8">
      <c r="B61" s="56">
        <v>45</v>
      </c>
      <c r="C61" s="58">
        <f t="shared" si="6"/>
        <v>1373.5072392523084</v>
      </c>
      <c r="D61" s="51">
        <f t="shared" si="4"/>
        <v>6.0090941717288482</v>
      </c>
      <c r="E61" s="58">
        <f t="shared" si="0"/>
        <v>341.13159709356484</v>
      </c>
      <c r="F61" s="60">
        <f t="shared" si="7"/>
        <v>1032.3756421587436</v>
      </c>
      <c r="G61" s="58">
        <f t="shared" si="1"/>
        <v>0</v>
      </c>
      <c r="H61" s="59">
        <f t="shared" si="2"/>
        <v>-347.1406912652937</v>
      </c>
    </row>
    <row r="62" spans="2:8">
      <c r="B62" s="56">
        <v>46</v>
      </c>
      <c r="C62" s="58">
        <f t="shared" si="6"/>
        <v>1032.3756421587436</v>
      </c>
      <c r="D62" s="51">
        <f t="shared" si="4"/>
        <v>4.5166434344445028</v>
      </c>
      <c r="E62" s="58">
        <f t="shared" si="0"/>
        <v>342.62404783084918</v>
      </c>
      <c r="F62" s="58">
        <f>C62-E62</f>
        <v>689.75159432789451</v>
      </c>
      <c r="G62" s="58">
        <f t="shared" si="1"/>
        <v>0</v>
      </c>
      <c r="H62" s="59">
        <f t="shared" si="2"/>
        <v>-347.1406912652937</v>
      </c>
    </row>
    <row r="63" spans="2:8">
      <c r="B63" s="56">
        <v>47</v>
      </c>
      <c r="C63" s="58">
        <f t="shared" si="6"/>
        <v>689.75159432789451</v>
      </c>
      <c r="D63" s="51">
        <f t="shared" si="4"/>
        <v>3.0176632251845383</v>
      </c>
      <c r="E63" s="58">
        <f t="shared" si="0"/>
        <v>344.12302804010915</v>
      </c>
      <c r="F63" s="58">
        <f t="shared" si="7"/>
        <v>345.62856628778536</v>
      </c>
      <c r="G63" s="58">
        <f t="shared" si="1"/>
        <v>0</v>
      </c>
      <c r="H63" s="59">
        <f t="shared" si="2"/>
        <v>-347.1406912652937</v>
      </c>
    </row>
    <row r="64" spans="2:8">
      <c r="B64" s="56">
        <v>48</v>
      </c>
      <c r="C64" s="58">
        <f t="shared" si="6"/>
        <v>345.62856628778536</v>
      </c>
      <c r="D64" s="51">
        <f t="shared" si="4"/>
        <v>1.5121249775090611</v>
      </c>
      <c r="E64" s="58">
        <f t="shared" si="0"/>
        <v>345.62856628778462</v>
      </c>
      <c r="F64" s="58">
        <f t="shared" si="7"/>
        <v>7.3896444519050419E-13</v>
      </c>
      <c r="G64" s="58">
        <f t="shared" si="1"/>
        <v>1500</v>
      </c>
      <c r="H64" s="59">
        <f t="shared" si="2"/>
        <v>1152.8593087347062</v>
      </c>
    </row>
    <row r="65" spans="2:8">
      <c r="B65" s="56">
        <v>49</v>
      </c>
      <c r="C65" s="58">
        <f t="shared" si="6"/>
        <v>7.3896444519050419E-13</v>
      </c>
      <c r="D65" s="51">
        <f t="shared" si="4"/>
        <v>3.232969447708456E-15</v>
      </c>
      <c r="E65" s="58">
        <f t="shared" si="0"/>
        <v>-3.232969447708456E-15</v>
      </c>
      <c r="F65" s="58">
        <f t="shared" si="7"/>
        <v>7.4219741463821264E-13</v>
      </c>
      <c r="G65" s="58">
        <f t="shared" si="1"/>
        <v>0</v>
      </c>
      <c r="H65" s="59" t="str">
        <f t="shared" si="2"/>
        <v/>
      </c>
    </row>
    <row r="66" spans="2:8">
      <c r="B66" s="56">
        <v>50</v>
      </c>
      <c r="C66" s="58">
        <f t="shared" si="6"/>
        <v>7.4219741463821264E-13</v>
      </c>
      <c r="D66" s="51">
        <f t="shared" si="4"/>
        <v>3.2471136890421802E-15</v>
      </c>
      <c r="E66" s="58">
        <f t="shared" si="0"/>
        <v>-3.2471136890421802E-15</v>
      </c>
      <c r="F66" s="58">
        <f t="shared" si="7"/>
        <v>7.4544452832725484E-13</v>
      </c>
      <c r="G66" s="58">
        <f t="shared" si="1"/>
        <v>0</v>
      </c>
      <c r="H66" s="59" t="str">
        <f t="shared" si="2"/>
        <v/>
      </c>
    </row>
    <row r="67" spans="2:8">
      <c r="B67" s="36"/>
      <c r="C67" s="61"/>
      <c r="D67" s="62"/>
      <c r="E67" s="61"/>
      <c r="F67" s="61"/>
      <c r="G67" s="36"/>
      <c r="H67" s="61"/>
    </row>
    <row r="68" spans="2:8">
      <c r="C68" s="2" t="s">
        <v>13</v>
      </c>
    </row>
    <row r="69" spans="2:8">
      <c r="C69" s="2" t="s">
        <v>14</v>
      </c>
      <c r="H69" s="6">
        <f>G2*52</f>
        <v>0.39035734969747349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B1:K69"/>
  <sheetViews>
    <sheetView workbookViewId="0">
      <selection activeCell="D7" sqref="D7"/>
    </sheetView>
  </sheetViews>
  <sheetFormatPr defaultRowHeight="15"/>
  <cols>
    <col min="1" max="2" width="9.140625" style="2"/>
    <col min="3" max="3" width="26.42578125" style="2" customWidth="1"/>
    <col min="4" max="4" width="10.5703125" style="2" bestFit="1" customWidth="1"/>
    <col min="5" max="5" width="13.140625" style="2" bestFit="1" customWidth="1"/>
    <col min="6" max="6" width="13.140625" style="2" customWidth="1"/>
    <col min="7" max="7" width="14.7109375" style="2" bestFit="1" customWidth="1"/>
    <col min="8" max="10" width="9.140625" style="2"/>
    <col min="11" max="11" width="13" style="2" customWidth="1"/>
    <col min="12" max="16384" width="9.140625" style="2"/>
  </cols>
  <sheetData>
    <row r="1" spans="2:11" ht="15.75" thickBot="1"/>
    <row r="2" spans="2:11" ht="15.75" thickBot="1">
      <c r="C2" s="64" t="s">
        <v>44</v>
      </c>
      <c r="F2" s="47" t="s">
        <v>45</v>
      </c>
      <c r="G2" s="48">
        <f>IRR(H16:H66,0)</f>
        <v>5.8930816244688877E-3</v>
      </c>
    </row>
    <row r="3" spans="2:11">
      <c r="F3" s="47" t="s">
        <v>17</v>
      </c>
      <c r="G3" s="48">
        <f>G2*D7</f>
        <v>0.28286791797450661</v>
      </c>
      <c r="I3" s="63"/>
    </row>
    <row r="4" spans="2:11">
      <c r="C4" s="2" t="s">
        <v>46</v>
      </c>
      <c r="D4" s="22">
        <v>10000</v>
      </c>
      <c r="F4" s="47" t="s">
        <v>47</v>
      </c>
      <c r="G4" s="49">
        <f>G2*52</f>
        <v>0.30644024447238216</v>
      </c>
    </row>
    <row r="5" spans="2:11">
      <c r="C5" s="2" t="s">
        <v>1</v>
      </c>
      <c r="D5" s="4">
        <v>0</v>
      </c>
      <c r="F5" s="50" t="s">
        <v>48</v>
      </c>
      <c r="G5" s="51">
        <f>SUM(D17:D66)</f>
        <v>1279.9675955680509</v>
      </c>
    </row>
    <row r="6" spans="2:11">
      <c r="C6" s="2" t="s">
        <v>2</v>
      </c>
      <c r="D6" s="5">
        <v>0.24129999999999999</v>
      </c>
      <c r="G6" s="52"/>
    </row>
    <row r="7" spans="2:11">
      <c r="C7" s="2" t="s">
        <v>5</v>
      </c>
      <c r="D7" s="53">
        <v>48</v>
      </c>
      <c r="K7" s="5"/>
    </row>
    <row r="8" spans="2:11">
      <c r="C8" s="2" t="s">
        <v>6</v>
      </c>
      <c r="D8" s="54">
        <f>-PMT(D6/D7,D7,D4,0,0)</f>
        <v>234.99932490766761</v>
      </c>
      <c r="K8" s="5"/>
    </row>
    <row r="9" spans="2:11">
      <c r="C9" s="2" t="s">
        <v>49</v>
      </c>
      <c r="D9" s="55">
        <v>0</v>
      </c>
      <c r="K9" s="5"/>
    </row>
    <row r="10" spans="2:11">
      <c r="C10" s="2" t="s">
        <v>16</v>
      </c>
      <c r="D10" s="55">
        <v>0</v>
      </c>
      <c r="K10" s="5"/>
    </row>
    <row r="11" spans="2:11">
      <c r="C11" s="2" t="s">
        <v>19</v>
      </c>
      <c r="D11" s="55">
        <f>D4*2%</f>
        <v>200</v>
      </c>
      <c r="K11" s="5"/>
    </row>
    <row r="12" spans="2:11" ht="15.75" thickBot="1">
      <c r="K12" s="5"/>
    </row>
    <row r="13" spans="2:11" ht="15.75" thickBot="1">
      <c r="C13" s="64" t="s">
        <v>15</v>
      </c>
      <c r="K13" s="5"/>
    </row>
    <row r="14" spans="2:11" ht="15.75" thickBot="1">
      <c r="C14" s="65"/>
      <c r="K14" s="5"/>
    </row>
    <row r="15" spans="2:11">
      <c r="B15" s="32" t="s">
        <v>50</v>
      </c>
      <c r="C15" s="66" t="s">
        <v>3</v>
      </c>
      <c r="D15" s="33" t="s">
        <v>4</v>
      </c>
      <c r="E15" s="33" t="s">
        <v>7</v>
      </c>
      <c r="F15" s="33" t="s">
        <v>8</v>
      </c>
      <c r="G15" s="33" t="s">
        <v>10</v>
      </c>
      <c r="H15" s="34" t="s">
        <v>11</v>
      </c>
      <c r="K15" s="5"/>
    </row>
    <row r="16" spans="2:11">
      <c r="B16" s="56">
        <v>0</v>
      </c>
      <c r="C16" s="47">
        <f>D4</f>
        <v>10000</v>
      </c>
      <c r="D16" s="47"/>
      <c r="E16" s="47"/>
      <c r="F16" s="47"/>
      <c r="G16" s="47">
        <f>-D4*D5</f>
        <v>0</v>
      </c>
      <c r="H16" s="57">
        <f>C16+G16-D11</f>
        <v>9800</v>
      </c>
      <c r="K16" s="5"/>
    </row>
    <row r="17" spans="2:8">
      <c r="B17" s="56">
        <v>1</v>
      </c>
      <c r="C17" s="47">
        <f>D4</f>
        <v>10000</v>
      </c>
      <c r="D17" s="51">
        <f>C17*$D$6/$D$7</f>
        <v>50.270833333333336</v>
      </c>
      <c r="E17" s="58">
        <f>IF(B17&lt;=$D$7,$D$8,0)-D17</f>
        <v>184.72849157433427</v>
      </c>
      <c r="F17" s="58">
        <f>C17-E17</f>
        <v>9815.2715084256652</v>
      </c>
      <c r="G17" s="58">
        <f>-$D$9+IF(B17=$D$7,($D$4*$D$5),0)+IF(B17=$D$7,($D$10),0)</f>
        <v>0</v>
      </c>
      <c r="H17" s="59">
        <f>IF(B17&lt;=$D$7,(-$D$8+G17),"")</f>
        <v>-234.99932490766761</v>
      </c>
    </row>
    <row r="18" spans="2:8">
      <c r="B18" s="56">
        <v>2</v>
      </c>
      <c r="C18" s="58">
        <f>F17</f>
        <v>9815.2715084256652</v>
      </c>
      <c r="D18" s="51">
        <f>C18*$D$6/$D$7</f>
        <v>49.342187812148183</v>
      </c>
      <c r="E18" s="58">
        <f t="shared" ref="E18:E66" si="0">IF(B18&lt;=$D$7,$D$8,0)-D18</f>
        <v>185.65713709551943</v>
      </c>
      <c r="F18" s="58">
        <f>C18-E18</f>
        <v>9629.6143713301462</v>
      </c>
      <c r="G18" s="58">
        <f t="shared" ref="G18:G66" si="1">-$D$9+IF(B18=$D$7,($D$4*$D$5),0)+IF(B18=$D$7,($D$10),0)</f>
        <v>0</v>
      </c>
      <c r="H18" s="59">
        <f t="shared" ref="H18:H66" si="2">IF(B18&lt;=$D$7,(-$D$8+G18),"")</f>
        <v>-234.99932490766761</v>
      </c>
    </row>
    <row r="19" spans="2:8">
      <c r="B19" s="56">
        <v>3</v>
      </c>
      <c r="C19" s="58">
        <f t="shared" ref="C19:C26" si="3">F18</f>
        <v>9629.6143713301462</v>
      </c>
      <c r="D19" s="51">
        <f t="shared" ref="D19:D66" si="4">C19*$D$6/$D$7</f>
        <v>48.408873912540919</v>
      </c>
      <c r="E19" s="58">
        <f t="shared" si="0"/>
        <v>186.5904509951267</v>
      </c>
      <c r="F19" s="58">
        <f t="shared" ref="F19:F26" si="5">C19-E19</f>
        <v>9443.0239203350193</v>
      </c>
      <c r="G19" s="58">
        <f t="shared" si="1"/>
        <v>0</v>
      </c>
      <c r="H19" s="59">
        <f t="shared" si="2"/>
        <v>-234.99932490766761</v>
      </c>
    </row>
    <row r="20" spans="2:8">
      <c r="B20" s="56">
        <v>4</v>
      </c>
      <c r="C20" s="58">
        <f t="shared" si="3"/>
        <v>9443.0239203350193</v>
      </c>
      <c r="D20" s="51">
        <f t="shared" si="4"/>
        <v>47.470868166184168</v>
      </c>
      <c r="E20" s="58">
        <f t="shared" si="0"/>
        <v>187.52845674148344</v>
      </c>
      <c r="F20" s="58">
        <f t="shared" si="5"/>
        <v>9255.4954635935355</v>
      </c>
      <c r="G20" s="58">
        <f t="shared" si="1"/>
        <v>0</v>
      </c>
      <c r="H20" s="59">
        <f t="shared" si="2"/>
        <v>-234.99932490766761</v>
      </c>
    </row>
    <row r="21" spans="2:8">
      <c r="B21" s="56">
        <v>5</v>
      </c>
      <c r="C21" s="58">
        <f t="shared" si="3"/>
        <v>9255.4954635935355</v>
      </c>
      <c r="D21" s="51">
        <f t="shared" si="4"/>
        <v>46.528146986773329</v>
      </c>
      <c r="E21" s="58">
        <f t="shared" si="0"/>
        <v>188.47117792089429</v>
      </c>
      <c r="F21" s="58">
        <f t="shared" si="5"/>
        <v>9067.0242856726418</v>
      </c>
      <c r="G21" s="58">
        <f t="shared" si="1"/>
        <v>0</v>
      </c>
      <c r="H21" s="59">
        <f t="shared" si="2"/>
        <v>-234.99932490766761</v>
      </c>
    </row>
    <row r="22" spans="2:8">
      <c r="B22" s="56">
        <v>6</v>
      </c>
      <c r="C22" s="58">
        <f t="shared" si="3"/>
        <v>9067.0242856726418</v>
      </c>
      <c r="D22" s="51">
        <f t="shared" si="4"/>
        <v>45.580686669433504</v>
      </c>
      <c r="E22" s="58">
        <f t="shared" si="0"/>
        <v>189.41863823823411</v>
      </c>
      <c r="F22" s="58">
        <f t="shared" si="5"/>
        <v>8877.6056474344077</v>
      </c>
      <c r="G22" s="58">
        <f t="shared" si="1"/>
        <v>0</v>
      </c>
      <c r="H22" s="59">
        <f t="shared" si="2"/>
        <v>-234.99932490766761</v>
      </c>
    </row>
    <row r="23" spans="2:8">
      <c r="B23" s="56">
        <v>7</v>
      </c>
      <c r="C23" s="58">
        <f t="shared" si="3"/>
        <v>8877.6056474344077</v>
      </c>
      <c r="D23" s="51">
        <f t="shared" si="4"/>
        <v>44.628463390123386</v>
      </c>
      <c r="E23" s="58">
        <f t="shared" si="0"/>
        <v>190.37086151754423</v>
      </c>
      <c r="F23" s="58">
        <f t="shared" si="5"/>
        <v>8687.234785916864</v>
      </c>
      <c r="G23" s="58">
        <f t="shared" si="1"/>
        <v>0</v>
      </c>
      <c r="H23" s="59">
        <f t="shared" si="2"/>
        <v>-234.99932490766761</v>
      </c>
    </row>
    <row r="24" spans="2:8">
      <c r="B24" s="56">
        <v>8</v>
      </c>
      <c r="C24" s="58">
        <f t="shared" si="3"/>
        <v>8687.234785916864</v>
      </c>
      <c r="D24" s="51">
        <f t="shared" si="4"/>
        <v>43.671453205036237</v>
      </c>
      <c r="E24" s="58">
        <f t="shared" si="0"/>
        <v>191.32787170263137</v>
      </c>
      <c r="F24" s="58">
        <f t="shared" si="5"/>
        <v>8495.9069142142325</v>
      </c>
      <c r="G24" s="58">
        <f t="shared" si="1"/>
        <v>0</v>
      </c>
      <c r="H24" s="59">
        <f t="shared" si="2"/>
        <v>-234.99932490766761</v>
      </c>
    </row>
    <row r="25" spans="2:8">
      <c r="B25" s="56">
        <v>9</v>
      </c>
      <c r="C25" s="58">
        <f t="shared" si="3"/>
        <v>8495.9069142142325</v>
      </c>
      <c r="D25" s="51">
        <f t="shared" si="4"/>
        <v>42.709632049997794</v>
      </c>
      <c r="E25" s="58">
        <f t="shared" si="0"/>
        <v>192.28969285766982</v>
      </c>
      <c r="F25" s="58">
        <f t="shared" si="5"/>
        <v>8303.6172213565624</v>
      </c>
      <c r="G25" s="58">
        <f t="shared" si="1"/>
        <v>0</v>
      </c>
      <c r="H25" s="59">
        <f t="shared" si="2"/>
        <v>-234.99932490766761</v>
      </c>
    </row>
    <row r="26" spans="2:8">
      <c r="B26" s="56">
        <v>10</v>
      </c>
      <c r="C26" s="58">
        <f t="shared" si="3"/>
        <v>8303.6172213565624</v>
      </c>
      <c r="D26" s="51">
        <f t="shared" si="4"/>
        <v>41.742975739861215</v>
      </c>
      <c r="E26" s="58">
        <f t="shared" si="0"/>
        <v>193.25634916780641</v>
      </c>
      <c r="F26" s="58">
        <f t="shared" si="5"/>
        <v>8110.3608721887558</v>
      </c>
      <c r="G26" s="58">
        <f t="shared" si="1"/>
        <v>0</v>
      </c>
      <c r="H26" s="59">
        <f t="shared" si="2"/>
        <v>-234.99932490766761</v>
      </c>
    </row>
    <row r="27" spans="2:8">
      <c r="B27" s="56">
        <v>11</v>
      </c>
      <c r="C27" s="58">
        <f>F26</f>
        <v>8110.3608721887558</v>
      </c>
      <c r="D27" s="51">
        <f>C27*$D$6/$D$7</f>
        <v>40.771459967898885</v>
      </c>
      <c r="E27" s="58">
        <f t="shared" si="0"/>
        <v>194.22786493976872</v>
      </c>
      <c r="F27" s="58">
        <f>C27-E27</f>
        <v>7916.1330072489873</v>
      </c>
      <c r="G27" s="58">
        <f t="shared" si="1"/>
        <v>0</v>
      </c>
      <c r="H27" s="59">
        <f t="shared" si="2"/>
        <v>-234.99932490766761</v>
      </c>
    </row>
    <row r="28" spans="2:8">
      <c r="B28" s="56">
        <v>12</v>
      </c>
      <c r="C28" s="58">
        <f>F27</f>
        <v>7916.1330072489873</v>
      </c>
      <c r="D28" s="51">
        <f t="shared" si="4"/>
        <v>39.795060305191264</v>
      </c>
      <c r="E28" s="58">
        <f t="shared" si="0"/>
        <v>195.20426460247634</v>
      </c>
      <c r="F28" s="58">
        <f>C28-E28</f>
        <v>7720.9287426465107</v>
      </c>
      <c r="G28" s="58">
        <f t="shared" si="1"/>
        <v>0</v>
      </c>
      <c r="H28" s="59">
        <f t="shared" si="2"/>
        <v>-234.99932490766761</v>
      </c>
    </row>
    <row r="29" spans="2:8">
      <c r="B29" s="56">
        <v>13</v>
      </c>
      <c r="C29" s="58">
        <f t="shared" ref="C29:C66" si="6">F28</f>
        <v>7720.9287426465107</v>
      </c>
      <c r="D29" s="51">
        <f t="shared" si="4"/>
        <v>38.813752200012566</v>
      </c>
      <c r="E29" s="58">
        <f t="shared" si="0"/>
        <v>196.18557270765504</v>
      </c>
      <c r="F29" s="58">
        <f t="shared" ref="F29:F66" si="7">C29-E29</f>
        <v>7524.7431699388553</v>
      </c>
      <c r="G29" s="58">
        <f t="shared" si="1"/>
        <v>0</v>
      </c>
      <c r="H29" s="59">
        <f t="shared" si="2"/>
        <v>-234.99932490766761</v>
      </c>
    </row>
    <row r="30" spans="2:8">
      <c r="B30" s="56">
        <v>14</v>
      </c>
      <c r="C30" s="58">
        <f t="shared" si="6"/>
        <v>7524.7431699388553</v>
      </c>
      <c r="D30" s="51">
        <f t="shared" si="4"/>
        <v>37.82751097721345</v>
      </c>
      <c r="E30" s="58">
        <f t="shared" si="0"/>
        <v>197.17181393045416</v>
      </c>
      <c r="F30" s="58">
        <f t="shared" si="7"/>
        <v>7327.5713560084014</v>
      </c>
      <c r="G30" s="58">
        <f t="shared" si="1"/>
        <v>0</v>
      </c>
      <c r="H30" s="59">
        <f t="shared" si="2"/>
        <v>-234.99932490766761</v>
      </c>
    </row>
    <row r="31" spans="2:8">
      <c r="B31" s="56">
        <v>15</v>
      </c>
      <c r="C31" s="58">
        <f t="shared" si="6"/>
        <v>7327.5713560084014</v>
      </c>
      <c r="D31" s="51">
        <f t="shared" si="4"/>
        <v>36.836311837600569</v>
      </c>
      <c r="E31" s="58">
        <f t="shared" si="0"/>
        <v>198.16301307006705</v>
      </c>
      <c r="F31" s="58">
        <f t="shared" si="7"/>
        <v>7129.4083429383345</v>
      </c>
      <c r="G31" s="58">
        <f t="shared" si="1"/>
        <v>0</v>
      </c>
      <c r="H31" s="59">
        <f t="shared" si="2"/>
        <v>-234.99932490766761</v>
      </c>
    </row>
    <row r="32" spans="2:8">
      <c r="B32" s="56">
        <v>16</v>
      </c>
      <c r="C32" s="58">
        <f t="shared" si="6"/>
        <v>7129.4083429383345</v>
      </c>
      <c r="D32" s="51">
        <f t="shared" si="4"/>
        <v>35.840129857312917</v>
      </c>
      <c r="E32" s="58">
        <f t="shared" si="0"/>
        <v>199.1591950503547</v>
      </c>
      <c r="F32" s="58">
        <f t="shared" si="7"/>
        <v>6930.2491478879801</v>
      </c>
      <c r="G32" s="58">
        <f t="shared" si="1"/>
        <v>0</v>
      </c>
      <c r="H32" s="59">
        <f t="shared" si="2"/>
        <v>-234.99932490766761</v>
      </c>
    </row>
    <row r="33" spans="2:8">
      <c r="B33" s="56">
        <v>17</v>
      </c>
      <c r="C33" s="58">
        <f t="shared" si="6"/>
        <v>6930.2491478879801</v>
      </c>
      <c r="D33" s="51">
        <f t="shared" si="4"/>
        <v>34.838939987195197</v>
      </c>
      <c r="E33" s="58">
        <f t="shared" si="0"/>
        <v>200.16038492047241</v>
      </c>
      <c r="F33" s="58">
        <f t="shared" si="7"/>
        <v>6730.088762967508</v>
      </c>
      <c r="G33" s="58">
        <f t="shared" si="1"/>
        <v>0</v>
      </c>
      <c r="H33" s="59">
        <f t="shared" si="2"/>
        <v>-234.99932490766761</v>
      </c>
    </row>
    <row r="34" spans="2:8">
      <c r="B34" s="56">
        <v>18</v>
      </c>
      <c r="C34" s="58">
        <f t="shared" si="6"/>
        <v>6730.088762967508</v>
      </c>
      <c r="D34" s="51">
        <f t="shared" si="4"/>
        <v>33.832717052167908</v>
      </c>
      <c r="E34" s="58">
        <f t="shared" si="0"/>
        <v>201.16660785549971</v>
      </c>
      <c r="F34" s="58">
        <f t="shared" si="7"/>
        <v>6528.9221551120081</v>
      </c>
      <c r="G34" s="58">
        <f t="shared" si="1"/>
        <v>0</v>
      </c>
      <c r="H34" s="59">
        <f t="shared" si="2"/>
        <v>-234.99932490766761</v>
      </c>
    </row>
    <row r="35" spans="2:8">
      <c r="B35" s="56">
        <v>19</v>
      </c>
      <c r="C35" s="58">
        <f t="shared" si="6"/>
        <v>6528.9221551120081</v>
      </c>
      <c r="D35" s="51">
        <f t="shared" si="4"/>
        <v>32.821435750594325</v>
      </c>
      <c r="E35" s="58">
        <f t="shared" si="0"/>
        <v>202.17788915707328</v>
      </c>
      <c r="F35" s="58">
        <f t="shared" si="7"/>
        <v>6326.7442659549351</v>
      </c>
      <c r="G35" s="58">
        <f t="shared" si="1"/>
        <v>0</v>
      </c>
      <c r="H35" s="59">
        <f t="shared" si="2"/>
        <v>-234.99932490766761</v>
      </c>
    </row>
    <row r="36" spans="2:8">
      <c r="B36" s="56">
        <v>20</v>
      </c>
      <c r="C36" s="58">
        <f t="shared" si="6"/>
        <v>6326.7442659549351</v>
      </c>
      <c r="D36" s="51">
        <f t="shared" si="4"/>
        <v>31.80507065364429</v>
      </c>
      <c r="E36" s="58">
        <f t="shared" si="0"/>
        <v>203.19425425402332</v>
      </c>
      <c r="F36" s="58">
        <f t="shared" si="7"/>
        <v>6123.5500117009115</v>
      </c>
      <c r="G36" s="58">
        <f t="shared" si="1"/>
        <v>0</v>
      </c>
      <c r="H36" s="59">
        <f t="shared" si="2"/>
        <v>-234.99932490766761</v>
      </c>
    </row>
    <row r="37" spans="2:8">
      <c r="B37" s="56">
        <v>21</v>
      </c>
      <c r="C37" s="58">
        <f t="shared" si="6"/>
        <v>6123.5500117009115</v>
      </c>
      <c r="D37" s="51">
        <f t="shared" si="4"/>
        <v>30.783596204654788</v>
      </c>
      <c r="E37" s="58">
        <f t="shared" si="0"/>
        <v>204.21572870301281</v>
      </c>
      <c r="F37" s="58">
        <f t="shared" si="7"/>
        <v>5919.3342829978983</v>
      </c>
      <c r="G37" s="58">
        <f t="shared" si="1"/>
        <v>0</v>
      </c>
      <c r="H37" s="59">
        <f t="shared" si="2"/>
        <v>-234.99932490766761</v>
      </c>
    </row>
    <row r="38" spans="2:8">
      <c r="B38" s="56">
        <v>22</v>
      </c>
      <c r="C38" s="58">
        <f t="shared" si="6"/>
        <v>5919.3342829978983</v>
      </c>
      <c r="D38" s="51">
        <f t="shared" si="4"/>
        <v>29.756986718487351</v>
      </c>
      <c r="E38" s="58">
        <f t="shared" si="0"/>
        <v>205.24233818918026</v>
      </c>
      <c r="F38" s="58">
        <f t="shared" si="7"/>
        <v>5714.0919448087179</v>
      </c>
      <c r="G38" s="58">
        <f t="shared" si="1"/>
        <v>0</v>
      </c>
      <c r="H38" s="59">
        <f t="shared" si="2"/>
        <v>-234.99932490766761</v>
      </c>
    </row>
    <row r="39" spans="2:8">
      <c r="B39" s="56">
        <v>23</v>
      </c>
      <c r="C39" s="58">
        <f t="shared" si="6"/>
        <v>5714.0919448087179</v>
      </c>
      <c r="D39" s="51">
        <f t="shared" si="4"/>
        <v>28.725216380882159</v>
      </c>
      <c r="E39" s="58">
        <f t="shared" si="0"/>
        <v>206.27410852678545</v>
      </c>
      <c r="F39" s="58">
        <f t="shared" si="7"/>
        <v>5507.8178362819326</v>
      </c>
      <c r="G39" s="58">
        <f t="shared" si="1"/>
        <v>0</v>
      </c>
      <c r="H39" s="59">
        <f t="shared" si="2"/>
        <v>-234.99932490766761</v>
      </c>
    </row>
    <row r="40" spans="2:8">
      <c r="B40" s="56">
        <v>24</v>
      </c>
      <c r="C40" s="58">
        <f t="shared" si="6"/>
        <v>5507.8178362819326</v>
      </c>
      <c r="D40" s="51">
        <f t="shared" si="4"/>
        <v>27.688259247808961</v>
      </c>
      <c r="E40" s="58">
        <f t="shared" si="0"/>
        <v>207.31106565985866</v>
      </c>
      <c r="F40" s="58">
        <f t="shared" si="7"/>
        <v>5300.5067706220743</v>
      </c>
      <c r="G40" s="58">
        <f t="shared" si="1"/>
        <v>0</v>
      </c>
      <c r="H40" s="59">
        <f t="shared" si="2"/>
        <v>-234.99932490766761</v>
      </c>
    </row>
    <row r="41" spans="2:8">
      <c r="B41" s="56">
        <v>25</v>
      </c>
      <c r="C41" s="58">
        <f t="shared" si="6"/>
        <v>5300.5067706220743</v>
      </c>
      <c r="D41" s="51">
        <f t="shared" si="4"/>
        <v>26.646089244814718</v>
      </c>
      <c r="E41" s="58">
        <f t="shared" si="0"/>
        <v>208.35323566285291</v>
      </c>
      <c r="F41" s="58">
        <f t="shared" si="7"/>
        <v>5092.1535349592214</v>
      </c>
      <c r="G41" s="58">
        <f t="shared" si="1"/>
        <v>0</v>
      </c>
      <c r="H41" s="59">
        <f t="shared" si="2"/>
        <v>-234.99932490766761</v>
      </c>
    </row>
    <row r="42" spans="2:8">
      <c r="B42" s="56">
        <v>26</v>
      </c>
      <c r="C42" s="58">
        <f t="shared" si="6"/>
        <v>5092.1535349592214</v>
      </c>
      <c r="D42" s="51">
        <f t="shared" si="4"/>
        <v>25.598680166367917</v>
      </c>
      <c r="E42" s="58">
        <f t="shared" si="0"/>
        <v>209.40064474129969</v>
      </c>
      <c r="F42" s="58">
        <f t="shared" si="7"/>
        <v>4882.752890217922</v>
      </c>
      <c r="G42" s="58">
        <f t="shared" si="1"/>
        <v>0</v>
      </c>
      <c r="H42" s="59">
        <f t="shared" si="2"/>
        <v>-234.99932490766761</v>
      </c>
    </row>
    <row r="43" spans="2:8">
      <c r="B43" s="56">
        <v>27</v>
      </c>
      <c r="C43" s="58">
        <f t="shared" si="6"/>
        <v>4882.752890217922</v>
      </c>
      <c r="D43" s="51">
        <f t="shared" si="4"/>
        <v>24.546005675199677</v>
      </c>
      <c r="E43" s="58">
        <f t="shared" si="0"/>
        <v>210.45331923246795</v>
      </c>
      <c r="F43" s="58">
        <f t="shared" si="7"/>
        <v>4672.299570985454</v>
      </c>
      <c r="G43" s="58">
        <f t="shared" si="1"/>
        <v>0</v>
      </c>
      <c r="H43" s="59">
        <f t="shared" si="2"/>
        <v>-234.99932490766761</v>
      </c>
    </row>
    <row r="44" spans="2:8">
      <c r="B44" s="56">
        <v>28</v>
      </c>
      <c r="C44" s="58">
        <f t="shared" si="6"/>
        <v>4672.299570985454</v>
      </c>
      <c r="D44" s="51">
        <f t="shared" si="4"/>
        <v>23.488039301641461</v>
      </c>
      <c r="E44" s="58">
        <f t="shared" si="0"/>
        <v>211.51128560602615</v>
      </c>
      <c r="F44" s="58">
        <f t="shared" si="7"/>
        <v>4460.7882853794281</v>
      </c>
      <c r="G44" s="58">
        <f t="shared" si="1"/>
        <v>0</v>
      </c>
      <c r="H44" s="59">
        <f t="shared" si="2"/>
        <v>-234.99932490766761</v>
      </c>
    </row>
    <row r="45" spans="2:8">
      <c r="B45" s="56">
        <v>29</v>
      </c>
      <c r="C45" s="58">
        <f t="shared" si="6"/>
        <v>4460.7882853794281</v>
      </c>
      <c r="D45" s="51">
        <f t="shared" si="4"/>
        <v>22.424754442959497</v>
      </c>
      <c r="E45" s="58">
        <f t="shared" si="0"/>
        <v>212.57457046470813</v>
      </c>
      <c r="F45" s="58">
        <f t="shared" si="7"/>
        <v>4248.2137149147202</v>
      </c>
      <c r="G45" s="58">
        <f t="shared" si="1"/>
        <v>0</v>
      </c>
      <c r="H45" s="59">
        <f t="shared" si="2"/>
        <v>-234.99932490766761</v>
      </c>
    </row>
    <row r="46" spans="2:8">
      <c r="B46" s="56">
        <v>30</v>
      </c>
      <c r="C46" s="58">
        <f t="shared" si="6"/>
        <v>4248.2137149147202</v>
      </c>
      <c r="D46" s="51">
        <f t="shared" si="4"/>
        <v>21.356124362685875</v>
      </c>
      <c r="E46" s="58">
        <f t="shared" si="0"/>
        <v>213.64320054498174</v>
      </c>
      <c r="F46" s="58">
        <f t="shared" si="7"/>
        <v>4034.5705143697382</v>
      </c>
      <c r="G46" s="58">
        <f t="shared" si="1"/>
        <v>0</v>
      </c>
      <c r="H46" s="59">
        <f t="shared" si="2"/>
        <v>-234.99932490766761</v>
      </c>
    </row>
    <row r="47" spans="2:8">
      <c r="B47" s="56">
        <v>31</v>
      </c>
      <c r="C47" s="58">
        <f t="shared" si="6"/>
        <v>4034.5705143697382</v>
      </c>
      <c r="D47" s="51">
        <f t="shared" si="4"/>
        <v>20.282122189946204</v>
      </c>
      <c r="E47" s="58">
        <f t="shared" si="0"/>
        <v>214.71720271772142</v>
      </c>
      <c r="F47" s="58">
        <f t="shared" si="7"/>
        <v>3819.8533116520166</v>
      </c>
      <c r="G47" s="58">
        <f t="shared" si="1"/>
        <v>0</v>
      </c>
      <c r="H47" s="59">
        <f t="shared" si="2"/>
        <v>-234.99932490766761</v>
      </c>
    </row>
    <row r="48" spans="2:8">
      <c r="B48" s="56">
        <v>32</v>
      </c>
      <c r="C48" s="58">
        <f t="shared" si="6"/>
        <v>3819.8533116520166</v>
      </c>
      <c r="D48" s="51">
        <f t="shared" si="4"/>
        <v>19.202720918783992</v>
      </c>
      <c r="E48" s="58">
        <f t="shared" si="0"/>
        <v>215.79660398888362</v>
      </c>
      <c r="F48" s="58">
        <f t="shared" si="7"/>
        <v>3604.0567076631328</v>
      </c>
      <c r="G48" s="58">
        <f t="shared" si="1"/>
        <v>0</v>
      </c>
      <c r="H48" s="59">
        <f t="shared" si="2"/>
        <v>-234.99932490766761</v>
      </c>
    </row>
    <row r="49" spans="2:8">
      <c r="B49" s="56">
        <v>33</v>
      </c>
      <c r="C49" s="58">
        <f t="shared" si="6"/>
        <v>3604.0567076631328</v>
      </c>
      <c r="D49" s="51">
        <f t="shared" si="4"/>
        <v>18.117893407481539</v>
      </c>
      <c r="E49" s="58">
        <f t="shared" si="0"/>
        <v>216.88143150018607</v>
      </c>
      <c r="F49" s="58">
        <f t="shared" si="7"/>
        <v>3387.1752761629468</v>
      </c>
      <c r="G49" s="58">
        <f t="shared" si="1"/>
        <v>0</v>
      </c>
      <c r="H49" s="59">
        <f t="shared" si="2"/>
        <v>-234.99932490766761</v>
      </c>
    </row>
    <row r="50" spans="2:8">
      <c r="B50" s="56">
        <v>34</v>
      </c>
      <c r="C50" s="58">
        <f t="shared" si="6"/>
        <v>3387.1752761629468</v>
      </c>
      <c r="D50" s="51">
        <f t="shared" si="4"/>
        <v>17.027612377877478</v>
      </c>
      <c r="E50" s="58">
        <f t="shared" si="0"/>
        <v>217.97171252979012</v>
      </c>
      <c r="F50" s="58">
        <f t="shared" si="7"/>
        <v>3169.2035636331566</v>
      </c>
      <c r="G50" s="58">
        <f t="shared" si="1"/>
        <v>0</v>
      </c>
      <c r="H50" s="59">
        <f t="shared" si="2"/>
        <v>-234.99932490766761</v>
      </c>
    </row>
    <row r="51" spans="2:8">
      <c r="B51" s="56">
        <v>35</v>
      </c>
      <c r="C51" s="58">
        <f t="shared" si="6"/>
        <v>3169.2035636331566</v>
      </c>
      <c r="D51" s="51">
        <f t="shared" si="4"/>
        <v>15.931850414680847</v>
      </c>
      <c r="E51" s="58">
        <f t="shared" si="0"/>
        <v>219.06747449298678</v>
      </c>
      <c r="F51" s="58">
        <f t="shared" si="7"/>
        <v>2950.13608914017</v>
      </c>
      <c r="G51" s="58">
        <f t="shared" si="1"/>
        <v>0</v>
      </c>
      <c r="H51" s="59">
        <f t="shared" si="2"/>
        <v>-234.99932490766761</v>
      </c>
    </row>
    <row r="52" spans="2:8">
      <c r="B52" s="56">
        <v>36</v>
      </c>
      <c r="C52" s="58">
        <f t="shared" si="6"/>
        <v>2950.13608914017</v>
      </c>
      <c r="D52" s="51">
        <f t="shared" si="4"/>
        <v>14.830579964781728</v>
      </c>
      <c r="E52" s="58">
        <f t="shared" si="0"/>
        <v>220.16874494288589</v>
      </c>
      <c r="F52" s="58">
        <f t="shared" si="7"/>
        <v>2729.9673441972841</v>
      </c>
      <c r="G52" s="58">
        <f t="shared" si="1"/>
        <v>0</v>
      </c>
      <c r="H52" s="59">
        <f t="shared" si="2"/>
        <v>-234.99932490766761</v>
      </c>
    </row>
    <row r="53" spans="2:8">
      <c r="B53" s="56">
        <v>37</v>
      </c>
      <c r="C53" s="58">
        <f t="shared" si="6"/>
        <v>2729.9673441972841</v>
      </c>
      <c r="D53" s="51">
        <f t="shared" si="4"/>
        <v>13.72377333655843</v>
      </c>
      <c r="E53" s="58">
        <f t="shared" si="0"/>
        <v>221.27555157110919</v>
      </c>
      <c r="F53" s="58">
        <f t="shared" si="7"/>
        <v>2508.6917926261749</v>
      </c>
      <c r="G53" s="58">
        <f t="shared" si="1"/>
        <v>0</v>
      </c>
      <c r="H53" s="59">
        <f t="shared" si="2"/>
        <v>-234.99932490766761</v>
      </c>
    </row>
    <row r="54" spans="2:8">
      <c r="B54" s="56">
        <v>38</v>
      </c>
      <c r="C54" s="58">
        <f t="shared" si="6"/>
        <v>2508.6917926261749</v>
      </c>
      <c r="D54" s="51">
        <f t="shared" si="4"/>
        <v>12.611402699181165</v>
      </c>
      <c r="E54" s="58">
        <f t="shared" si="0"/>
        <v>222.38792220848646</v>
      </c>
      <c r="F54" s="58">
        <f t="shared" si="7"/>
        <v>2286.3038704176884</v>
      </c>
      <c r="G54" s="58">
        <f t="shared" si="1"/>
        <v>0</v>
      </c>
      <c r="H54" s="59">
        <f t="shared" si="2"/>
        <v>-234.99932490766761</v>
      </c>
    </row>
    <row r="55" spans="2:8">
      <c r="B55" s="56">
        <v>39</v>
      </c>
      <c r="C55" s="58">
        <f t="shared" si="6"/>
        <v>2286.3038704176884</v>
      </c>
      <c r="D55" s="51">
        <f t="shared" si="4"/>
        <v>11.493440081912254</v>
      </c>
      <c r="E55" s="58">
        <f t="shared" si="0"/>
        <v>223.50588482575534</v>
      </c>
      <c r="F55" s="58">
        <f t="shared" si="7"/>
        <v>2062.797985591933</v>
      </c>
      <c r="G55" s="58">
        <f t="shared" si="1"/>
        <v>0</v>
      </c>
      <c r="H55" s="59">
        <f t="shared" si="2"/>
        <v>-234.99932490766761</v>
      </c>
    </row>
    <row r="56" spans="2:8">
      <c r="B56" s="56">
        <v>40</v>
      </c>
      <c r="C56" s="58">
        <f t="shared" si="6"/>
        <v>2062.797985591933</v>
      </c>
      <c r="D56" s="51">
        <f t="shared" si="4"/>
        <v>10.369857373402779</v>
      </c>
      <c r="E56" s="58">
        <f t="shared" si="0"/>
        <v>224.62946753426485</v>
      </c>
      <c r="F56" s="58">
        <f t="shared" si="7"/>
        <v>1838.1685180576681</v>
      </c>
      <c r="G56" s="58">
        <f t="shared" si="1"/>
        <v>0</v>
      </c>
      <c r="H56" s="59">
        <f t="shared" si="2"/>
        <v>-234.99932490766761</v>
      </c>
    </row>
    <row r="57" spans="2:8">
      <c r="B57" s="56">
        <v>41</v>
      </c>
      <c r="C57" s="58">
        <f t="shared" si="6"/>
        <v>1838.1685180576681</v>
      </c>
      <c r="D57" s="51">
        <f t="shared" si="4"/>
        <v>9.2406263209857347</v>
      </c>
      <c r="E57" s="58">
        <f t="shared" si="0"/>
        <v>225.75869858668187</v>
      </c>
      <c r="F57" s="58">
        <f t="shared" si="7"/>
        <v>1612.4098194709861</v>
      </c>
      <c r="G57" s="58">
        <f t="shared" si="1"/>
        <v>0</v>
      </c>
      <c r="H57" s="59">
        <f t="shared" si="2"/>
        <v>-234.99932490766761</v>
      </c>
    </row>
    <row r="58" spans="2:8">
      <c r="B58" s="56">
        <v>42</v>
      </c>
      <c r="C58" s="58">
        <f t="shared" si="6"/>
        <v>1612.4098194709861</v>
      </c>
      <c r="D58" s="51">
        <f t="shared" si="4"/>
        <v>8.1057185299656016</v>
      </c>
      <c r="E58" s="58">
        <f t="shared" si="0"/>
        <v>226.89360637770201</v>
      </c>
      <c r="F58" s="58">
        <f t="shared" si="7"/>
        <v>1385.516213093284</v>
      </c>
      <c r="G58" s="58">
        <f t="shared" si="1"/>
        <v>0</v>
      </c>
      <c r="H58" s="59">
        <f t="shared" si="2"/>
        <v>-234.99932490766761</v>
      </c>
    </row>
    <row r="59" spans="2:8">
      <c r="B59" s="56">
        <v>43</v>
      </c>
      <c r="C59" s="58">
        <f t="shared" si="6"/>
        <v>1385.516213093284</v>
      </c>
      <c r="D59" s="51">
        <f t="shared" si="4"/>
        <v>6.9651054629043623</v>
      </c>
      <c r="E59" s="58">
        <f t="shared" si="0"/>
        <v>228.03421944476324</v>
      </c>
      <c r="F59" s="58">
        <f t="shared" si="7"/>
        <v>1157.4819936485208</v>
      </c>
      <c r="G59" s="58">
        <f t="shared" si="1"/>
        <v>0</v>
      </c>
      <c r="H59" s="59">
        <f t="shared" si="2"/>
        <v>-234.99932490766761</v>
      </c>
    </row>
    <row r="60" spans="2:8">
      <c r="B60" s="56">
        <v>44</v>
      </c>
      <c r="C60" s="58">
        <f t="shared" si="6"/>
        <v>1157.4819936485208</v>
      </c>
      <c r="D60" s="51">
        <f t="shared" si="4"/>
        <v>5.8187584389039175</v>
      </c>
      <c r="E60" s="58">
        <f t="shared" si="0"/>
        <v>229.18056646876369</v>
      </c>
      <c r="F60" s="58">
        <f t="shared" si="7"/>
        <v>928.30142717975707</v>
      </c>
      <c r="G60" s="58">
        <f>-$D$9+IF(B60=$D$7,($D$4*$D$5),0)+IF(B60=$D$7,($D$10),0)</f>
        <v>0</v>
      </c>
      <c r="H60" s="59">
        <f>IF(B60&lt;=$D$7,(-$D$8+G60),"")</f>
        <v>-234.99932490766761</v>
      </c>
    </row>
    <row r="61" spans="2:8">
      <c r="B61" s="56">
        <v>45</v>
      </c>
      <c r="C61" s="58">
        <f t="shared" si="6"/>
        <v>928.30142717975707</v>
      </c>
      <c r="D61" s="51">
        <f t="shared" si="4"/>
        <v>4.6666486328849031</v>
      </c>
      <c r="E61" s="58">
        <f t="shared" si="0"/>
        <v>230.3326762747827</v>
      </c>
      <c r="F61" s="60">
        <f t="shared" si="7"/>
        <v>697.9687509049744</v>
      </c>
      <c r="G61" s="58">
        <f t="shared" si="1"/>
        <v>0</v>
      </c>
      <c r="H61" s="59">
        <f t="shared" si="2"/>
        <v>-234.99932490766761</v>
      </c>
    </row>
    <row r="62" spans="2:8">
      <c r="B62" s="56">
        <v>46</v>
      </c>
      <c r="C62" s="58">
        <f t="shared" si="6"/>
        <v>697.9687509049744</v>
      </c>
      <c r="D62" s="51">
        <f t="shared" si="4"/>
        <v>3.5087470748618816</v>
      </c>
      <c r="E62" s="58">
        <f t="shared" si="0"/>
        <v>231.49057783280574</v>
      </c>
      <c r="F62" s="58">
        <f>C62-E62</f>
        <v>466.47817307216866</v>
      </c>
      <c r="G62" s="58">
        <f t="shared" si="1"/>
        <v>0</v>
      </c>
      <c r="H62" s="59">
        <f t="shared" si="2"/>
        <v>-234.99932490766761</v>
      </c>
    </row>
    <row r="63" spans="2:8">
      <c r="B63" s="56">
        <v>47</v>
      </c>
      <c r="C63" s="58">
        <f t="shared" si="6"/>
        <v>466.47817307216866</v>
      </c>
      <c r="D63" s="51">
        <f t="shared" si="4"/>
        <v>2.345024649214881</v>
      </c>
      <c r="E63" s="58">
        <f t="shared" si="0"/>
        <v>232.65430025845274</v>
      </c>
      <c r="F63" s="58">
        <f t="shared" si="7"/>
        <v>233.82387281371592</v>
      </c>
      <c r="G63" s="58">
        <f t="shared" si="1"/>
        <v>0</v>
      </c>
      <c r="H63" s="59">
        <f t="shared" si="2"/>
        <v>-234.99932490766761</v>
      </c>
    </row>
    <row r="64" spans="2:8">
      <c r="B64" s="56">
        <v>48</v>
      </c>
      <c r="C64" s="58">
        <f t="shared" si="6"/>
        <v>233.82387281371592</v>
      </c>
      <c r="D64" s="51">
        <f t="shared" si="4"/>
        <v>1.1754520939572843</v>
      </c>
      <c r="E64" s="58">
        <f t="shared" si="0"/>
        <v>233.82387281371032</v>
      </c>
      <c r="F64" s="58">
        <f t="shared" si="7"/>
        <v>5.5990767577895895E-12</v>
      </c>
      <c r="G64" s="58">
        <f t="shared" si="1"/>
        <v>0</v>
      </c>
      <c r="H64" s="59">
        <f t="shared" si="2"/>
        <v>-234.99932490766761</v>
      </c>
    </row>
    <row r="65" spans="2:8">
      <c r="B65" s="56">
        <v>49</v>
      </c>
      <c r="C65" s="58">
        <f t="shared" si="6"/>
        <v>5.5990767577895895E-12</v>
      </c>
      <c r="D65" s="51">
        <f t="shared" si="4"/>
        <v>2.814702545113808E-14</v>
      </c>
      <c r="E65" s="58">
        <f t="shared" si="0"/>
        <v>-2.814702545113808E-14</v>
      </c>
      <c r="F65" s="58">
        <f t="shared" si="7"/>
        <v>5.6272237832407272E-12</v>
      </c>
      <c r="G65" s="58">
        <f t="shared" si="1"/>
        <v>0</v>
      </c>
      <c r="H65" s="59" t="str">
        <f t="shared" si="2"/>
        <v/>
      </c>
    </row>
    <row r="66" spans="2:8">
      <c r="B66" s="56">
        <v>50</v>
      </c>
      <c r="C66" s="58">
        <f t="shared" si="6"/>
        <v>5.6272237832407272E-12</v>
      </c>
      <c r="D66" s="51">
        <f t="shared" si="4"/>
        <v>2.8288522893666403E-14</v>
      </c>
      <c r="E66" s="58">
        <f t="shared" si="0"/>
        <v>-2.8288522893666403E-14</v>
      </c>
      <c r="F66" s="58">
        <f t="shared" si="7"/>
        <v>5.6555123061343938E-12</v>
      </c>
      <c r="G66" s="58">
        <f t="shared" si="1"/>
        <v>0</v>
      </c>
      <c r="H66" s="59" t="str">
        <f t="shared" si="2"/>
        <v/>
      </c>
    </row>
    <row r="67" spans="2:8">
      <c r="B67" s="36"/>
      <c r="C67" s="61"/>
      <c r="D67" s="62"/>
      <c r="E67" s="61"/>
      <c r="F67" s="61"/>
      <c r="G67" s="36"/>
      <c r="H67" s="61"/>
    </row>
    <row r="68" spans="2:8">
      <c r="C68" s="2" t="s">
        <v>13</v>
      </c>
    </row>
    <row r="69" spans="2:8">
      <c r="C69" s="2" t="s">
        <v>14</v>
      </c>
      <c r="H69" s="6">
        <f>G2*52</f>
        <v>0.30644024447238216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1:F20"/>
  <sheetViews>
    <sheetView topLeftCell="A4" workbookViewId="0">
      <selection activeCell="B19" sqref="B19"/>
    </sheetView>
  </sheetViews>
  <sheetFormatPr defaultColWidth="11.7109375" defaultRowHeight="15"/>
  <cols>
    <col min="1" max="1" width="11.7109375" style="35" customWidth="1"/>
    <col min="2" max="2" width="31.7109375" style="35" bestFit="1" customWidth="1"/>
    <col min="3" max="3" width="13.140625" style="35" customWidth="1"/>
    <col min="4" max="4" width="13.7109375" style="35" customWidth="1"/>
    <col min="5" max="16384" width="11.7109375" style="35"/>
  </cols>
  <sheetData>
    <row r="1" spans="2:6" ht="18.75" customHeight="1"/>
    <row r="2" spans="2:6" ht="16.5" thickBot="1">
      <c r="E2" s="37"/>
      <c r="F2" s="37"/>
    </row>
    <row r="3" spans="2:6" ht="15" customHeight="1" thickBot="1">
      <c r="B3" s="72" t="s">
        <v>41</v>
      </c>
      <c r="C3" s="73"/>
      <c r="D3" s="74"/>
    </row>
    <row r="4" spans="2:6" ht="15" customHeight="1" thickBot="1">
      <c r="B4" s="44" t="s">
        <v>42</v>
      </c>
      <c r="C4" s="45" t="s">
        <v>35</v>
      </c>
      <c r="D4" s="46" t="s">
        <v>36</v>
      </c>
    </row>
    <row r="5" spans="2:6" ht="15" customHeight="1">
      <c r="B5" s="38" t="s">
        <v>37</v>
      </c>
      <c r="C5" s="42">
        <f>Family!E3</f>
        <v>0.35940428969707394</v>
      </c>
      <c r="D5" s="40" t="e">
        <f>#REF!</f>
        <v>#REF!</v>
      </c>
    </row>
    <row r="6" spans="2:6" ht="15" customHeight="1">
      <c r="B6" s="38" t="s">
        <v>38</v>
      </c>
      <c r="C6" s="42">
        <f>'Family Repeat'!E3</f>
        <v>0.35504812494411464</v>
      </c>
      <c r="D6" s="40" t="e">
        <f>#REF!</f>
        <v>#REF!</v>
      </c>
    </row>
    <row r="7" spans="2:6" ht="15" customHeight="1">
      <c r="B7" s="38" t="s">
        <v>39</v>
      </c>
      <c r="C7" s="42">
        <f>'Business Fresh'!E3</f>
        <v>0.33653058668605951</v>
      </c>
      <c r="D7" s="40" t="e">
        <f>#REF!</f>
        <v>#REF!</v>
      </c>
    </row>
    <row r="8" spans="2:6" ht="15" customHeight="1" thickBot="1">
      <c r="B8" s="39" t="s">
        <v>40</v>
      </c>
      <c r="C8" s="43">
        <f>'Business Repeat'!E3</f>
        <v>0.32604573771103329</v>
      </c>
      <c r="D8" s="41" t="e">
        <f>#REF!</f>
        <v>#REF!</v>
      </c>
    </row>
    <row r="9" spans="2:6" ht="14.25" customHeight="1" thickBot="1"/>
    <row r="10" spans="2:6" ht="14.25" customHeight="1" thickBot="1">
      <c r="B10" s="71" t="s">
        <v>55</v>
      </c>
      <c r="C10" s="45" t="s">
        <v>17</v>
      </c>
    </row>
    <row r="11" spans="2:6">
      <c r="B11" s="67" t="s">
        <v>43</v>
      </c>
      <c r="C11" s="69">
        <f>Bandhan!G3</f>
        <v>0.28450142467671302</v>
      </c>
    </row>
    <row r="12" spans="2:6">
      <c r="B12" s="67" t="s">
        <v>57</v>
      </c>
      <c r="C12" s="69">
        <f>'Ujj original'!G3</f>
        <v>0.31904724273611862</v>
      </c>
    </row>
    <row r="13" spans="2:6" ht="15" customHeight="1">
      <c r="B13" s="67" t="s">
        <v>56</v>
      </c>
      <c r="C13" s="69" t="e">
        <f>#REF!</f>
        <v>#REF!</v>
      </c>
    </row>
    <row r="14" spans="2:6" ht="15" customHeight="1">
      <c r="B14" s="67" t="s">
        <v>51</v>
      </c>
      <c r="C14" s="69">
        <f>'SKS Min'!G3</f>
        <v>0.28043833169956178</v>
      </c>
    </row>
    <row r="15" spans="2:6">
      <c r="B15" s="67" t="s">
        <v>52</v>
      </c>
      <c r="C15" s="69">
        <f>'SKS Max'!G3</f>
        <v>0.32665293856960487</v>
      </c>
    </row>
    <row r="16" spans="2:6" ht="15" customHeight="1" thickBot="1">
      <c r="B16" s="68" t="s">
        <v>53</v>
      </c>
      <c r="C16" s="70" t="s">
        <v>54</v>
      </c>
    </row>
    <row r="17" ht="15" customHeight="1"/>
    <row r="18" ht="15" customHeight="1"/>
    <row r="19" ht="15" customHeight="1"/>
    <row r="20" ht="15" customHeight="1"/>
  </sheetData>
  <mergeCells count="1">
    <mergeCell ref="B3:D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19"/>
  <dimension ref="A1:H79"/>
  <sheetViews>
    <sheetView topLeftCell="A13" zoomScaleNormal="100" workbookViewId="0">
      <selection activeCell="E19" sqref="E19"/>
    </sheetView>
  </sheetViews>
  <sheetFormatPr defaultRowHeight="15"/>
  <cols>
    <col min="1" max="1" width="24.42578125" style="2" customWidth="1"/>
    <col min="2" max="2" width="10.5703125" style="2" bestFit="1" customWidth="1"/>
    <col min="3" max="3" width="13.140625" style="2" bestFit="1" customWidth="1"/>
    <col min="4" max="4" width="13.140625" style="2" customWidth="1"/>
    <col min="5" max="6" width="15.7109375" style="2" bestFit="1" customWidth="1"/>
    <col min="7" max="16384" width="9.140625" style="2"/>
  </cols>
  <sheetData>
    <row r="1" spans="1:5" ht="18.75">
      <c r="A1" s="26" t="s">
        <v>24</v>
      </c>
    </row>
    <row r="2" spans="1:5" ht="15.75" thickBot="1"/>
    <row r="3" spans="1:5" ht="15.75" thickBot="1">
      <c r="A3" s="13" t="s">
        <v>20</v>
      </c>
      <c r="D3" s="13" t="s">
        <v>27</v>
      </c>
      <c r="E3" s="31">
        <f>F34</f>
        <v>0.34532864529332929</v>
      </c>
    </row>
    <row r="4" spans="1:5" ht="15.75" thickBot="1">
      <c r="D4" s="13" t="s">
        <v>28</v>
      </c>
      <c r="E4" s="31">
        <f>F37</f>
        <v>0.33308201728609799</v>
      </c>
    </row>
    <row r="5" spans="1:5">
      <c r="A5" s="2" t="s">
        <v>0</v>
      </c>
      <c r="B5" s="3">
        <v>10000</v>
      </c>
    </row>
    <row r="6" spans="1:5">
      <c r="A6" s="2" t="s">
        <v>1</v>
      </c>
      <c r="B6" s="4">
        <v>0.1</v>
      </c>
    </row>
    <row r="7" spans="1:5">
      <c r="A7" s="2" t="s">
        <v>2</v>
      </c>
      <c r="B7" s="5">
        <v>0.25</v>
      </c>
      <c r="E7" s="11"/>
    </row>
    <row r="8" spans="1:5">
      <c r="A8" s="2" t="s">
        <v>5</v>
      </c>
      <c r="B8" s="2">
        <v>12</v>
      </c>
      <c r="E8" s="10"/>
    </row>
    <row r="9" spans="1:5">
      <c r="A9" s="2" t="s">
        <v>6</v>
      </c>
      <c r="B9" s="27">
        <f>-PMT(B7/B8,B8,B5,0,0)</f>
        <v>950.44203263909253</v>
      </c>
      <c r="C9" s="21"/>
    </row>
    <row r="10" spans="1:5">
      <c r="A10" s="2" t="s">
        <v>21</v>
      </c>
      <c r="B10" s="2">
        <v>0</v>
      </c>
    </row>
    <row r="11" spans="1:5">
      <c r="A11" s="2" t="s">
        <v>25</v>
      </c>
      <c r="B11" s="2">
        <v>0</v>
      </c>
    </row>
    <row r="12" spans="1:5">
      <c r="A12" s="2" t="s">
        <v>26</v>
      </c>
      <c r="B12" s="2">
        <v>50</v>
      </c>
    </row>
    <row r="13" spans="1:5">
      <c r="A13" s="2" t="s">
        <v>19</v>
      </c>
      <c r="B13" s="23">
        <f>200/(1+10.3%)</f>
        <v>181.32366273798732</v>
      </c>
    </row>
    <row r="14" spans="1:5" ht="15.75" thickBot="1"/>
    <row r="15" spans="1:5" ht="15.75" thickBot="1">
      <c r="A15" s="13" t="s">
        <v>15</v>
      </c>
    </row>
    <row r="16" spans="1:5" ht="15.75" thickBot="1">
      <c r="A16" s="12"/>
    </row>
    <row r="17" spans="1:8">
      <c r="A17" s="15" t="s">
        <v>9</v>
      </c>
      <c r="B17" s="16" t="s">
        <v>3</v>
      </c>
      <c r="C17" s="16" t="s">
        <v>4</v>
      </c>
      <c r="D17" s="16" t="s">
        <v>7</v>
      </c>
      <c r="E17" s="16" t="s">
        <v>8</v>
      </c>
      <c r="F17" s="16" t="s">
        <v>22</v>
      </c>
      <c r="G17" s="17" t="s">
        <v>11</v>
      </c>
    </row>
    <row r="18" spans="1:8">
      <c r="A18" s="28">
        <v>0</v>
      </c>
      <c r="B18" s="14">
        <f>B5</f>
        <v>10000</v>
      </c>
      <c r="C18" s="14"/>
      <c r="D18" s="14"/>
      <c r="E18" s="14"/>
      <c r="F18" s="14">
        <f>-B5*B6</f>
        <v>-1000</v>
      </c>
      <c r="G18" s="18">
        <f>B18+F18-B13</f>
        <v>8818.6763372620135</v>
      </c>
      <c r="H18" s="9">
        <f>G18+B12</f>
        <v>8868.6763372620135</v>
      </c>
    </row>
    <row r="19" spans="1:8">
      <c r="A19" s="28">
        <v>1</v>
      </c>
      <c r="B19" s="14">
        <f>B5</f>
        <v>10000</v>
      </c>
      <c r="C19" s="14">
        <f>B19*$B$7/$B$8</f>
        <v>208.33333333333334</v>
      </c>
      <c r="D19" s="14">
        <f>$B$9-C19</f>
        <v>742.10869930575916</v>
      </c>
      <c r="E19" s="14">
        <f>B19-D19</f>
        <v>9257.8913006942403</v>
      </c>
      <c r="F19" s="14">
        <f>-$B$10</f>
        <v>0</v>
      </c>
      <c r="G19" s="18">
        <f>-$B$9+F19</f>
        <v>-950.44203263909253</v>
      </c>
      <c r="H19" s="9">
        <f t="shared" ref="H19:H29" si="0">G19</f>
        <v>-950.44203263909253</v>
      </c>
    </row>
    <row r="20" spans="1:8">
      <c r="A20" s="28">
        <v>2</v>
      </c>
      <c r="B20" s="14">
        <f>E19</f>
        <v>9257.8913006942403</v>
      </c>
      <c r="C20" s="14">
        <f>B20*$B$7/$B$8</f>
        <v>192.87273543113</v>
      </c>
      <c r="D20" s="14">
        <f>$B$9-C20</f>
        <v>757.56929720796256</v>
      </c>
      <c r="E20" s="14">
        <f>B20-D20</f>
        <v>8500.322003486277</v>
      </c>
      <c r="F20" s="14">
        <f t="shared" ref="F20:F29" si="1">-$B$10</f>
        <v>0</v>
      </c>
      <c r="G20" s="18">
        <f t="shared" ref="G20:G29" si="2">-$B$9+F20</f>
        <v>-950.44203263909253</v>
      </c>
      <c r="H20" s="9">
        <f t="shared" si="0"/>
        <v>-950.44203263909253</v>
      </c>
    </row>
    <row r="21" spans="1:8">
      <c r="A21" s="28">
        <v>3</v>
      </c>
      <c r="B21" s="14">
        <f t="shared" ref="B21:B28" si="3">E20</f>
        <v>8500.322003486277</v>
      </c>
      <c r="C21" s="14">
        <f t="shared" ref="C21:C30" si="4">B21*$B$7/$B$8</f>
        <v>177.09004173929745</v>
      </c>
      <c r="D21" s="14">
        <f t="shared" ref="D21:D30" si="5">$B$9-C21</f>
        <v>773.35199089979506</v>
      </c>
      <c r="E21" s="14">
        <f t="shared" ref="E21:E28" si="6">B21-D21</f>
        <v>7726.970012586482</v>
      </c>
      <c r="F21" s="14">
        <f t="shared" si="1"/>
        <v>0</v>
      </c>
      <c r="G21" s="18">
        <f t="shared" si="2"/>
        <v>-950.44203263909253</v>
      </c>
      <c r="H21" s="9">
        <f t="shared" si="0"/>
        <v>-950.44203263909253</v>
      </c>
    </row>
    <row r="22" spans="1:8">
      <c r="A22" s="28">
        <v>4</v>
      </c>
      <c r="B22" s="14">
        <f t="shared" si="3"/>
        <v>7726.970012586482</v>
      </c>
      <c r="C22" s="14">
        <f t="shared" si="4"/>
        <v>160.97854192888505</v>
      </c>
      <c r="D22" s="14">
        <f t="shared" si="5"/>
        <v>789.46349071020745</v>
      </c>
      <c r="E22" s="14">
        <f t="shared" si="6"/>
        <v>6937.5065218762747</v>
      </c>
      <c r="F22" s="14">
        <f t="shared" si="1"/>
        <v>0</v>
      </c>
      <c r="G22" s="18">
        <f t="shared" si="2"/>
        <v>-950.44203263909253</v>
      </c>
      <c r="H22" s="9">
        <f t="shared" si="0"/>
        <v>-950.44203263909253</v>
      </c>
    </row>
    <row r="23" spans="1:8">
      <c r="A23" s="28">
        <v>5</v>
      </c>
      <c r="B23" s="14">
        <f t="shared" si="3"/>
        <v>6937.5065218762747</v>
      </c>
      <c r="C23" s="14">
        <f t="shared" si="4"/>
        <v>144.53138587242239</v>
      </c>
      <c r="D23" s="14">
        <f t="shared" si="5"/>
        <v>805.9106467666702</v>
      </c>
      <c r="E23" s="14">
        <f t="shared" si="6"/>
        <v>6131.5958751096041</v>
      </c>
      <c r="F23" s="14">
        <f t="shared" si="1"/>
        <v>0</v>
      </c>
      <c r="G23" s="18">
        <f t="shared" si="2"/>
        <v>-950.44203263909253</v>
      </c>
      <c r="H23" s="9">
        <f t="shared" si="0"/>
        <v>-950.44203263909253</v>
      </c>
    </row>
    <row r="24" spans="1:8">
      <c r="A24" s="28">
        <v>6</v>
      </c>
      <c r="B24" s="14">
        <f t="shared" si="3"/>
        <v>6131.5958751096041</v>
      </c>
      <c r="C24" s="14">
        <f t="shared" si="4"/>
        <v>127.74158073145009</v>
      </c>
      <c r="D24" s="14">
        <f t="shared" si="5"/>
        <v>822.70045190764245</v>
      </c>
      <c r="E24" s="14">
        <f t="shared" si="6"/>
        <v>5308.8954232019614</v>
      </c>
      <c r="F24" s="14">
        <f t="shared" si="1"/>
        <v>0</v>
      </c>
      <c r="G24" s="18">
        <f t="shared" si="2"/>
        <v>-950.44203263909253</v>
      </c>
      <c r="H24" s="9">
        <f t="shared" si="0"/>
        <v>-950.44203263909253</v>
      </c>
    </row>
    <row r="25" spans="1:8">
      <c r="A25" s="28">
        <v>7</v>
      </c>
      <c r="B25" s="14">
        <f t="shared" si="3"/>
        <v>5308.8954232019614</v>
      </c>
      <c r="C25" s="14">
        <f t="shared" si="4"/>
        <v>110.6019879833742</v>
      </c>
      <c r="D25" s="14">
        <f t="shared" si="5"/>
        <v>839.84004465571832</v>
      </c>
      <c r="E25" s="14">
        <f t="shared" si="6"/>
        <v>4469.0553785462434</v>
      </c>
      <c r="F25" s="14">
        <f t="shared" si="1"/>
        <v>0</v>
      </c>
      <c r="G25" s="18">
        <f t="shared" si="2"/>
        <v>-950.44203263909253</v>
      </c>
      <c r="H25" s="9">
        <f t="shared" si="0"/>
        <v>-950.44203263909253</v>
      </c>
    </row>
    <row r="26" spans="1:8">
      <c r="A26" s="28">
        <v>8</v>
      </c>
      <c r="B26" s="14">
        <f t="shared" si="3"/>
        <v>4469.0553785462434</v>
      </c>
      <c r="C26" s="14">
        <f t="shared" si="4"/>
        <v>93.105320386380072</v>
      </c>
      <c r="D26" s="14">
        <f t="shared" si="5"/>
        <v>857.33671225271246</v>
      </c>
      <c r="E26" s="14">
        <f t="shared" si="6"/>
        <v>3611.718666293531</v>
      </c>
      <c r="F26" s="14">
        <f t="shared" si="1"/>
        <v>0</v>
      </c>
      <c r="G26" s="18">
        <f t="shared" si="2"/>
        <v>-950.44203263909253</v>
      </c>
      <c r="H26" s="9">
        <f t="shared" si="0"/>
        <v>-950.44203263909253</v>
      </c>
    </row>
    <row r="27" spans="1:8">
      <c r="A27" s="28">
        <v>9</v>
      </c>
      <c r="B27" s="14">
        <f t="shared" si="3"/>
        <v>3611.718666293531</v>
      </c>
      <c r="C27" s="14">
        <f t="shared" si="4"/>
        <v>75.244138881115234</v>
      </c>
      <c r="D27" s="14">
        <f t="shared" si="5"/>
        <v>875.19789375797734</v>
      </c>
      <c r="E27" s="14">
        <f t="shared" si="6"/>
        <v>2736.5207725355535</v>
      </c>
      <c r="F27" s="14">
        <f t="shared" si="1"/>
        <v>0</v>
      </c>
      <c r="G27" s="18">
        <f t="shared" si="2"/>
        <v>-950.44203263909253</v>
      </c>
      <c r="H27" s="9">
        <f t="shared" si="0"/>
        <v>-950.44203263909253</v>
      </c>
    </row>
    <row r="28" spans="1:8">
      <c r="A28" s="28">
        <v>10</v>
      </c>
      <c r="B28" s="14">
        <f t="shared" si="3"/>
        <v>2736.5207725355535</v>
      </c>
      <c r="C28" s="14">
        <f t="shared" si="4"/>
        <v>57.010849427824034</v>
      </c>
      <c r="D28" s="14">
        <f t="shared" si="5"/>
        <v>893.43118321126849</v>
      </c>
      <c r="E28" s="14">
        <f t="shared" si="6"/>
        <v>1843.089589324285</v>
      </c>
      <c r="F28" s="14">
        <f t="shared" si="1"/>
        <v>0</v>
      </c>
      <c r="G28" s="18">
        <f t="shared" si="2"/>
        <v>-950.44203263909253</v>
      </c>
      <c r="H28" s="9">
        <f t="shared" si="0"/>
        <v>-950.44203263909253</v>
      </c>
    </row>
    <row r="29" spans="1:8">
      <c r="A29" s="28">
        <v>11</v>
      </c>
      <c r="B29" s="14">
        <f>E28</f>
        <v>1843.089589324285</v>
      </c>
      <c r="C29" s="14">
        <f>B29*$B$7/$B$8</f>
        <v>38.397699777589274</v>
      </c>
      <c r="D29" s="14">
        <f>$B$9-C29</f>
        <v>912.04433286150322</v>
      </c>
      <c r="E29" s="14">
        <f>B29-D29</f>
        <v>931.04525646278182</v>
      </c>
      <c r="F29" s="14">
        <f t="shared" si="1"/>
        <v>0</v>
      </c>
      <c r="G29" s="18">
        <f t="shared" si="2"/>
        <v>-950.44203263909253</v>
      </c>
      <c r="H29" s="9">
        <f t="shared" si="0"/>
        <v>-950.44203263909253</v>
      </c>
    </row>
    <row r="30" spans="1:8" ht="15.75" thickBot="1">
      <c r="A30" s="29">
        <v>12</v>
      </c>
      <c r="B30" s="19">
        <f>E29</f>
        <v>931.04525646278182</v>
      </c>
      <c r="C30" s="19">
        <f t="shared" si="4"/>
        <v>19.396776176307956</v>
      </c>
      <c r="D30" s="19">
        <f t="shared" si="5"/>
        <v>931.04525646278455</v>
      </c>
      <c r="E30" s="19">
        <f>B30-D30</f>
        <v>-2.7284841053187847E-12</v>
      </c>
      <c r="F30" s="19">
        <f>-SUM(F18:F29)</f>
        <v>1000</v>
      </c>
      <c r="G30" s="20">
        <f>-$B$9+$F$30</f>
        <v>49.557967360907469</v>
      </c>
      <c r="H30" s="20">
        <f>-$B$9+$F$30</f>
        <v>49.557967360907469</v>
      </c>
    </row>
    <row r="32" spans="1:8">
      <c r="F32" s="5"/>
      <c r="G32" s="4"/>
    </row>
    <row r="33" spans="2:6">
      <c r="B33" s="2" t="s">
        <v>29</v>
      </c>
      <c r="F33" s="5">
        <f>IRR(G18:G30)</f>
        <v>2.8777387107777441E-2</v>
      </c>
    </row>
    <row r="34" spans="2:6">
      <c r="B34" s="2" t="s">
        <v>30</v>
      </c>
      <c r="F34" s="25">
        <f>F33*12</f>
        <v>0.34532864529332929</v>
      </c>
    </row>
    <row r="36" spans="2:6">
      <c r="B36" s="2" t="s">
        <v>31</v>
      </c>
      <c r="F36" s="5">
        <f>IRR(H18:H30)</f>
        <v>2.7756834773841499E-2</v>
      </c>
    </row>
    <row r="37" spans="2:6">
      <c r="B37" s="2" t="s">
        <v>32</v>
      </c>
      <c r="F37" s="25">
        <f>F36*12</f>
        <v>0.33308201728609799</v>
      </c>
    </row>
    <row r="41" spans="2:6">
      <c r="B41" s="4"/>
    </row>
    <row r="43" spans="2:6">
      <c r="B43" s="22"/>
    </row>
    <row r="48" spans="2:6">
      <c r="B48" s="23"/>
      <c r="C48" s="24"/>
      <c r="D48" s="24"/>
      <c r="F48" s="24"/>
    </row>
    <row r="49" spans="1:6">
      <c r="A49" s="24"/>
      <c r="B49" s="23"/>
      <c r="C49" s="24"/>
      <c r="D49" s="24"/>
      <c r="F49" s="24"/>
    </row>
    <row r="50" spans="1:6">
      <c r="A50" s="24"/>
      <c r="B50" s="23"/>
      <c r="C50" s="24"/>
      <c r="D50" s="24"/>
      <c r="F50" s="24"/>
    </row>
    <row r="51" spans="1:6">
      <c r="A51" s="24"/>
      <c r="B51" s="23"/>
      <c r="C51" s="24"/>
      <c r="D51" s="24"/>
      <c r="F51" s="24"/>
    </row>
    <row r="52" spans="1:6">
      <c r="A52" s="24"/>
      <c r="B52" s="23"/>
      <c r="C52" s="24"/>
      <c r="D52" s="24"/>
      <c r="F52" s="24"/>
    </row>
    <row r="53" spans="1:6">
      <c r="A53" s="24"/>
      <c r="B53" s="23"/>
      <c r="C53" s="24"/>
      <c r="D53" s="24"/>
      <c r="F53" s="24"/>
    </row>
    <row r="54" spans="1:6">
      <c r="A54" s="24"/>
      <c r="B54" s="23"/>
      <c r="C54" s="24"/>
      <c r="D54" s="24"/>
      <c r="F54" s="24"/>
    </row>
    <row r="55" spans="1:6">
      <c r="A55" s="24"/>
      <c r="B55" s="23"/>
      <c r="C55" s="24"/>
      <c r="D55" s="24"/>
      <c r="F55" s="24"/>
    </row>
    <row r="56" spans="1:6">
      <c r="A56" s="24"/>
      <c r="B56" s="23"/>
      <c r="C56" s="24"/>
      <c r="D56" s="24"/>
      <c r="F56" s="24"/>
    </row>
    <row r="57" spans="1:6">
      <c r="A57" s="24"/>
      <c r="B57" s="23"/>
      <c r="C57" s="24"/>
      <c r="D57" s="24"/>
      <c r="F57" s="24"/>
    </row>
    <row r="58" spans="1:6">
      <c r="A58" s="24"/>
      <c r="B58" s="23"/>
      <c r="C58" s="24"/>
      <c r="D58" s="24"/>
      <c r="F58" s="24"/>
    </row>
    <row r="59" spans="1:6">
      <c r="A59" s="24"/>
      <c r="B59" s="23"/>
      <c r="C59" s="24"/>
      <c r="D59" s="24"/>
      <c r="F59" s="24"/>
    </row>
    <row r="60" spans="1:6">
      <c r="A60" s="24"/>
      <c r="B60" s="23"/>
      <c r="C60" s="24"/>
      <c r="D60" s="24"/>
      <c r="F60" s="24"/>
    </row>
    <row r="61" spans="1:6">
      <c r="A61" s="24"/>
      <c r="B61" s="23"/>
      <c r="C61" s="24"/>
      <c r="D61" s="24"/>
      <c r="F61" s="24"/>
    </row>
    <row r="62" spans="1:6">
      <c r="A62" s="24"/>
      <c r="B62" s="23"/>
      <c r="C62" s="24"/>
      <c r="D62" s="24"/>
      <c r="F62" s="24"/>
    </row>
    <row r="63" spans="1:6">
      <c r="A63" s="24"/>
      <c r="B63" s="23"/>
      <c r="C63" s="24"/>
      <c r="D63" s="24"/>
      <c r="F63" s="24"/>
    </row>
    <row r="64" spans="1:6">
      <c r="A64" s="24"/>
      <c r="B64" s="23"/>
      <c r="C64" s="24"/>
      <c r="D64" s="24"/>
      <c r="F64" s="24"/>
    </row>
    <row r="65" spans="1:6">
      <c r="A65" s="24"/>
      <c r="B65" s="23"/>
      <c r="C65" s="24"/>
      <c r="D65" s="24"/>
      <c r="F65" s="24"/>
    </row>
    <row r="66" spans="1:6">
      <c r="A66" s="24"/>
      <c r="B66" s="23"/>
      <c r="C66" s="24"/>
      <c r="D66" s="24"/>
      <c r="F66" s="24"/>
    </row>
    <row r="67" spans="1:6">
      <c r="A67" s="24"/>
      <c r="B67" s="23"/>
      <c r="C67" s="24"/>
      <c r="D67" s="24"/>
      <c r="F67" s="24"/>
    </row>
    <row r="68" spans="1:6">
      <c r="A68" s="24"/>
      <c r="B68" s="23"/>
      <c r="C68" s="24"/>
      <c r="D68" s="24"/>
      <c r="F68" s="24"/>
    </row>
    <row r="69" spans="1:6">
      <c r="A69" s="24"/>
      <c r="B69" s="23"/>
      <c r="C69" s="24"/>
      <c r="D69" s="24"/>
      <c r="F69" s="24"/>
    </row>
    <row r="70" spans="1:6">
      <c r="A70" s="24"/>
      <c r="B70" s="23"/>
      <c r="C70" s="24"/>
      <c r="D70" s="24"/>
      <c r="F70" s="24"/>
    </row>
    <row r="71" spans="1:6">
      <c r="A71" s="24"/>
      <c r="B71" s="23"/>
      <c r="C71" s="24"/>
      <c r="D71" s="24"/>
      <c r="F71" s="24"/>
    </row>
    <row r="73" spans="1:6">
      <c r="F73" s="5"/>
    </row>
    <row r="74" spans="1:6">
      <c r="F74" s="25"/>
    </row>
    <row r="75" spans="1:6">
      <c r="C75" s="75"/>
    </row>
    <row r="76" spans="1:6">
      <c r="C76" s="75"/>
      <c r="E76" s="25"/>
    </row>
    <row r="77" spans="1:6">
      <c r="E77" s="5"/>
    </row>
    <row r="79" spans="1:6">
      <c r="E79" s="25"/>
    </row>
  </sheetData>
  <mergeCells count="1">
    <mergeCell ref="C75:C76"/>
  </mergeCells>
  <pageMargins left="0.7" right="0.7" top="0.75" bottom="0.75" header="0.3" footer="0.3"/>
  <pageSetup scale="88" orientation="portrait" r:id="rId1"/>
</worksheet>
</file>

<file path=xl/worksheets/sheet4.xml><?xml version="1.0" encoding="utf-8"?>
<worksheet xmlns="http://schemas.openxmlformats.org/spreadsheetml/2006/main" xmlns:r="http://schemas.openxmlformats.org/officeDocument/2006/relationships">
  <sheetPr codeName="Sheet13"/>
  <dimension ref="A1:H72"/>
  <sheetViews>
    <sheetView zoomScaleNormal="100" workbookViewId="0">
      <selection activeCell="H18" sqref="H18"/>
    </sheetView>
  </sheetViews>
  <sheetFormatPr defaultRowHeight="15"/>
  <cols>
    <col min="1" max="1" width="24.42578125" style="2" customWidth="1"/>
    <col min="2" max="2" width="10.5703125" style="2" bestFit="1" customWidth="1"/>
    <col min="3" max="3" width="13.140625" style="2" bestFit="1" customWidth="1"/>
    <col min="4" max="4" width="13.140625" style="2" customWidth="1"/>
    <col min="5" max="6" width="15.7109375" style="2" bestFit="1" customWidth="1"/>
    <col min="7" max="16384" width="9.140625" style="2"/>
  </cols>
  <sheetData>
    <row r="1" spans="1:7" ht="18.75">
      <c r="A1" s="26" t="s">
        <v>23</v>
      </c>
    </row>
    <row r="2" spans="1:7" ht="15.75" thickBot="1"/>
    <row r="3" spans="1:7" ht="15.75" thickBot="1">
      <c r="A3" s="13" t="s">
        <v>20</v>
      </c>
      <c r="D3" s="13" t="s">
        <v>17</v>
      </c>
      <c r="E3" s="31">
        <f>F27</f>
        <v>0.26900000000789603</v>
      </c>
    </row>
    <row r="5" spans="1:7">
      <c r="A5" s="2" t="s">
        <v>0</v>
      </c>
      <c r="B5" s="3">
        <v>1500</v>
      </c>
    </row>
    <row r="6" spans="1:7">
      <c r="A6" s="2" t="s">
        <v>1</v>
      </c>
      <c r="B6" s="4">
        <v>0</v>
      </c>
    </row>
    <row r="7" spans="1:7">
      <c r="A7" s="2" t="s">
        <v>2</v>
      </c>
      <c r="B7" s="5">
        <v>0.26900000000000002</v>
      </c>
      <c r="E7" s="11"/>
    </row>
    <row r="8" spans="1:7">
      <c r="A8" s="2" t="s">
        <v>5</v>
      </c>
      <c r="B8" s="2">
        <v>6</v>
      </c>
      <c r="E8" s="10"/>
    </row>
    <row r="9" spans="1:7">
      <c r="A9" s="2" t="s">
        <v>6</v>
      </c>
      <c r="B9" s="27">
        <f>-PMT(B7/12,B8,B5,0,0)</f>
        <v>269.97683837128733</v>
      </c>
      <c r="C9" s="21"/>
    </row>
    <row r="10" spans="1:7">
      <c r="A10" s="2" t="s">
        <v>21</v>
      </c>
      <c r="B10" s="2">
        <v>0</v>
      </c>
    </row>
    <row r="11" spans="1:7">
      <c r="A11" s="2" t="s">
        <v>18</v>
      </c>
      <c r="B11" s="2">
        <v>0</v>
      </c>
    </row>
    <row r="12" spans="1:7">
      <c r="A12" s="2" t="s">
        <v>19</v>
      </c>
      <c r="B12" s="2">
        <v>0</v>
      </c>
    </row>
    <row r="13" spans="1:7" ht="15.75" thickBot="1"/>
    <row r="14" spans="1:7" ht="15.75" thickBot="1">
      <c r="A14" s="13" t="s">
        <v>15</v>
      </c>
    </row>
    <row r="15" spans="1:7" ht="15.75" thickBot="1">
      <c r="A15" s="12"/>
    </row>
    <row r="16" spans="1:7">
      <c r="A16" s="15" t="s">
        <v>9</v>
      </c>
      <c r="B16" s="16" t="s">
        <v>3</v>
      </c>
      <c r="C16" s="16" t="s">
        <v>4</v>
      </c>
      <c r="D16" s="16" t="s">
        <v>7</v>
      </c>
      <c r="E16" s="16" t="s">
        <v>8</v>
      </c>
      <c r="F16" s="16" t="s">
        <v>22</v>
      </c>
      <c r="G16" s="17" t="s">
        <v>11</v>
      </c>
    </row>
    <row r="17" spans="1:8">
      <c r="A17" s="28">
        <v>0</v>
      </c>
      <c r="B17" s="14">
        <f>B5</f>
        <v>1500</v>
      </c>
      <c r="C17" s="14"/>
      <c r="D17" s="14"/>
      <c r="E17" s="14"/>
      <c r="F17" s="14">
        <f>-B5*B6</f>
        <v>0</v>
      </c>
      <c r="G17" s="18">
        <f>B17+F17-B12</f>
        <v>1500</v>
      </c>
    </row>
    <row r="18" spans="1:8">
      <c r="A18" s="28">
        <v>1</v>
      </c>
      <c r="B18" s="14">
        <f>B5</f>
        <v>1500</v>
      </c>
      <c r="C18" s="14">
        <f t="shared" ref="C18:C23" si="0">B18*$B$7/12</f>
        <v>33.625</v>
      </c>
      <c r="D18" s="14">
        <f t="shared" ref="D18:D23" si="1">$B$9-C18</f>
        <v>236.35183837128733</v>
      </c>
      <c r="E18" s="14">
        <f t="shared" ref="E18:E23" si="2">B18-D18</f>
        <v>1263.6481616287126</v>
      </c>
      <c r="F18" s="14">
        <f t="shared" ref="F18:F23" si="3">-$B$10</f>
        <v>0</v>
      </c>
      <c r="G18" s="18">
        <f t="shared" ref="G18:G23" si="4">-$B$9+F18</f>
        <v>-269.97683837128733</v>
      </c>
      <c r="H18" s="9"/>
    </row>
    <row r="19" spans="1:8">
      <c r="A19" s="28">
        <v>2</v>
      </c>
      <c r="B19" s="14">
        <f>E18</f>
        <v>1263.6481616287126</v>
      </c>
      <c r="C19" s="14">
        <f t="shared" si="0"/>
        <v>28.326779623176975</v>
      </c>
      <c r="D19" s="14">
        <f t="shared" si="1"/>
        <v>241.65005874811035</v>
      </c>
      <c r="E19" s="14">
        <f t="shared" si="2"/>
        <v>1021.9981028806022</v>
      </c>
      <c r="F19" s="14">
        <f t="shared" si="3"/>
        <v>0</v>
      </c>
      <c r="G19" s="18">
        <f t="shared" si="4"/>
        <v>-269.97683837128733</v>
      </c>
    </row>
    <row r="20" spans="1:8">
      <c r="A20" s="28">
        <v>3</v>
      </c>
      <c r="B20" s="14">
        <f>E19</f>
        <v>1021.9981028806022</v>
      </c>
      <c r="C20" s="14">
        <f t="shared" si="0"/>
        <v>22.909790806240167</v>
      </c>
      <c r="D20" s="14">
        <f t="shared" si="1"/>
        <v>247.06704756504718</v>
      </c>
      <c r="E20" s="14">
        <f t="shared" si="2"/>
        <v>774.93105531555511</v>
      </c>
      <c r="F20" s="14">
        <f t="shared" si="3"/>
        <v>0</v>
      </c>
      <c r="G20" s="18">
        <f t="shared" si="4"/>
        <v>-269.97683837128733</v>
      </c>
    </row>
    <row r="21" spans="1:8">
      <c r="A21" s="28">
        <v>4</v>
      </c>
      <c r="B21" s="14">
        <f>E20</f>
        <v>774.93105531555511</v>
      </c>
      <c r="C21" s="14">
        <f t="shared" si="0"/>
        <v>17.37137115665703</v>
      </c>
      <c r="D21" s="14">
        <f t="shared" si="1"/>
        <v>252.60546721463029</v>
      </c>
      <c r="E21" s="14">
        <f t="shared" si="2"/>
        <v>522.32558810092485</v>
      </c>
      <c r="F21" s="14">
        <f t="shared" si="3"/>
        <v>0</v>
      </c>
      <c r="G21" s="18">
        <f t="shared" si="4"/>
        <v>-269.97683837128733</v>
      </c>
    </row>
    <row r="22" spans="1:8">
      <c r="A22" s="28">
        <v>5</v>
      </c>
      <c r="B22" s="14">
        <f>E21</f>
        <v>522.32558810092485</v>
      </c>
      <c r="C22" s="14">
        <f t="shared" si="0"/>
        <v>11.708798599929066</v>
      </c>
      <c r="D22" s="14">
        <f t="shared" si="1"/>
        <v>258.26803977135825</v>
      </c>
      <c r="E22" s="14">
        <f t="shared" si="2"/>
        <v>264.0575483295666</v>
      </c>
      <c r="F22" s="14">
        <f t="shared" si="3"/>
        <v>0</v>
      </c>
      <c r="G22" s="18">
        <f t="shared" si="4"/>
        <v>-269.97683837128733</v>
      </c>
    </row>
    <row r="23" spans="1:8">
      <c r="A23" s="28">
        <v>6</v>
      </c>
      <c r="B23" s="14">
        <f>E22</f>
        <v>264.0575483295666</v>
      </c>
      <c r="C23" s="14">
        <f t="shared" si="0"/>
        <v>5.9192900417211183</v>
      </c>
      <c r="D23" s="14">
        <f t="shared" si="1"/>
        <v>264.0575483295662</v>
      </c>
      <c r="E23" s="14">
        <f t="shared" si="2"/>
        <v>0</v>
      </c>
      <c r="F23" s="14">
        <f t="shared" si="3"/>
        <v>0</v>
      </c>
      <c r="G23" s="18">
        <f t="shared" si="4"/>
        <v>-269.97683837128733</v>
      </c>
    </row>
    <row r="25" spans="1:8">
      <c r="F25" s="5"/>
      <c r="G25" s="4"/>
    </row>
    <row r="26" spans="1:8">
      <c r="B26" s="2" t="s">
        <v>13</v>
      </c>
      <c r="F26" s="5">
        <f>IRR(G17:G23)</f>
        <v>2.241666666732467E-2</v>
      </c>
    </row>
    <row r="27" spans="1:8">
      <c r="B27" s="2" t="s">
        <v>14</v>
      </c>
      <c r="F27" s="30">
        <f>F26*12</f>
        <v>0.26900000000789603</v>
      </c>
    </row>
    <row r="30" spans="1:8">
      <c r="G30" s="24"/>
      <c r="H30" s="24"/>
    </row>
    <row r="34" spans="1:6">
      <c r="B34" s="4"/>
    </row>
    <row r="36" spans="1:6">
      <c r="B36" s="22"/>
    </row>
    <row r="41" spans="1:6">
      <c r="B41" s="23"/>
      <c r="C41" s="24"/>
      <c r="D41" s="24"/>
      <c r="F41" s="24"/>
    </row>
    <row r="42" spans="1:6">
      <c r="A42" s="24"/>
      <c r="B42" s="23"/>
      <c r="C42" s="24"/>
      <c r="D42" s="24"/>
      <c r="F42" s="24"/>
    </row>
    <row r="43" spans="1:6">
      <c r="A43" s="24"/>
      <c r="B43" s="23"/>
      <c r="C43" s="24"/>
      <c r="D43" s="24"/>
      <c r="F43" s="24"/>
    </row>
    <row r="44" spans="1:6">
      <c r="A44" s="24"/>
      <c r="B44" s="23"/>
      <c r="C44" s="24"/>
      <c r="D44" s="24"/>
      <c r="F44" s="24"/>
    </row>
    <row r="45" spans="1:6">
      <c r="A45" s="24"/>
      <c r="B45" s="23"/>
      <c r="C45" s="24"/>
      <c r="D45" s="24"/>
      <c r="F45" s="24"/>
    </row>
    <row r="46" spans="1:6">
      <c r="A46" s="24"/>
      <c r="B46" s="23"/>
      <c r="C46" s="24"/>
      <c r="D46" s="24"/>
      <c r="F46" s="24"/>
    </row>
    <row r="47" spans="1:6">
      <c r="A47" s="24"/>
      <c r="B47" s="23"/>
      <c r="C47" s="24"/>
      <c r="D47" s="24"/>
      <c r="F47" s="24"/>
    </row>
    <row r="48" spans="1:6">
      <c r="A48" s="24"/>
      <c r="B48" s="23"/>
      <c r="C48" s="24"/>
      <c r="D48" s="24"/>
      <c r="F48" s="24"/>
    </row>
    <row r="49" spans="1:6">
      <c r="A49" s="24"/>
      <c r="B49" s="23"/>
      <c r="C49" s="24"/>
      <c r="D49" s="24"/>
      <c r="F49" s="24"/>
    </row>
    <row r="50" spans="1:6">
      <c r="A50" s="24"/>
      <c r="B50" s="23"/>
      <c r="C50" s="24"/>
      <c r="D50" s="24"/>
      <c r="F50" s="24"/>
    </row>
    <row r="51" spans="1:6">
      <c r="A51" s="24"/>
      <c r="B51" s="23"/>
      <c r="C51" s="24"/>
      <c r="D51" s="24"/>
      <c r="F51" s="24"/>
    </row>
    <row r="52" spans="1:6">
      <c r="A52" s="24"/>
      <c r="B52" s="23"/>
      <c r="C52" s="24"/>
      <c r="D52" s="24"/>
      <c r="F52" s="24"/>
    </row>
    <row r="53" spans="1:6">
      <c r="A53" s="24"/>
      <c r="B53" s="23"/>
      <c r="C53" s="24"/>
      <c r="D53" s="24"/>
      <c r="F53" s="24"/>
    </row>
    <row r="54" spans="1:6">
      <c r="A54" s="24"/>
      <c r="B54" s="23"/>
      <c r="C54" s="24"/>
      <c r="D54" s="24"/>
      <c r="F54" s="24"/>
    </row>
    <row r="55" spans="1:6">
      <c r="A55" s="24"/>
      <c r="B55" s="23"/>
      <c r="C55" s="24"/>
      <c r="D55" s="24"/>
      <c r="F55" s="24"/>
    </row>
    <row r="56" spans="1:6">
      <c r="A56" s="24"/>
      <c r="B56" s="23"/>
      <c r="C56" s="24"/>
      <c r="D56" s="24"/>
      <c r="F56" s="24"/>
    </row>
    <row r="57" spans="1:6">
      <c r="A57" s="24"/>
      <c r="B57" s="23"/>
      <c r="C57" s="24"/>
      <c r="D57" s="24"/>
      <c r="F57" s="24"/>
    </row>
    <row r="58" spans="1:6">
      <c r="A58" s="24"/>
      <c r="B58" s="23"/>
      <c r="C58" s="24"/>
      <c r="D58" s="24"/>
      <c r="F58" s="24"/>
    </row>
    <row r="59" spans="1:6">
      <c r="A59" s="24"/>
      <c r="B59" s="23"/>
      <c r="C59" s="24"/>
      <c r="D59" s="24"/>
      <c r="F59" s="24"/>
    </row>
    <row r="60" spans="1:6">
      <c r="A60" s="24"/>
      <c r="B60" s="23"/>
      <c r="C60" s="24"/>
      <c r="D60" s="24"/>
      <c r="F60" s="24"/>
    </row>
    <row r="61" spans="1:6">
      <c r="A61" s="24"/>
      <c r="B61" s="23"/>
      <c r="C61" s="24"/>
      <c r="D61" s="24"/>
      <c r="F61" s="24"/>
    </row>
    <row r="62" spans="1:6">
      <c r="A62" s="24"/>
      <c r="B62" s="23"/>
      <c r="C62" s="24"/>
      <c r="D62" s="24"/>
      <c r="F62" s="24"/>
    </row>
    <row r="63" spans="1:6">
      <c r="A63" s="24"/>
      <c r="B63" s="23"/>
      <c r="C63" s="24"/>
      <c r="D63" s="24"/>
      <c r="F63" s="24"/>
    </row>
    <row r="64" spans="1:6">
      <c r="A64" s="24"/>
      <c r="B64" s="23"/>
      <c r="C64" s="24"/>
      <c r="D64" s="24"/>
      <c r="F64" s="24"/>
    </row>
    <row r="66" spans="3:6">
      <c r="F66" s="5"/>
    </row>
    <row r="67" spans="3:6">
      <c r="F67" s="25"/>
    </row>
    <row r="68" spans="3:6">
      <c r="C68" s="75"/>
    </row>
    <row r="69" spans="3:6">
      <c r="C69" s="75"/>
      <c r="E69" s="25"/>
    </row>
    <row r="70" spans="3:6">
      <c r="E70" s="5"/>
    </row>
    <row r="72" spans="3:6">
      <c r="E72" s="25"/>
    </row>
  </sheetData>
  <mergeCells count="1">
    <mergeCell ref="C68:C69"/>
  </mergeCells>
  <pageMargins left="0.7" right="0.7" top="0.75" bottom="0.75" header="0.3" footer="0.3"/>
  <pageSetup scale="88" orientation="portrait" r:id="rId1"/>
</worksheet>
</file>

<file path=xl/worksheets/sheet5.xml><?xml version="1.0" encoding="utf-8"?>
<worksheet xmlns="http://schemas.openxmlformats.org/spreadsheetml/2006/main" xmlns:r="http://schemas.openxmlformats.org/officeDocument/2006/relationships">
  <sheetPr codeName="Sheet3"/>
  <dimension ref="B2:H27"/>
  <sheetViews>
    <sheetView workbookViewId="0">
      <selection activeCell="G2" sqref="G2"/>
    </sheetView>
  </sheetViews>
  <sheetFormatPr defaultRowHeight="15"/>
  <cols>
    <col min="1" max="2" width="9.140625" style="2"/>
    <col min="3" max="3" width="24.42578125" style="2" customWidth="1"/>
    <col min="4" max="4" width="10.5703125" style="2" bestFit="1" customWidth="1"/>
    <col min="5" max="5" width="13.140625" style="2" bestFit="1" customWidth="1"/>
    <col min="6" max="6" width="13.140625" style="2" customWidth="1"/>
    <col min="7" max="7" width="14.7109375" style="2" bestFit="1" customWidth="1"/>
    <col min="8" max="16384" width="9.140625" style="2"/>
  </cols>
  <sheetData>
    <row r="2" spans="2:8">
      <c r="C2" s="2" t="s">
        <v>0</v>
      </c>
      <c r="D2" s="3">
        <v>10000</v>
      </c>
      <c r="F2" s="7" t="s">
        <v>17</v>
      </c>
      <c r="G2" s="1">
        <f>H27</f>
        <v>0.34114321664944747</v>
      </c>
    </row>
    <row r="3" spans="2:8">
      <c r="C3" s="2" t="s">
        <v>1</v>
      </c>
      <c r="D3" s="4">
        <v>0.1</v>
      </c>
    </row>
    <row r="4" spans="2:8">
      <c r="C4" s="2" t="s">
        <v>2</v>
      </c>
      <c r="D4" s="4">
        <v>0.25</v>
      </c>
    </row>
    <row r="5" spans="2:8">
      <c r="C5" s="2" t="s">
        <v>5</v>
      </c>
      <c r="D5" s="2">
        <v>12</v>
      </c>
    </row>
    <row r="6" spans="2:8">
      <c r="C6" s="2" t="s">
        <v>6</v>
      </c>
      <c r="D6" s="3">
        <f>-PMT(D4/D5,D5,D2,0,0)</f>
        <v>950.44203263909253</v>
      </c>
    </row>
    <row r="7" spans="2:8">
      <c r="C7" s="2" t="s">
        <v>12</v>
      </c>
      <c r="D7" s="2">
        <v>0</v>
      </c>
    </row>
    <row r="8" spans="2:8">
      <c r="C8" s="2" t="s">
        <v>18</v>
      </c>
      <c r="D8" s="2">
        <v>50</v>
      </c>
    </row>
    <row r="9" spans="2:8">
      <c r="C9" s="2" t="s">
        <v>19</v>
      </c>
      <c r="D9" s="2">
        <v>200</v>
      </c>
    </row>
    <row r="10" spans="2:8">
      <c r="C10" s="7" t="s">
        <v>15</v>
      </c>
    </row>
    <row r="11" spans="2:8">
      <c r="B11" s="8" t="s">
        <v>9</v>
      </c>
      <c r="C11" s="8" t="s">
        <v>3</v>
      </c>
      <c r="D11" s="8" t="s">
        <v>4</v>
      </c>
      <c r="E11" s="8" t="s">
        <v>7</v>
      </c>
      <c r="F11" s="8" t="s">
        <v>8</v>
      </c>
      <c r="G11" s="8" t="s">
        <v>10</v>
      </c>
      <c r="H11" s="8" t="s">
        <v>11</v>
      </c>
    </row>
    <row r="12" spans="2:8">
      <c r="B12" s="2">
        <v>0</v>
      </c>
      <c r="C12" s="9">
        <f>-D2</f>
        <v>-10000</v>
      </c>
      <c r="D12" s="9"/>
      <c r="E12" s="9"/>
      <c r="F12" s="9"/>
      <c r="G12" s="9">
        <f>D2*D3</f>
        <v>1000</v>
      </c>
      <c r="H12" s="9">
        <f>C12+G12+D9</f>
        <v>-8800</v>
      </c>
    </row>
    <row r="13" spans="2:8">
      <c r="B13" s="2">
        <v>1</v>
      </c>
      <c r="C13" s="9">
        <f>D2</f>
        <v>10000</v>
      </c>
      <c r="D13" s="9">
        <f>C13*$D$4/$D$5</f>
        <v>208.33333333333334</v>
      </c>
      <c r="E13" s="9">
        <f>$D$6-D13</f>
        <v>742.10869930575916</v>
      </c>
      <c r="F13" s="9">
        <f>C13-E13</f>
        <v>9257.8913006942403</v>
      </c>
      <c r="G13" s="9">
        <f>-$D$7</f>
        <v>0</v>
      </c>
      <c r="H13" s="9">
        <f>$D$6+G13</f>
        <v>950.44203263909253</v>
      </c>
    </row>
    <row r="14" spans="2:8">
      <c r="B14" s="2">
        <v>2</v>
      </c>
      <c r="C14" s="9">
        <f>F13</f>
        <v>9257.8913006942403</v>
      </c>
      <c r="D14" s="9">
        <f>C14*$D$4/$D$5</f>
        <v>192.87273543113</v>
      </c>
      <c r="E14" s="9">
        <f>$D$6-D14</f>
        <v>757.56929720796256</v>
      </c>
      <c r="F14" s="9">
        <f>C14-E14</f>
        <v>8500.322003486277</v>
      </c>
      <c r="G14" s="9">
        <f t="shared" ref="G14:G23" si="0">-$D$7</f>
        <v>0</v>
      </c>
      <c r="H14" s="9">
        <f t="shared" ref="H14:H23" si="1">$D$6+G14</f>
        <v>950.44203263909253</v>
      </c>
    </row>
    <row r="15" spans="2:8">
      <c r="B15" s="2">
        <v>3</v>
      </c>
      <c r="C15" s="9">
        <f t="shared" ref="C15:C22" si="2">F14</f>
        <v>8500.322003486277</v>
      </c>
      <c r="D15" s="9">
        <f t="shared" ref="D15:D24" si="3">C15*$D$4/$D$5</f>
        <v>177.09004173929745</v>
      </c>
      <c r="E15" s="9">
        <f t="shared" ref="E15:E24" si="4">$D$6-D15</f>
        <v>773.35199089979506</v>
      </c>
      <c r="F15" s="9">
        <f t="shared" ref="F15:F22" si="5">C15-E15</f>
        <v>7726.970012586482</v>
      </c>
      <c r="G15" s="9">
        <f t="shared" si="0"/>
        <v>0</v>
      </c>
      <c r="H15" s="9">
        <f t="shared" si="1"/>
        <v>950.44203263909253</v>
      </c>
    </row>
    <row r="16" spans="2:8">
      <c r="B16" s="2">
        <v>4</v>
      </c>
      <c r="C16" s="9">
        <f t="shared" si="2"/>
        <v>7726.970012586482</v>
      </c>
      <c r="D16" s="9">
        <f t="shared" si="3"/>
        <v>160.97854192888505</v>
      </c>
      <c r="E16" s="9">
        <f t="shared" si="4"/>
        <v>789.46349071020745</v>
      </c>
      <c r="F16" s="9">
        <f t="shared" si="5"/>
        <v>6937.5065218762747</v>
      </c>
      <c r="G16" s="9">
        <f t="shared" si="0"/>
        <v>0</v>
      </c>
      <c r="H16" s="9">
        <f t="shared" si="1"/>
        <v>950.44203263909253</v>
      </c>
    </row>
    <row r="17" spans="2:8">
      <c r="B17" s="2">
        <v>5</v>
      </c>
      <c r="C17" s="9">
        <f t="shared" si="2"/>
        <v>6937.5065218762747</v>
      </c>
      <c r="D17" s="9">
        <f t="shared" si="3"/>
        <v>144.53138587242239</v>
      </c>
      <c r="E17" s="9">
        <f t="shared" si="4"/>
        <v>805.9106467666702</v>
      </c>
      <c r="F17" s="9">
        <f t="shared" si="5"/>
        <v>6131.5958751096041</v>
      </c>
      <c r="G17" s="9">
        <f t="shared" si="0"/>
        <v>0</v>
      </c>
      <c r="H17" s="9">
        <f t="shared" si="1"/>
        <v>950.44203263909253</v>
      </c>
    </row>
    <row r="18" spans="2:8">
      <c r="B18" s="2">
        <v>6</v>
      </c>
      <c r="C18" s="9">
        <f t="shared" si="2"/>
        <v>6131.5958751096041</v>
      </c>
      <c r="D18" s="9">
        <f t="shared" si="3"/>
        <v>127.74158073145009</v>
      </c>
      <c r="E18" s="9">
        <f t="shared" si="4"/>
        <v>822.70045190764245</v>
      </c>
      <c r="F18" s="9">
        <f t="shared" si="5"/>
        <v>5308.8954232019614</v>
      </c>
      <c r="G18" s="9">
        <f t="shared" si="0"/>
        <v>0</v>
      </c>
      <c r="H18" s="9">
        <f t="shared" si="1"/>
        <v>950.44203263909253</v>
      </c>
    </row>
    <row r="19" spans="2:8">
      <c r="B19" s="2">
        <v>7</v>
      </c>
      <c r="C19" s="9">
        <f t="shared" si="2"/>
        <v>5308.8954232019614</v>
      </c>
      <c r="D19" s="9">
        <f t="shared" si="3"/>
        <v>110.6019879833742</v>
      </c>
      <c r="E19" s="9">
        <f t="shared" si="4"/>
        <v>839.84004465571832</v>
      </c>
      <c r="F19" s="9">
        <f t="shared" si="5"/>
        <v>4469.0553785462434</v>
      </c>
      <c r="G19" s="9">
        <f t="shared" si="0"/>
        <v>0</v>
      </c>
      <c r="H19" s="9">
        <f t="shared" si="1"/>
        <v>950.44203263909253</v>
      </c>
    </row>
    <row r="20" spans="2:8">
      <c r="B20" s="2">
        <v>8</v>
      </c>
      <c r="C20" s="9">
        <f t="shared" si="2"/>
        <v>4469.0553785462434</v>
      </c>
      <c r="D20" s="9">
        <f t="shared" si="3"/>
        <v>93.105320386380072</v>
      </c>
      <c r="E20" s="9">
        <f t="shared" si="4"/>
        <v>857.33671225271246</v>
      </c>
      <c r="F20" s="9">
        <f t="shared" si="5"/>
        <v>3611.718666293531</v>
      </c>
      <c r="G20" s="9">
        <f t="shared" si="0"/>
        <v>0</v>
      </c>
      <c r="H20" s="9">
        <f t="shared" si="1"/>
        <v>950.44203263909253</v>
      </c>
    </row>
    <row r="21" spans="2:8">
      <c r="B21" s="2">
        <v>9</v>
      </c>
      <c r="C21" s="9">
        <f t="shared" si="2"/>
        <v>3611.718666293531</v>
      </c>
      <c r="D21" s="9">
        <f t="shared" si="3"/>
        <v>75.244138881115234</v>
      </c>
      <c r="E21" s="9">
        <f t="shared" si="4"/>
        <v>875.19789375797734</v>
      </c>
      <c r="F21" s="9">
        <f t="shared" si="5"/>
        <v>2736.5207725355535</v>
      </c>
      <c r="G21" s="9">
        <f t="shared" si="0"/>
        <v>0</v>
      </c>
      <c r="H21" s="9">
        <f t="shared" si="1"/>
        <v>950.44203263909253</v>
      </c>
    </row>
    <row r="22" spans="2:8">
      <c r="B22" s="2">
        <v>10</v>
      </c>
      <c r="C22" s="9">
        <f t="shared" si="2"/>
        <v>2736.5207725355535</v>
      </c>
      <c r="D22" s="9">
        <f t="shared" si="3"/>
        <v>57.010849427824034</v>
      </c>
      <c r="E22" s="9">
        <f t="shared" si="4"/>
        <v>893.43118321126849</v>
      </c>
      <c r="F22" s="9">
        <f t="shared" si="5"/>
        <v>1843.089589324285</v>
      </c>
      <c r="G22" s="9">
        <f t="shared" si="0"/>
        <v>0</v>
      </c>
      <c r="H22" s="9">
        <f t="shared" si="1"/>
        <v>950.44203263909253</v>
      </c>
    </row>
    <row r="23" spans="2:8">
      <c r="B23" s="2">
        <v>11</v>
      </c>
      <c r="C23" s="9">
        <f>F22</f>
        <v>1843.089589324285</v>
      </c>
      <c r="D23" s="9">
        <f>C23*$D$4/$D$5</f>
        <v>38.397699777589274</v>
      </c>
      <c r="E23" s="9">
        <f>$D$6-D23</f>
        <v>912.04433286150322</v>
      </c>
      <c r="F23" s="9">
        <f>C23-E23</f>
        <v>931.04525646278182</v>
      </c>
      <c r="G23" s="9">
        <f t="shared" si="0"/>
        <v>0</v>
      </c>
      <c r="H23" s="9">
        <f t="shared" si="1"/>
        <v>950.44203263909253</v>
      </c>
    </row>
    <row r="24" spans="2:8">
      <c r="B24" s="2">
        <v>12</v>
      </c>
      <c r="C24" s="9">
        <f>F23</f>
        <v>931.04525646278182</v>
      </c>
      <c r="D24" s="9">
        <f t="shared" si="3"/>
        <v>19.396776176307956</v>
      </c>
      <c r="E24" s="9">
        <f t="shared" si="4"/>
        <v>931.04525646278455</v>
      </c>
      <c r="F24" s="9">
        <f>C24-E24</f>
        <v>-2.7284841053187847E-12</v>
      </c>
      <c r="G24" s="9">
        <f>-SUM(G12:G23)</f>
        <v>-1000</v>
      </c>
      <c r="H24" s="9">
        <f>$D$6+G24-D8</f>
        <v>-99.557967360907469</v>
      </c>
    </row>
    <row r="26" spans="2:8">
      <c r="C26" s="2" t="s">
        <v>13</v>
      </c>
      <c r="H26" s="5">
        <f>IRR(H12:H24,0.25)</f>
        <v>2.8428601387453956E-2</v>
      </c>
    </row>
    <row r="27" spans="2:8">
      <c r="C27" s="2" t="s">
        <v>14</v>
      </c>
      <c r="H27" s="6">
        <f>H26*D5</f>
        <v>0.34114321664944747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8"/>
  <dimension ref="A1:G76"/>
  <sheetViews>
    <sheetView topLeftCell="A7" zoomScaleNormal="100" workbookViewId="0">
      <selection activeCell="B19" sqref="B19"/>
    </sheetView>
  </sheetViews>
  <sheetFormatPr defaultRowHeight="15"/>
  <cols>
    <col min="1" max="1" width="24.42578125" style="2" customWidth="1"/>
    <col min="2" max="2" width="10.5703125" style="2" bestFit="1" customWidth="1"/>
    <col min="3" max="3" width="13.140625" style="2" bestFit="1" customWidth="1"/>
    <col min="4" max="4" width="13.140625" style="2" customWidth="1"/>
    <col min="5" max="6" width="15.7109375" style="2" bestFit="1" customWidth="1"/>
    <col min="7" max="16384" width="9.140625" style="2"/>
  </cols>
  <sheetData>
    <row r="1" spans="1:7" ht="18.75">
      <c r="A1" s="26"/>
    </row>
    <row r="2" spans="1:7" ht="15.75" thickBot="1"/>
    <row r="3" spans="1:7" ht="15.75" thickBot="1">
      <c r="A3" s="13" t="s">
        <v>20</v>
      </c>
      <c r="D3" s="13" t="s">
        <v>34</v>
      </c>
      <c r="E3" s="31">
        <f>F33</f>
        <v>0.35940428969707394</v>
      </c>
    </row>
    <row r="5" spans="1:7">
      <c r="A5" s="2" t="s">
        <v>0</v>
      </c>
      <c r="B5" s="3">
        <v>10000</v>
      </c>
    </row>
    <row r="6" spans="1:7">
      <c r="A6" s="2" t="s">
        <v>1</v>
      </c>
      <c r="B6" s="4">
        <v>0.1</v>
      </c>
    </row>
    <row r="7" spans="1:7">
      <c r="A7" s="2" t="s">
        <v>2</v>
      </c>
      <c r="B7" s="5">
        <v>0.26900000000000002</v>
      </c>
      <c r="E7" s="11"/>
    </row>
    <row r="8" spans="1:7">
      <c r="A8" s="2" t="s">
        <v>5</v>
      </c>
      <c r="B8" s="2">
        <v>12</v>
      </c>
      <c r="E8" s="10"/>
    </row>
    <row r="9" spans="1:7">
      <c r="A9" s="2" t="s">
        <v>6</v>
      </c>
      <c r="B9" s="27">
        <f>-PMT(B7/B8,B8,B5,0,0)</f>
        <v>959.68615650835238</v>
      </c>
      <c r="C9" s="21"/>
    </row>
    <row r="10" spans="1:7">
      <c r="A10" s="2" t="s">
        <v>21</v>
      </c>
      <c r="B10" s="2">
        <v>0</v>
      </c>
    </row>
    <row r="11" spans="1:7">
      <c r="A11" s="2" t="s">
        <v>33</v>
      </c>
      <c r="B11" s="2">
        <v>50</v>
      </c>
    </row>
    <row r="12" spans="1:7">
      <c r="A12" s="2" t="s">
        <v>19</v>
      </c>
      <c r="B12" s="23">
        <f>200/(1+10.3%)</f>
        <v>181.32366273798732</v>
      </c>
    </row>
    <row r="13" spans="1:7" ht="15.75" thickBot="1"/>
    <row r="14" spans="1:7" ht="15.75" thickBot="1">
      <c r="A14" s="13" t="s">
        <v>15</v>
      </c>
    </row>
    <row r="15" spans="1:7" ht="15.75" thickBot="1">
      <c r="A15" s="12"/>
    </row>
    <row r="16" spans="1:7">
      <c r="A16" s="15" t="s">
        <v>9</v>
      </c>
      <c r="B16" s="16" t="s">
        <v>3</v>
      </c>
      <c r="C16" s="16" t="s">
        <v>4</v>
      </c>
      <c r="D16" s="16" t="s">
        <v>7</v>
      </c>
      <c r="E16" s="16" t="s">
        <v>8</v>
      </c>
      <c r="F16" s="16" t="s">
        <v>22</v>
      </c>
      <c r="G16" s="17" t="s">
        <v>11</v>
      </c>
    </row>
    <row r="17" spans="1:7">
      <c r="A17" s="28">
        <v>0</v>
      </c>
      <c r="B17" s="14">
        <f>B5</f>
        <v>10000</v>
      </c>
      <c r="C17" s="14"/>
      <c r="D17" s="14"/>
      <c r="E17" s="14"/>
      <c r="F17" s="14">
        <f>-B5*B6</f>
        <v>-1000</v>
      </c>
      <c r="G17" s="18">
        <f>B17+F17-B12</f>
        <v>8818.6763372620135</v>
      </c>
    </row>
    <row r="18" spans="1:7">
      <c r="A18" s="28">
        <v>1</v>
      </c>
      <c r="B18" s="14">
        <f>B5</f>
        <v>10000</v>
      </c>
      <c r="C18" s="14">
        <f>B18*$B$7/$B$8</f>
        <v>224.16666666666666</v>
      </c>
      <c r="D18" s="14">
        <f>$B$9-C18</f>
        <v>735.51948984168575</v>
      </c>
      <c r="E18" s="14">
        <f>B18-D18</f>
        <v>9264.4805101583152</v>
      </c>
      <c r="F18" s="14">
        <f>-$B$10</f>
        <v>0</v>
      </c>
      <c r="G18" s="18">
        <f>-$B$9+F18</f>
        <v>-959.68615650835238</v>
      </c>
    </row>
    <row r="19" spans="1:7">
      <c r="A19" s="28">
        <v>2</v>
      </c>
      <c r="B19" s="14">
        <f>E18</f>
        <v>9264.4805101583152</v>
      </c>
      <c r="C19" s="14">
        <f>B19*$B$7/$B$8</f>
        <v>207.67877143604892</v>
      </c>
      <c r="D19" s="14">
        <f>$B$9-C19</f>
        <v>752.00738507230346</v>
      </c>
      <c r="E19" s="14">
        <f>B19-D19</f>
        <v>8512.4731250860114</v>
      </c>
      <c r="F19" s="14">
        <f t="shared" ref="F19:F28" si="0">-$B$10</f>
        <v>0</v>
      </c>
      <c r="G19" s="18">
        <f t="shared" ref="G19:G28" si="1">-$B$9+F19</f>
        <v>-959.68615650835238</v>
      </c>
    </row>
    <row r="20" spans="1:7">
      <c r="A20" s="28">
        <v>3</v>
      </c>
      <c r="B20" s="14">
        <f t="shared" ref="B20:B27" si="2">E19</f>
        <v>8512.4731250860114</v>
      </c>
      <c r="C20" s="14">
        <f t="shared" ref="C20:C29" si="3">B20*$B$7/$B$8</f>
        <v>190.82127255401144</v>
      </c>
      <c r="D20" s="14">
        <f t="shared" ref="D20:D29" si="4">$B$9-C20</f>
        <v>768.86488395434094</v>
      </c>
      <c r="E20" s="14">
        <f t="shared" ref="E20:E27" si="5">B20-D20</f>
        <v>7743.6082411316702</v>
      </c>
      <c r="F20" s="14">
        <f t="shared" si="0"/>
        <v>0</v>
      </c>
      <c r="G20" s="18">
        <f t="shared" si="1"/>
        <v>-959.68615650835238</v>
      </c>
    </row>
    <row r="21" spans="1:7">
      <c r="A21" s="28">
        <v>4</v>
      </c>
      <c r="B21" s="14">
        <f t="shared" si="2"/>
        <v>7743.6082411316702</v>
      </c>
      <c r="C21" s="14">
        <f t="shared" si="3"/>
        <v>173.58588473870159</v>
      </c>
      <c r="D21" s="14">
        <f t="shared" si="4"/>
        <v>786.10027176965082</v>
      </c>
      <c r="E21" s="14">
        <f t="shared" si="5"/>
        <v>6957.5079693620191</v>
      </c>
      <c r="F21" s="14">
        <f t="shared" si="0"/>
        <v>0</v>
      </c>
      <c r="G21" s="18">
        <f t="shared" si="1"/>
        <v>-959.68615650835238</v>
      </c>
    </row>
    <row r="22" spans="1:7">
      <c r="A22" s="28">
        <v>5</v>
      </c>
      <c r="B22" s="14">
        <f t="shared" si="2"/>
        <v>6957.5079693620191</v>
      </c>
      <c r="C22" s="14">
        <f t="shared" si="3"/>
        <v>155.96413697986529</v>
      </c>
      <c r="D22" s="14">
        <f t="shared" si="4"/>
        <v>803.72201952848707</v>
      </c>
      <c r="E22" s="14">
        <f t="shared" si="5"/>
        <v>6153.785949833532</v>
      </c>
      <c r="F22" s="14">
        <f t="shared" si="0"/>
        <v>0</v>
      </c>
      <c r="G22" s="18">
        <f t="shared" si="1"/>
        <v>-959.68615650835238</v>
      </c>
    </row>
    <row r="23" spans="1:7">
      <c r="A23" s="28">
        <v>6</v>
      </c>
      <c r="B23" s="14">
        <f t="shared" si="2"/>
        <v>6153.785949833532</v>
      </c>
      <c r="C23" s="14">
        <f t="shared" si="3"/>
        <v>137.94736837543502</v>
      </c>
      <c r="D23" s="14">
        <f t="shared" si="4"/>
        <v>821.73878813291731</v>
      </c>
      <c r="E23" s="14">
        <f t="shared" si="5"/>
        <v>5332.0471617006151</v>
      </c>
      <c r="F23" s="14">
        <f t="shared" si="0"/>
        <v>0</v>
      </c>
      <c r="G23" s="18">
        <f t="shared" si="1"/>
        <v>-959.68615650835238</v>
      </c>
    </row>
    <row r="24" spans="1:7">
      <c r="A24" s="28">
        <v>7</v>
      </c>
      <c r="B24" s="14">
        <f t="shared" si="2"/>
        <v>5332.0471617006151</v>
      </c>
      <c r="C24" s="14">
        <f t="shared" si="3"/>
        <v>119.5267238747888</v>
      </c>
      <c r="D24" s="14">
        <f t="shared" si="4"/>
        <v>840.1594326335636</v>
      </c>
      <c r="E24" s="14">
        <f t="shared" si="5"/>
        <v>4491.8877290670516</v>
      </c>
      <c r="F24" s="14">
        <f t="shared" si="0"/>
        <v>0</v>
      </c>
      <c r="G24" s="18">
        <f t="shared" si="1"/>
        <v>-959.68615650835238</v>
      </c>
    </row>
    <row r="25" spans="1:7">
      <c r="A25" s="28">
        <v>8</v>
      </c>
      <c r="B25" s="14">
        <f t="shared" si="2"/>
        <v>4491.8877290670516</v>
      </c>
      <c r="C25" s="14">
        <f t="shared" si="3"/>
        <v>100.6931499265864</v>
      </c>
      <c r="D25" s="14">
        <f t="shared" si="4"/>
        <v>858.99300658176594</v>
      </c>
      <c r="E25" s="14">
        <f t="shared" si="5"/>
        <v>3632.8947224852855</v>
      </c>
      <c r="F25" s="14">
        <f t="shared" si="0"/>
        <v>0</v>
      </c>
      <c r="G25" s="18">
        <f t="shared" si="1"/>
        <v>-959.68615650835238</v>
      </c>
    </row>
    <row r="26" spans="1:7">
      <c r="A26" s="28">
        <v>9</v>
      </c>
      <c r="B26" s="14">
        <f t="shared" si="2"/>
        <v>3632.8947224852855</v>
      </c>
      <c r="C26" s="14">
        <f t="shared" si="3"/>
        <v>81.437390029045147</v>
      </c>
      <c r="D26" s="14">
        <f t="shared" si="4"/>
        <v>878.24876647930728</v>
      </c>
      <c r="E26" s="14">
        <f t="shared" si="5"/>
        <v>2754.6459560059784</v>
      </c>
      <c r="F26" s="14">
        <f t="shared" si="0"/>
        <v>0</v>
      </c>
      <c r="G26" s="18">
        <f t="shared" si="1"/>
        <v>-959.68615650835238</v>
      </c>
    </row>
    <row r="27" spans="1:7">
      <c r="A27" s="28">
        <v>10</v>
      </c>
      <c r="B27" s="14">
        <f t="shared" si="2"/>
        <v>2754.6459560059784</v>
      </c>
      <c r="C27" s="14">
        <f t="shared" si="3"/>
        <v>61.749980180467354</v>
      </c>
      <c r="D27" s="14">
        <f t="shared" si="4"/>
        <v>897.93617632788505</v>
      </c>
      <c r="E27" s="14">
        <f t="shared" si="5"/>
        <v>1856.7097796780934</v>
      </c>
      <c r="F27" s="14">
        <f t="shared" si="0"/>
        <v>0</v>
      </c>
      <c r="G27" s="18">
        <f t="shared" si="1"/>
        <v>-959.68615650835238</v>
      </c>
    </row>
    <row r="28" spans="1:7">
      <c r="A28" s="28">
        <v>11</v>
      </c>
      <c r="B28" s="14">
        <f>E27</f>
        <v>1856.7097796780934</v>
      </c>
      <c r="C28" s="14">
        <f>B28*$B$7/$B$8</f>
        <v>41.621244227783926</v>
      </c>
      <c r="D28" s="14">
        <f>$B$9-C28</f>
        <v>918.06491228056848</v>
      </c>
      <c r="E28" s="14">
        <f>B28-D28</f>
        <v>938.64486739752488</v>
      </c>
      <c r="F28" s="14">
        <f t="shared" si="0"/>
        <v>0</v>
      </c>
      <c r="G28" s="18">
        <f t="shared" si="1"/>
        <v>-959.68615650835238</v>
      </c>
    </row>
    <row r="29" spans="1:7" ht="15.75" thickBot="1">
      <c r="A29" s="29">
        <v>12</v>
      </c>
      <c r="B29" s="19">
        <f>E28</f>
        <v>938.64486739752488</v>
      </c>
      <c r="C29" s="19">
        <f t="shared" si="3"/>
        <v>21.041289110827851</v>
      </c>
      <c r="D29" s="19">
        <f t="shared" si="4"/>
        <v>938.64486739752454</v>
      </c>
      <c r="E29" s="19">
        <f>B29-D29</f>
        <v>0</v>
      </c>
      <c r="F29" s="19">
        <f>-SUM(F17:F28)</f>
        <v>1000</v>
      </c>
      <c r="G29" s="20">
        <f>-$B$9+$F$29+B11</f>
        <v>90.313843491647617</v>
      </c>
    </row>
    <row r="31" spans="1:7">
      <c r="F31" s="5"/>
      <c r="G31" s="4"/>
    </row>
    <row r="32" spans="1:7">
      <c r="B32" s="2" t="s">
        <v>29</v>
      </c>
      <c r="F32" s="5">
        <f>IRR(G17:G29)</f>
        <v>2.9950357474756162E-2</v>
      </c>
    </row>
    <row r="33" spans="1:6">
      <c r="B33" s="2" t="s">
        <v>30</v>
      </c>
      <c r="F33" s="25">
        <f>F32*12</f>
        <v>0.35940428969707394</v>
      </c>
    </row>
    <row r="38" spans="1:6">
      <c r="B38" s="4"/>
    </row>
    <row r="40" spans="1:6">
      <c r="B40" s="22"/>
    </row>
    <row r="45" spans="1:6">
      <c r="B45" s="23"/>
      <c r="C45" s="24"/>
      <c r="D45" s="24"/>
      <c r="F45" s="24"/>
    </row>
    <row r="46" spans="1:6">
      <c r="A46" s="24"/>
      <c r="B46" s="23"/>
      <c r="C46" s="24"/>
      <c r="D46" s="24"/>
      <c r="F46" s="24"/>
    </row>
    <row r="47" spans="1:6">
      <c r="A47" s="24"/>
      <c r="B47" s="23"/>
      <c r="C47" s="24"/>
      <c r="D47" s="24"/>
      <c r="F47" s="24"/>
    </row>
    <row r="48" spans="1:6">
      <c r="A48" s="24"/>
      <c r="B48" s="23"/>
      <c r="C48" s="24"/>
      <c r="D48" s="24"/>
      <c r="F48" s="24"/>
    </row>
    <row r="49" spans="1:6">
      <c r="A49" s="24"/>
      <c r="B49" s="23"/>
      <c r="C49" s="24"/>
      <c r="D49" s="24"/>
      <c r="F49" s="24"/>
    </row>
    <row r="50" spans="1:6">
      <c r="A50" s="24"/>
      <c r="B50" s="23"/>
      <c r="C50" s="24"/>
      <c r="D50" s="24"/>
      <c r="F50" s="24"/>
    </row>
    <row r="51" spans="1:6">
      <c r="A51" s="24"/>
      <c r="B51" s="23"/>
      <c r="C51" s="24"/>
      <c r="D51" s="24"/>
      <c r="F51" s="24"/>
    </row>
    <row r="52" spans="1:6">
      <c r="A52" s="24"/>
      <c r="B52" s="23"/>
      <c r="C52" s="24"/>
      <c r="D52" s="24"/>
      <c r="F52" s="24"/>
    </row>
    <row r="53" spans="1:6">
      <c r="A53" s="24"/>
      <c r="B53" s="23"/>
      <c r="C53" s="24"/>
      <c r="D53" s="24"/>
      <c r="F53" s="24"/>
    </row>
    <row r="54" spans="1:6">
      <c r="A54" s="24"/>
      <c r="B54" s="23"/>
      <c r="C54" s="24"/>
      <c r="D54" s="24"/>
      <c r="F54" s="24"/>
    </row>
    <row r="55" spans="1:6">
      <c r="A55" s="24"/>
      <c r="B55" s="23"/>
      <c r="C55" s="24"/>
      <c r="D55" s="24"/>
      <c r="F55" s="24"/>
    </row>
    <row r="56" spans="1:6">
      <c r="A56" s="24"/>
      <c r="B56" s="23"/>
      <c r="C56" s="24"/>
      <c r="D56" s="24"/>
      <c r="F56" s="24"/>
    </row>
    <row r="57" spans="1:6">
      <c r="A57" s="24"/>
      <c r="B57" s="23"/>
      <c r="C57" s="24"/>
      <c r="D57" s="24"/>
      <c r="F57" s="24"/>
    </row>
    <row r="58" spans="1:6">
      <c r="A58" s="24"/>
      <c r="B58" s="23"/>
      <c r="C58" s="24"/>
      <c r="D58" s="24"/>
      <c r="F58" s="24"/>
    </row>
    <row r="59" spans="1:6">
      <c r="A59" s="24"/>
      <c r="B59" s="23"/>
      <c r="C59" s="24"/>
      <c r="D59" s="24"/>
      <c r="F59" s="24"/>
    </row>
    <row r="60" spans="1:6">
      <c r="A60" s="24"/>
      <c r="B60" s="23"/>
      <c r="C60" s="24"/>
      <c r="D60" s="24"/>
      <c r="F60" s="24"/>
    </row>
    <row r="61" spans="1:6">
      <c r="A61" s="24"/>
      <c r="B61" s="23"/>
      <c r="C61" s="24"/>
      <c r="D61" s="24"/>
      <c r="F61" s="24"/>
    </row>
    <row r="62" spans="1:6">
      <c r="A62" s="24"/>
      <c r="B62" s="23"/>
      <c r="C62" s="24"/>
      <c r="D62" s="24"/>
      <c r="F62" s="24"/>
    </row>
    <row r="63" spans="1:6">
      <c r="A63" s="24"/>
      <c r="B63" s="23"/>
      <c r="C63" s="24"/>
      <c r="D63" s="24"/>
      <c r="F63" s="24"/>
    </row>
    <row r="64" spans="1:6">
      <c r="A64" s="24"/>
      <c r="B64" s="23"/>
      <c r="C64" s="24"/>
      <c r="D64" s="24"/>
      <c r="F64" s="24"/>
    </row>
    <row r="65" spans="1:6">
      <c r="A65" s="24"/>
      <c r="B65" s="23"/>
      <c r="C65" s="24"/>
      <c r="D65" s="24"/>
      <c r="F65" s="24"/>
    </row>
    <row r="66" spans="1:6">
      <c r="A66" s="24"/>
      <c r="B66" s="23"/>
      <c r="C66" s="24"/>
      <c r="D66" s="24"/>
      <c r="F66" s="24"/>
    </row>
    <row r="67" spans="1:6">
      <c r="A67" s="24"/>
      <c r="B67" s="23"/>
      <c r="C67" s="24"/>
      <c r="D67" s="24"/>
      <c r="F67" s="24"/>
    </row>
    <row r="68" spans="1:6">
      <c r="A68" s="24"/>
      <c r="B68" s="23"/>
      <c r="C68" s="24"/>
      <c r="D68" s="24"/>
      <c r="F68" s="24"/>
    </row>
    <row r="70" spans="1:6">
      <c r="F70" s="5"/>
    </row>
    <row r="71" spans="1:6">
      <c r="F71" s="25"/>
    </row>
    <row r="72" spans="1:6">
      <c r="C72" s="75"/>
    </row>
    <row r="73" spans="1:6">
      <c r="C73" s="75"/>
      <c r="E73" s="25"/>
    </row>
    <row r="74" spans="1:6">
      <c r="E74" s="5"/>
    </row>
    <row r="76" spans="1:6">
      <c r="E76" s="25"/>
    </row>
  </sheetData>
  <mergeCells count="1">
    <mergeCell ref="C72:C73"/>
  </mergeCells>
  <pageMargins left="0.7" right="0.7" top="0.75" bottom="0.75" header="0.3" footer="0.3"/>
  <pageSetup scale="88" orientation="portrait" r:id="rId1"/>
</worksheet>
</file>

<file path=xl/worksheets/sheet7.xml><?xml version="1.0" encoding="utf-8"?>
<worksheet xmlns="http://schemas.openxmlformats.org/spreadsheetml/2006/main" xmlns:r="http://schemas.openxmlformats.org/officeDocument/2006/relationships">
  <dimension ref="A1:G76"/>
  <sheetViews>
    <sheetView topLeftCell="A22" zoomScaleNormal="100" workbookViewId="0">
      <selection activeCell="K19" sqref="K19"/>
    </sheetView>
  </sheetViews>
  <sheetFormatPr defaultRowHeight="15"/>
  <cols>
    <col min="1" max="1" width="24.42578125" style="2" customWidth="1"/>
    <col min="2" max="2" width="10.5703125" style="2" bestFit="1" customWidth="1"/>
    <col min="3" max="3" width="13.140625" style="2" bestFit="1" customWidth="1"/>
    <col min="4" max="4" width="13.140625" style="2" customWidth="1"/>
    <col min="5" max="6" width="15.7109375" style="2" bestFit="1" customWidth="1"/>
    <col min="7" max="16384" width="9.140625" style="2"/>
  </cols>
  <sheetData>
    <row r="1" spans="1:7" ht="18.75">
      <c r="A1" s="26"/>
    </row>
    <row r="2" spans="1:7" ht="15.75" thickBot="1"/>
    <row r="3" spans="1:7" ht="15.75" thickBot="1">
      <c r="A3" s="13" t="s">
        <v>20</v>
      </c>
      <c r="D3" s="13" t="s">
        <v>34</v>
      </c>
      <c r="E3" s="31">
        <f>F33</f>
        <v>1.9403828623061674</v>
      </c>
    </row>
    <row r="5" spans="1:7">
      <c r="A5" s="2" t="s">
        <v>0</v>
      </c>
      <c r="B5" s="22">
        <v>2000</v>
      </c>
    </row>
    <row r="6" spans="1:7">
      <c r="A6" s="2" t="s">
        <v>1</v>
      </c>
      <c r="B6" s="4">
        <v>0</v>
      </c>
    </row>
    <row r="7" spans="1:7">
      <c r="A7" s="2" t="s">
        <v>2</v>
      </c>
      <c r="B7" s="5">
        <v>0.26900000000000002</v>
      </c>
      <c r="E7" s="11"/>
    </row>
    <row r="8" spans="1:7">
      <c r="A8" s="2" t="s">
        <v>5</v>
      </c>
      <c r="B8" s="2">
        <v>6</v>
      </c>
      <c r="E8" s="25"/>
    </row>
    <row r="9" spans="1:7">
      <c r="A9" s="2" t="s">
        <v>6</v>
      </c>
      <c r="B9" s="27">
        <f>-PMT(B7/B8,B8,B5,0,0)</f>
        <v>387.54827912324845</v>
      </c>
      <c r="C9" s="21"/>
    </row>
    <row r="10" spans="1:7">
      <c r="A10" s="2" t="s">
        <v>21</v>
      </c>
      <c r="B10" s="2">
        <v>0</v>
      </c>
    </row>
    <row r="11" spans="1:7">
      <c r="A11" s="2" t="s">
        <v>33</v>
      </c>
      <c r="B11" s="2">
        <v>0</v>
      </c>
    </row>
    <row r="12" spans="1:7">
      <c r="A12" s="2" t="s">
        <v>19</v>
      </c>
      <c r="B12" s="23">
        <v>0</v>
      </c>
    </row>
    <row r="13" spans="1:7" ht="15.75" thickBot="1"/>
    <row r="14" spans="1:7" ht="15.75" thickBot="1">
      <c r="A14" s="13" t="s">
        <v>15</v>
      </c>
    </row>
    <row r="15" spans="1:7" ht="15.75" thickBot="1">
      <c r="A15" s="12"/>
    </row>
    <row r="16" spans="1:7">
      <c r="A16" s="32" t="s">
        <v>9</v>
      </c>
      <c r="B16" s="33" t="s">
        <v>3</v>
      </c>
      <c r="C16" s="33" t="s">
        <v>4</v>
      </c>
      <c r="D16" s="33" t="s">
        <v>7</v>
      </c>
      <c r="E16" s="33" t="s">
        <v>8</v>
      </c>
      <c r="F16" s="33" t="s">
        <v>22</v>
      </c>
      <c r="G16" s="34" t="s">
        <v>11</v>
      </c>
    </row>
    <row r="17" spans="1:7">
      <c r="A17" s="28">
        <v>0</v>
      </c>
      <c r="B17" s="14">
        <f>B5</f>
        <v>2000</v>
      </c>
      <c r="C17" s="14"/>
      <c r="D17" s="14"/>
      <c r="E17" s="14"/>
      <c r="F17" s="14">
        <f>-B5*B6</f>
        <v>0</v>
      </c>
      <c r="G17" s="18">
        <f>B17+F17-B12</f>
        <v>2000</v>
      </c>
    </row>
    <row r="18" spans="1:7">
      <c r="A18" s="28">
        <v>1</v>
      </c>
      <c r="B18" s="14">
        <f>B5</f>
        <v>2000</v>
      </c>
      <c r="C18" s="14">
        <f t="shared" ref="C18:C29" si="0">B18*$B$7/$B$8</f>
        <v>89.666666666666671</v>
      </c>
      <c r="D18" s="14">
        <f t="shared" ref="D18:D29" si="1">$B$9-C18</f>
        <v>297.88161245658176</v>
      </c>
      <c r="E18" s="14">
        <f t="shared" ref="E18:E29" si="2">B18-D18</f>
        <v>1702.1183875434183</v>
      </c>
      <c r="F18" s="14">
        <f>-$B$10</f>
        <v>0</v>
      </c>
      <c r="G18" s="18">
        <f t="shared" ref="G18:G28" si="3">-$B$9+F18</f>
        <v>-387.54827912324845</v>
      </c>
    </row>
    <row r="19" spans="1:7">
      <c r="A19" s="28">
        <v>2</v>
      </c>
      <c r="B19" s="14">
        <f t="shared" ref="B19:B29" si="4">E18</f>
        <v>1702.1183875434183</v>
      </c>
      <c r="C19" s="14">
        <f t="shared" si="0"/>
        <v>76.311641041529924</v>
      </c>
      <c r="D19" s="14">
        <f t="shared" si="1"/>
        <v>311.23663808171852</v>
      </c>
      <c r="E19" s="14">
        <f t="shared" si="2"/>
        <v>1390.8817494616997</v>
      </c>
      <c r="F19" s="14">
        <f t="shared" ref="F19:F28" si="5">-$B$10</f>
        <v>0</v>
      </c>
      <c r="G19" s="18">
        <f t="shared" si="3"/>
        <v>-387.54827912324845</v>
      </c>
    </row>
    <row r="20" spans="1:7">
      <c r="A20" s="28">
        <v>3</v>
      </c>
      <c r="B20" s="14">
        <f t="shared" si="4"/>
        <v>1390.8817494616997</v>
      </c>
      <c r="C20" s="14">
        <f t="shared" si="0"/>
        <v>62.357865100866206</v>
      </c>
      <c r="D20" s="14">
        <f t="shared" si="1"/>
        <v>325.19041402238224</v>
      </c>
      <c r="E20" s="14">
        <f t="shared" si="2"/>
        <v>1065.6913354393173</v>
      </c>
      <c r="F20" s="14">
        <f t="shared" si="5"/>
        <v>0</v>
      </c>
      <c r="G20" s="18">
        <f t="shared" si="3"/>
        <v>-387.54827912324845</v>
      </c>
    </row>
    <row r="21" spans="1:7">
      <c r="A21" s="28">
        <v>4</v>
      </c>
      <c r="B21" s="14">
        <f t="shared" si="4"/>
        <v>1065.6913354393173</v>
      </c>
      <c r="C21" s="14">
        <f t="shared" si="0"/>
        <v>47.778494872196063</v>
      </c>
      <c r="D21" s="14">
        <f t="shared" si="1"/>
        <v>339.76978425105239</v>
      </c>
      <c r="E21" s="14">
        <f t="shared" si="2"/>
        <v>725.92155118826486</v>
      </c>
      <c r="F21" s="14">
        <f t="shared" si="5"/>
        <v>0</v>
      </c>
      <c r="G21" s="18">
        <f t="shared" si="3"/>
        <v>-387.54827912324845</v>
      </c>
    </row>
    <row r="22" spans="1:7">
      <c r="A22" s="28">
        <v>5</v>
      </c>
      <c r="B22" s="14">
        <f t="shared" si="4"/>
        <v>725.92155118826486</v>
      </c>
      <c r="C22" s="14">
        <f t="shared" si="0"/>
        <v>32.54548287827388</v>
      </c>
      <c r="D22" s="14">
        <f t="shared" si="1"/>
        <v>355.00279624497455</v>
      </c>
      <c r="E22" s="14">
        <f t="shared" si="2"/>
        <v>370.91875494329031</v>
      </c>
      <c r="F22" s="14">
        <f t="shared" si="5"/>
        <v>0</v>
      </c>
      <c r="G22" s="18">
        <f t="shared" si="3"/>
        <v>-387.54827912324845</v>
      </c>
    </row>
    <row r="23" spans="1:7">
      <c r="A23" s="28">
        <v>6</v>
      </c>
      <c r="B23" s="14">
        <f t="shared" si="4"/>
        <v>370.91875494329031</v>
      </c>
      <c r="C23" s="14">
        <f t="shared" si="0"/>
        <v>16.629524179957517</v>
      </c>
      <c r="D23" s="14">
        <f t="shared" si="1"/>
        <v>370.91875494329093</v>
      </c>
      <c r="E23" s="14">
        <f t="shared" si="2"/>
        <v>-6.2527760746888816E-13</v>
      </c>
      <c r="F23" s="14">
        <f t="shared" si="5"/>
        <v>0</v>
      </c>
      <c r="G23" s="18">
        <f t="shared" si="3"/>
        <v>-387.54827912324845</v>
      </c>
    </row>
    <row r="24" spans="1:7">
      <c r="A24" s="28">
        <v>7</v>
      </c>
      <c r="B24" s="14">
        <f t="shared" si="4"/>
        <v>-6.2527760746888816E-13</v>
      </c>
      <c r="C24" s="14">
        <f t="shared" si="0"/>
        <v>-2.8033279401521821E-14</v>
      </c>
      <c r="D24" s="14">
        <f t="shared" si="1"/>
        <v>387.54827912324845</v>
      </c>
      <c r="E24" s="14">
        <f t="shared" si="2"/>
        <v>-387.54827912324907</v>
      </c>
      <c r="F24" s="14">
        <f t="shared" si="5"/>
        <v>0</v>
      </c>
      <c r="G24" s="18">
        <f t="shared" si="3"/>
        <v>-387.54827912324845</v>
      </c>
    </row>
    <row r="25" spans="1:7">
      <c r="A25" s="28">
        <v>8</v>
      </c>
      <c r="B25" s="14">
        <f t="shared" si="4"/>
        <v>-387.54827912324907</v>
      </c>
      <c r="C25" s="14">
        <f t="shared" si="0"/>
        <v>-17.375081180692334</v>
      </c>
      <c r="D25" s="14">
        <f t="shared" si="1"/>
        <v>404.9233603039408</v>
      </c>
      <c r="E25" s="14">
        <f t="shared" si="2"/>
        <v>-792.47163942718987</v>
      </c>
      <c r="F25" s="14">
        <f t="shared" si="5"/>
        <v>0</v>
      </c>
      <c r="G25" s="18">
        <f t="shared" si="3"/>
        <v>-387.54827912324845</v>
      </c>
    </row>
    <row r="26" spans="1:7">
      <c r="A26" s="28">
        <v>9</v>
      </c>
      <c r="B26" s="14">
        <f t="shared" si="4"/>
        <v>-792.47163942718987</v>
      </c>
      <c r="C26" s="14">
        <f t="shared" si="0"/>
        <v>-35.529145167652352</v>
      </c>
      <c r="D26" s="14">
        <f t="shared" si="1"/>
        <v>423.07742429090081</v>
      </c>
      <c r="E26" s="14">
        <f t="shared" si="2"/>
        <v>-1215.5490637180906</v>
      </c>
      <c r="F26" s="14">
        <f t="shared" si="5"/>
        <v>0</v>
      </c>
      <c r="G26" s="18">
        <f t="shared" si="3"/>
        <v>-387.54827912324845</v>
      </c>
    </row>
    <row r="27" spans="1:7">
      <c r="A27" s="28">
        <v>10</v>
      </c>
      <c r="B27" s="14">
        <f t="shared" si="4"/>
        <v>-1215.5490637180906</v>
      </c>
      <c r="C27" s="14">
        <f t="shared" si="0"/>
        <v>-54.497116356694399</v>
      </c>
      <c r="D27" s="14">
        <f t="shared" si="1"/>
        <v>442.04539547994284</v>
      </c>
      <c r="E27" s="14">
        <f t="shared" si="2"/>
        <v>-1657.5944591980333</v>
      </c>
      <c r="F27" s="14">
        <f t="shared" si="5"/>
        <v>0</v>
      </c>
      <c r="G27" s="18">
        <f t="shared" si="3"/>
        <v>-387.54827912324845</v>
      </c>
    </row>
    <row r="28" spans="1:7">
      <c r="A28" s="28">
        <v>11</v>
      </c>
      <c r="B28" s="14">
        <f t="shared" si="4"/>
        <v>-1657.5944591980333</v>
      </c>
      <c r="C28" s="14">
        <f t="shared" si="0"/>
        <v>-74.315484920711825</v>
      </c>
      <c r="D28" s="14">
        <f t="shared" si="1"/>
        <v>461.86376404396026</v>
      </c>
      <c r="E28" s="14">
        <f t="shared" si="2"/>
        <v>-2119.4582232419934</v>
      </c>
      <c r="F28" s="14">
        <f t="shared" si="5"/>
        <v>0</v>
      </c>
      <c r="G28" s="18">
        <f t="shared" si="3"/>
        <v>-387.54827912324845</v>
      </c>
    </row>
    <row r="29" spans="1:7" ht="15.75" thickBot="1">
      <c r="A29" s="29">
        <v>12</v>
      </c>
      <c r="B29" s="19">
        <f t="shared" si="4"/>
        <v>-2119.4582232419934</v>
      </c>
      <c r="C29" s="19">
        <f t="shared" si="0"/>
        <v>-95.02237700868271</v>
      </c>
      <c r="D29" s="19">
        <f t="shared" si="1"/>
        <v>482.57065613193117</v>
      </c>
      <c r="E29" s="19">
        <f t="shared" si="2"/>
        <v>-2602.0288793739246</v>
      </c>
      <c r="F29" s="19">
        <f>-SUM(F17:F28)</f>
        <v>0</v>
      </c>
      <c r="G29" s="20">
        <f>-$B$9+$F$29+B11</f>
        <v>-387.54827912324845</v>
      </c>
    </row>
    <row r="31" spans="1:7">
      <c r="F31" s="5"/>
      <c r="G31" s="4"/>
    </row>
    <row r="32" spans="1:7">
      <c r="B32" s="2" t="s">
        <v>29</v>
      </c>
      <c r="F32" s="5">
        <f>IRR(G17:G29)</f>
        <v>0.16169857185884728</v>
      </c>
    </row>
    <row r="33" spans="1:6">
      <c r="B33" s="2" t="s">
        <v>30</v>
      </c>
      <c r="F33" s="25">
        <f>F32*12</f>
        <v>1.9403828623061674</v>
      </c>
    </row>
    <row r="38" spans="1:6">
      <c r="B38" s="4"/>
    </row>
    <row r="40" spans="1:6">
      <c r="B40" s="22"/>
    </row>
    <row r="45" spans="1:6">
      <c r="B45" s="23"/>
      <c r="C45" s="24"/>
      <c r="D45" s="24"/>
      <c r="F45" s="24"/>
    </row>
    <row r="46" spans="1:6">
      <c r="A46" s="24"/>
      <c r="B46" s="23"/>
      <c r="C46" s="24"/>
      <c r="D46" s="24"/>
      <c r="F46" s="24"/>
    </row>
    <row r="47" spans="1:6">
      <c r="A47" s="24"/>
      <c r="B47" s="23"/>
      <c r="C47" s="24"/>
      <c r="D47" s="24"/>
      <c r="F47" s="24"/>
    </row>
    <row r="48" spans="1:6">
      <c r="A48" s="24"/>
      <c r="B48" s="23"/>
      <c r="C48" s="24"/>
      <c r="D48" s="24"/>
      <c r="F48" s="24"/>
    </row>
    <row r="49" spans="1:6">
      <c r="A49" s="24"/>
      <c r="B49" s="23"/>
      <c r="C49" s="24"/>
      <c r="D49" s="24"/>
      <c r="F49" s="24"/>
    </row>
    <row r="50" spans="1:6">
      <c r="A50" s="24"/>
      <c r="B50" s="23"/>
      <c r="C50" s="24"/>
      <c r="D50" s="24"/>
      <c r="F50" s="24"/>
    </row>
    <row r="51" spans="1:6">
      <c r="A51" s="24"/>
      <c r="B51" s="23"/>
      <c r="C51" s="24"/>
      <c r="D51" s="24"/>
      <c r="F51" s="24"/>
    </row>
    <row r="52" spans="1:6">
      <c r="A52" s="24"/>
      <c r="B52" s="23"/>
      <c r="C52" s="24"/>
      <c r="D52" s="24"/>
      <c r="F52" s="24"/>
    </row>
    <row r="53" spans="1:6">
      <c r="A53" s="24"/>
      <c r="B53" s="23"/>
      <c r="C53" s="24"/>
      <c r="D53" s="24"/>
      <c r="F53" s="24"/>
    </row>
    <row r="54" spans="1:6">
      <c r="A54" s="24"/>
      <c r="B54" s="23"/>
      <c r="C54" s="24"/>
      <c r="D54" s="24"/>
      <c r="F54" s="24"/>
    </row>
    <row r="55" spans="1:6">
      <c r="A55" s="24"/>
      <c r="B55" s="23"/>
      <c r="C55" s="24"/>
      <c r="D55" s="24"/>
      <c r="F55" s="24"/>
    </row>
    <row r="56" spans="1:6">
      <c r="A56" s="24"/>
      <c r="B56" s="23"/>
      <c r="C56" s="24"/>
      <c r="D56" s="24"/>
      <c r="F56" s="24"/>
    </row>
    <row r="57" spans="1:6">
      <c r="A57" s="24"/>
      <c r="B57" s="23"/>
      <c r="C57" s="24"/>
      <c r="D57" s="24"/>
      <c r="F57" s="24"/>
    </row>
    <row r="58" spans="1:6">
      <c r="A58" s="24"/>
      <c r="B58" s="23"/>
      <c r="C58" s="24"/>
      <c r="D58" s="24"/>
      <c r="F58" s="24"/>
    </row>
    <row r="59" spans="1:6">
      <c r="A59" s="24"/>
      <c r="B59" s="23"/>
      <c r="C59" s="24"/>
      <c r="D59" s="24"/>
      <c r="F59" s="24"/>
    </row>
    <row r="60" spans="1:6">
      <c r="A60" s="24"/>
      <c r="B60" s="23"/>
      <c r="C60" s="24"/>
      <c r="D60" s="24"/>
      <c r="F60" s="24"/>
    </row>
    <row r="61" spans="1:6">
      <c r="A61" s="24"/>
      <c r="B61" s="23"/>
      <c r="C61" s="24"/>
      <c r="D61" s="24"/>
      <c r="F61" s="24"/>
    </row>
    <row r="62" spans="1:6">
      <c r="A62" s="24"/>
      <c r="B62" s="23"/>
      <c r="C62" s="24"/>
      <c r="D62" s="24"/>
      <c r="F62" s="24"/>
    </row>
    <row r="63" spans="1:6">
      <c r="A63" s="24"/>
      <c r="B63" s="23"/>
      <c r="C63" s="24"/>
      <c r="D63" s="24"/>
      <c r="F63" s="24"/>
    </row>
    <row r="64" spans="1:6">
      <c r="A64" s="24"/>
      <c r="B64" s="23"/>
      <c r="C64" s="24"/>
      <c r="D64" s="24"/>
      <c r="F64" s="24"/>
    </row>
    <row r="65" spans="1:6">
      <c r="A65" s="24"/>
      <c r="B65" s="23"/>
      <c r="C65" s="24"/>
      <c r="D65" s="24"/>
      <c r="F65" s="24"/>
    </row>
    <row r="66" spans="1:6">
      <c r="A66" s="24"/>
      <c r="B66" s="23"/>
      <c r="C66" s="24"/>
      <c r="D66" s="24"/>
      <c r="F66" s="24"/>
    </row>
    <row r="67" spans="1:6">
      <c r="A67" s="24"/>
      <c r="B67" s="23"/>
      <c r="C67" s="24"/>
      <c r="D67" s="24"/>
      <c r="F67" s="24"/>
    </row>
    <row r="68" spans="1:6">
      <c r="A68" s="24"/>
      <c r="B68" s="23"/>
      <c r="C68" s="24"/>
      <c r="D68" s="24"/>
      <c r="F68" s="24"/>
    </row>
    <row r="70" spans="1:6">
      <c r="F70" s="5"/>
    </row>
    <row r="71" spans="1:6">
      <c r="F71" s="25"/>
    </row>
    <row r="72" spans="1:6">
      <c r="C72" s="75"/>
    </row>
    <row r="73" spans="1:6">
      <c r="C73" s="75"/>
      <c r="E73" s="25"/>
    </row>
    <row r="74" spans="1:6">
      <c r="E74" s="5"/>
    </row>
    <row r="76" spans="1:6">
      <c r="E76" s="25"/>
    </row>
  </sheetData>
  <mergeCells count="1">
    <mergeCell ref="C72:C73"/>
  </mergeCells>
  <pageMargins left="0.7" right="0.7" top="0.75" bottom="0.75" header="0.3" footer="0.3"/>
  <pageSetup scale="88" orientation="portrait" r:id="rId1"/>
</worksheet>
</file>

<file path=xl/worksheets/sheet8.xml><?xml version="1.0" encoding="utf-8"?>
<worksheet xmlns="http://schemas.openxmlformats.org/spreadsheetml/2006/main" xmlns:r="http://schemas.openxmlformats.org/officeDocument/2006/relationships">
  <dimension ref="A1:G76"/>
  <sheetViews>
    <sheetView topLeftCell="A13" zoomScaleNormal="100" workbookViewId="0">
      <selection activeCell="F34" sqref="F34"/>
    </sheetView>
  </sheetViews>
  <sheetFormatPr defaultRowHeight="15"/>
  <cols>
    <col min="1" max="1" width="24.42578125" style="2" customWidth="1"/>
    <col min="2" max="2" width="10.5703125" style="2" bestFit="1" customWidth="1"/>
    <col min="3" max="3" width="13.140625" style="2" bestFit="1" customWidth="1"/>
    <col min="4" max="4" width="13.140625" style="2" customWidth="1"/>
    <col min="5" max="6" width="15.7109375" style="2" bestFit="1" customWidth="1"/>
    <col min="7" max="16384" width="9.140625" style="2"/>
  </cols>
  <sheetData>
    <row r="1" spans="1:7" ht="18.75">
      <c r="A1" s="26"/>
    </row>
    <row r="2" spans="1:7" ht="15.75" thickBot="1"/>
    <row r="3" spans="1:7" ht="15.75" thickBot="1">
      <c r="A3" s="13" t="s">
        <v>20</v>
      </c>
      <c r="D3" s="13" t="s">
        <v>34</v>
      </c>
      <c r="E3" s="31">
        <f>F33</f>
        <v>0.31940815713758486</v>
      </c>
    </row>
    <row r="5" spans="1:7">
      <c r="A5" s="2" t="s">
        <v>0</v>
      </c>
      <c r="B5" s="22">
        <v>10000</v>
      </c>
    </row>
    <row r="6" spans="1:7">
      <c r="A6" s="2" t="s">
        <v>1</v>
      </c>
      <c r="B6" s="4">
        <v>0.1</v>
      </c>
    </row>
    <row r="7" spans="1:7">
      <c r="A7" s="2" t="s">
        <v>2</v>
      </c>
      <c r="B7" s="5">
        <v>0.25</v>
      </c>
      <c r="E7" s="11"/>
    </row>
    <row r="8" spans="1:7">
      <c r="A8" s="2" t="s">
        <v>5</v>
      </c>
      <c r="B8" s="2">
        <v>12</v>
      </c>
      <c r="E8" s="25"/>
    </row>
    <row r="9" spans="1:7">
      <c r="A9" s="2" t="s">
        <v>6</v>
      </c>
      <c r="B9" s="27">
        <f>-PMT(B7/B8,B8,B5,0,0)</f>
        <v>950.44203263909253</v>
      </c>
      <c r="C9" s="21"/>
    </row>
    <row r="10" spans="1:7">
      <c r="A10" s="2" t="s">
        <v>21</v>
      </c>
      <c r="B10" s="2">
        <v>0</v>
      </c>
    </row>
    <row r="11" spans="1:7">
      <c r="A11" s="2" t="s">
        <v>33</v>
      </c>
      <c r="B11" s="2">
        <v>0</v>
      </c>
    </row>
    <row r="12" spans="1:7">
      <c r="A12" s="2" t="s">
        <v>19</v>
      </c>
      <c r="B12" s="23">
        <v>75</v>
      </c>
    </row>
    <row r="13" spans="1:7" ht="15.75" thickBot="1"/>
    <row r="14" spans="1:7" ht="15.75" thickBot="1">
      <c r="A14" s="13" t="s">
        <v>15</v>
      </c>
    </row>
    <row r="15" spans="1:7" ht="15.75" thickBot="1">
      <c r="A15" s="12"/>
    </row>
    <row r="16" spans="1:7">
      <c r="A16" s="32" t="s">
        <v>9</v>
      </c>
      <c r="B16" s="33" t="s">
        <v>3</v>
      </c>
      <c r="C16" s="33" t="s">
        <v>4</v>
      </c>
      <c r="D16" s="33" t="s">
        <v>7</v>
      </c>
      <c r="E16" s="33" t="s">
        <v>8</v>
      </c>
      <c r="F16" s="33" t="s">
        <v>22</v>
      </c>
      <c r="G16" s="34" t="s">
        <v>11</v>
      </c>
    </row>
    <row r="17" spans="1:7">
      <c r="A17" s="28">
        <v>0</v>
      </c>
      <c r="B17" s="14">
        <f>B5</f>
        <v>10000</v>
      </c>
      <c r="C17" s="14"/>
      <c r="D17" s="14"/>
      <c r="E17" s="14"/>
      <c r="F17" s="14">
        <f>-B5*B6</f>
        <v>-1000</v>
      </c>
      <c r="G17" s="18">
        <f>B17+F17-B12</f>
        <v>8925</v>
      </c>
    </row>
    <row r="18" spans="1:7">
      <c r="A18" s="28">
        <v>1</v>
      </c>
      <c r="B18" s="14">
        <f>B5</f>
        <v>10000</v>
      </c>
      <c r="C18" s="14">
        <f t="shared" ref="C18:C29" si="0">B18*$B$7/$B$8</f>
        <v>208.33333333333334</v>
      </c>
      <c r="D18" s="14">
        <f t="shared" ref="D18:D29" si="1">$B$9-C18</f>
        <v>742.10869930575916</v>
      </c>
      <c r="E18" s="14">
        <f t="shared" ref="E18:E29" si="2">B18-D18</f>
        <v>9257.8913006942403</v>
      </c>
      <c r="F18" s="14">
        <f>-$B$10</f>
        <v>0</v>
      </c>
      <c r="G18" s="18">
        <f t="shared" ref="G18:G28" si="3">-$B$9+F18</f>
        <v>-950.44203263909253</v>
      </c>
    </row>
    <row r="19" spans="1:7">
      <c r="A19" s="28">
        <v>2</v>
      </c>
      <c r="B19" s="14">
        <f t="shared" ref="B19:B29" si="4">E18</f>
        <v>9257.8913006942403</v>
      </c>
      <c r="C19" s="14">
        <f t="shared" si="0"/>
        <v>192.87273543113</v>
      </c>
      <c r="D19" s="14">
        <f t="shared" si="1"/>
        <v>757.56929720796256</v>
      </c>
      <c r="E19" s="14">
        <f t="shared" si="2"/>
        <v>8500.322003486277</v>
      </c>
      <c r="F19" s="14">
        <f t="shared" ref="F19:F28" si="5">-$B$10</f>
        <v>0</v>
      </c>
      <c r="G19" s="18">
        <f t="shared" si="3"/>
        <v>-950.44203263909253</v>
      </c>
    </row>
    <row r="20" spans="1:7">
      <c r="A20" s="28">
        <v>3</v>
      </c>
      <c r="B20" s="14">
        <f t="shared" si="4"/>
        <v>8500.322003486277</v>
      </c>
      <c r="C20" s="14">
        <f t="shared" si="0"/>
        <v>177.09004173929745</v>
      </c>
      <c r="D20" s="14">
        <f t="shared" si="1"/>
        <v>773.35199089979506</v>
      </c>
      <c r="E20" s="14">
        <f t="shared" si="2"/>
        <v>7726.970012586482</v>
      </c>
      <c r="F20" s="14">
        <f t="shared" si="5"/>
        <v>0</v>
      </c>
      <c r="G20" s="18">
        <f t="shared" si="3"/>
        <v>-950.44203263909253</v>
      </c>
    </row>
    <row r="21" spans="1:7">
      <c r="A21" s="28">
        <v>4</v>
      </c>
      <c r="B21" s="14">
        <f t="shared" si="4"/>
        <v>7726.970012586482</v>
      </c>
      <c r="C21" s="14">
        <f t="shared" si="0"/>
        <v>160.97854192888505</v>
      </c>
      <c r="D21" s="14">
        <f t="shared" si="1"/>
        <v>789.46349071020745</v>
      </c>
      <c r="E21" s="14">
        <f t="shared" si="2"/>
        <v>6937.5065218762747</v>
      </c>
      <c r="F21" s="14">
        <f t="shared" si="5"/>
        <v>0</v>
      </c>
      <c r="G21" s="18">
        <f t="shared" si="3"/>
        <v>-950.44203263909253</v>
      </c>
    </row>
    <row r="22" spans="1:7">
      <c r="A22" s="28">
        <v>5</v>
      </c>
      <c r="B22" s="14">
        <f t="shared" si="4"/>
        <v>6937.5065218762747</v>
      </c>
      <c r="C22" s="14">
        <f t="shared" si="0"/>
        <v>144.53138587242239</v>
      </c>
      <c r="D22" s="14">
        <f t="shared" si="1"/>
        <v>805.9106467666702</v>
      </c>
      <c r="E22" s="14">
        <f t="shared" si="2"/>
        <v>6131.5958751096041</v>
      </c>
      <c r="F22" s="14">
        <f t="shared" si="5"/>
        <v>0</v>
      </c>
      <c r="G22" s="18">
        <f t="shared" si="3"/>
        <v>-950.44203263909253</v>
      </c>
    </row>
    <row r="23" spans="1:7">
      <c r="A23" s="28">
        <v>6</v>
      </c>
      <c r="B23" s="14">
        <f t="shared" si="4"/>
        <v>6131.5958751096041</v>
      </c>
      <c r="C23" s="14">
        <f t="shared" si="0"/>
        <v>127.74158073145009</v>
      </c>
      <c r="D23" s="14">
        <f t="shared" si="1"/>
        <v>822.70045190764245</v>
      </c>
      <c r="E23" s="14">
        <f t="shared" si="2"/>
        <v>5308.8954232019614</v>
      </c>
      <c r="F23" s="14">
        <f t="shared" si="5"/>
        <v>0</v>
      </c>
      <c r="G23" s="18">
        <f t="shared" si="3"/>
        <v>-950.44203263909253</v>
      </c>
    </row>
    <row r="24" spans="1:7">
      <c r="A24" s="28">
        <v>7</v>
      </c>
      <c r="B24" s="14">
        <f t="shared" si="4"/>
        <v>5308.8954232019614</v>
      </c>
      <c r="C24" s="14">
        <f t="shared" si="0"/>
        <v>110.6019879833742</v>
      </c>
      <c r="D24" s="14">
        <f t="shared" si="1"/>
        <v>839.84004465571832</v>
      </c>
      <c r="E24" s="14">
        <f t="shared" si="2"/>
        <v>4469.0553785462434</v>
      </c>
      <c r="F24" s="14">
        <f t="shared" si="5"/>
        <v>0</v>
      </c>
      <c r="G24" s="18">
        <f t="shared" si="3"/>
        <v>-950.44203263909253</v>
      </c>
    </row>
    <row r="25" spans="1:7">
      <c r="A25" s="28">
        <v>8</v>
      </c>
      <c r="B25" s="14">
        <f t="shared" si="4"/>
        <v>4469.0553785462434</v>
      </c>
      <c r="C25" s="14">
        <f t="shared" si="0"/>
        <v>93.105320386380072</v>
      </c>
      <c r="D25" s="14">
        <f t="shared" si="1"/>
        <v>857.33671225271246</v>
      </c>
      <c r="E25" s="14">
        <f t="shared" si="2"/>
        <v>3611.718666293531</v>
      </c>
      <c r="F25" s="14">
        <f t="shared" si="5"/>
        <v>0</v>
      </c>
      <c r="G25" s="18">
        <f t="shared" si="3"/>
        <v>-950.44203263909253</v>
      </c>
    </row>
    <row r="26" spans="1:7">
      <c r="A26" s="28">
        <v>9</v>
      </c>
      <c r="B26" s="14">
        <f t="shared" si="4"/>
        <v>3611.718666293531</v>
      </c>
      <c r="C26" s="14">
        <f t="shared" si="0"/>
        <v>75.244138881115234</v>
      </c>
      <c r="D26" s="14">
        <f t="shared" si="1"/>
        <v>875.19789375797734</v>
      </c>
      <c r="E26" s="14">
        <f t="shared" si="2"/>
        <v>2736.5207725355535</v>
      </c>
      <c r="F26" s="14">
        <f t="shared" si="5"/>
        <v>0</v>
      </c>
      <c r="G26" s="18">
        <f t="shared" si="3"/>
        <v>-950.44203263909253</v>
      </c>
    </row>
    <row r="27" spans="1:7">
      <c r="A27" s="28">
        <v>10</v>
      </c>
      <c r="B27" s="14">
        <f t="shared" si="4"/>
        <v>2736.5207725355535</v>
      </c>
      <c r="C27" s="14">
        <f t="shared" si="0"/>
        <v>57.010849427824034</v>
      </c>
      <c r="D27" s="14">
        <f t="shared" si="1"/>
        <v>893.43118321126849</v>
      </c>
      <c r="E27" s="14">
        <f t="shared" si="2"/>
        <v>1843.089589324285</v>
      </c>
      <c r="F27" s="14">
        <f t="shared" si="5"/>
        <v>0</v>
      </c>
      <c r="G27" s="18">
        <f t="shared" si="3"/>
        <v>-950.44203263909253</v>
      </c>
    </row>
    <row r="28" spans="1:7">
      <c r="A28" s="28">
        <v>11</v>
      </c>
      <c r="B28" s="14">
        <f t="shared" si="4"/>
        <v>1843.089589324285</v>
      </c>
      <c r="C28" s="14">
        <f t="shared" si="0"/>
        <v>38.397699777589274</v>
      </c>
      <c r="D28" s="14">
        <f t="shared" si="1"/>
        <v>912.04433286150322</v>
      </c>
      <c r="E28" s="14">
        <f t="shared" si="2"/>
        <v>931.04525646278182</v>
      </c>
      <c r="F28" s="14">
        <f t="shared" si="5"/>
        <v>0</v>
      </c>
      <c r="G28" s="18">
        <f t="shared" si="3"/>
        <v>-950.44203263909253</v>
      </c>
    </row>
    <row r="29" spans="1:7" ht="15.75" thickBot="1">
      <c r="A29" s="29">
        <v>12</v>
      </c>
      <c r="B29" s="19">
        <f t="shared" si="4"/>
        <v>931.04525646278182</v>
      </c>
      <c r="C29" s="19">
        <f t="shared" si="0"/>
        <v>19.396776176307956</v>
      </c>
      <c r="D29" s="19">
        <f t="shared" si="1"/>
        <v>931.04525646278455</v>
      </c>
      <c r="E29" s="19">
        <f t="shared" si="2"/>
        <v>-2.7284841053187847E-12</v>
      </c>
      <c r="F29" s="19">
        <f>-SUM(F17:F28)</f>
        <v>1000</v>
      </c>
      <c r="G29" s="20">
        <f>-$B$9+$F$29+B11</f>
        <v>49.557967360907469</v>
      </c>
    </row>
    <row r="31" spans="1:7">
      <c r="F31" s="5"/>
      <c r="G31" s="4"/>
    </row>
    <row r="32" spans="1:7">
      <c r="B32" s="2" t="s">
        <v>29</v>
      </c>
      <c r="F32" s="5">
        <f>IRR(G17:G29)</f>
        <v>2.6617346428132072E-2</v>
      </c>
    </row>
    <row r="33" spans="1:6">
      <c r="B33" s="2" t="s">
        <v>30</v>
      </c>
      <c r="F33" s="25">
        <f>F32*12</f>
        <v>0.31940815713758486</v>
      </c>
    </row>
    <row r="38" spans="1:6">
      <c r="B38" s="4"/>
    </row>
    <row r="40" spans="1:6">
      <c r="B40" s="22"/>
    </row>
    <row r="45" spans="1:6">
      <c r="B45" s="23"/>
      <c r="C45" s="24"/>
      <c r="D45" s="24"/>
      <c r="F45" s="24"/>
    </row>
    <row r="46" spans="1:6">
      <c r="A46" s="24"/>
      <c r="B46" s="23"/>
      <c r="C46" s="24"/>
      <c r="D46" s="24"/>
      <c r="F46" s="24"/>
    </row>
    <row r="47" spans="1:6">
      <c r="A47" s="24"/>
      <c r="B47" s="23"/>
      <c r="C47" s="24"/>
      <c r="D47" s="24"/>
      <c r="F47" s="24"/>
    </row>
    <row r="48" spans="1:6">
      <c r="A48" s="24"/>
      <c r="B48" s="23"/>
      <c r="C48" s="24"/>
      <c r="D48" s="24"/>
      <c r="F48" s="24"/>
    </row>
    <row r="49" spans="1:6">
      <c r="A49" s="24"/>
      <c r="B49" s="23"/>
      <c r="C49" s="24"/>
      <c r="D49" s="24"/>
      <c r="F49" s="24"/>
    </row>
    <row r="50" spans="1:6">
      <c r="A50" s="24"/>
      <c r="B50" s="23"/>
      <c r="C50" s="24"/>
      <c r="D50" s="24"/>
      <c r="F50" s="24"/>
    </row>
    <row r="51" spans="1:6">
      <c r="A51" s="24"/>
      <c r="B51" s="23"/>
      <c r="C51" s="24"/>
      <c r="D51" s="24"/>
      <c r="F51" s="24"/>
    </row>
    <row r="52" spans="1:6">
      <c r="A52" s="24"/>
      <c r="B52" s="23"/>
      <c r="C52" s="24"/>
      <c r="D52" s="24"/>
      <c r="F52" s="24"/>
    </row>
    <row r="53" spans="1:6">
      <c r="A53" s="24"/>
      <c r="B53" s="23"/>
      <c r="C53" s="24"/>
      <c r="D53" s="24"/>
      <c r="F53" s="24"/>
    </row>
    <row r="54" spans="1:6">
      <c r="A54" s="24"/>
      <c r="B54" s="23"/>
      <c r="C54" s="24"/>
      <c r="D54" s="24"/>
      <c r="F54" s="24"/>
    </row>
    <row r="55" spans="1:6">
      <c r="A55" s="24"/>
      <c r="B55" s="23"/>
      <c r="C55" s="24"/>
      <c r="D55" s="24"/>
      <c r="F55" s="24"/>
    </row>
    <row r="56" spans="1:6">
      <c r="A56" s="24"/>
      <c r="B56" s="23"/>
      <c r="C56" s="24"/>
      <c r="D56" s="24"/>
      <c r="F56" s="24"/>
    </row>
    <row r="57" spans="1:6">
      <c r="A57" s="24"/>
      <c r="B57" s="23"/>
      <c r="C57" s="24"/>
      <c r="D57" s="24"/>
      <c r="F57" s="24"/>
    </row>
    <row r="58" spans="1:6">
      <c r="A58" s="24"/>
      <c r="B58" s="23"/>
      <c r="C58" s="24"/>
      <c r="D58" s="24"/>
      <c r="F58" s="24"/>
    </row>
    <row r="59" spans="1:6">
      <c r="A59" s="24"/>
      <c r="B59" s="23"/>
      <c r="C59" s="24"/>
      <c r="D59" s="24"/>
      <c r="F59" s="24"/>
    </row>
    <row r="60" spans="1:6">
      <c r="A60" s="24"/>
      <c r="B60" s="23"/>
      <c r="C60" s="24"/>
      <c r="D60" s="24"/>
      <c r="F60" s="24"/>
    </row>
    <row r="61" spans="1:6">
      <c r="A61" s="24"/>
      <c r="B61" s="23"/>
      <c r="C61" s="24"/>
      <c r="D61" s="24"/>
      <c r="F61" s="24"/>
    </row>
    <row r="62" spans="1:6">
      <c r="A62" s="24"/>
      <c r="B62" s="23"/>
      <c r="C62" s="24"/>
      <c r="D62" s="24"/>
      <c r="F62" s="24"/>
    </row>
    <row r="63" spans="1:6">
      <c r="A63" s="24"/>
      <c r="B63" s="23"/>
      <c r="C63" s="24"/>
      <c r="D63" s="24"/>
      <c r="F63" s="24"/>
    </row>
    <row r="64" spans="1:6">
      <c r="A64" s="24"/>
      <c r="B64" s="23"/>
      <c r="C64" s="24"/>
      <c r="D64" s="24"/>
      <c r="F64" s="24"/>
    </row>
    <row r="65" spans="1:6">
      <c r="A65" s="24"/>
      <c r="B65" s="23"/>
      <c r="C65" s="24"/>
      <c r="D65" s="24"/>
      <c r="F65" s="24"/>
    </row>
    <row r="66" spans="1:6">
      <c r="A66" s="24"/>
      <c r="B66" s="23"/>
      <c r="C66" s="24"/>
      <c r="D66" s="24"/>
      <c r="F66" s="24"/>
    </row>
    <row r="67" spans="1:6">
      <c r="A67" s="24"/>
      <c r="B67" s="23"/>
      <c r="C67" s="24"/>
      <c r="D67" s="24"/>
      <c r="F67" s="24"/>
    </row>
    <row r="68" spans="1:6">
      <c r="A68" s="24"/>
      <c r="B68" s="23"/>
      <c r="C68" s="24"/>
      <c r="D68" s="24"/>
      <c r="F68" s="24"/>
    </row>
    <row r="70" spans="1:6">
      <c r="F70" s="5"/>
    </row>
    <row r="71" spans="1:6">
      <c r="F71" s="25"/>
    </row>
    <row r="72" spans="1:6">
      <c r="C72" s="75"/>
    </row>
    <row r="73" spans="1:6">
      <c r="C73" s="75"/>
      <c r="E73" s="25"/>
    </row>
    <row r="74" spans="1:6">
      <c r="E74" s="5"/>
    </row>
    <row r="76" spans="1:6">
      <c r="E76" s="25"/>
    </row>
  </sheetData>
  <mergeCells count="1">
    <mergeCell ref="C72:C73"/>
  </mergeCells>
  <pageMargins left="0.7" right="0.7" top="0.75" bottom="0.75" header="0.3" footer="0.3"/>
  <pageSetup scale="88" orientation="portrait" r:id="rId1"/>
</worksheet>
</file>

<file path=xl/worksheets/sheet9.xml><?xml version="1.0" encoding="utf-8"?>
<worksheet xmlns="http://schemas.openxmlformats.org/spreadsheetml/2006/main" xmlns:r="http://schemas.openxmlformats.org/officeDocument/2006/relationships">
  <dimension ref="A1:G76"/>
  <sheetViews>
    <sheetView topLeftCell="A10" workbookViewId="0">
      <selection activeCell="G10" sqref="G10"/>
    </sheetView>
  </sheetViews>
  <sheetFormatPr defaultRowHeight="15"/>
  <cols>
    <col min="1" max="1" width="24.42578125" style="2" customWidth="1"/>
    <col min="2" max="2" width="10.5703125" style="2" bestFit="1" customWidth="1"/>
    <col min="3" max="3" width="13.140625" style="2" bestFit="1" customWidth="1"/>
    <col min="4" max="4" width="13.140625" style="2" customWidth="1"/>
    <col min="5" max="6" width="15.7109375" style="2" bestFit="1" customWidth="1"/>
    <col min="7" max="16384" width="9.140625" style="2"/>
  </cols>
  <sheetData>
    <row r="1" spans="1:7" ht="18.75">
      <c r="A1" s="26"/>
    </row>
    <row r="2" spans="1:7" ht="15.75" thickBot="1"/>
    <row r="3" spans="1:7" ht="15.75" thickBot="1">
      <c r="A3" s="13" t="s">
        <v>20</v>
      </c>
      <c r="D3" s="13" t="s">
        <v>27</v>
      </c>
      <c r="E3" s="31">
        <f>F33</f>
        <v>0.35504812494411464</v>
      </c>
    </row>
    <row r="5" spans="1:7">
      <c r="A5" s="2" t="s">
        <v>0</v>
      </c>
      <c r="B5" s="22">
        <v>10000</v>
      </c>
    </row>
    <row r="6" spans="1:7">
      <c r="A6" s="2" t="s">
        <v>1</v>
      </c>
      <c r="B6" s="4">
        <v>0.1</v>
      </c>
    </row>
    <row r="7" spans="1:7">
      <c r="A7" s="2" t="s">
        <v>2</v>
      </c>
      <c r="B7" s="5">
        <v>0.26900000000000002</v>
      </c>
      <c r="E7" s="11"/>
    </row>
    <row r="8" spans="1:7">
      <c r="A8" s="2" t="s">
        <v>5</v>
      </c>
      <c r="B8" s="2">
        <v>12</v>
      </c>
      <c r="E8" s="25"/>
    </row>
    <row r="9" spans="1:7">
      <c r="A9" s="2" t="s">
        <v>6</v>
      </c>
      <c r="B9" s="27">
        <f>-PMT(B7/B8,B8,B5,0,0)</f>
        <v>959.68615650835238</v>
      </c>
      <c r="C9" s="21"/>
    </row>
    <row r="10" spans="1:7">
      <c r="A10" s="2" t="s">
        <v>21</v>
      </c>
      <c r="B10" s="2">
        <v>0</v>
      </c>
    </row>
    <row r="11" spans="1:7">
      <c r="A11" s="2" t="s">
        <v>33</v>
      </c>
      <c r="B11" s="2">
        <v>75</v>
      </c>
    </row>
    <row r="12" spans="1:7">
      <c r="A12" s="2" t="s">
        <v>19</v>
      </c>
      <c r="B12" s="23">
        <f>200/(1+10.3%)</f>
        <v>181.32366273798732</v>
      </c>
    </row>
    <row r="13" spans="1:7" ht="15.75" thickBot="1"/>
    <row r="14" spans="1:7" ht="15.75" thickBot="1">
      <c r="A14" s="13" t="s">
        <v>15</v>
      </c>
    </row>
    <row r="15" spans="1:7" ht="15.75" thickBot="1">
      <c r="A15" s="12"/>
    </row>
    <row r="16" spans="1:7">
      <c r="A16" s="32" t="s">
        <v>9</v>
      </c>
      <c r="B16" s="33" t="s">
        <v>3</v>
      </c>
      <c r="C16" s="33" t="s">
        <v>4</v>
      </c>
      <c r="D16" s="33" t="s">
        <v>7</v>
      </c>
      <c r="E16" s="33" t="s">
        <v>8</v>
      </c>
      <c r="F16" s="33" t="s">
        <v>22</v>
      </c>
      <c r="G16" s="34" t="s">
        <v>11</v>
      </c>
    </row>
    <row r="17" spans="1:7">
      <c r="A17" s="28">
        <v>0</v>
      </c>
      <c r="B17" s="14">
        <f>B5</f>
        <v>10000</v>
      </c>
      <c r="C17" s="14"/>
      <c r="D17" s="14"/>
      <c r="E17" s="14"/>
      <c r="F17" s="14">
        <f>-B5*B6</f>
        <v>-1000</v>
      </c>
      <c r="G17" s="18">
        <f>B17+F17-B12</f>
        <v>8818.6763372620135</v>
      </c>
    </row>
    <row r="18" spans="1:7">
      <c r="A18" s="28">
        <v>1</v>
      </c>
      <c r="B18" s="14">
        <f>B5</f>
        <v>10000</v>
      </c>
      <c r="C18" s="14">
        <f>B18*$B$7/$B$8</f>
        <v>224.16666666666666</v>
      </c>
      <c r="D18" s="14">
        <f>$B$9-C18</f>
        <v>735.51948984168575</v>
      </c>
      <c r="E18" s="14">
        <f>B18-D18</f>
        <v>9264.4805101583152</v>
      </c>
      <c r="F18" s="14">
        <f>-$B$10</f>
        <v>0</v>
      </c>
      <c r="G18" s="18">
        <f>-$B$9+F18</f>
        <v>-959.68615650835238</v>
      </c>
    </row>
    <row r="19" spans="1:7">
      <c r="A19" s="28">
        <v>2</v>
      </c>
      <c r="B19" s="14">
        <f>E18</f>
        <v>9264.4805101583152</v>
      </c>
      <c r="C19" s="14">
        <f>B19*$B$7/$B$8</f>
        <v>207.67877143604892</v>
      </c>
      <c r="D19" s="14">
        <f>$B$9-C19</f>
        <v>752.00738507230346</v>
      </c>
      <c r="E19" s="14">
        <f>B19-D19</f>
        <v>8512.4731250860114</v>
      </c>
      <c r="F19" s="14">
        <f t="shared" ref="F19:F28" si="0">-$B$10</f>
        <v>0</v>
      </c>
      <c r="G19" s="18">
        <f t="shared" ref="G19:G28" si="1">-$B$9+F19</f>
        <v>-959.68615650835238</v>
      </c>
    </row>
    <row r="20" spans="1:7">
      <c r="A20" s="28">
        <v>3</v>
      </c>
      <c r="B20" s="14">
        <f t="shared" ref="B20:B27" si="2">E19</f>
        <v>8512.4731250860114</v>
      </c>
      <c r="C20" s="14">
        <f t="shared" ref="C20:C29" si="3">B20*$B$7/$B$8</f>
        <v>190.82127255401144</v>
      </c>
      <c r="D20" s="14">
        <f t="shared" ref="D20:D29" si="4">$B$9-C20</f>
        <v>768.86488395434094</v>
      </c>
      <c r="E20" s="14">
        <f t="shared" ref="E20:E27" si="5">B20-D20</f>
        <v>7743.6082411316702</v>
      </c>
      <c r="F20" s="14">
        <f t="shared" si="0"/>
        <v>0</v>
      </c>
      <c r="G20" s="18">
        <f t="shared" si="1"/>
        <v>-959.68615650835238</v>
      </c>
    </row>
    <row r="21" spans="1:7">
      <c r="A21" s="28">
        <v>4</v>
      </c>
      <c r="B21" s="14">
        <f t="shared" si="2"/>
        <v>7743.6082411316702</v>
      </c>
      <c r="C21" s="14">
        <f t="shared" si="3"/>
        <v>173.58588473870159</v>
      </c>
      <c r="D21" s="14">
        <f t="shared" si="4"/>
        <v>786.10027176965082</v>
      </c>
      <c r="E21" s="14">
        <f t="shared" si="5"/>
        <v>6957.5079693620191</v>
      </c>
      <c r="F21" s="14">
        <f t="shared" si="0"/>
        <v>0</v>
      </c>
      <c r="G21" s="18">
        <f t="shared" si="1"/>
        <v>-959.68615650835238</v>
      </c>
    </row>
    <row r="22" spans="1:7">
      <c r="A22" s="28">
        <v>5</v>
      </c>
      <c r="B22" s="14">
        <f t="shared" si="2"/>
        <v>6957.5079693620191</v>
      </c>
      <c r="C22" s="14">
        <f t="shared" si="3"/>
        <v>155.96413697986529</v>
      </c>
      <c r="D22" s="14">
        <f t="shared" si="4"/>
        <v>803.72201952848707</v>
      </c>
      <c r="E22" s="14">
        <f t="shared" si="5"/>
        <v>6153.785949833532</v>
      </c>
      <c r="F22" s="14">
        <f t="shared" si="0"/>
        <v>0</v>
      </c>
      <c r="G22" s="18">
        <f t="shared" si="1"/>
        <v>-959.68615650835238</v>
      </c>
    </row>
    <row r="23" spans="1:7">
      <c r="A23" s="28">
        <v>6</v>
      </c>
      <c r="B23" s="14">
        <f t="shared" si="2"/>
        <v>6153.785949833532</v>
      </c>
      <c r="C23" s="14">
        <f t="shared" si="3"/>
        <v>137.94736837543502</v>
      </c>
      <c r="D23" s="14">
        <f t="shared" si="4"/>
        <v>821.73878813291731</v>
      </c>
      <c r="E23" s="14">
        <f t="shared" si="5"/>
        <v>5332.0471617006151</v>
      </c>
      <c r="F23" s="14">
        <f t="shared" si="0"/>
        <v>0</v>
      </c>
      <c r="G23" s="18">
        <f t="shared" si="1"/>
        <v>-959.68615650835238</v>
      </c>
    </row>
    <row r="24" spans="1:7">
      <c r="A24" s="28">
        <v>7</v>
      </c>
      <c r="B24" s="14">
        <f t="shared" si="2"/>
        <v>5332.0471617006151</v>
      </c>
      <c r="C24" s="14">
        <f t="shared" si="3"/>
        <v>119.5267238747888</v>
      </c>
      <c r="D24" s="14">
        <f t="shared" si="4"/>
        <v>840.1594326335636</v>
      </c>
      <c r="E24" s="14">
        <f t="shared" si="5"/>
        <v>4491.8877290670516</v>
      </c>
      <c r="F24" s="14">
        <f t="shared" si="0"/>
        <v>0</v>
      </c>
      <c r="G24" s="18">
        <f t="shared" si="1"/>
        <v>-959.68615650835238</v>
      </c>
    </row>
    <row r="25" spans="1:7">
      <c r="A25" s="28">
        <v>8</v>
      </c>
      <c r="B25" s="14">
        <f t="shared" si="2"/>
        <v>4491.8877290670516</v>
      </c>
      <c r="C25" s="14">
        <f t="shared" si="3"/>
        <v>100.6931499265864</v>
      </c>
      <c r="D25" s="14">
        <f t="shared" si="4"/>
        <v>858.99300658176594</v>
      </c>
      <c r="E25" s="14">
        <f t="shared" si="5"/>
        <v>3632.8947224852855</v>
      </c>
      <c r="F25" s="14">
        <f t="shared" si="0"/>
        <v>0</v>
      </c>
      <c r="G25" s="18">
        <f t="shared" si="1"/>
        <v>-959.68615650835238</v>
      </c>
    </row>
    <row r="26" spans="1:7">
      <c r="A26" s="28">
        <v>9</v>
      </c>
      <c r="B26" s="14">
        <f t="shared" si="2"/>
        <v>3632.8947224852855</v>
      </c>
      <c r="C26" s="14">
        <f t="shared" si="3"/>
        <v>81.437390029045147</v>
      </c>
      <c r="D26" s="14">
        <f t="shared" si="4"/>
        <v>878.24876647930728</v>
      </c>
      <c r="E26" s="14">
        <f t="shared" si="5"/>
        <v>2754.6459560059784</v>
      </c>
      <c r="F26" s="14">
        <f t="shared" si="0"/>
        <v>0</v>
      </c>
      <c r="G26" s="18">
        <f t="shared" si="1"/>
        <v>-959.68615650835238</v>
      </c>
    </row>
    <row r="27" spans="1:7">
      <c r="A27" s="28">
        <v>10</v>
      </c>
      <c r="B27" s="14">
        <f t="shared" si="2"/>
        <v>2754.6459560059784</v>
      </c>
      <c r="C27" s="14">
        <f t="shared" si="3"/>
        <v>61.749980180467354</v>
      </c>
      <c r="D27" s="14">
        <f t="shared" si="4"/>
        <v>897.93617632788505</v>
      </c>
      <c r="E27" s="14">
        <f t="shared" si="5"/>
        <v>1856.7097796780934</v>
      </c>
      <c r="F27" s="14">
        <f t="shared" si="0"/>
        <v>0</v>
      </c>
      <c r="G27" s="18">
        <f t="shared" si="1"/>
        <v>-959.68615650835238</v>
      </c>
    </row>
    <row r="28" spans="1:7">
      <c r="A28" s="28">
        <v>11</v>
      </c>
      <c r="B28" s="14">
        <f>E27</f>
        <v>1856.7097796780934</v>
      </c>
      <c r="C28" s="14">
        <f>B28*$B$7/$B$8</f>
        <v>41.621244227783926</v>
      </c>
      <c r="D28" s="14">
        <f>$B$9-C28</f>
        <v>918.06491228056848</v>
      </c>
      <c r="E28" s="14">
        <f>B28-D28</f>
        <v>938.64486739752488</v>
      </c>
      <c r="F28" s="14">
        <f t="shared" si="0"/>
        <v>0</v>
      </c>
      <c r="G28" s="18">
        <f t="shared" si="1"/>
        <v>-959.68615650835238</v>
      </c>
    </row>
    <row r="29" spans="1:7" ht="15.75" thickBot="1">
      <c r="A29" s="29">
        <v>12</v>
      </c>
      <c r="B29" s="19">
        <f>E28</f>
        <v>938.64486739752488</v>
      </c>
      <c r="C29" s="19">
        <f t="shared" si="3"/>
        <v>21.041289110827851</v>
      </c>
      <c r="D29" s="19">
        <f t="shared" si="4"/>
        <v>938.64486739752454</v>
      </c>
      <c r="E29" s="19">
        <f>B29-D29</f>
        <v>0</v>
      </c>
      <c r="F29" s="19">
        <f>-SUM(F17:F28)</f>
        <v>1000</v>
      </c>
      <c r="G29" s="20">
        <f>-$B$9+$F$29+B11</f>
        <v>115.31384349164762</v>
      </c>
    </row>
    <row r="31" spans="1:7">
      <c r="F31" s="5"/>
      <c r="G31" s="4"/>
    </row>
    <row r="32" spans="1:7">
      <c r="B32" s="2" t="s">
        <v>29</v>
      </c>
      <c r="F32" s="5">
        <f>IRR(G17:G29)</f>
        <v>2.9587343745342887E-2</v>
      </c>
    </row>
    <row r="33" spans="1:6">
      <c r="B33" s="2" t="s">
        <v>30</v>
      </c>
      <c r="F33" s="25">
        <f>F32*12</f>
        <v>0.35504812494411464</v>
      </c>
    </row>
    <row r="38" spans="1:6">
      <c r="B38" s="4"/>
    </row>
    <row r="40" spans="1:6">
      <c r="B40" s="22"/>
    </row>
    <row r="45" spans="1:6">
      <c r="B45" s="23"/>
      <c r="C45" s="24"/>
      <c r="D45" s="24"/>
      <c r="F45" s="24"/>
    </row>
    <row r="46" spans="1:6">
      <c r="A46" s="24"/>
      <c r="B46" s="23"/>
      <c r="C46" s="24"/>
      <c r="D46" s="24"/>
      <c r="F46" s="24"/>
    </row>
    <row r="47" spans="1:6">
      <c r="A47" s="24"/>
      <c r="B47" s="23"/>
      <c r="C47" s="24"/>
      <c r="D47" s="24"/>
      <c r="F47" s="24"/>
    </row>
    <row r="48" spans="1:6">
      <c r="A48" s="24"/>
      <c r="B48" s="23"/>
      <c r="C48" s="24"/>
      <c r="D48" s="24"/>
      <c r="F48" s="24"/>
    </row>
    <row r="49" spans="1:6">
      <c r="A49" s="24"/>
      <c r="B49" s="23"/>
      <c r="C49" s="24"/>
      <c r="D49" s="24"/>
      <c r="F49" s="24"/>
    </row>
    <row r="50" spans="1:6">
      <c r="A50" s="24"/>
      <c r="B50" s="23"/>
      <c r="C50" s="24"/>
      <c r="D50" s="24"/>
      <c r="F50" s="24"/>
    </row>
    <row r="51" spans="1:6">
      <c r="A51" s="24"/>
      <c r="B51" s="23"/>
      <c r="C51" s="24"/>
      <c r="D51" s="24"/>
      <c r="F51" s="24"/>
    </row>
    <row r="52" spans="1:6">
      <c r="A52" s="24"/>
      <c r="B52" s="23"/>
      <c r="C52" s="24"/>
      <c r="D52" s="24"/>
      <c r="F52" s="24"/>
    </row>
    <row r="53" spans="1:6">
      <c r="A53" s="24"/>
      <c r="B53" s="23"/>
      <c r="C53" s="24"/>
      <c r="D53" s="24"/>
      <c r="F53" s="24"/>
    </row>
    <row r="54" spans="1:6">
      <c r="A54" s="24"/>
      <c r="B54" s="23"/>
      <c r="C54" s="24"/>
      <c r="D54" s="24"/>
      <c r="F54" s="24"/>
    </row>
    <row r="55" spans="1:6">
      <c r="A55" s="24"/>
      <c r="B55" s="23"/>
      <c r="C55" s="24"/>
      <c r="D55" s="24"/>
      <c r="F55" s="24"/>
    </row>
    <row r="56" spans="1:6">
      <c r="A56" s="24"/>
      <c r="B56" s="23"/>
      <c r="C56" s="24"/>
      <c r="D56" s="24"/>
      <c r="F56" s="24"/>
    </row>
    <row r="57" spans="1:6">
      <c r="A57" s="24"/>
      <c r="B57" s="23"/>
      <c r="C57" s="24"/>
      <c r="D57" s="24"/>
      <c r="F57" s="24"/>
    </row>
    <row r="58" spans="1:6">
      <c r="A58" s="24"/>
      <c r="B58" s="23"/>
      <c r="C58" s="24"/>
      <c r="D58" s="24"/>
      <c r="F58" s="24"/>
    </row>
    <row r="59" spans="1:6">
      <c r="A59" s="24"/>
      <c r="B59" s="23"/>
      <c r="C59" s="24"/>
      <c r="D59" s="24"/>
      <c r="F59" s="24"/>
    </row>
    <row r="60" spans="1:6">
      <c r="A60" s="24"/>
      <c r="B60" s="23"/>
      <c r="C60" s="24"/>
      <c r="D60" s="24"/>
      <c r="F60" s="24"/>
    </row>
    <row r="61" spans="1:6">
      <c r="A61" s="24"/>
      <c r="B61" s="23"/>
      <c r="C61" s="24"/>
      <c r="D61" s="24"/>
      <c r="F61" s="24"/>
    </row>
    <row r="62" spans="1:6">
      <c r="A62" s="24"/>
      <c r="B62" s="23"/>
      <c r="C62" s="24"/>
      <c r="D62" s="24"/>
      <c r="F62" s="24"/>
    </row>
    <row r="63" spans="1:6">
      <c r="A63" s="24"/>
      <c r="B63" s="23"/>
      <c r="C63" s="24"/>
      <c r="D63" s="24"/>
      <c r="F63" s="24"/>
    </row>
    <row r="64" spans="1:6">
      <c r="A64" s="24"/>
      <c r="B64" s="23"/>
      <c r="C64" s="24"/>
      <c r="D64" s="24"/>
      <c r="F64" s="24"/>
    </row>
    <row r="65" spans="1:6">
      <c r="A65" s="24"/>
      <c r="B65" s="23"/>
      <c r="C65" s="24"/>
      <c r="D65" s="24"/>
      <c r="F65" s="24"/>
    </row>
    <row r="66" spans="1:6">
      <c r="A66" s="24"/>
      <c r="B66" s="23"/>
      <c r="C66" s="24"/>
      <c r="D66" s="24"/>
      <c r="F66" s="24"/>
    </row>
    <row r="67" spans="1:6">
      <c r="A67" s="24"/>
      <c r="B67" s="23"/>
      <c r="C67" s="24"/>
      <c r="D67" s="24"/>
      <c r="F67" s="24"/>
    </row>
    <row r="68" spans="1:6">
      <c r="A68" s="24"/>
      <c r="B68" s="23"/>
      <c r="C68" s="24"/>
      <c r="D68" s="24"/>
      <c r="F68" s="24"/>
    </row>
    <row r="70" spans="1:6">
      <c r="F70" s="5"/>
    </row>
    <row r="71" spans="1:6">
      <c r="F71" s="25"/>
    </row>
    <row r="72" spans="1:6">
      <c r="C72" s="75"/>
    </row>
    <row r="73" spans="1:6">
      <c r="C73" s="75"/>
      <c r="E73" s="25"/>
    </row>
    <row r="74" spans="1:6">
      <c r="E74" s="5"/>
    </row>
    <row r="76" spans="1:6">
      <c r="E76" s="25"/>
    </row>
  </sheetData>
  <mergeCells count="1">
    <mergeCell ref="C72:C7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Summary</vt:lpstr>
      <vt:lpstr>Cover Sheet</vt:lpstr>
      <vt:lpstr>Combo Loan</vt:lpstr>
      <vt:lpstr>Festival Loan</vt:lpstr>
      <vt:lpstr>Sheet3</vt:lpstr>
      <vt:lpstr>Family</vt:lpstr>
      <vt:lpstr>Emergency</vt:lpstr>
      <vt:lpstr>Education</vt:lpstr>
      <vt:lpstr>Family Repeat</vt:lpstr>
      <vt:lpstr>Business Fresh</vt:lpstr>
      <vt:lpstr>Business Repeat</vt:lpstr>
      <vt:lpstr>Bandhan</vt:lpstr>
      <vt:lpstr>SKS Min</vt:lpstr>
      <vt:lpstr>SKS Max</vt:lpstr>
      <vt:lpstr>Ujj original</vt:lpstr>
      <vt:lpstr>Basix</vt:lpstr>
      <vt:lpstr>Arohan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2018-06-28T10:46:32Z</dcterms:modified>
</cp:coreProperties>
</file>