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23820" windowHeight="10620" firstSheet="5" activeTab="12"/>
  </bookViews>
  <sheets>
    <sheet name="DBR" sheetId="8" r:id="rId1"/>
    <sheet name="DBR - Long coupon" sheetId="9" r:id="rId2"/>
    <sheet name="DBR - Last Period" sheetId="10" r:id="rId3"/>
    <sheet name="OBL and BKO" sheetId="5" r:id="rId4"/>
    <sheet name="OBL and BKO - Last period" sheetId="11" r:id="rId5"/>
    <sheet name="BUBILL" sheetId="6" r:id="rId6"/>
    <sheet name="UKT" sheetId="3" r:id="rId7"/>
    <sheet name="UKT-Last period" sheetId="12" r:id="rId8"/>
    <sheet name="UKTB" sheetId="7" r:id="rId9"/>
    <sheet name="UKT (2)" sheetId="13" r:id="rId10"/>
    <sheet name="UKT (12092016 2%)" sheetId="14" r:id="rId11"/>
    <sheet name="UKT (12092016 0.5%) " sheetId="15" r:id="rId12"/>
    <sheet name="UKT (12092016 1.5%)  (2)" sheetId="17" r:id="rId13"/>
    <sheet name="DBR - Long coupon (12092016)" sheetId="18" r:id="rId14"/>
  </sheets>
  <definedNames>
    <definedName name="FirstEndDate" localSheetId="11">'UKT (12092016 0.5%) '!$B$11</definedName>
    <definedName name="FirstEndDate" localSheetId="12">'UKT (12092016 1.5%)  (2)'!$B$11</definedName>
    <definedName name="FirstEndDate" localSheetId="10">'UKT (12092016 2%)'!$B$12</definedName>
    <definedName name="FirstEndDate" localSheetId="9">'UKT (2)'!$B$11</definedName>
    <definedName name="FirstEndDate" localSheetId="8">UKTB!#REF!</definedName>
    <definedName name="FirstEndDate" localSheetId="7">'UKT-Last period'!$B$11</definedName>
    <definedName name="FirstEndDate">UKT!$B$11</definedName>
    <definedName name="FirstPaymentDate" localSheetId="11">'UKT (12092016 0.5%) '!$E$11</definedName>
    <definedName name="FirstPaymentDate" localSheetId="12">'UKT (12092016 1.5%)  (2)'!$E$11</definedName>
    <definedName name="FirstPaymentDate" localSheetId="10">'UKT (12092016 2%)'!$E$12</definedName>
    <definedName name="FirstPaymentDate" localSheetId="9">'UKT (2)'!$E$11</definedName>
    <definedName name="FirstPaymentDate" localSheetId="8">UKTB!#REF!</definedName>
    <definedName name="FirstPaymentDate" localSheetId="7">'UKT-Last period'!$E$11</definedName>
    <definedName name="FirstPaymentDate">UKT!$E$11</definedName>
    <definedName name="Period" localSheetId="11">'UKT (12092016 0.5%) '!$B$5</definedName>
    <definedName name="Period" localSheetId="12">'UKT (12092016 1.5%)  (2)'!$B$5</definedName>
    <definedName name="Period" localSheetId="10">'UKT (12092016 2%)'!$B$5</definedName>
    <definedName name="Period" localSheetId="9">'UKT (2)'!$B$5</definedName>
    <definedName name="Period" localSheetId="8">UKTB!$B$5</definedName>
    <definedName name="Period" localSheetId="7">'UKT-Last period'!$B$5</definedName>
    <definedName name="Period">UKT!$B$5</definedName>
    <definedName name="PeriodFreq" localSheetId="11">'UKT (12092016 0.5%) '!$B$5</definedName>
    <definedName name="PeriodFreq" localSheetId="12">'UKT (12092016 1.5%)  (2)'!$B$5</definedName>
    <definedName name="PeriodFreq" localSheetId="10">'UKT (12092016 2%)'!$B$5</definedName>
    <definedName name="PeriodFreq" localSheetId="9">'UKT (2)'!$B$5</definedName>
    <definedName name="PeriodFreq" localSheetId="8">UKTB!$B$5</definedName>
    <definedName name="PeriodFreq" localSheetId="7">'UKT-Last period'!$B$5</definedName>
    <definedName name="PeriodFreq">UKT!$B$5</definedName>
    <definedName name="SetlDate" localSheetId="11">'UKT (12092016 0.5%) '!$B$2</definedName>
    <definedName name="SetlDate" localSheetId="12">'UKT (12092016 1.5%)  (2)'!$B$2</definedName>
    <definedName name="SetlDate" localSheetId="10">'UKT (12092016 2%)'!$B$2</definedName>
    <definedName name="SetlDate" localSheetId="9">'UKT (2)'!$B$2</definedName>
    <definedName name="SetlDate" localSheetId="8">UKTB!$B$2</definedName>
    <definedName name="SetlDate" localSheetId="7">'UKT-Last period'!$B$2</definedName>
    <definedName name="SetlDate">UKT!$B$2</definedName>
    <definedName name="Yield" localSheetId="11">'UKT (12092016 0.5%) '!$B$4</definedName>
    <definedName name="Yield" localSheetId="12">'UKT (12092016 1.5%)  (2)'!$B$4</definedName>
    <definedName name="Yield" localSheetId="10">'UKT (12092016 2%)'!$B$4</definedName>
    <definedName name="Yield" localSheetId="9">'UKT (2)'!$B$4</definedName>
    <definedName name="Yield" localSheetId="8">UKTB!$B$4</definedName>
    <definedName name="Yield" localSheetId="7">'UKT-Last period'!$B$4</definedName>
    <definedName name="Yield">UKT!$B$4</definedName>
  </definedNames>
  <calcPr calcId="125725"/>
</workbook>
</file>

<file path=xl/calcChain.xml><?xml version="1.0" encoding="utf-8"?>
<calcChain xmlns="http://schemas.openxmlformats.org/spreadsheetml/2006/main">
  <c r="J13" i="17"/>
  <c r="K13" s="1"/>
  <c r="K34" s="1"/>
  <c r="I13"/>
  <c r="B7"/>
  <c r="C7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8"/>
  <c r="G1"/>
  <c r="H8"/>
  <c r="J20" i="18"/>
  <c r="J19"/>
  <c r="J18"/>
  <c r="J17"/>
  <c r="J16"/>
  <c r="J15"/>
  <c r="J14"/>
  <c r="J13"/>
  <c r="H13"/>
  <c r="H14" s="1"/>
  <c r="J12"/>
  <c r="J11"/>
  <c r="B6"/>
  <c r="M11" s="1"/>
  <c r="N11" s="1"/>
  <c r="I3"/>
  <c r="G32" i="17"/>
  <c r="I32" s="1"/>
  <c r="G31"/>
  <c r="I31" s="1"/>
  <c r="G30"/>
  <c r="I30" s="1"/>
  <c r="G29"/>
  <c r="I29" s="1"/>
  <c r="G28"/>
  <c r="I28" s="1"/>
  <c r="G27"/>
  <c r="I27" s="1"/>
  <c r="G26"/>
  <c r="I26" s="1"/>
  <c r="H25"/>
  <c r="H26" s="1"/>
  <c r="G25"/>
  <c r="I25" s="1"/>
  <c r="G14"/>
  <c r="G16"/>
  <c r="G17"/>
  <c r="I17" s="1"/>
  <c r="G18"/>
  <c r="G19"/>
  <c r="I19" s="1"/>
  <c r="G20"/>
  <c r="G21"/>
  <c r="I21" s="1"/>
  <c r="G22"/>
  <c r="G23"/>
  <c r="I23" s="1"/>
  <c r="G24"/>
  <c r="G15"/>
  <c r="I15" s="1"/>
  <c r="I24"/>
  <c r="I22"/>
  <c r="I20"/>
  <c r="I18"/>
  <c r="I16"/>
  <c r="H15"/>
  <c r="H16" s="1"/>
  <c r="N8" i="15"/>
  <c r="M8"/>
  <c r="L8"/>
  <c r="J8"/>
  <c r="G14"/>
  <c r="C7"/>
  <c r="J25" s="1"/>
  <c r="G1"/>
  <c r="H8"/>
  <c r="B7"/>
  <c r="I14"/>
  <c r="P3"/>
  <c r="P1"/>
  <c r="J13"/>
  <c r="I15"/>
  <c r="I16"/>
  <c r="I17"/>
  <c r="I18"/>
  <c r="I19"/>
  <c r="I20"/>
  <c r="I21"/>
  <c r="I22"/>
  <c r="I23"/>
  <c r="I24"/>
  <c r="G25" i="12"/>
  <c r="O9" i="14"/>
  <c r="G11"/>
  <c r="L14" i="15"/>
  <c r="G30"/>
  <c r="I13"/>
  <c r="B7" i="13"/>
  <c r="G12" i="14"/>
  <c r="I8" s="1"/>
  <c r="Q1" i="15"/>
  <c r="O1" i="14"/>
  <c r="P1" s="1"/>
  <c r="Q1" s="1"/>
  <c r="I5" i="17" l="1"/>
  <c r="H15" i="18"/>
  <c r="M14"/>
  <c r="N14" s="1"/>
  <c r="K14"/>
  <c r="L14" s="1"/>
  <c r="K12"/>
  <c r="L12" s="1"/>
  <c r="M12"/>
  <c r="N12" s="1"/>
  <c r="K13"/>
  <c r="L13" s="1"/>
  <c r="M13"/>
  <c r="N13" s="1"/>
  <c r="K11"/>
  <c r="L11" s="1"/>
  <c r="L26" i="17"/>
  <c r="M26" s="1"/>
  <c r="K26"/>
  <c r="H27"/>
  <c r="K25"/>
  <c r="L25"/>
  <c r="M25" s="1"/>
  <c r="K33"/>
  <c r="N8"/>
  <c r="H17"/>
  <c r="L16"/>
  <c r="M16" s="1"/>
  <c r="K16"/>
  <c r="I14"/>
  <c r="K14" s="1"/>
  <c r="L13"/>
  <c r="M13" s="1"/>
  <c r="L14"/>
  <c r="M14" s="1"/>
  <c r="K15"/>
  <c r="L15"/>
  <c r="M15" s="1"/>
  <c r="L33"/>
  <c r="M33" s="1"/>
  <c r="I8"/>
  <c r="L8"/>
  <c r="M8" s="1"/>
  <c r="J14" i="15"/>
  <c r="K14" s="1"/>
  <c r="L13"/>
  <c r="M13" s="1"/>
  <c r="M14"/>
  <c r="I8"/>
  <c r="R1"/>
  <c r="R2" s="1"/>
  <c r="H16" i="18" l="1"/>
  <c r="M15"/>
  <c r="N15" s="1"/>
  <c r="K15"/>
  <c r="L15" s="1"/>
  <c r="H28" i="17"/>
  <c r="L27"/>
  <c r="M27" s="1"/>
  <c r="K27"/>
  <c r="H18"/>
  <c r="L17"/>
  <c r="M17" s="1"/>
  <c r="K17"/>
  <c r="H17" i="18" l="1"/>
  <c r="M16"/>
  <c r="N16" s="1"/>
  <c r="K16"/>
  <c r="L16" s="1"/>
  <c r="L28" i="17"/>
  <c r="M28" s="1"/>
  <c r="K28"/>
  <c r="H29"/>
  <c r="H19"/>
  <c r="L18"/>
  <c r="M18" s="1"/>
  <c r="K18"/>
  <c r="H18" i="18" l="1"/>
  <c r="M17"/>
  <c r="N17" s="1"/>
  <c r="K17"/>
  <c r="L17" s="1"/>
  <c r="H30" i="17"/>
  <c r="L29"/>
  <c r="M29" s="1"/>
  <c r="K29"/>
  <c r="H20"/>
  <c r="L19"/>
  <c r="M19" s="1"/>
  <c r="K19"/>
  <c r="H19" i="18" l="1"/>
  <c r="M18"/>
  <c r="N18" s="1"/>
  <c r="K18"/>
  <c r="L18" s="1"/>
  <c r="L30" i="17"/>
  <c r="M30" s="1"/>
  <c r="K30"/>
  <c r="H31"/>
  <c r="H21"/>
  <c r="L20"/>
  <c r="M20" s="1"/>
  <c r="K20"/>
  <c r="H20" i="18" l="1"/>
  <c r="M19"/>
  <c r="N19" s="1"/>
  <c r="K19"/>
  <c r="L19" s="1"/>
  <c r="H32" i="17"/>
  <c r="L31"/>
  <c r="M31" s="1"/>
  <c r="K31"/>
  <c r="H22"/>
  <c r="L21"/>
  <c r="M21" s="1"/>
  <c r="K21"/>
  <c r="H21" i="18" l="1"/>
  <c r="M20"/>
  <c r="N20" s="1"/>
  <c r="K20"/>
  <c r="L20" s="1"/>
  <c r="L32" i="17"/>
  <c r="M32" s="1"/>
  <c r="K32"/>
  <c r="H23"/>
  <c r="L22"/>
  <c r="M22" s="1"/>
  <c r="K22"/>
  <c r="M21" i="18" l="1"/>
  <c r="N21" s="1"/>
  <c r="N22" s="1"/>
  <c r="J4" s="1"/>
  <c r="K21"/>
  <c r="L21" s="1"/>
  <c r="L22" s="1"/>
  <c r="J3" s="1"/>
  <c r="H24" i="17"/>
  <c r="L23"/>
  <c r="M23" s="1"/>
  <c r="K23"/>
  <c r="L24" l="1"/>
  <c r="M24" s="1"/>
  <c r="M34" s="1"/>
  <c r="J4" s="1"/>
  <c r="K24"/>
  <c r="M2" s="1"/>
  <c r="M1" i="11" l="1"/>
  <c r="L1"/>
  <c r="K1"/>
  <c r="I15" i="14"/>
  <c r="H15" i="15"/>
  <c r="J15" s="1"/>
  <c r="F7" i="14"/>
  <c r="G7" s="1"/>
  <c r="H7" s="1"/>
  <c r="H16" i="15" l="1"/>
  <c r="J16" s="1"/>
  <c r="L15"/>
  <c r="M15" s="1"/>
  <c r="K15"/>
  <c r="H17" l="1"/>
  <c r="J17" s="1"/>
  <c r="L16"/>
  <c r="M16" s="1"/>
  <c r="K16"/>
  <c r="H18" l="1"/>
  <c r="J18" s="1"/>
  <c r="L17"/>
  <c r="M17" s="1"/>
  <c r="K17"/>
  <c r="H19" l="1"/>
  <c r="J19" s="1"/>
  <c r="L18"/>
  <c r="M18" s="1"/>
  <c r="K18"/>
  <c r="H20" l="1"/>
  <c r="L19"/>
  <c r="M19" s="1"/>
  <c r="K19"/>
  <c r="H21" l="1"/>
  <c r="J21" s="1"/>
  <c r="J20"/>
  <c r="H22"/>
  <c r="J22" s="1"/>
  <c r="L21"/>
  <c r="M21" s="1"/>
  <c r="K21"/>
  <c r="L20"/>
  <c r="M20" s="1"/>
  <c r="K20"/>
  <c r="H23" l="1"/>
  <c r="J23" s="1"/>
  <c r="K22"/>
  <c r="L22"/>
  <c r="M22" s="1"/>
  <c r="L25"/>
  <c r="M25" s="1"/>
  <c r="K25"/>
  <c r="L23" l="1"/>
  <c r="M23" s="1"/>
  <c r="H24"/>
  <c r="J24" s="1"/>
  <c r="K23"/>
  <c r="K24" l="1"/>
  <c r="K26" s="1"/>
  <c r="I5" s="1"/>
  <c r="M2" s="1"/>
  <c r="L24"/>
  <c r="M24" s="1"/>
  <c r="M26" s="1"/>
  <c r="J4" s="1"/>
  <c r="B7" i="14" l="1"/>
  <c r="E7"/>
  <c r="D7"/>
  <c r="C7"/>
  <c r="I22" l="1"/>
  <c r="I21"/>
  <c r="I20"/>
  <c r="I19"/>
  <c r="I18"/>
  <c r="I17"/>
  <c r="I16"/>
  <c r="H16"/>
  <c r="H17" s="1"/>
  <c r="L15"/>
  <c r="M15" s="1"/>
  <c r="I3"/>
  <c r="I21" i="13"/>
  <c r="I20"/>
  <c r="I19"/>
  <c r="I18"/>
  <c r="I17"/>
  <c r="I16"/>
  <c r="I15"/>
  <c r="H15"/>
  <c r="H16" s="1"/>
  <c r="I14"/>
  <c r="L14"/>
  <c r="M14" s="1"/>
  <c r="I3"/>
  <c r="B7" i="12"/>
  <c r="I20"/>
  <c r="I3"/>
  <c r="M15" i="11"/>
  <c r="M14"/>
  <c r="B6"/>
  <c r="J14"/>
  <c r="I3"/>
  <c r="M20" i="10"/>
  <c r="M19"/>
  <c r="B6"/>
  <c r="K20"/>
  <c r="K19"/>
  <c r="B6" i="9"/>
  <c r="J19" i="10"/>
  <c r="I3"/>
  <c r="K11" i="9"/>
  <c r="L11" s="1"/>
  <c r="J11"/>
  <c r="J14"/>
  <c r="J15"/>
  <c r="J16"/>
  <c r="J17"/>
  <c r="J18"/>
  <c r="J19"/>
  <c r="J20"/>
  <c r="J12"/>
  <c r="H13"/>
  <c r="H14" s="1"/>
  <c r="H15" s="1"/>
  <c r="J13"/>
  <c r="I3"/>
  <c r="N13" i="8"/>
  <c r="M13"/>
  <c r="M14"/>
  <c r="N14" s="1"/>
  <c r="M15"/>
  <c r="N15" s="1"/>
  <c r="M16"/>
  <c r="N16" s="1"/>
  <c r="M17"/>
  <c r="N17" s="1"/>
  <c r="M18"/>
  <c r="N18" s="1"/>
  <c r="M19"/>
  <c r="N19" s="1"/>
  <c r="K13"/>
  <c r="L13" s="1"/>
  <c r="K14"/>
  <c r="L14" s="1"/>
  <c r="K15"/>
  <c r="L15" s="1"/>
  <c r="K16"/>
  <c r="L16" s="1"/>
  <c r="K17"/>
  <c r="L17" s="1"/>
  <c r="K18"/>
  <c r="L18" s="1"/>
  <c r="K19"/>
  <c r="L19" s="1"/>
  <c r="K12"/>
  <c r="L12" s="1"/>
  <c r="M12"/>
  <c r="N12" s="1"/>
  <c r="B6"/>
  <c r="J18"/>
  <c r="J13"/>
  <c r="J14"/>
  <c r="J15"/>
  <c r="J16"/>
  <c r="J17"/>
  <c r="J12"/>
  <c r="H19"/>
  <c r="H14"/>
  <c r="H15"/>
  <c r="H16" s="1"/>
  <c r="H17" s="1"/>
  <c r="H18" s="1"/>
  <c r="H13"/>
  <c r="I3"/>
  <c r="L12" i="7"/>
  <c r="L11"/>
  <c r="J12"/>
  <c r="J11"/>
  <c r="B7"/>
  <c r="I11"/>
  <c r="I3"/>
  <c r="L15" i="3"/>
  <c r="L16"/>
  <c r="L17"/>
  <c r="L18"/>
  <c r="L19"/>
  <c r="L20"/>
  <c r="L21"/>
  <c r="L22"/>
  <c r="L14"/>
  <c r="H16"/>
  <c r="H17"/>
  <c r="H18" s="1"/>
  <c r="H19" s="1"/>
  <c r="H20" s="1"/>
  <c r="H21" s="1"/>
  <c r="J21" s="1"/>
  <c r="K21" s="1"/>
  <c r="B7"/>
  <c r="H18" i="14" l="1"/>
  <c r="L17"/>
  <c r="M17" s="1"/>
  <c r="J17"/>
  <c r="K17" s="1"/>
  <c r="J15"/>
  <c r="K15" s="1"/>
  <c r="J16"/>
  <c r="K16" s="1"/>
  <c r="L16"/>
  <c r="M16" s="1"/>
  <c r="H17" i="13"/>
  <c r="L16"/>
  <c r="M16" s="1"/>
  <c r="J16"/>
  <c r="K16" s="1"/>
  <c r="J14"/>
  <c r="K14" s="1"/>
  <c r="J15"/>
  <c r="K15" s="1"/>
  <c r="L15"/>
  <c r="M15" s="1"/>
  <c r="K14" i="11"/>
  <c r="L14" s="1"/>
  <c r="K15"/>
  <c r="N14"/>
  <c r="N15"/>
  <c r="L15"/>
  <c r="L16" s="1"/>
  <c r="J3" s="1"/>
  <c r="M11" i="9"/>
  <c r="K13"/>
  <c r="L13" s="1"/>
  <c r="H16"/>
  <c r="H17" s="1"/>
  <c r="H18" s="1"/>
  <c r="M15"/>
  <c r="N15" s="1"/>
  <c r="K17"/>
  <c r="L17" s="1"/>
  <c r="M14"/>
  <c r="N14" s="1"/>
  <c r="N11"/>
  <c r="M12"/>
  <c r="N12" s="1"/>
  <c r="K15"/>
  <c r="L15" s="1"/>
  <c r="M16"/>
  <c r="N16" s="1"/>
  <c r="K16"/>
  <c r="L16" s="1"/>
  <c r="K12"/>
  <c r="L12" s="1"/>
  <c r="M17"/>
  <c r="N17" s="1"/>
  <c r="M13"/>
  <c r="N13" s="1"/>
  <c r="K18"/>
  <c r="L18" s="1"/>
  <c r="K14"/>
  <c r="L14" s="1"/>
  <c r="N20" i="8"/>
  <c r="J4" s="1"/>
  <c r="L20"/>
  <c r="J3" s="1"/>
  <c r="H19" i="14" l="1"/>
  <c r="L18"/>
  <c r="M18" s="1"/>
  <c r="J18"/>
  <c r="K18" s="1"/>
  <c r="H18" i="13"/>
  <c r="L17"/>
  <c r="M17" s="1"/>
  <c r="J17"/>
  <c r="K17" s="1"/>
  <c r="N16" i="11"/>
  <c r="J4" s="1"/>
  <c r="H19" i="9"/>
  <c r="M18"/>
  <c r="N18" s="1"/>
  <c r="H20" i="14" l="1"/>
  <c r="L19"/>
  <c r="M19" s="1"/>
  <c r="J19"/>
  <c r="K19" s="1"/>
  <c r="H19" i="13"/>
  <c r="L18"/>
  <c r="M18" s="1"/>
  <c r="J18"/>
  <c r="K18" s="1"/>
  <c r="H20" i="9"/>
  <c r="M19"/>
  <c r="N19" s="1"/>
  <c r="K19"/>
  <c r="L19" s="1"/>
  <c r="H21" i="14" l="1"/>
  <c r="L20"/>
  <c r="M20" s="1"/>
  <c r="J20"/>
  <c r="K20" s="1"/>
  <c r="H20" i="13"/>
  <c r="L19"/>
  <c r="M19" s="1"/>
  <c r="J19"/>
  <c r="K19" s="1"/>
  <c r="J20" i="12"/>
  <c r="K20" s="1"/>
  <c r="L20"/>
  <c r="M20" s="1"/>
  <c r="H21" i="9"/>
  <c r="M21" s="1"/>
  <c r="N21" s="1"/>
  <c r="M20"/>
  <c r="N20" s="1"/>
  <c r="K20"/>
  <c r="L20" s="1"/>
  <c r="H22" i="14" l="1"/>
  <c r="L21"/>
  <c r="M21" s="1"/>
  <c r="J21"/>
  <c r="K21" s="1"/>
  <c r="H21" i="13"/>
  <c r="L20"/>
  <c r="M20" s="1"/>
  <c r="J20"/>
  <c r="K20" s="1"/>
  <c r="K21" i="9"/>
  <c r="L21" s="1"/>
  <c r="L22" s="1"/>
  <c r="J3" s="1"/>
  <c r="N22"/>
  <c r="J4" s="1"/>
  <c r="M11" i="7"/>
  <c r="H12"/>
  <c r="K11"/>
  <c r="J14" i="3"/>
  <c r="H15"/>
  <c r="H23" i="14" l="1"/>
  <c r="L22"/>
  <c r="M22" s="1"/>
  <c r="J22"/>
  <c r="K22" s="1"/>
  <c r="H22" i="13"/>
  <c r="L21"/>
  <c r="M21" s="1"/>
  <c r="J21"/>
  <c r="K21" s="1"/>
  <c r="L21" i="12"/>
  <c r="M21" s="1"/>
  <c r="M22" s="1"/>
  <c r="J4" s="1"/>
  <c r="J21"/>
  <c r="K21" s="1"/>
  <c r="K22" s="1"/>
  <c r="J3" s="1"/>
  <c r="L19" i="10"/>
  <c r="N19"/>
  <c r="M12" i="7"/>
  <c r="M13" s="1"/>
  <c r="J4" s="1"/>
  <c r="K12"/>
  <c r="K13" s="1"/>
  <c r="J3" s="1"/>
  <c r="M10" i="6"/>
  <c r="K10"/>
  <c r="B6"/>
  <c r="N10"/>
  <c r="I3"/>
  <c r="M12" i="5"/>
  <c r="M13"/>
  <c r="M14"/>
  <c r="M15"/>
  <c r="N15" s="1"/>
  <c r="J3"/>
  <c r="L12"/>
  <c r="K13"/>
  <c r="K14"/>
  <c r="K15"/>
  <c r="K12"/>
  <c r="B6"/>
  <c r="L15"/>
  <c r="J14"/>
  <c r="N13"/>
  <c r="L13"/>
  <c r="J13"/>
  <c r="J12"/>
  <c r="I3"/>
  <c r="M22" i="3"/>
  <c r="I21"/>
  <c r="I20"/>
  <c r="I19"/>
  <c r="I18"/>
  <c r="I17"/>
  <c r="I16"/>
  <c r="I15"/>
  <c r="I14"/>
  <c r="K14" s="1"/>
  <c r="I3"/>
  <c r="L23" i="14" l="1"/>
  <c r="M23" s="1"/>
  <c r="M24" s="1"/>
  <c r="J4" s="1"/>
  <c r="J23"/>
  <c r="K23" s="1"/>
  <c r="K24" s="1"/>
  <c r="L22" i="13"/>
  <c r="M22" s="1"/>
  <c r="M23" s="1"/>
  <c r="J4" s="1"/>
  <c r="J22"/>
  <c r="K22" s="1"/>
  <c r="K23" s="1"/>
  <c r="J3" s="1"/>
  <c r="N20" i="10"/>
  <c r="N21" s="1"/>
  <c r="J4" s="1"/>
  <c r="L20"/>
  <c r="L21" s="1"/>
  <c r="J3" s="1"/>
  <c r="J16" i="3"/>
  <c r="K16" s="1"/>
  <c r="J15"/>
  <c r="K15" s="1"/>
  <c r="J17"/>
  <c r="K17" s="1"/>
  <c r="M17"/>
  <c r="J18"/>
  <c r="K18" s="1"/>
  <c r="M15"/>
  <c r="M16"/>
  <c r="L10" i="6"/>
  <c r="N12" i="5"/>
  <c r="N14"/>
  <c r="L14"/>
  <c r="L16" s="1"/>
  <c r="M14" i="3"/>
  <c r="J3" i="14" l="1"/>
  <c r="I5"/>
  <c r="J19" i="3"/>
  <c r="K19" s="1"/>
  <c r="M18"/>
  <c r="N11" i="6"/>
  <c r="J4" s="1"/>
  <c r="L11"/>
  <c r="J3" s="1"/>
  <c r="N16" i="5"/>
  <c r="J4" s="1"/>
  <c r="J20" i="3" l="1"/>
  <c r="K20" s="1"/>
  <c r="M19"/>
  <c r="M20" l="1"/>
  <c r="H22" l="1"/>
  <c r="J22" s="1"/>
  <c r="K22" s="1"/>
  <c r="M21"/>
  <c r="M23" s="1"/>
  <c r="J4" s="1"/>
  <c r="K23" l="1"/>
  <c r="J3" s="1"/>
</calcChain>
</file>

<file path=xl/sharedStrings.xml><?xml version="1.0" encoding="utf-8"?>
<sst xmlns="http://schemas.openxmlformats.org/spreadsheetml/2006/main" count="441" uniqueCount="44">
  <si>
    <t>Flow</t>
  </si>
  <si>
    <t>Calculation</t>
  </si>
  <si>
    <t>Remaining</t>
  </si>
  <si>
    <t>Rate</t>
  </si>
  <si>
    <t>Payment</t>
  </si>
  <si>
    <t>Start date</t>
  </si>
  <si>
    <t>End date</t>
  </si>
  <si>
    <t>Capital</t>
  </si>
  <si>
    <t>Date</t>
  </si>
  <si>
    <t>ExDivDate</t>
  </si>
  <si>
    <t>Settlment Date</t>
  </si>
  <si>
    <t>Notional</t>
  </si>
  <si>
    <t>Dirty price</t>
  </si>
  <si>
    <t>Accrual</t>
  </si>
  <si>
    <t>Clean</t>
  </si>
  <si>
    <t>Dirty</t>
  </si>
  <si>
    <t>Nominal</t>
  </si>
  <si>
    <t>DBR 0.5% 02/26</t>
  </si>
  <si>
    <t>Instrument</t>
  </si>
  <si>
    <t>System Date</t>
  </si>
  <si>
    <t>Murex Yield</t>
  </si>
  <si>
    <t>Duration</t>
  </si>
  <si>
    <t>Diff</t>
  </si>
  <si>
    <t>DF</t>
  </si>
  <si>
    <t>dp/dy</t>
  </si>
  <si>
    <t>Period number</t>
  </si>
  <si>
    <t>Coupon</t>
  </si>
  <si>
    <t>Discounted Flows</t>
  </si>
  <si>
    <t>Period</t>
  </si>
  <si>
    <t>OBL 1% 10/18</t>
  </si>
  <si>
    <t>Daycount fraction</t>
  </si>
  <si>
    <t>Settlement Date</t>
  </si>
  <si>
    <t>BUBILL 0% 04/17</t>
  </si>
  <si>
    <t>Annual frequency</t>
  </si>
  <si>
    <t>UKT 2% 07/20</t>
  </si>
  <si>
    <t>UKTB 0% 01/17</t>
  </si>
  <si>
    <t>DBR 2% 08/23</t>
  </si>
  <si>
    <t>Hypothetical first
start date</t>
  </si>
  <si>
    <t>DBR 4.25% 07/17</t>
  </si>
  <si>
    <t>OBL 0.75% 02/17</t>
  </si>
  <si>
    <t>UKT 1.75% 01/17</t>
  </si>
  <si>
    <t>UKT 0.5% 07/22</t>
  </si>
  <si>
    <t>FromMurex</t>
  </si>
  <si>
    <t>UKT 1.5% 07/26</t>
  </si>
</sst>
</file>

<file path=xl/styles.xml><?xml version="1.0" encoding="utf-8"?>
<styleSheet xmlns="http://schemas.openxmlformats.org/spreadsheetml/2006/main">
  <numFmts count="9">
    <numFmt numFmtId="43" formatCode="_-* #,##0.00_-;\-* #,##0.00_-;_-* &quot;-&quot;??_-;_-@_-"/>
    <numFmt numFmtId="164" formatCode="_-* #,##0_-;\-* #,##0_-;_-* &quot;-&quot;??_-;_-@_-"/>
    <numFmt numFmtId="165" formatCode="0.000"/>
    <numFmt numFmtId="166" formatCode="0.00000"/>
    <numFmt numFmtId="167" formatCode="0.000000"/>
    <numFmt numFmtId="168" formatCode="_-* #,##0.00000_-;\-* #,##0.00000_-;_-* &quot;-&quot;??_-;_-@_-"/>
    <numFmt numFmtId="169" formatCode="0.0000000"/>
    <numFmt numFmtId="176" formatCode="0.00000000"/>
    <numFmt numFmtId="177" formatCode="#,##0.000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8" borderId="0" applyNumberFormat="0" applyBorder="0" applyAlignment="0" applyProtection="0"/>
  </cellStyleXfs>
  <cellXfs count="102">
    <xf numFmtId="0" fontId="0" fillId="0" borderId="0" xfId="0"/>
    <xf numFmtId="3" fontId="0" fillId="0" borderId="0" xfId="0" applyNumberFormat="1"/>
    <xf numFmtId="1" fontId="0" fillId="0" borderId="0" xfId="0" applyNumberFormat="1"/>
    <xf numFmtId="0" fontId="2" fillId="0" borderId="0" xfId="0" applyFont="1"/>
    <xf numFmtId="166" fontId="0" fillId="0" borderId="0" xfId="0" applyNumberFormat="1"/>
    <xf numFmtId="0" fontId="0" fillId="5" borderId="0" xfId="0" applyFill="1"/>
    <xf numFmtId="168" fontId="0" fillId="4" borderId="0" xfId="1" applyNumberFormat="1" applyFont="1" applyFill="1"/>
    <xf numFmtId="0" fontId="0" fillId="0" borderId="4" xfId="0" applyBorder="1"/>
    <xf numFmtId="0" fontId="0" fillId="0" borderId="0" xfId="0" applyBorder="1"/>
    <xf numFmtId="14" fontId="0" fillId="0" borderId="0" xfId="0" applyNumberFormat="1" applyBorder="1"/>
    <xf numFmtId="3" fontId="0" fillId="0" borderId="0" xfId="0" applyNumberFormat="1" applyBorder="1"/>
    <xf numFmtId="0" fontId="0" fillId="3" borderId="4" xfId="0" applyFill="1" applyBorder="1"/>
    <xf numFmtId="14" fontId="0" fillId="3" borderId="0" xfId="0" applyNumberFormat="1" applyFill="1" applyBorder="1"/>
    <xf numFmtId="3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7" xfId="0" applyFill="1" applyBorder="1"/>
    <xf numFmtId="0" fontId="0" fillId="6" borderId="8" xfId="0" applyFill="1" applyBorder="1"/>
    <xf numFmtId="0" fontId="2" fillId="6" borderId="2" xfId="0" applyFont="1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0" xfId="0" applyFont="1" applyFill="1" applyBorder="1"/>
    <xf numFmtId="0" fontId="2" fillId="6" borderId="4" xfId="0" applyFont="1" applyFill="1" applyBorder="1"/>
    <xf numFmtId="164" fontId="0" fillId="3" borderId="0" xfId="1" applyNumberFormat="1" applyFont="1" applyFill="1" applyBorder="1"/>
    <xf numFmtId="0" fontId="2" fillId="5" borderId="7" xfId="0" applyFont="1" applyFill="1" applyBorder="1"/>
    <xf numFmtId="0" fontId="2" fillId="6" borderId="7" xfId="0" applyFont="1" applyFill="1" applyBorder="1" applyAlignment="1">
      <alignment wrapText="1"/>
    </xf>
    <xf numFmtId="14" fontId="0" fillId="5" borderId="0" xfId="0" applyNumberFormat="1" applyFill="1" applyBorder="1"/>
    <xf numFmtId="3" fontId="0" fillId="5" borderId="0" xfId="0" applyNumberFormat="1" applyFill="1" applyBorder="1"/>
    <xf numFmtId="0" fontId="0" fillId="5" borderId="0" xfId="0" applyFill="1" applyBorder="1"/>
    <xf numFmtId="0" fontId="0" fillId="5" borderId="5" xfId="0" applyFill="1" applyBorder="1"/>
    <xf numFmtId="0" fontId="0" fillId="6" borderId="0" xfId="0" applyFill="1" applyBorder="1"/>
    <xf numFmtId="0" fontId="2" fillId="6" borderId="0" xfId="0" applyFont="1" applyFill="1" applyBorder="1" applyAlignment="1">
      <alignment wrapText="1"/>
    </xf>
    <xf numFmtId="0" fontId="0" fillId="6" borderId="5" xfId="0" applyFill="1" applyBorder="1"/>
    <xf numFmtId="0" fontId="0" fillId="0" borderId="4" xfId="0" applyFill="1" applyBorder="1"/>
    <xf numFmtId="0" fontId="2" fillId="2" borderId="7" xfId="0" applyFont="1" applyFill="1" applyBorder="1"/>
    <xf numFmtId="0" fontId="2" fillId="2" borderId="8" xfId="0" applyFont="1" applyFill="1" applyBorder="1"/>
    <xf numFmtId="43" fontId="0" fillId="0" borderId="0" xfId="0" applyNumberFormat="1"/>
    <xf numFmtId="0" fontId="0" fillId="5" borderId="7" xfId="0" applyFill="1" applyBorder="1"/>
    <xf numFmtId="0" fontId="2" fillId="0" borderId="4" xfId="0" applyFont="1" applyBorder="1" applyAlignment="1">
      <alignment horizontal="right"/>
    </xf>
    <xf numFmtId="165" fontId="2" fillId="0" borderId="0" xfId="0" applyNumberFormat="1" applyFont="1"/>
    <xf numFmtId="167" fontId="0" fillId="4" borderId="0" xfId="2" applyNumberFormat="1" applyFont="1" applyFill="1"/>
    <xf numFmtId="0" fontId="0" fillId="0" borderId="0" xfId="0" applyAlignment="1">
      <alignment wrapText="1"/>
    </xf>
    <xf numFmtId="4" fontId="0" fillId="0" borderId="0" xfId="0" applyNumberFormat="1"/>
    <xf numFmtId="0" fontId="0" fillId="3" borderId="0" xfId="0" applyFill="1"/>
    <xf numFmtId="14" fontId="0" fillId="0" borderId="0" xfId="0" applyNumberFormat="1" applyFill="1" applyBorder="1"/>
    <xf numFmtId="3" fontId="0" fillId="0" borderId="0" xfId="0" applyNumberFormat="1" applyFill="1" applyBorder="1"/>
    <xf numFmtId="0" fontId="0" fillId="0" borderId="0" xfId="0" applyFill="1" applyBorder="1"/>
    <xf numFmtId="164" fontId="0" fillId="0" borderId="0" xfId="1" applyNumberFormat="1" applyFont="1" applyFill="1" applyBorder="1"/>
    <xf numFmtId="0" fontId="0" fillId="0" borderId="5" xfId="0" applyFill="1" applyBorder="1"/>
    <xf numFmtId="0" fontId="0" fillId="0" borderId="0" xfId="0" applyFill="1"/>
    <xf numFmtId="166" fontId="0" fillId="3" borderId="0" xfId="0" applyNumberFormat="1" applyFill="1" applyBorder="1"/>
    <xf numFmtId="11" fontId="0" fillId="7" borderId="0" xfId="0" applyNumberFormat="1" applyFill="1"/>
    <xf numFmtId="0" fontId="0" fillId="5" borderId="4" xfId="0" applyFill="1" applyBorder="1"/>
    <xf numFmtId="164" fontId="0" fillId="5" borderId="0" xfId="1" applyNumberFormat="1" applyFont="1" applyFill="1" applyBorder="1"/>
    <xf numFmtId="166" fontId="0" fillId="5" borderId="0" xfId="0" applyNumberFormat="1" applyFill="1" applyBorder="1"/>
    <xf numFmtId="0" fontId="2" fillId="5" borderId="0" xfId="0" applyFont="1" applyFill="1"/>
    <xf numFmtId="3" fontId="0" fillId="5" borderId="0" xfId="0" applyNumberFormat="1" applyFill="1"/>
    <xf numFmtId="14" fontId="0" fillId="5" borderId="0" xfId="0" applyNumberFormat="1" applyFill="1"/>
    <xf numFmtId="169" fontId="2" fillId="5" borderId="0" xfId="0" applyNumberFormat="1" applyFont="1" applyFill="1"/>
    <xf numFmtId="11" fontId="0" fillId="5" borderId="0" xfId="0" applyNumberFormat="1" applyFill="1"/>
    <xf numFmtId="0" fontId="2" fillId="5" borderId="0" xfId="0" applyFont="1" applyFill="1" applyBorder="1"/>
    <xf numFmtId="0" fontId="0" fillId="5" borderId="6" xfId="0" applyFill="1" applyBorder="1"/>
    <xf numFmtId="14" fontId="0" fillId="0" borderId="2" xfId="0" applyNumberFormat="1" applyFill="1" applyBorder="1"/>
    <xf numFmtId="3" fontId="0" fillId="0" borderId="2" xfId="0" applyNumberFormat="1" applyFill="1" applyBorder="1"/>
    <xf numFmtId="0" fontId="0" fillId="0" borderId="2" xfId="0" applyFill="1" applyBorder="1"/>
    <xf numFmtId="4" fontId="0" fillId="0" borderId="2" xfId="0" applyNumberFormat="1" applyFill="1" applyBorder="1"/>
    <xf numFmtId="0" fontId="0" fillId="0" borderId="1" xfId="0" applyFill="1" applyBorder="1"/>
    <xf numFmtId="0" fontId="0" fillId="0" borderId="3" xfId="0" applyFill="1" applyBorder="1"/>
    <xf numFmtId="1" fontId="0" fillId="5" borderId="0" xfId="0" applyNumberFormat="1" applyFill="1" applyBorder="1"/>
    <xf numFmtId="0" fontId="0" fillId="5" borderId="1" xfId="0" applyFill="1" applyBorder="1"/>
    <xf numFmtId="164" fontId="0" fillId="5" borderId="2" xfId="1" applyNumberFormat="1" applyFont="1" applyFill="1" applyBorder="1"/>
    <xf numFmtId="0" fontId="0" fillId="5" borderId="2" xfId="0" applyFill="1" applyBorder="1"/>
    <xf numFmtId="166" fontId="0" fillId="5" borderId="2" xfId="0" applyNumberFormat="1" applyFill="1" applyBorder="1"/>
    <xf numFmtId="0" fontId="0" fillId="5" borderId="3" xfId="0" applyFill="1" applyBorder="1"/>
    <xf numFmtId="164" fontId="0" fillId="3" borderId="2" xfId="1" applyNumberFormat="1" applyFont="1" applyFill="1" applyBorder="1"/>
    <xf numFmtId="166" fontId="0" fillId="0" borderId="0" xfId="0" applyNumberFormat="1" applyFill="1" applyBorder="1"/>
    <xf numFmtId="0" fontId="2" fillId="0" borderId="0" xfId="0" applyFont="1" applyFill="1" applyBorder="1"/>
    <xf numFmtId="4" fontId="0" fillId="3" borderId="4" xfId="0" applyNumberFormat="1" applyFill="1" applyBorder="1"/>
    <xf numFmtId="3" fontId="0" fillId="3" borderId="4" xfId="0" applyNumberFormat="1" applyFill="1" applyBorder="1"/>
    <xf numFmtId="0" fontId="0" fillId="5" borderId="0" xfId="0" applyFill="1" applyAlignment="1">
      <alignment wrapText="1"/>
    </xf>
    <xf numFmtId="4" fontId="0" fillId="0" borderId="4" xfId="0" applyNumberFormat="1" applyFill="1" applyBorder="1"/>
    <xf numFmtId="3" fontId="0" fillId="0" borderId="4" xfId="0" applyNumberFormat="1" applyFill="1" applyBorder="1"/>
    <xf numFmtId="164" fontId="0" fillId="0" borderId="2" xfId="1" applyNumberFormat="1" applyFont="1" applyFill="1" applyBorder="1"/>
    <xf numFmtId="0" fontId="0" fillId="5" borderId="0" xfId="0" applyNumberFormat="1" applyFill="1"/>
    <xf numFmtId="1" fontId="0" fillId="0" borderId="0" xfId="0" applyNumberFormat="1" applyFill="1"/>
    <xf numFmtId="0" fontId="4" fillId="0" borderId="8" xfId="0" applyFont="1" applyBorder="1" applyAlignment="1">
      <alignment horizontal="right"/>
    </xf>
    <xf numFmtId="0" fontId="5" fillId="0" borderId="0" xfId="0" applyFont="1"/>
    <xf numFmtId="14" fontId="0" fillId="0" borderId="0" xfId="0" applyNumberFormat="1"/>
    <xf numFmtId="2" fontId="0" fillId="0" borderId="0" xfId="0" applyNumberFormat="1"/>
    <xf numFmtId="4" fontId="0" fillId="0" borderId="0" xfId="0" applyNumberFormat="1" applyFill="1" applyBorder="1"/>
    <xf numFmtId="14" fontId="2" fillId="0" borderId="0" xfId="0" applyNumberFormat="1" applyFont="1"/>
    <xf numFmtId="0" fontId="3" fillId="8" borderId="8" xfId="3" applyBorder="1" applyAlignment="1">
      <alignment horizontal="right"/>
    </xf>
    <xf numFmtId="4" fontId="0" fillId="3" borderId="0" xfId="0" applyNumberFormat="1" applyFill="1" applyBorder="1"/>
    <xf numFmtId="167" fontId="0" fillId="0" borderId="0" xfId="0" applyNumberFormat="1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Border="1"/>
  </cellXfs>
  <cellStyles count="4">
    <cellStyle name="Comma" xfId="1" builtinId="3"/>
    <cellStyle name="Good" xfId="3" builtinId="26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37"/>
  <sheetViews>
    <sheetView workbookViewId="0">
      <selection activeCell="C32" sqref="C32"/>
    </sheetView>
  </sheetViews>
  <sheetFormatPr defaultRowHeight="15"/>
  <cols>
    <col min="1" max="1" width="16.7109375" bestFit="1" customWidth="1"/>
    <col min="2" max="2" width="12.7109375" bestFit="1" customWidth="1"/>
    <col min="3" max="3" width="10.85546875" bestFit="1" customWidth="1"/>
    <col min="4" max="4" width="11.140625" bestFit="1" customWidth="1"/>
    <col min="5" max="5" width="14.5703125" bestFit="1" customWidth="1"/>
    <col min="6" max="6" width="10.7109375" bestFit="1" customWidth="1"/>
    <col min="7" max="7" width="10.85546875" bestFit="1" customWidth="1"/>
    <col min="8" max="8" width="11.7109375" bestFit="1" customWidth="1"/>
    <col min="9" max="9" width="12.5703125" bestFit="1" customWidth="1"/>
    <col min="10" max="10" width="9" bestFit="1" customWidth="1"/>
    <col min="11" max="11" width="15.28515625" bestFit="1" customWidth="1"/>
    <col min="12" max="12" width="12" bestFit="1" customWidth="1"/>
    <col min="13" max="13" width="8.7109375" bestFit="1" customWidth="1"/>
    <col min="14" max="14" width="16.7109375" bestFit="1" customWidth="1"/>
    <col min="17" max="16384" width="9.140625" style="5"/>
  </cols>
  <sheetData>
    <row r="1" spans="1:16">
      <c r="A1" s="60" t="s">
        <v>16</v>
      </c>
      <c r="B1" s="61">
        <v>100000000</v>
      </c>
      <c r="C1" s="5"/>
      <c r="D1" s="5" t="s">
        <v>18</v>
      </c>
      <c r="E1" s="5" t="s">
        <v>36</v>
      </c>
      <c r="F1" s="5"/>
      <c r="G1" s="5"/>
      <c r="H1" s="60" t="s">
        <v>13</v>
      </c>
      <c r="I1" s="5">
        <v>0.290410958904119</v>
      </c>
      <c r="J1" s="5"/>
      <c r="K1" s="5"/>
      <c r="L1" s="5"/>
      <c r="M1" s="5"/>
      <c r="N1" s="5"/>
      <c r="O1" s="5"/>
      <c r="P1" s="5"/>
    </row>
    <row r="2" spans="1:16">
      <c r="A2" s="60" t="s">
        <v>31</v>
      </c>
      <c r="B2" s="62">
        <v>42650</v>
      </c>
      <c r="C2" s="5"/>
      <c r="D2" s="5"/>
      <c r="E2" s="5"/>
      <c r="F2" s="5"/>
      <c r="G2" s="5"/>
      <c r="H2" s="60" t="s">
        <v>14</v>
      </c>
      <c r="I2" s="60">
        <v>106.59210046339101</v>
      </c>
      <c r="J2" s="60" t="s">
        <v>22</v>
      </c>
      <c r="K2" s="5"/>
      <c r="L2" s="5"/>
      <c r="M2" s="5"/>
      <c r="N2" s="5"/>
      <c r="O2" s="5"/>
      <c r="P2" s="5"/>
    </row>
    <row r="3" spans="1:16">
      <c r="A3" s="5" t="s">
        <v>19</v>
      </c>
      <c r="B3" s="62">
        <v>42648</v>
      </c>
      <c r="C3" s="5"/>
      <c r="D3" s="5"/>
      <c r="E3" s="5"/>
      <c r="F3" s="5"/>
      <c r="G3" s="5"/>
      <c r="H3" s="60" t="s">
        <v>15</v>
      </c>
      <c r="I3" s="63">
        <f>I2+I1</f>
        <v>106.88251142229512</v>
      </c>
      <c r="J3" s="64">
        <f>I3-L20</f>
        <v>-3.1263880373444408E-13</v>
      </c>
      <c r="K3" s="5"/>
      <c r="L3" s="5"/>
      <c r="M3" s="5"/>
      <c r="N3" s="5"/>
      <c r="O3" s="5"/>
      <c r="P3" s="5"/>
    </row>
    <row r="4" spans="1:16">
      <c r="A4" s="60" t="s">
        <v>20</v>
      </c>
      <c r="B4" s="5">
        <v>1</v>
      </c>
      <c r="C4" s="5"/>
      <c r="D4" s="5"/>
      <c r="E4" s="5"/>
      <c r="F4" s="5"/>
      <c r="G4" s="5"/>
      <c r="H4" s="60" t="s">
        <v>24</v>
      </c>
      <c r="I4" s="5">
        <v>-6.8484535146596901</v>
      </c>
      <c r="J4" s="64">
        <f>I4-N20</f>
        <v>0</v>
      </c>
      <c r="K4" s="5"/>
      <c r="L4" s="5"/>
      <c r="M4" s="5"/>
      <c r="N4" s="5"/>
      <c r="O4" s="5"/>
      <c r="P4" s="5"/>
    </row>
    <row r="5" spans="1:1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ht="18.75" customHeight="1">
      <c r="A6" s="5" t="s">
        <v>30</v>
      </c>
      <c r="B6" s="5">
        <f>(B12-B2)/(B12-A12)</f>
        <v>0.85479452054794525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18.75" customHeight="1" thickBo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>
      <c r="A8" s="23" t="s">
        <v>1</v>
      </c>
      <c r="B8" s="23" t="s">
        <v>1</v>
      </c>
      <c r="C8" s="23" t="s">
        <v>2</v>
      </c>
      <c r="D8" s="23" t="s">
        <v>3</v>
      </c>
      <c r="E8" s="23" t="s">
        <v>4</v>
      </c>
      <c r="F8" s="23" t="s">
        <v>1</v>
      </c>
      <c r="G8" s="23"/>
      <c r="H8" s="18"/>
      <c r="I8" s="19"/>
      <c r="J8" s="23"/>
      <c r="K8" s="23"/>
      <c r="L8" s="23"/>
      <c r="M8" s="19"/>
      <c r="N8" s="20"/>
      <c r="O8" s="5"/>
      <c r="P8" s="5"/>
    </row>
    <row r="9" spans="1:16" ht="30.75" thickBot="1">
      <c r="A9" s="26" t="s">
        <v>5</v>
      </c>
      <c r="B9" s="26" t="s">
        <v>6</v>
      </c>
      <c r="C9" s="26" t="s">
        <v>7</v>
      </c>
      <c r="D9" s="26"/>
      <c r="E9" s="26" t="s">
        <v>8</v>
      </c>
      <c r="F9" s="26" t="s">
        <v>9</v>
      </c>
      <c r="G9" s="26" t="s">
        <v>0</v>
      </c>
      <c r="H9" s="24" t="s">
        <v>25</v>
      </c>
      <c r="I9" s="21"/>
      <c r="J9" s="25" t="s">
        <v>26</v>
      </c>
      <c r="K9" s="25" t="s">
        <v>23</v>
      </c>
      <c r="L9" s="30" t="s">
        <v>27</v>
      </c>
      <c r="M9" s="21"/>
      <c r="N9" s="22"/>
      <c r="O9" s="5"/>
      <c r="P9" s="5"/>
    </row>
    <row r="10" spans="1:16">
      <c r="A10" s="31">
        <v>41530</v>
      </c>
      <c r="B10" s="31">
        <v>42231</v>
      </c>
      <c r="C10" s="32">
        <v>100000000</v>
      </c>
      <c r="D10" s="33">
        <v>2</v>
      </c>
      <c r="E10" s="31">
        <v>42233</v>
      </c>
      <c r="F10" s="31">
        <v>42231</v>
      </c>
      <c r="G10" s="32">
        <v>3841095.89</v>
      </c>
      <c r="H10" s="74"/>
      <c r="I10" s="75"/>
      <c r="J10" s="76"/>
      <c r="K10" s="77"/>
      <c r="L10" s="76"/>
      <c r="M10" s="76"/>
      <c r="N10" s="78"/>
      <c r="O10" s="5"/>
      <c r="P10" s="5"/>
    </row>
    <row r="11" spans="1:16">
      <c r="A11" s="31">
        <v>42231</v>
      </c>
      <c r="B11" s="31">
        <v>42597</v>
      </c>
      <c r="C11" s="32">
        <v>100000000</v>
      </c>
      <c r="D11" s="33">
        <v>2</v>
      </c>
      <c r="E11" s="31">
        <v>42597</v>
      </c>
      <c r="F11" s="31">
        <v>42597</v>
      </c>
      <c r="G11" s="32">
        <v>2000000</v>
      </c>
      <c r="H11" s="57"/>
      <c r="I11" s="58"/>
      <c r="J11" s="33"/>
      <c r="K11" s="59"/>
      <c r="L11" s="33"/>
      <c r="M11" s="33"/>
      <c r="N11" s="34"/>
      <c r="O11" s="5"/>
      <c r="P11" s="5"/>
    </row>
    <row r="12" spans="1:16">
      <c r="A12" s="12">
        <v>42597</v>
      </c>
      <c r="B12" s="12">
        <v>42962</v>
      </c>
      <c r="C12" s="13">
        <v>100000000</v>
      </c>
      <c r="D12" s="14">
        <v>2</v>
      </c>
      <c r="E12" s="12">
        <v>42962</v>
      </c>
      <c r="F12" s="12">
        <v>42962</v>
      </c>
      <c r="G12" s="13">
        <v>2000000</v>
      </c>
      <c r="H12" s="11">
        <v>0</v>
      </c>
      <c r="I12" s="28"/>
      <c r="J12" s="14">
        <f>G12/$B$1*100</f>
        <v>2</v>
      </c>
      <c r="K12" s="55">
        <f>1/(1+$B$4*0.01)^(H12+$B$6)</f>
        <v>0.99153058103974157</v>
      </c>
      <c r="L12" s="14">
        <f>K12*J12</f>
        <v>1.9830611620794831</v>
      </c>
      <c r="M12" s="14">
        <f>-(H12+$B$6)*1/(1+$B$4*0.01)^(H12+$B$6+1)</f>
        <v>-0.83916327487969455</v>
      </c>
      <c r="N12" s="15">
        <f>M12*J12*0.01</f>
        <v>-1.6783265497593892E-2</v>
      </c>
      <c r="O12" s="5"/>
      <c r="P12" s="5"/>
    </row>
    <row r="13" spans="1:16">
      <c r="A13" s="31">
        <v>42962</v>
      </c>
      <c r="B13" s="31">
        <v>43327</v>
      </c>
      <c r="C13" s="32">
        <v>100000000</v>
      </c>
      <c r="D13" s="33">
        <v>2</v>
      </c>
      <c r="E13" s="31">
        <v>43327</v>
      </c>
      <c r="F13" s="31">
        <v>43327</v>
      </c>
      <c r="G13" s="32">
        <v>2000000</v>
      </c>
      <c r="H13" s="57">
        <f>H12+1</f>
        <v>1</v>
      </c>
      <c r="I13" s="58"/>
      <c r="J13" s="73">
        <f t="shared" ref="J13:J18" si="0">G13/$B$1*100</f>
        <v>2</v>
      </c>
      <c r="K13" s="33">
        <f t="shared" ref="K13:K19" si="1">1/(1+$B$4*0.01)^(H13+$B$6)</f>
        <v>0.98171344657400161</v>
      </c>
      <c r="L13" s="33">
        <f t="shared" ref="L13:L19" si="2">K13*J13</f>
        <v>1.9634268931480032</v>
      </c>
      <c r="M13" s="33">
        <f t="shared" ref="M13:M19" si="3">-(H13+$B$6)*1/(1+$B$4*0.01)^(H13+$B$6+1)</f>
        <v>-1.8028482390630653</v>
      </c>
      <c r="N13" s="34">
        <f t="shared" ref="N13:N19" si="4">M13*J13*0.01</f>
        <v>-3.6056964781261309E-2</v>
      </c>
      <c r="O13" s="5"/>
      <c r="P13" s="5"/>
    </row>
    <row r="14" spans="1:16">
      <c r="A14" s="31">
        <v>43327</v>
      </c>
      <c r="B14" s="31">
        <v>43692</v>
      </c>
      <c r="C14" s="32">
        <v>100000000</v>
      </c>
      <c r="D14" s="33">
        <v>2</v>
      </c>
      <c r="E14" s="31">
        <v>43692</v>
      </c>
      <c r="F14" s="31">
        <v>43692</v>
      </c>
      <c r="G14" s="32">
        <v>2000000</v>
      </c>
      <c r="H14" s="57">
        <f t="shared" ref="H14:H18" si="5">H13+1</f>
        <v>2</v>
      </c>
      <c r="I14" s="58"/>
      <c r="J14" s="73">
        <f t="shared" si="0"/>
        <v>2</v>
      </c>
      <c r="K14" s="33">
        <f t="shared" si="1"/>
        <v>0.97199351145940738</v>
      </c>
      <c r="L14" s="33">
        <f t="shared" si="2"/>
        <v>1.9439870229188148</v>
      </c>
      <c r="M14" s="33">
        <f t="shared" si="3"/>
        <v>-2.7473680698242307</v>
      </c>
      <c r="N14" s="34">
        <f t="shared" si="4"/>
        <v>-5.4947361396484616E-2</v>
      </c>
      <c r="O14" s="5"/>
      <c r="P14" s="5"/>
    </row>
    <row r="15" spans="1:16">
      <c r="A15" s="31">
        <v>43692</v>
      </c>
      <c r="B15" s="31">
        <v>44058</v>
      </c>
      <c r="C15" s="32">
        <v>100000000</v>
      </c>
      <c r="D15" s="33">
        <v>2</v>
      </c>
      <c r="E15" s="31">
        <v>44060</v>
      </c>
      <c r="F15" s="31">
        <v>44058</v>
      </c>
      <c r="G15" s="32">
        <v>2000000</v>
      </c>
      <c r="H15" s="57">
        <f t="shared" si="5"/>
        <v>3</v>
      </c>
      <c r="I15" s="58"/>
      <c r="J15" s="73">
        <f t="shared" si="0"/>
        <v>2</v>
      </c>
      <c r="K15" s="33">
        <f t="shared" si="1"/>
        <v>0.96236981332614613</v>
      </c>
      <c r="L15" s="33">
        <f t="shared" si="2"/>
        <v>1.9247396266522923</v>
      </c>
      <c r="M15" s="33">
        <f t="shared" si="3"/>
        <v>-3.6730078050993824</v>
      </c>
      <c r="N15" s="34">
        <f t="shared" si="4"/>
        <v>-7.3460156101987653E-2</v>
      </c>
      <c r="O15" s="5"/>
      <c r="P15" s="5"/>
    </row>
    <row r="16" spans="1:16">
      <c r="A16" s="31">
        <v>44058</v>
      </c>
      <c r="B16" s="31">
        <v>44423</v>
      </c>
      <c r="C16" s="32">
        <v>100000000</v>
      </c>
      <c r="D16" s="33">
        <v>2</v>
      </c>
      <c r="E16" s="31">
        <v>44424</v>
      </c>
      <c r="F16" s="31">
        <v>44423</v>
      </c>
      <c r="G16" s="32">
        <v>2000000</v>
      </c>
      <c r="H16" s="57">
        <f t="shared" si="5"/>
        <v>4</v>
      </c>
      <c r="I16" s="58"/>
      <c r="J16" s="73">
        <f t="shared" si="0"/>
        <v>2</v>
      </c>
      <c r="K16" s="33">
        <f t="shared" si="1"/>
        <v>0.95284139933281775</v>
      </c>
      <c r="L16" s="33">
        <f t="shared" si="2"/>
        <v>1.9056827986656355</v>
      </c>
      <c r="M16" s="33">
        <f t="shared" si="3"/>
        <v>-4.5800487172596043</v>
      </c>
      <c r="N16" s="34">
        <f t="shared" si="4"/>
        <v>-9.1600974345192085E-2</v>
      </c>
      <c r="O16" s="5"/>
      <c r="P16" s="5"/>
    </row>
    <row r="17" spans="1:16">
      <c r="A17" s="31">
        <v>44423</v>
      </c>
      <c r="B17" s="31">
        <v>44788</v>
      </c>
      <c r="C17" s="32">
        <v>100000000</v>
      </c>
      <c r="D17" s="33">
        <v>2</v>
      </c>
      <c r="E17" s="31">
        <v>44788</v>
      </c>
      <c r="F17" s="31">
        <v>44788</v>
      </c>
      <c r="G17" s="32">
        <v>2000000</v>
      </c>
      <c r="H17" s="57">
        <f t="shared" si="5"/>
        <v>5</v>
      </c>
      <c r="I17" s="58"/>
      <c r="J17" s="73">
        <f t="shared" si="0"/>
        <v>2</v>
      </c>
      <c r="K17" s="33">
        <f t="shared" si="1"/>
        <v>0.94340732607209676</v>
      </c>
      <c r="L17" s="33">
        <f t="shared" si="2"/>
        <v>1.8868146521441935</v>
      </c>
      <c r="M17" s="33">
        <f t="shared" si="3"/>
        <v>-5.4687683597343577</v>
      </c>
      <c r="N17" s="34">
        <f t="shared" si="4"/>
        <v>-0.10937536719468716</v>
      </c>
      <c r="O17" s="5"/>
      <c r="P17" s="5"/>
    </row>
    <row r="18" spans="1:16">
      <c r="A18" s="31">
        <v>44788</v>
      </c>
      <c r="B18" s="31">
        <v>45153</v>
      </c>
      <c r="C18" s="32">
        <v>100000000</v>
      </c>
      <c r="D18" s="33">
        <v>2</v>
      </c>
      <c r="E18" s="31">
        <v>45153</v>
      </c>
      <c r="F18" s="31">
        <v>45153</v>
      </c>
      <c r="G18" s="32">
        <v>2000000</v>
      </c>
      <c r="H18" s="57">
        <f t="shared" si="5"/>
        <v>6</v>
      </c>
      <c r="I18" s="58"/>
      <c r="J18" s="73">
        <f t="shared" si="0"/>
        <v>2</v>
      </c>
      <c r="K18" s="33">
        <f t="shared" si="1"/>
        <v>0.93406665947732359</v>
      </c>
      <c r="L18" s="33">
        <f t="shared" si="2"/>
        <v>1.8681333189546472</v>
      </c>
      <c r="M18" s="33">
        <f t="shared" si="3"/>
        <v>-6.339440613080872</v>
      </c>
      <c r="N18" s="34">
        <f t="shared" si="4"/>
        <v>-0.12678881226161745</v>
      </c>
      <c r="O18" s="5"/>
      <c r="P18" s="5"/>
    </row>
    <row r="19" spans="1:16">
      <c r="A19" s="33"/>
      <c r="B19" s="33"/>
      <c r="C19" s="33"/>
      <c r="D19" s="33"/>
      <c r="E19" s="33"/>
      <c r="F19" s="33"/>
      <c r="G19" s="33"/>
      <c r="H19" s="57">
        <f>H18</f>
        <v>6</v>
      </c>
      <c r="I19" s="65" t="s">
        <v>11</v>
      </c>
      <c r="J19" s="33">
        <v>100</v>
      </c>
      <c r="K19" s="33">
        <f t="shared" si="1"/>
        <v>0.93406665947732359</v>
      </c>
      <c r="L19" s="33">
        <f t="shared" si="2"/>
        <v>93.406665947732364</v>
      </c>
      <c r="M19" s="33">
        <f t="shared" si="3"/>
        <v>-6.339440613080872</v>
      </c>
      <c r="N19" s="34">
        <f t="shared" si="4"/>
        <v>-6.339440613080872</v>
      </c>
      <c r="O19" s="5"/>
      <c r="P19" s="5"/>
    </row>
    <row r="20" spans="1:16" ht="15.75" thickBot="1">
      <c r="A20" s="42"/>
      <c r="B20" s="42"/>
      <c r="C20" s="42"/>
      <c r="D20" s="42"/>
      <c r="E20" s="42"/>
      <c r="F20" s="42"/>
      <c r="G20" s="42"/>
      <c r="H20" s="66"/>
      <c r="I20" s="42"/>
      <c r="J20" s="42"/>
      <c r="K20" s="29" t="s">
        <v>12</v>
      </c>
      <c r="L20" s="39">
        <f>SUM(L10:L19)</f>
        <v>106.88251142229544</v>
      </c>
      <c r="M20" s="29" t="s">
        <v>21</v>
      </c>
      <c r="N20" s="40">
        <f>SUM(N10:N19)</f>
        <v>-6.8484535146596963</v>
      </c>
      <c r="O20" s="5"/>
      <c r="P20" s="5"/>
    </row>
    <row r="21" spans="1:16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1:1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23"/>
  <sheetViews>
    <sheetView showGridLines="0" zoomScaleNormal="100" workbookViewId="0">
      <selection activeCell="B7" sqref="B7"/>
    </sheetView>
  </sheetViews>
  <sheetFormatPr defaultRowHeight="15"/>
  <cols>
    <col min="1" max="1" width="16.85546875" bestFit="1" customWidth="1"/>
    <col min="2" max="2" width="12" bestFit="1" customWidth="1"/>
    <col min="3" max="3" width="10.85546875" bestFit="1" customWidth="1"/>
    <col min="4" max="4" width="11.140625" bestFit="1" customWidth="1"/>
    <col min="5" max="5" width="14.5703125" bestFit="1" customWidth="1"/>
    <col min="6" max="6" width="10.7109375" bestFit="1" customWidth="1"/>
    <col min="7" max="8" width="11.7109375" bestFit="1" customWidth="1"/>
    <col min="9" max="9" width="8.5703125" customWidth="1"/>
    <col min="10" max="10" width="12" bestFit="1" customWidth="1"/>
    <col min="11" max="11" width="11" bestFit="1" customWidth="1"/>
    <col min="12" max="13" width="12" bestFit="1" customWidth="1"/>
    <col min="14" max="14" width="12.7109375" bestFit="1" customWidth="1"/>
    <col min="15" max="15" width="2" bestFit="1" customWidth="1"/>
  </cols>
  <sheetData>
    <row r="1" spans="1:15">
      <c r="A1" s="3" t="s">
        <v>16</v>
      </c>
      <c r="B1" s="1">
        <v>100000000</v>
      </c>
      <c r="D1" t="s">
        <v>18</v>
      </c>
      <c r="E1" t="s">
        <v>41</v>
      </c>
      <c r="H1" s="3" t="s">
        <v>13</v>
      </c>
      <c r="I1" s="4">
        <v>0.41304347826087701</v>
      </c>
    </row>
    <row r="2" spans="1:15">
      <c r="A2" s="3" t="s">
        <v>10</v>
      </c>
      <c r="B2" s="9">
        <v>42626</v>
      </c>
      <c r="H2" s="3" t="s">
        <v>14</v>
      </c>
      <c r="I2" s="44">
        <v>103.71272186478799</v>
      </c>
      <c r="J2" s="3" t="s">
        <v>22</v>
      </c>
    </row>
    <row r="3" spans="1:15">
      <c r="A3" t="s">
        <v>19</v>
      </c>
      <c r="B3" s="62">
        <v>42625</v>
      </c>
      <c r="D3" s="46"/>
      <c r="H3" s="3" t="s">
        <v>15</v>
      </c>
      <c r="I3" s="44">
        <f>I2+I1</f>
        <v>104.12576534304887</v>
      </c>
      <c r="J3" s="45">
        <f>I3-K23</f>
        <v>-2.2663297710579684</v>
      </c>
    </row>
    <row r="4" spans="1:15" ht="15.75" thickBot="1">
      <c r="A4" s="3" t="s">
        <v>20</v>
      </c>
      <c r="B4" s="90">
        <v>0.40300996</v>
      </c>
      <c r="D4" s="47"/>
      <c r="H4" s="3" t="s">
        <v>24</v>
      </c>
      <c r="I4">
        <v>-3.7928138088776899</v>
      </c>
      <c r="J4" s="6">
        <f>I4-M23</f>
        <v>0.16243359336980134</v>
      </c>
      <c r="K4" s="41"/>
    </row>
    <row r="5" spans="1:15">
      <c r="A5" s="3" t="s">
        <v>33</v>
      </c>
      <c r="B5">
        <v>2</v>
      </c>
      <c r="D5" s="47"/>
    </row>
    <row r="6" spans="1:15">
      <c r="A6" s="3"/>
      <c r="D6" s="47"/>
    </row>
    <row r="7" spans="1:15">
      <c r="A7" s="5" t="s">
        <v>30</v>
      </c>
      <c r="B7" s="5">
        <f>(B14-B2)/(B14-A14)</f>
        <v>0.71195652173913049</v>
      </c>
      <c r="D7" s="47"/>
    </row>
    <row r="8" spans="1:15" ht="15.75" thickBot="1">
      <c r="A8" s="3"/>
      <c r="D8" s="47"/>
    </row>
    <row r="9" spans="1:15">
      <c r="A9" s="23" t="s">
        <v>1</v>
      </c>
      <c r="B9" s="23" t="s">
        <v>1</v>
      </c>
      <c r="C9" s="23" t="s">
        <v>2</v>
      </c>
      <c r="D9" s="23" t="s">
        <v>3</v>
      </c>
      <c r="E9" s="23" t="s">
        <v>4</v>
      </c>
      <c r="F9" s="23" t="s">
        <v>1</v>
      </c>
      <c r="G9" s="23"/>
      <c r="H9" s="18"/>
      <c r="I9" s="23"/>
      <c r="J9" s="23"/>
      <c r="K9" s="23"/>
      <c r="L9" s="19"/>
      <c r="M9" s="20"/>
    </row>
    <row r="10" spans="1:15" ht="30.75" thickBot="1">
      <c r="A10" s="26" t="s">
        <v>5</v>
      </c>
      <c r="B10" s="26" t="s">
        <v>6</v>
      </c>
      <c r="C10" s="26" t="s">
        <v>7</v>
      </c>
      <c r="D10" s="26"/>
      <c r="E10" s="26" t="s">
        <v>8</v>
      </c>
      <c r="F10" s="26" t="s">
        <v>9</v>
      </c>
      <c r="G10" s="26" t="s">
        <v>0</v>
      </c>
      <c r="H10" s="27" t="s">
        <v>28</v>
      </c>
      <c r="I10" s="26" t="s">
        <v>26</v>
      </c>
      <c r="J10" s="26" t="s">
        <v>23</v>
      </c>
      <c r="K10" s="36" t="s">
        <v>27</v>
      </c>
      <c r="L10" s="35"/>
      <c r="M10" s="37"/>
    </row>
    <row r="11" spans="1:15">
      <c r="A11" s="67">
        <v>41885</v>
      </c>
      <c r="B11" s="67">
        <v>42207</v>
      </c>
      <c r="C11" s="68">
        <v>100000000</v>
      </c>
      <c r="D11" s="69">
        <v>2</v>
      </c>
      <c r="E11" s="67">
        <v>42207</v>
      </c>
      <c r="F11" s="67">
        <v>42199</v>
      </c>
      <c r="G11" s="70">
        <v>1766304.35</v>
      </c>
      <c r="H11" s="71"/>
      <c r="I11" s="69"/>
      <c r="J11" s="69"/>
      <c r="K11" s="69"/>
      <c r="L11" s="69"/>
      <c r="M11" s="72"/>
      <c r="O11" s="2"/>
    </row>
    <row r="12" spans="1:15">
      <c r="A12" s="9">
        <v>42207</v>
      </c>
      <c r="B12" s="9">
        <v>42391</v>
      </c>
      <c r="C12" s="10">
        <v>100000000</v>
      </c>
      <c r="D12" s="8">
        <v>2</v>
      </c>
      <c r="E12" s="9">
        <v>42391</v>
      </c>
      <c r="F12" s="9">
        <v>42383</v>
      </c>
      <c r="G12" s="10">
        <v>1000000</v>
      </c>
      <c r="H12" s="7"/>
      <c r="I12" s="8"/>
      <c r="J12" s="33"/>
      <c r="K12" s="33"/>
      <c r="L12" s="33"/>
      <c r="M12" s="34"/>
      <c r="O12" s="2"/>
    </row>
    <row r="13" spans="1:15">
      <c r="A13" s="9">
        <v>42391</v>
      </c>
      <c r="B13" s="9">
        <v>42573</v>
      </c>
      <c r="C13" s="10">
        <v>100000000</v>
      </c>
      <c r="D13" s="8">
        <v>2</v>
      </c>
      <c r="E13" s="9">
        <v>42573</v>
      </c>
      <c r="F13" s="9">
        <v>42565</v>
      </c>
      <c r="G13" s="10">
        <v>1000000</v>
      </c>
      <c r="H13" s="7"/>
      <c r="I13" s="8"/>
      <c r="J13" s="33"/>
      <c r="K13" s="33"/>
      <c r="L13" s="33"/>
      <c r="M13" s="34"/>
      <c r="O13" s="2"/>
    </row>
    <row r="14" spans="1:15">
      <c r="A14" s="12">
        <v>42573</v>
      </c>
      <c r="B14" s="12">
        <v>42757</v>
      </c>
      <c r="C14" s="13">
        <v>100000000</v>
      </c>
      <c r="D14" s="14">
        <v>2</v>
      </c>
      <c r="E14" s="12">
        <v>42758</v>
      </c>
      <c r="F14" s="12">
        <v>42748</v>
      </c>
      <c r="G14" s="13">
        <v>1000000</v>
      </c>
      <c r="H14" s="11">
        <v>0</v>
      </c>
      <c r="I14" s="14">
        <f t="shared" ref="I14:I21" si="0">G14/$B$1*100</f>
        <v>1</v>
      </c>
      <c r="J14" s="14">
        <f t="shared" ref="J14:J22" si="1">1/(1+Yield/Period*0.01)^(H14+$B$7)</f>
        <v>0.99856784215598826</v>
      </c>
      <c r="K14" s="14">
        <f>J14*I14</f>
        <v>0.99856784215598826</v>
      </c>
      <c r="L14" s="14">
        <f t="shared" ref="L14:L22" si="2">-1/Period*(H14+$B$7)*1/(1+Yield/Period*0.01)^(H14+$B$7+1)</f>
        <v>-0.35475359764497938</v>
      </c>
      <c r="M14" s="15">
        <f t="shared" ref="M14:M17" si="3">L14*I14*0.01</f>
        <v>-3.5475359764497939E-3</v>
      </c>
      <c r="O14" s="2"/>
    </row>
    <row r="15" spans="1:15">
      <c r="A15" s="9">
        <v>42757</v>
      </c>
      <c r="B15" s="9">
        <v>42938</v>
      </c>
      <c r="C15" s="10">
        <v>100000000</v>
      </c>
      <c r="D15" s="8">
        <v>2</v>
      </c>
      <c r="E15" s="9">
        <v>42940</v>
      </c>
      <c r="F15" s="9">
        <v>42930</v>
      </c>
      <c r="G15" s="10">
        <v>1000000</v>
      </c>
      <c r="H15" s="7">
        <f t="shared" ref="H15:H21" si="4">H14+1</f>
        <v>1</v>
      </c>
      <c r="I15" s="8">
        <f t="shared" si="0"/>
        <v>1</v>
      </c>
      <c r="J15" s="8">
        <f t="shared" si="1"/>
        <v>0.99655972468207943</v>
      </c>
      <c r="K15" s="33">
        <f t="shared" ref="K15:K20" si="5">J15*I15</f>
        <v>0.99655972468207943</v>
      </c>
      <c r="L15" s="33">
        <f t="shared" si="2"/>
        <v>-0.85131801179661193</v>
      </c>
      <c r="M15" s="34">
        <f t="shared" si="3"/>
        <v>-8.5131801179661199E-3</v>
      </c>
      <c r="O15" s="2"/>
    </row>
    <row r="16" spans="1:15">
      <c r="A16" s="9">
        <v>42938</v>
      </c>
      <c r="B16" s="9">
        <v>43122</v>
      </c>
      <c r="C16" s="10">
        <v>100000000</v>
      </c>
      <c r="D16" s="8">
        <v>2</v>
      </c>
      <c r="E16" s="9">
        <v>43122</v>
      </c>
      <c r="F16" s="9">
        <v>43112</v>
      </c>
      <c r="G16" s="10">
        <v>1000000</v>
      </c>
      <c r="H16" s="7">
        <f t="shared" si="4"/>
        <v>2</v>
      </c>
      <c r="I16" s="8">
        <f t="shared" si="0"/>
        <v>1</v>
      </c>
      <c r="J16" s="8">
        <f t="shared" si="1"/>
        <v>0.99455564552747044</v>
      </c>
      <c r="K16" s="33">
        <f>J16*I16</f>
        <v>0.99455564552747044</v>
      </c>
      <c r="L16" s="33">
        <f t="shared" si="2"/>
        <v>-1.3458838116548488</v>
      </c>
      <c r="M16" s="34">
        <f t="shared" si="3"/>
        <v>-1.3458838116548489E-2</v>
      </c>
      <c r="O16" s="2"/>
    </row>
    <row r="17" spans="1:15">
      <c r="A17" s="9">
        <v>43122</v>
      </c>
      <c r="B17" s="9">
        <v>43303</v>
      </c>
      <c r="C17" s="10">
        <v>100000000</v>
      </c>
      <c r="D17" s="8">
        <v>2</v>
      </c>
      <c r="E17" s="9">
        <v>43304</v>
      </c>
      <c r="F17" s="9">
        <v>43294</v>
      </c>
      <c r="G17" s="10">
        <v>1000000</v>
      </c>
      <c r="H17" s="7">
        <f t="shared" si="4"/>
        <v>3</v>
      </c>
      <c r="I17" s="8">
        <f t="shared" si="0"/>
        <v>1</v>
      </c>
      <c r="J17" s="8">
        <f t="shared" si="1"/>
        <v>0.99255559657111103</v>
      </c>
      <c r="K17" s="33">
        <f t="shared" si="5"/>
        <v>0.99255559657111103</v>
      </c>
      <c r="L17" s="33">
        <f t="shared" si="2"/>
        <v>-1.8384570274748822</v>
      </c>
      <c r="M17" s="34">
        <f t="shared" si="3"/>
        <v>-1.838457027474882E-2</v>
      </c>
      <c r="O17" s="2"/>
    </row>
    <row r="18" spans="1:15">
      <c r="A18" s="31">
        <v>43303</v>
      </c>
      <c r="B18" s="31">
        <v>43487</v>
      </c>
      <c r="C18" s="32">
        <v>100000000</v>
      </c>
      <c r="D18" s="33">
        <v>2</v>
      </c>
      <c r="E18" s="31">
        <v>43487</v>
      </c>
      <c r="F18" s="31">
        <v>43479</v>
      </c>
      <c r="G18" s="32">
        <v>1000000</v>
      </c>
      <c r="H18" s="7">
        <f t="shared" si="4"/>
        <v>4</v>
      </c>
      <c r="I18" s="33">
        <f t="shared" si="0"/>
        <v>1</v>
      </c>
      <c r="J18" s="8">
        <f t="shared" si="1"/>
        <v>0.99055956970828207</v>
      </c>
      <c r="K18" s="33">
        <f t="shared" si="5"/>
        <v>0.99055956970828207</v>
      </c>
      <c r="L18" s="33">
        <f t="shared" si="2"/>
        <v>-2.329043673340867</v>
      </c>
      <c r="M18" s="34">
        <f>L18*I18*0.01</f>
        <v>-2.3290436733408672E-2</v>
      </c>
      <c r="O18" s="2"/>
    </row>
    <row r="19" spans="1:15">
      <c r="A19" s="9">
        <v>43487</v>
      </c>
      <c r="B19" s="9">
        <v>43668</v>
      </c>
      <c r="C19" s="10">
        <v>100000000</v>
      </c>
      <c r="D19" s="8">
        <v>2</v>
      </c>
      <c r="E19" s="9">
        <v>43668</v>
      </c>
      <c r="F19" s="9">
        <v>43658</v>
      </c>
      <c r="G19" s="10">
        <v>1000000</v>
      </c>
      <c r="H19" s="7">
        <f t="shared" si="4"/>
        <v>5</v>
      </c>
      <c r="I19" s="8">
        <f t="shared" si="0"/>
        <v>1</v>
      </c>
      <c r="J19" s="8">
        <f t="shared" si="1"/>
        <v>0.98856755685056408</v>
      </c>
      <c r="K19" s="33">
        <f t="shared" si="5"/>
        <v>0.98856755685056408</v>
      </c>
      <c r="L19" s="33">
        <f t="shared" si="2"/>
        <v>-2.8176497472065702</v>
      </c>
      <c r="M19" s="34">
        <f t="shared" ref="M19:M22" si="6">L19*I19*0.01</f>
        <v>-2.8176497472065704E-2</v>
      </c>
      <c r="O19" s="2"/>
    </row>
    <row r="20" spans="1:15">
      <c r="A20" s="9">
        <v>43668</v>
      </c>
      <c r="B20" s="9">
        <v>43852</v>
      </c>
      <c r="C20" s="10">
        <v>100000000</v>
      </c>
      <c r="D20" s="8">
        <v>2</v>
      </c>
      <c r="E20" s="9">
        <v>43852</v>
      </c>
      <c r="F20" s="9">
        <v>43844</v>
      </c>
      <c r="G20" s="10">
        <v>1000000</v>
      </c>
      <c r="H20" s="7">
        <f t="shared" si="4"/>
        <v>6</v>
      </c>
      <c r="I20" s="8">
        <f t="shared" si="0"/>
        <v>1</v>
      </c>
      <c r="J20" s="8">
        <f t="shared" si="1"/>
        <v>0.98657954992580177</v>
      </c>
      <c r="K20" s="33">
        <f t="shared" si="5"/>
        <v>0.98657954992580177</v>
      </c>
      <c r="L20" s="33">
        <f t="shared" si="2"/>
        <v>-3.3042812309359295</v>
      </c>
      <c r="M20" s="34">
        <f t="shared" si="6"/>
        <v>-3.3042812309359293E-2</v>
      </c>
      <c r="O20" s="2"/>
    </row>
    <row r="21" spans="1:15">
      <c r="A21" s="9">
        <v>43852</v>
      </c>
      <c r="B21" s="9">
        <v>44034</v>
      </c>
      <c r="C21" s="10">
        <v>100000000</v>
      </c>
      <c r="D21" s="8">
        <v>2</v>
      </c>
      <c r="E21" s="9">
        <v>44034</v>
      </c>
      <c r="F21" s="9">
        <v>44026</v>
      </c>
      <c r="G21" s="10">
        <v>1000000</v>
      </c>
      <c r="H21" s="7">
        <f t="shared" si="4"/>
        <v>7</v>
      </c>
      <c r="I21" s="8">
        <f t="shared" si="0"/>
        <v>1</v>
      </c>
      <c r="J21" s="8">
        <f t="shared" si="1"/>
        <v>0.98459554087807455</v>
      </c>
      <c r="K21" s="33">
        <f>J21*I21</f>
        <v>0.98459554087807455</v>
      </c>
      <c r="L21" s="33">
        <f t="shared" si="2"/>
        <v>-3.7889440903435094</v>
      </c>
      <c r="M21" s="34">
        <f t="shared" si="6"/>
        <v>-3.7889440903435094E-2</v>
      </c>
      <c r="O21" s="2"/>
    </row>
    <row r="22" spans="1:15">
      <c r="A22" s="8"/>
      <c r="B22" s="8"/>
      <c r="C22" s="8"/>
      <c r="D22" s="8"/>
      <c r="E22" s="8"/>
      <c r="F22" s="8"/>
      <c r="G22" s="8"/>
      <c r="H22" s="43">
        <f>H21</f>
        <v>7</v>
      </c>
      <c r="I22" s="8">
        <v>100</v>
      </c>
      <c r="J22" s="8">
        <f t="shared" si="1"/>
        <v>0.98459554087807455</v>
      </c>
      <c r="K22" s="33">
        <f>J22*I22</f>
        <v>98.459554087807462</v>
      </c>
      <c r="L22" s="33">
        <f t="shared" si="2"/>
        <v>-3.7889440903435094</v>
      </c>
      <c r="M22" s="34">
        <f t="shared" si="6"/>
        <v>-3.7889440903435094</v>
      </c>
      <c r="O22" s="2"/>
    </row>
    <row r="23" spans="1:15" ht="15.75" thickBot="1">
      <c r="A23" s="17"/>
      <c r="B23" s="17"/>
      <c r="C23" s="17"/>
      <c r="D23" s="17"/>
      <c r="E23" s="17"/>
      <c r="F23" s="17"/>
      <c r="G23" s="17"/>
      <c r="H23" s="16"/>
      <c r="I23" s="17"/>
      <c r="J23" s="29" t="s">
        <v>12</v>
      </c>
      <c r="K23" s="39">
        <f>SUM(K11:K22)</f>
        <v>106.39209511410684</v>
      </c>
      <c r="L23" s="29" t="s">
        <v>21</v>
      </c>
      <c r="M23" s="40">
        <f>SUM(M11:M22)</f>
        <v>-3.9552474022474913</v>
      </c>
      <c r="O23" s="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24"/>
  <sheetViews>
    <sheetView showGridLines="0" zoomScaleNormal="100" workbookViewId="0">
      <selection activeCell="I8" sqref="I8"/>
    </sheetView>
  </sheetViews>
  <sheetFormatPr defaultRowHeight="15"/>
  <cols>
    <col min="1" max="1" width="16.85546875" bestFit="1" customWidth="1"/>
    <col min="2" max="2" width="12" bestFit="1" customWidth="1"/>
    <col min="3" max="3" width="10.85546875" bestFit="1" customWidth="1"/>
    <col min="4" max="4" width="11.140625" bestFit="1" customWidth="1"/>
    <col min="5" max="5" width="14.5703125" bestFit="1" customWidth="1"/>
    <col min="6" max="6" width="10.7109375" bestFit="1" customWidth="1"/>
    <col min="7" max="7" width="12" bestFit="1" customWidth="1"/>
    <col min="8" max="8" width="11" bestFit="1" customWidth="1"/>
    <col min="9" max="9" width="18.5703125" customWidth="1"/>
    <col min="10" max="10" width="12" bestFit="1" customWidth="1"/>
    <col min="11" max="11" width="11" bestFit="1" customWidth="1"/>
    <col min="12" max="14" width="12.7109375" bestFit="1" customWidth="1"/>
    <col min="15" max="15" width="11.5703125" customWidth="1"/>
    <col min="16" max="16" width="12" bestFit="1" customWidth="1"/>
  </cols>
  <sheetData>
    <row r="1" spans="1:17">
      <c r="A1" s="3" t="s">
        <v>16</v>
      </c>
      <c r="B1" s="1">
        <v>100000000</v>
      </c>
      <c r="D1" t="s">
        <v>18</v>
      </c>
      <c r="E1" t="s">
        <v>34</v>
      </c>
      <c r="H1" s="3" t="s">
        <v>13</v>
      </c>
      <c r="I1" s="4">
        <v>0.28804347826086901</v>
      </c>
      <c r="L1" s="47"/>
      <c r="M1" s="47"/>
      <c r="O1" s="93">
        <f>FirstEndDate-A11</f>
        <v>322</v>
      </c>
      <c r="P1">
        <f>O1/365</f>
        <v>0.88219178082191785</v>
      </c>
      <c r="Q1">
        <f>P1*2%/2*B1</f>
        <v>882191.78082191793</v>
      </c>
    </row>
    <row r="2" spans="1:17">
      <c r="A2" s="3" t="s">
        <v>10</v>
      </c>
      <c r="B2" s="9">
        <v>42626</v>
      </c>
      <c r="H2" s="3" t="s">
        <v>14</v>
      </c>
      <c r="I2" s="44">
        <v>103.71272186478799</v>
      </c>
      <c r="J2" s="3" t="s">
        <v>22</v>
      </c>
    </row>
    <row r="3" spans="1:17">
      <c r="A3" t="s">
        <v>19</v>
      </c>
      <c r="B3" s="62">
        <v>42625</v>
      </c>
      <c r="D3" s="46"/>
      <c r="H3" s="3" t="s">
        <v>15</v>
      </c>
      <c r="I3" s="44">
        <f>I2+I1</f>
        <v>104.00076534304887</v>
      </c>
      <c r="J3" s="45">
        <f>I3-K24</f>
        <v>-2.9979400353363985</v>
      </c>
    </row>
    <row r="4" spans="1:17">
      <c r="A4" s="3" t="s">
        <v>20</v>
      </c>
      <c r="B4" s="91">
        <v>0.25014510000000001</v>
      </c>
      <c r="D4" s="47"/>
      <c r="H4" s="3" t="s">
        <v>24</v>
      </c>
      <c r="I4">
        <v>-3.7928138088776899</v>
      </c>
      <c r="J4" s="6">
        <f>I4-M24</f>
        <v>0.18852688642996096</v>
      </c>
      <c r="K4" s="41"/>
      <c r="L4" s="92"/>
    </row>
    <row r="5" spans="1:17">
      <c r="A5" s="3" t="s">
        <v>33</v>
      </c>
      <c r="B5">
        <v>2</v>
      </c>
      <c r="D5" s="47"/>
      <c r="H5" s="3" t="s">
        <v>14</v>
      </c>
      <c r="I5" s="4">
        <f>K24-I1</f>
        <v>106.71066190012439</v>
      </c>
    </row>
    <row r="6" spans="1:17">
      <c r="A6" s="3"/>
      <c r="D6" s="47"/>
    </row>
    <row r="7" spans="1:17" ht="15.75" thickBot="1">
      <c r="A7" s="5" t="s">
        <v>30</v>
      </c>
      <c r="B7" s="5">
        <f>(B15-B2)/(B15-A15)</f>
        <v>0.71195652173913049</v>
      </c>
      <c r="C7" s="93">
        <f>B15-B2</f>
        <v>131</v>
      </c>
      <c r="D7" s="47">
        <f>B15-A15</f>
        <v>184</v>
      </c>
      <c r="E7">
        <f>C7/D7</f>
        <v>0.71195652173913049</v>
      </c>
      <c r="F7">
        <f>1+Yield*0.01/Period</f>
        <v>1.0012507255</v>
      </c>
      <c r="G7">
        <f>F7^(B7+0)</f>
        <v>1.0008903018622717</v>
      </c>
      <c r="H7">
        <f>1/G7</f>
        <v>0.99911049007007546</v>
      </c>
    </row>
    <row r="8" spans="1:17" ht="15.75" thickBot="1">
      <c r="A8" s="95">
        <v>41842</v>
      </c>
      <c r="D8" s="47"/>
      <c r="G8" s="70">
        <v>1766304.35</v>
      </c>
      <c r="I8">
        <f>(G11+G12)*C11/100</f>
        <v>1766304.3478260869</v>
      </c>
    </row>
    <row r="9" spans="1:17">
      <c r="A9" s="23" t="s">
        <v>1</v>
      </c>
      <c r="B9" s="23" t="s">
        <v>1</v>
      </c>
      <c r="C9" s="23" t="s">
        <v>2</v>
      </c>
      <c r="D9" s="23" t="s">
        <v>3</v>
      </c>
      <c r="E9" s="23" t="s">
        <v>4</v>
      </c>
      <c r="F9" s="23" t="s">
        <v>1</v>
      </c>
      <c r="G9" s="23"/>
      <c r="H9" s="18"/>
      <c r="I9" s="23"/>
      <c r="J9" s="23"/>
      <c r="K9" s="23"/>
      <c r="L9" s="19"/>
      <c r="M9" s="20"/>
      <c r="O9">
        <f>(B11-A11)/(B11-A8)</f>
        <v>0.76630434782608692</v>
      </c>
    </row>
    <row r="10" spans="1:17" ht="30.75" thickBot="1">
      <c r="A10" s="26" t="s">
        <v>5</v>
      </c>
      <c r="B10" s="26" t="s">
        <v>6</v>
      </c>
      <c r="C10" s="26" t="s">
        <v>7</v>
      </c>
      <c r="D10" s="26"/>
      <c r="E10" s="26" t="s">
        <v>8</v>
      </c>
      <c r="F10" s="26" t="s">
        <v>9</v>
      </c>
      <c r="G10" s="26" t="s">
        <v>0</v>
      </c>
      <c r="H10" s="27" t="s">
        <v>28</v>
      </c>
      <c r="I10" s="26" t="s">
        <v>26</v>
      </c>
      <c r="J10" s="26" t="s">
        <v>23</v>
      </c>
      <c r="K10" s="36" t="s">
        <v>27</v>
      </c>
      <c r="L10" s="35"/>
      <c r="M10" s="37"/>
    </row>
    <row r="11" spans="1:17" ht="15.75" thickBot="1">
      <c r="A11" s="67">
        <v>41885</v>
      </c>
      <c r="B11" s="92">
        <v>42026</v>
      </c>
      <c r="C11" s="68">
        <v>100000000</v>
      </c>
      <c r="D11">
        <v>2</v>
      </c>
      <c r="G11">
        <f>D11*(B11-A11)/(B11-A8)/2</f>
        <v>0.76630434782608692</v>
      </c>
      <c r="H11" s="71"/>
      <c r="I11" s="69"/>
      <c r="J11" s="69"/>
      <c r="K11" s="69"/>
      <c r="L11" s="69"/>
      <c r="M11" s="72"/>
      <c r="O11" s="2"/>
    </row>
    <row r="12" spans="1:17">
      <c r="A12" s="49">
        <v>42026</v>
      </c>
      <c r="B12" s="67">
        <v>42207</v>
      </c>
      <c r="C12" s="68">
        <v>100000000</v>
      </c>
      <c r="D12" s="69">
        <v>2</v>
      </c>
      <c r="E12" s="67">
        <v>42207</v>
      </c>
      <c r="F12" s="67">
        <v>42199</v>
      </c>
      <c r="G12" s="94">
        <f>D12/2*(FirstEndDate-A12)/(FirstEndDate-A12)</f>
        <v>1</v>
      </c>
      <c r="H12" s="38"/>
      <c r="I12" s="51"/>
      <c r="J12" s="51"/>
      <c r="K12" s="51"/>
      <c r="L12" s="51"/>
      <c r="M12" s="53"/>
      <c r="O12" s="2"/>
    </row>
    <row r="13" spans="1:17">
      <c r="A13" s="9">
        <v>42207</v>
      </c>
      <c r="B13" s="9">
        <v>42391</v>
      </c>
      <c r="C13" s="10">
        <v>100000000</v>
      </c>
      <c r="D13" s="8">
        <v>2</v>
      </c>
      <c r="E13" s="9">
        <v>42391</v>
      </c>
      <c r="F13" s="9">
        <v>42383</v>
      </c>
      <c r="G13" s="10">
        <v>1000000</v>
      </c>
      <c r="H13" s="7"/>
      <c r="I13" s="8"/>
      <c r="J13" s="33"/>
      <c r="K13" s="33"/>
      <c r="L13" s="33"/>
      <c r="M13" s="34"/>
      <c r="O13" s="2"/>
    </row>
    <row r="14" spans="1:17">
      <c r="A14" s="9">
        <v>42391</v>
      </c>
      <c r="B14" s="9">
        <v>42573</v>
      </c>
      <c r="C14" s="10">
        <v>100000000</v>
      </c>
      <c r="D14" s="8">
        <v>2</v>
      </c>
      <c r="E14" s="9">
        <v>42573</v>
      </c>
      <c r="F14" s="9">
        <v>42565</v>
      </c>
      <c r="G14" s="10">
        <v>1000000</v>
      </c>
      <c r="H14" s="7"/>
      <c r="I14" s="8"/>
      <c r="J14" s="33"/>
      <c r="K14" s="33"/>
      <c r="L14" s="33"/>
      <c r="M14" s="34"/>
      <c r="O14" s="2"/>
    </row>
    <row r="15" spans="1:17">
      <c r="A15" s="12">
        <v>42573</v>
      </c>
      <c r="B15" s="12">
        <v>42757</v>
      </c>
      <c r="C15" s="13">
        <v>100000000</v>
      </c>
      <c r="D15" s="14">
        <v>2</v>
      </c>
      <c r="E15" s="12">
        <v>42758</v>
      </c>
      <c r="F15" s="12">
        <v>42747</v>
      </c>
      <c r="G15" s="13">
        <v>1000000</v>
      </c>
      <c r="H15" s="11">
        <v>0</v>
      </c>
      <c r="I15" s="14">
        <f>G15/$B$1*100</f>
        <v>1</v>
      </c>
      <c r="J15" s="14">
        <f t="shared" ref="J15:J23" si="0">1/(1+Yield/Period*0.01)^(H15+$B$7)</f>
        <v>0.99911049007007546</v>
      </c>
      <c r="K15" s="14">
        <f>J15*I15</f>
        <v>0.99911049007007546</v>
      </c>
      <c r="L15" s="14">
        <f t="shared" ref="L15:L23" si="1">-1/Period*(H15+$B$7)*1/(1+Yield/Period*0.01)^(H15+$B$7+1)</f>
        <v>-0.35521733529239213</v>
      </c>
      <c r="M15" s="15">
        <f t="shared" ref="M15:M18" si="2">L15*I15*0.01</f>
        <v>-3.5521733529239215E-3</v>
      </c>
      <c r="O15" s="2"/>
    </row>
    <row r="16" spans="1:17">
      <c r="A16" s="9">
        <v>42757</v>
      </c>
      <c r="B16" s="9">
        <v>42938</v>
      </c>
      <c r="C16" s="10">
        <v>100000000</v>
      </c>
      <c r="D16" s="8">
        <v>2</v>
      </c>
      <c r="E16" s="9">
        <v>42940</v>
      </c>
      <c r="F16" s="9">
        <v>42930</v>
      </c>
      <c r="G16" s="10">
        <v>1000000</v>
      </c>
      <c r="H16" s="7">
        <f t="shared" ref="H16:H22" si="3">H15+1</f>
        <v>1</v>
      </c>
      <c r="I16" s="8">
        <f t="shared" ref="I15:I22" si="4">G16/$B$1*100</f>
        <v>1</v>
      </c>
      <c r="J16" s="8">
        <f t="shared" si="0"/>
        <v>0.99786243807328479</v>
      </c>
      <c r="K16" s="33">
        <f t="shared" ref="K16:K21" si="5">J16*I16</f>
        <v>0.99786243807328479</v>
      </c>
      <c r="L16" s="33">
        <f t="shared" si="1"/>
        <v>-0.85308158343904705</v>
      </c>
      <c r="M16" s="34">
        <f t="shared" si="2"/>
        <v>-8.5308158343904705E-3</v>
      </c>
      <c r="O16" s="2"/>
    </row>
    <row r="17" spans="1:15">
      <c r="A17" s="9">
        <v>42938</v>
      </c>
      <c r="B17" s="9">
        <v>43122</v>
      </c>
      <c r="C17" s="10">
        <v>100000000</v>
      </c>
      <c r="D17" s="8">
        <v>2</v>
      </c>
      <c r="E17" s="9">
        <v>43122</v>
      </c>
      <c r="F17" s="9">
        <v>43112</v>
      </c>
      <c r="G17" s="10">
        <v>1000000</v>
      </c>
      <c r="H17" s="7">
        <f t="shared" si="3"/>
        <v>2</v>
      </c>
      <c r="I17" s="8">
        <f t="shared" si="4"/>
        <v>1</v>
      </c>
      <c r="J17" s="8">
        <f t="shared" si="0"/>
        <v>0.99661594509704543</v>
      </c>
      <c r="K17" s="33">
        <f>J17*I17</f>
        <v>0.99661594509704543</v>
      </c>
      <c r="L17" s="33">
        <f t="shared" si="1"/>
        <v>-1.349701449966709</v>
      </c>
      <c r="M17" s="34">
        <f t="shared" si="2"/>
        <v>-1.3497014499667091E-2</v>
      </c>
      <c r="O17" s="2"/>
    </row>
    <row r="18" spans="1:15">
      <c r="A18" s="9">
        <v>43122</v>
      </c>
      <c r="B18" s="9">
        <v>43303</v>
      </c>
      <c r="C18" s="10">
        <v>100000000</v>
      </c>
      <c r="D18" s="8">
        <v>2</v>
      </c>
      <c r="E18" s="9">
        <v>43304</v>
      </c>
      <c r="F18" s="9">
        <v>43294</v>
      </c>
      <c r="G18" s="10">
        <v>1000000</v>
      </c>
      <c r="H18" s="7">
        <f t="shared" si="3"/>
        <v>3</v>
      </c>
      <c r="I18" s="8">
        <f t="shared" si="4"/>
        <v>1</v>
      </c>
      <c r="J18" s="8">
        <f t="shared" si="0"/>
        <v>0.99537100919388566</v>
      </c>
      <c r="K18" s="33">
        <f t="shared" si="5"/>
        <v>0.99537100919388566</v>
      </c>
      <c r="L18" s="33">
        <f t="shared" si="1"/>
        <v>-1.8450792668750498</v>
      </c>
      <c r="M18" s="34">
        <f t="shared" si="2"/>
        <v>-1.8450792668750497E-2</v>
      </c>
      <c r="O18" s="2"/>
    </row>
    <row r="19" spans="1:15">
      <c r="A19" s="31">
        <v>43303</v>
      </c>
      <c r="B19" s="31">
        <v>43487</v>
      </c>
      <c r="C19" s="32">
        <v>100000000</v>
      </c>
      <c r="D19" s="33">
        <v>2</v>
      </c>
      <c r="E19" s="31">
        <v>43487</v>
      </c>
      <c r="F19" s="31">
        <v>43479</v>
      </c>
      <c r="G19" s="32">
        <v>1000000</v>
      </c>
      <c r="H19" s="7">
        <f t="shared" si="3"/>
        <v>4</v>
      </c>
      <c r="I19" s="33">
        <f t="shared" si="4"/>
        <v>1</v>
      </c>
      <c r="J19" s="8">
        <f t="shared" si="0"/>
        <v>0.99412762841876767</v>
      </c>
      <c r="K19" s="33">
        <f t="shared" si="5"/>
        <v>0.99412762841876767</v>
      </c>
      <c r="L19" s="33">
        <f t="shared" si="1"/>
        <v>-2.3392173622793884</v>
      </c>
      <c r="M19" s="34">
        <f>L19*I19*0.01</f>
        <v>-2.3392173622793885E-2</v>
      </c>
      <c r="O19" s="2"/>
    </row>
    <row r="20" spans="1:15">
      <c r="A20" s="9">
        <v>43487</v>
      </c>
      <c r="B20" s="9">
        <v>43668</v>
      </c>
      <c r="C20" s="10">
        <v>100000000</v>
      </c>
      <c r="D20" s="8">
        <v>2</v>
      </c>
      <c r="E20" s="9">
        <v>43668</v>
      </c>
      <c r="F20" s="9">
        <v>43658</v>
      </c>
      <c r="G20" s="10">
        <v>1000000</v>
      </c>
      <c r="H20" s="7">
        <f t="shared" si="3"/>
        <v>5</v>
      </c>
      <c r="I20" s="8">
        <f t="shared" si="4"/>
        <v>1</v>
      </c>
      <c r="J20" s="8">
        <f t="shared" si="0"/>
        <v>0.99288580082908284</v>
      </c>
      <c r="K20" s="33">
        <f t="shared" si="5"/>
        <v>0.99288580082908284</v>
      </c>
      <c r="L20" s="33">
        <f t="shared" si="1"/>
        <v>-2.832118060416756</v>
      </c>
      <c r="M20" s="34">
        <f t="shared" ref="M20:M23" si="6">L20*I20*0.01</f>
        <v>-2.8321180604167561E-2</v>
      </c>
      <c r="O20" s="2"/>
    </row>
    <row r="21" spans="1:15">
      <c r="A21" s="9">
        <v>43668</v>
      </c>
      <c r="B21" s="9">
        <v>43852</v>
      </c>
      <c r="C21" s="10">
        <v>100000000</v>
      </c>
      <c r="D21" s="8">
        <v>2</v>
      </c>
      <c r="E21" s="9">
        <v>43852</v>
      </c>
      <c r="F21" s="9">
        <v>43844</v>
      </c>
      <c r="G21" s="10">
        <v>1000000</v>
      </c>
      <c r="H21" s="7">
        <f t="shared" si="3"/>
        <v>6</v>
      </c>
      <c r="I21" s="8">
        <f t="shared" si="4"/>
        <v>1</v>
      </c>
      <c r="J21" s="8">
        <f t="shared" si="0"/>
        <v>0.99164552448464904</v>
      </c>
      <c r="K21" s="33">
        <f t="shared" si="5"/>
        <v>0.99164552448464904</v>
      </c>
      <c r="L21" s="33">
        <f t="shared" si="1"/>
        <v>-3.3237836816519541</v>
      </c>
      <c r="M21" s="34">
        <f t="shared" si="6"/>
        <v>-3.3237836816519539E-2</v>
      </c>
      <c r="O21" s="2"/>
    </row>
    <row r="22" spans="1:15">
      <c r="A22" s="9">
        <v>43852</v>
      </c>
      <c r="B22" s="9">
        <v>44034</v>
      </c>
      <c r="C22" s="10">
        <v>100000000</v>
      </c>
      <c r="D22" s="8">
        <v>2</v>
      </c>
      <c r="E22" s="9">
        <v>44034</v>
      </c>
      <c r="F22" s="9">
        <v>44026</v>
      </c>
      <c r="G22" s="10">
        <v>1000000</v>
      </c>
      <c r="H22" s="7">
        <f t="shared" si="3"/>
        <v>7</v>
      </c>
      <c r="I22" s="8">
        <f t="shared" si="4"/>
        <v>1</v>
      </c>
      <c r="J22" s="8">
        <f t="shared" si="0"/>
        <v>0.99040679744770777</v>
      </c>
      <c r="K22" s="33">
        <f>J22*I22</f>
        <v>0.99040679744770777</v>
      </c>
      <c r="L22" s="33">
        <f t="shared" si="1"/>
        <v>-3.8142165424836021</v>
      </c>
      <c r="M22" s="34">
        <f t="shared" si="6"/>
        <v>-3.8142165424836019E-2</v>
      </c>
      <c r="O22" s="2"/>
    </row>
    <row r="23" spans="1:15">
      <c r="A23" s="8"/>
      <c r="B23" s="8"/>
      <c r="C23" s="8"/>
      <c r="D23" s="8"/>
      <c r="E23" s="8"/>
      <c r="F23" s="8"/>
      <c r="G23" s="8"/>
      <c r="H23" s="43">
        <f>H22</f>
        <v>7</v>
      </c>
      <c r="I23" s="8">
        <v>100</v>
      </c>
      <c r="J23" s="8">
        <f t="shared" si="0"/>
        <v>0.99040679744770777</v>
      </c>
      <c r="K23" s="33">
        <f>J23*I23</f>
        <v>99.04067974477077</v>
      </c>
      <c r="L23" s="33">
        <f t="shared" si="1"/>
        <v>-3.8142165424836021</v>
      </c>
      <c r="M23" s="34">
        <f t="shared" si="6"/>
        <v>-3.8142165424836021</v>
      </c>
      <c r="O23" s="2"/>
    </row>
    <row r="24" spans="1:15" ht="15.75" thickBot="1">
      <c r="A24" s="17"/>
      <c r="B24" s="17"/>
      <c r="C24" s="17"/>
      <c r="D24" s="17"/>
      <c r="E24" s="17"/>
      <c r="F24" s="17"/>
      <c r="G24" s="17"/>
      <c r="H24" s="16"/>
      <c r="I24" s="17"/>
      <c r="J24" s="29" t="s">
        <v>12</v>
      </c>
      <c r="K24" s="39">
        <f>SUM(K11:K23)</f>
        <v>106.99870537838527</v>
      </c>
      <c r="L24" s="29" t="s">
        <v>21</v>
      </c>
      <c r="M24" s="40">
        <f>SUM(M11:M23)</f>
        <v>-3.9813406953076509</v>
      </c>
      <c r="O24" s="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30"/>
  <sheetViews>
    <sheetView showGridLines="0" zoomScaleNormal="100" workbookViewId="0">
      <selection activeCell="G1" sqref="G1"/>
    </sheetView>
  </sheetViews>
  <sheetFormatPr defaultRowHeight="15"/>
  <cols>
    <col min="1" max="1" width="16.85546875" bestFit="1" customWidth="1"/>
    <col min="2" max="2" width="12" bestFit="1" customWidth="1"/>
    <col min="3" max="3" width="10.85546875" bestFit="1" customWidth="1"/>
    <col min="4" max="4" width="11.140625" bestFit="1" customWidth="1"/>
    <col min="5" max="5" width="14.5703125" bestFit="1" customWidth="1"/>
    <col min="6" max="6" width="10.7109375" bestFit="1" customWidth="1"/>
    <col min="7" max="7" width="14.85546875" bestFit="1" customWidth="1"/>
    <col min="8" max="8" width="12" bestFit="1" customWidth="1"/>
    <col min="9" max="10" width="12.7109375" bestFit="1" customWidth="1"/>
    <col min="11" max="11" width="11" bestFit="1" customWidth="1"/>
    <col min="12" max="12" width="12" bestFit="1" customWidth="1"/>
    <col min="13" max="13" width="12.7109375" bestFit="1" customWidth="1"/>
    <col min="14" max="14" width="8.5703125" bestFit="1" customWidth="1"/>
    <col min="15" max="15" width="2" bestFit="1" customWidth="1"/>
    <col min="17" max="17" width="10.7109375" bestFit="1" customWidth="1"/>
    <col min="18" max="18" width="12.7109375" bestFit="1" customWidth="1"/>
  </cols>
  <sheetData>
    <row r="1" spans="1:18" ht="15.75" thickBot="1">
      <c r="A1" s="3" t="s">
        <v>16</v>
      </c>
      <c r="B1" s="1">
        <v>100000000</v>
      </c>
      <c r="D1" t="s">
        <v>18</v>
      </c>
      <c r="E1" t="s">
        <v>41</v>
      </c>
      <c r="G1">
        <f>(B2-A13)/(B13-B8)*D13/2</f>
        <v>5.5706521739130432E-2</v>
      </c>
      <c r="H1" s="3" t="s">
        <v>13</v>
      </c>
      <c r="I1" s="4">
        <v>5.5706521739130398E-2</v>
      </c>
      <c r="J1" s="4"/>
      <c r="L1" t="s">
        <v>42</v>
      </c>
      <c r="M1" s="96">
        <v>100.5602662</v>
      </c>
      <c r="P1">
        <f>B13-A13</f>
        <v>172</v>
      </c>
      <c r="Q1" s="93">
        <f>B14-A14</f>
        <v>181</v>
      </c>
      <c r="R1">
        <f>P1/Q1</f>
        <v>0.95027624309392267</v>
      </c>
    </row>
    <row r="2" spans="1:18">
      <c r="A2" s="3" t="s">
        <v>10</v>
      </c>
      <c r="B2" s="9">
        <v>42626</v>
      </c>
      <c r="H2" s="3" t="s">
        <v>14</v>
      </c>
      <c r="I2" s="44"/>
      <c r="J2" s="3"/>
      <c r="L2" t="s">
        <v>22</v>
      </c>
      <c r="M2" s="4">
        <f>I5-M1</f>
        <v>-2.2990349179963232E-8</v>
      </c>
      <c r="R2">
        <f>R1*D13/2</f>
        <v>0.23756906077348067</v>
      </c>
    </row>
    <row r="3" spans="1:18">
      <c r="A3" t="s">
        <v>19</v>
      </c>
      <c r="B3" s="62">
        <v>42625</v>
      </c>
      <c r="D3" s="46"/>
      <c r="H3" s="3" t="s">
        <v>15</v>
      </c>
      <c r="I3" s="44"/>
      <c r="J3" s="45"/>
      <c r="P3">
        <f>B13-B8</f>
        <v>184</v>
      </c>
      <c r="R3" s="47"/>
    </row>
    <row r="4" spans="1:18" ht="15.75" thickBot="1">
      <c r="A4" s="3" t="s">
        <v>20</v>
      </c>
      <c r="B4" s="90">
        <v>0.40300996</v>
      </c>
      <c r="D4" s="47"/>
      <c r="H4" s="3" t="s">
        <v>24</v>
      </c>
      <c r="I4">
        <v>-3.7928138088776899</v>
      </c>
      <c r="J4" s="6">
        <f>I4-M26</f>
        <v>2.0778269199132113</v>
      </c>
      <c r="K4" s="41"/>
    </row>
    <row r="5" spans="1:18">
      <c r="A5" s="3" t="s">
        <v>33</v>
      </c>
      <c r="B5">
        <v>2</v>
      </c>
      <c r="D5" s="47"/>
      <c r="H5" s="3" t="s">
        <v>14</v>
      </c>
      <c r="I5" s="99">
        <f>K26-I1</f>
        <v>100.56026617700965</v>
      </c>
    </row>
    <row r="6" spans="1:18">
      <c r="A6" s="3"/>
      <c r="D6" s="47"/>
    </row>
    <row r="7" spans="1:18">
      <c r="A7" s="5" t="s">
        <v>30</v>
      </c>
      <c r="B7" s="5">
        <f>(B14-B2)/(B14-B8)</f>
        <v>0.85479452054794525</v>
      </c>
      <c r="C7" s="98">
        <f>(B13-SetlDate)/(B13-B8)</f>
        <v>0.71195652173913049</v>
      </c>
      <c r="D7" s="47"/>
    </row>
    <row r="8" spans="1:18" ht="15.75" thickBot="1">
      <c r="A8" s="3"/>
      <c r="B8" s="92">
        <v>42573</v>
      </c>
      <c r="C8" s="92"/>
      <c r="D8" s="47"/>
      <c r="H8" s="101">
        <f>(B13-A13)/(B13-B8)*D13/2</f>
        <v>0.23369565217391305</v>
      </c>
      <c r="I8" s="47">
        <f>H8*C13/100</f>
        <v>233695.65217391305</v>
      </c>
      <c r="J8" s="47">
        <f>C13*(H8%+(0.5%/2))</f>
        <v>483695.65217391308</v>
      </c>
      <c r="L8">
        <f>H8%+(0.5%/2)</f>
        <v>4.836956521739131E-3</v>
      </c>
      <c r="M8">
        <f>L8*100</f>
        <v>0.48369565217391308</v>
      </c>
      <c r="N8" s="100">
        <f>H8+I15</f>
        <v>0.48369565217391308</v>
      </c>
    </row>
    <row r="9" spans="1:18">
      <c r="A9" s="23" t="s">
        <v>1</v>
      </c>
      <c r="B9" s="23" t="s">
        <v>1</v>
      </c>
      <c r="C9" s="23" t="s">
        <v>2</v>
      </c>
      <c r="D9" s="23" t="s">
        <v>3</v>
      </c>
      <c r="E9" s="23" t="s">
        <v>4</v>
      </c>
      <c r="F9" s="23" t="s">
        <v>1</v>
      </c>
      <c r="G9" s="23"/>
      <c r="H9" s="18"/>
      <c r="I9" s="23"/>
      <c r="J9" s="23"/>
      <c r="K9" s="23"/>
      <c r="L9" s="19"/>
      <c r="M9" s="20"/>
    </row>
    <row r="10" spans="1:18" ht="30.75" thickBot="1">
      <c r="A10" s="26" t="s">
        <v>5</v>
      </c>
      <c r="B10" s="26" t="s">
        <v>6</v>
      </c>
      <c r="C10" s="26" t="s">
        <v>7</v>
      </c>
      <c r="D10" s="26"/>
      <c r="E10" s="26" t="s">
        <v>8</v>
      </c>
      <c r="F10" s="26" t="s">
        <v>9</v>
      </c>
      <c r="G10" s="26" t="s">
        <v>0</v>
      </c>
      <c r="H10" s="27" t="s">
        <v>28</v>
      </c>
      <c r="I10" s="26" t="s">
        <v>26</v>
      </c>
      <c r="J10" s="26" t="s">
        <v>23</v>
      </c>
      <c r="K10" s="36" t="s">
        <v>27</v>
      </c>
      <c r="L10" s="35"/>
      <c r="M10" s="37"/>
    </row>
    <row r="11" spans="1:18">
      <c r="A11" s="67"/>
      <c r="B11" s="67"/>
      <c r="C11" s="68"/>
      <c r="D11" s="69"/>
      <c r="E11" s="67"/>
      <c r="F11" s="67"/>
      <c r="G11" s="70"/>
      <c r="H11" s="71"/>
      <c r="I11" s="69"/>
      <c r="J11" s="69"/>
      <c r="K11" s="69"/>
      <c r="L11" s="69"/>
      <c r="M11" s="72"/>
      <c r="O11" s="2"/>
    </row>
    <row r="12" spans="1:18">
      <c r="A12" s="9"/>
      <c r="B12" s="9"/>
      <c r="C12" s="10"/>
      <c r="D12" s="8"/>
      <c r="E12" s="9"/>
      <c r="F12" s="9"/>
      <c r="H12" s="7"/>
      <c r="I12" s="8"/>
      <c r="J12" s="33"/>
      <c r="K12" s="33"/>
      <c r="L12" s="33"/>
      <c r="M12" s="34"/>
      <c r="O12" s="2"/>
    </row>
    <row r="13" spans="1:18">
      <c r="A13" s="12">
        <v>42585</v>
      </c>
      <c r="B13" s="12">
        <v>42757</v>
      </c>
      <c r="C13" s="13">
        <v>100000000</v>
      </c>
      <c r="D13" s="14">
        <v>0.5</v>
      </c>
      <c r="E13" s="12">
        <v>42938</v>
      </c>
      <c r="F13" s="12">
        <v>42928</v>
      </c>
      <c r="G13" s="97"/>
      <c r="H13" s="11">
        <v>0</v>
      </c>
      <c r="I13" s="14">
        <f>G13/$B$1*100</f>
        <v>0</v>
      </c>
      <c r="J13" s="14">
        <f t="shared" ref="J13:J25" si="0">1/(1+Yield/Period*0.01)^(H13+$B$7)</f>
        <v>0.99828075915000813</v>
      </c>
      <c r="K13" s="14">
        <v>0</v>
      </c>
      <c r="L13" s="14">
        <f t="shared" ref="L13:L25" si="1">-1/Period*(H13+$B$7)*1/(1+Yield/Period*0.01)^(H13+$B$7+1)</f>
        <v>-0.42580444428464015</v>
      </c>
      <c r="M13" s="15">
        <f t="shared" ref="M13:M16" si="2">L13*I13*0.01</f>
        <v>0</v>
      </c>
      <c r="O13" s="2"/>
    </row>
    <row r="14" spans="1:18">
      <c r="A14" s="9">
        <v>42757</v>
      </c>
      <c r="B14" s="9">
        <v>42938</v>
      </c>
      <c r="C14" s="10">
        <v>100000000</v>
      </c>
      <c r="D14" s="14">
        <v>0.5</v>
      </c>
      <c r="E14" s="9">
        <v>42940</v>
      </c>
      <c r="F14" s="9">
        <v>42930</v>
      </c>
      <c r="G14" s="13">
        <f>J8</f>
        <v>483695.65217391308</v>
      </c>
      <c r="H14" s="7">
        <v>1</v>
      </c>
      <c r="I14" s="14">
        <f>G14/$B$1*100</f>
        <v>0.48369565217391308</v>
      </c>
      <c r="J14" s="8">
        <f>1/(1+Yield/Period*0.01)^(H14+$C$7)</f>
        <v>0.99655972468207943</v>
      </c>
      <c r="K14" s="14">
        <f>J14*I14</f>
        <v>0.48203160596035366</v>
      </c>
      <c r="L14" s="33">
        <f t="shared" si="1"/>
        <v>-0.92208301059820996</v>
      </c>
      <c r="M14" s="34">
        <f t="shared" si="2"/>
        <v>-4.4600754316978641E-3</v>
      </c>
      <c r="O14" s="2"/>
    </row>
    <row r="15" spans="1:18">
      <c r="A15" s="9">
        <v>42938</v>
      </c>
      <c r="B15" s="9">
        <v>43122</v>
      </c>
      <c r="C15" s="10">
        <v>100000000</v>
      </c>
      <c r="D15" s="14">
        <v>0.5</v>
      </c>
      <c r="E15" s="9">
        <v>43122</v>
      </c>
      <c r="F15" s="9">
        <v>43112</v>
      </c>
      <c r="G15" s="13">
        <v>250000</v>
      </c>
      <c r="H15" s="7">
        <f>H14+1</f>
        <v>2</v>
      </c>
      <c r="I15" s="14">
        <f t="shared" ref="I15:I24" si="3">G15/$B$1*100</f>
        <v>0.25</v>
      </c>
      <c r="J15" s="8">
        <f>1/(1+Yield/Period*0.01)^(H15+$C$7)</f>
        <v>0.99455564552747044</v>
      </c>
      <c r="K15" s="33">
        <f>J15*I15</f>
        <v>0.24863891138186761</v>
      </c>
      <c r="L15" s="33">
        <f t="shared" si="1"/>
        <v>-1.4163638249594646</v>
      </c>
      <c r="M15" s="34">
        <f t="shared" si="2"/>
        <v>-3.5409095623986616E-3</v>
      </c>
      <c r="O15" s="2"/>
    </row>
    <row r="16" spans="1:18">
      <c r="A16" s="9">
        <v>43122</v>
      </c>
      <c r="B16" s="9">
        <v>43303</v>
      </c>
      <c r="C16" s="10">
        <v>100000000</v>
      </c>
      <c r="D16" s="14">
        <v>0.5</v>
      </c>
      <c r="E16" s="9">
        <v>43304</v>
      </c>
      <c r="F16" s="9">
        <v>43294</v>
      </c>
      <c r="G16" s="13">
        <v>250000</v>
      </c>
      <c r="H16" s="7">
        <f t="shared" ref="H14:H24" si="4">H15+1</f>
        <v>3</v>
      </c>
      <c r="I16" s="14">
        <f t="shared" si="3"/>
        <v>0.25</v>
      </c>
      <c r="J16" s="8">
        <f>1/(1+Yield/Period*0.01)^(H16+$C$7)</f>
        <v>0.99255559657111103</v>
      </c>
      <c r="K16" s="33">
        <f t="shared" ref="K16:K19" si="5">J16*I16</f>
        <v>0.24813889914277776</v>
      </c>
      <c r="L16" s="33">
        <f t="shared" si="1"/>
        <v>-1.9086529153112646</v>
      </c>
      <c r="M16" s="34">
        <f t="shared" si="2"/>
        <v>-4.7716322882781614E-3</v>
      </c>
      <c r="O16" s="2"/>
    </row>
    <row r="17" spans="1:15">
      <c r="A17" s="31">
        <v>43303</v>
      </c>
      <c r="B17" s="31">
        <v>43487</v>
      </c>
      <c r="C17" s="32">
        <v>100000000</v>
      </c>
      <c r="D17" s="14">
        <v>0.5</v>
      </c>
      <c r="E17" s="31">
        <v>43487</v>
      </c>
      <c r="F17" s="31">
        <v>43479</v>
      </c>
      <c r="G17" s="13">
        <v>250000</v>
      </c>
      <c r="H17" s="7">
        <f t="shared" si="4"/>
        <v>4</v>
      </c>
      <c r="I17" s="14">
        <f t="shared" si="3"/>
        <v>0.25</v>
      </c>
      <c r="J17" s="8">
        <f>1/(1+Yield/Period*0.01)^(H17+$C$7)</f>
        <v>0.99055956970828207</v>
      </c>
      <c r="K17" s="33">
        <f t="shared" si="5"/>
        <v>0.24763989242707052</v>
      </c>
      <c r="L17" s="33">
        <f t="shared" si="1"/>
        <v>-2.3989562934312461</v>
      </c>
      <c r="M17" s="34">
        <f>L17*I17*0.01</f>
        <v>-5.9973907335781149E-3</v>
      </c>
      <c r="O17" s="2"/>
    </row>
    <row r="18" spans="1:15">
      <c r="A18" s="9">
        <v>43487</v>
      </c>
      <c r="B18" s="9">
        <v>43668</v>
      </c>
      <c r="C18" s="10">
        <v>100000000</v>
      </c>
      <c r="D18" s="14">
        <v>0.5</v>
      </c>
      <c r="E18" s="9">
        <v>43668</v>
      </c>
      <c r="F18" s="9">
        <v>43658</v>
      </c>
      <c r="G18" s="13">
        <v>250000</v>
      </c>
      <c r="H18" s="7">
        <f t="shared" si="4"/>
        <v>5</v>
      </c>
      <c r="I18" s="14">
        <f t="shared" si="3"/>
        <v>0.25</v>
      </c>
      <c r="J18" s="8">
        <f>1/(1+Yield/Period*0.01)^(H18+$C$7)</f>
        <v>0.98856755685056408</v>
      </c>
      <c r="K18" s="33">
        <f t="shared" si="5"/>
        <v>0.24714188921264102</v>
      </c>
      <c r="L18" s="33">
        <f t="shared" si="1"/>
        <v>-2.8872799549724579</v>
      </c>
      <c r="M18" s="34">
        <f t="shared" ref="M18:M25" si="6">L18*I18*0.01</f>
        <v>-7.2181998874311449E-3</v>
      </c>
      <c r="O18" s="2"/>
    </row>
    <row r="19" spans="1:15">
      <c r="A19" s="9">
        <v>43668</v>
      </c>
      <c r="B19" s="9">
        <v>43852</v>
      </c>
      <c r="C19" s="10">
        <v>100000000</v>
      </c>
      <c r="D19" s="14">
        <v>0.5</v>
      </c>
      <c r="E19" s="9">
        <v>43852</v>
      </c>
      <c r="F19" s="9">
        <v>43844</v>
      </c>
      <c r="G19" s="13">
        <v>250000</v>
      </c>
      <c r="H19" s="7">
        <f t="shared" si="4"/>
        <v>6</v>
      </c>
      <c r="I19" s="14">
        <f t="shared" si="3"/>
        <v>0.25</v>
      </c>
      <c r="J19" s="8">
        <f>1/(1+Yield/Period*0.01)^(H19+$C$7)</f>
        <v>0.98657954992580177</v>
      </c>
      <c r="K19" s="33">
        <f t="shared" si="5"/>
        <v>0.24664488748145044</v>
      </c>
      <c r="L19" s="33">
        <f t="shared" si="1"/>
        <v>-3.3736298795039024</v>
      </c>
      <c r="M19" s="34">
        <f t="shared" si="6"/>
        <v>-8.4340746987597564E-3</v>
      </c>
      <c r="O19" s="2"/>
    </row>
    <row r="20" spans="1:15">
      <c r="A20" s="9">
        <v>43852</v>
      </c>
      <c r="B20" s="9">
        <v>44034</v>
      </c>
      <c r="C20" s="10">
        <v>100000000</v>
      </c>
      <c r="D20" s="14">
        <v>0.5</v>
      </c>
      <c r="E20" s="9">
        <v>44034</v>
      </c>
      <c r="F20" s="9">
        <v>44026</v>
      </c>
      <c r="G20" s="13">
        <v>250000</v>
      </c>
      <c r="H20" s="7">
        <f t="shared" si="4"/>
        <v>7</v>
      </c>
      <c r="I20" s="14">
        <f t="shared" si="3"/>
        <v>0.25</v>
      </c>
      <c r="J20" s="8">
        <f>1/(1+Yield/Period*0.01)^(H20+$C$7)</f>
        <v>0.98459554087807455</v>
      </c>
      <c r="K20" s="33">
        <f>J20*I20</f>
        <v>0.24614888521951864</v>
      </c>
      <c r="L20" s="33">
        <f t="shared" si="1"/>
        <v>-3.8580120305509786</v>
      </c>
      <c r="M20" s="34">
        <f t="shared" si="6"/>
        <v>-9.6450300763774467E-3</v>
      </c>
      <c r="O20" s="2"/>
    </row>
    <row r="21" spans="1:15">
      <c r="A21" s="31">
        <v>44034</v>
      </c>
      <c r="B21" s="31">
        <v>44218</v>
      </c>
      <c r="C21" s="32">
        <v>100000000</v>
      </c>
      <c r="D21" s="14">
        <v>0.5</v>
      </c>
      <c r="E21" s="31">
        <v>44218</v>
      </c>
      <c r="F21" s="31">
        <v>44210</v>
      </c>
      <c r="G21" s="13">
        <v>250000</v>
      </c>
      <c r="H21" s="7">
        <f t="shared" si="4"/>
        <v>8</v>
      </c>
      <c r="I21" s="14">
        <f t="shared" si="3"/>
        <v>0.25</v>
      </c>
      <c r="J21" s="8">
        <f>1/(1+Yield/Period*0.01)^(H21+$C$7)</f>
        <v>0.98261552166766131</v>
      </c>
      <c r="K21" s="33">
        <f t="shared" ref="K21:K24" si="7">J21*I21</f>
        <v>0.24565388041691533</v>
      </c>
      <c r="L21" s="33">
        <f t="shared" ref="L21:L24" si="8">-1/Period*(H21+$B$7)*1/(1+Yield/Period*0.01)^(H21+$B$7+1)</f>
        <v>-4.3404323556358273</v>
      </c>
      <c r="M21" s="34">
        <f>L21*I21*0.01</f>
        <v>-1.0851080889089568E-2</v>
      </c>
      <c r="O21" s="2"/>
    </row>
    <row r="22" spans="1:15">
      <c r="A22" s="9">
        <v>44218</v>
      </c>
      <c r="B22" s="9">
        <v>44399</v>
      </c>
      <c r="C22" s="10">
        <v>100000000</v>
      </c>
      <c r="D22" s="14">
        <v>0.5</v>
      </c>
      <c r="E22" s="9">
        <v>44399</v>
      </c>
      <c r="F22" s="9">
        <v>44389</v>
      </c>
      <c r="G22" s="13">
        <v>250000</v>
      </c>
      <c r="H22" s="7">
        <f t="shared" si="4"/>
        <v>9</v>
      </c>
      <c r="I22" s="14">
        <f t="shared" si="3"/>
        <v>0.25</v>
      </c>
      <c r="J22" s="8">
        <f>1/(1+Yield/Period*0.01)^(H22+$C$7)</f>
        <v>0.980639484271009</v>
      </c>
      <c r="K22" s="33">
        <f t="shared" si="7"/>
        <v>0.24515987106775225</v>
      </c>
      <c r="L22" s="33">
        <f t="shared" si="8"/>
        <v>-4.8208967863175811</v>
      </c>
      <c r="M22" s="34">
        <f t="shared" ref="M22:M24" si="9">L22*I22*0.01</f>
        <v>-1.2052241965793953E-2</v>
      </c>
      <c r="O22" s="2"/>
    </row>
    <row r="23" spans="1:15">
      <c r="A23" s="9">
        <v>44399</v>
      </c>
      <c r="B23" s="9">
        <v>44583</v>
      </c>
      <c r="C23" s="10">
        <v>100000000</v>
      </c>
      <c r="D23" s="14">
        <v>0.5</v>
      </c>
      <c r="E23" s="9">
        <v>44583</v>
      </c>
      <c r="F23" s="9">
        <v>44575</v>
      </c>
      <c r="G23" s="13">
        <v>250000</v>
      </c>
      <c r="H23" s="7">
        <f t="shared" si="4"/>
        <v>10</v>
      </c>
      <c r="I23" s="14">
        <f t="shared" si="3"/>
        <v>0.25</v>
      </c>
      <c r="J23" s="8">
        <f>1/(1+Yield/Period*0.01)^(H23+$C$7)</f>
        <v>0.97866742068069967</v>
      </c>
      <c r="K23" s="33">
        <f t="shared" si="7"/>
        <v>0.24466685517017492</v>
      </c>
      <c r="L23" s="33">
        <f t="shared" si="8"/>
        <v>-5.2994112382325103</v>
      </c>
      <c r="M23" s="34">
        <f t="shared" si="9"/>
        <v>-1.3248528095581276E-2</v>
      </c>
      <c r="O23" s="2"/>
    </row>
    <row r="24" spans="1:15">
      <c r="A24" s="9">
        <v>44583</v>
      </c>
      <c r="B24" s="9">
        <v>44764</v>
      </c>
      <c r="C24" s="10">
        <v>100000000</v>
      </c>
      <c r="D24" s="14">
        <v>0.5</v>
      </c>
      <c r="E24" s="9">
        <v>44764</v>
      </c>
      <c r="F24" s="9">
        <v>44756</v>
      </c>
      <c r="G24" s="13">
        <v>250000</v>
      </c>
      <c r="H24" s="7">
        <f t="shared" si="4"/>
        <v>11</v>
      </c>
      <c r="I24" s="14">
        <f t="shared" si="3"/>
        <v>0.25</v>
      </c>
      <c r="J24" s="8">
        <f>1/(1+Yield/Period*0.01)^(H24+$C$7)</f>
        <v>0.97669932290541894</v>
      </c>
      <c r="K24" s="33">
        <f>J24*I24</f>
        <v>0.24417483072635474</v>
      </c>
      <c r="L24" s="33">
        <f t="shared" si="8"/>
        <v>-5.77598161113408</v>
      </c>
      <c r="M24" s="34">
        <f t="shared" si="9"/>
        <v>-1.4439954027835201E-2</v>
      </c>
      <c r="O24" s="2"/>
    </row>
    <row r="25" spans="1:15">
      <c r="A25" s="8"/>
      <c r="B25" s="8"/>
      <c r="C25" s="8"/>
      <c r="D25" s="8"/>
      <c r="E25" s="8"/>
      <c r="F25" s="8"/>
      <c r="G25" s="8"/>
      <c r="H25" s="43">
        <v>11</v>
      </c>
      <c r="I25" s="8">
        <v>100</v>
      </c>
      <c r="J25" s="8">
        <f>1/(1+Yield/Period*0.01)^(H25+$C$7)</f>
        <v>0.97669932290541894</v>
      </c>
      <c r="K25" s="33">
        <f>J25*I25</f>
        <v>97.669932290541894</v>
      </c>
      <c r="L25" s="33">
        <f t="shared" si="1"/>
        <v>-5.77598161113408</v>
      </c>
      <c r="M25" s="34">
        <f t="shared" si="6"/>
        <v>-5.77598161113408</v>
      </c>
      <c r="O25" s="2"/>
    </row>
    <row r="26" spans="1:15" ht="15.75" thickBot="1">
      <c r="A26" s="17"/>
      <c r="B26" s="17"/>
      <c r="C26" s="17"/>
      <c r="D26" s="17"/>
      <c r="E26" s="17"/>
      <c r="F26" s="17"/>
      <c r="G26" s="17"/>
      <c r="H26" s="16"/>
      <c r="I26" s="17"/>
      <c r="J26" s="29" t="s">
        <v>12</v>
      </c>
      <c r="K26" s="39">
        <f>SUM(K11:K25)</f>
        <v>100.61597269874878</v>
      </c>
      <c r="L26" s="29" t="s">
        <v>21</v>
      </c>
      <c r="M26" s="40">
        <f>SUM(M11:M25)</f>
        <v>-5.8706407287909013</v>
      </c>
      <c r="O26" s="2"/>
    </row>
    <row r="28" spans="1:15">
      <c r="D28">
        <v>0.25</v>
      </c>
      <c r="E28" s="93"/>
    </row>
    <row r="29" spans="1:15">
      <c r="D29" s="92"/>
    </row>
    <row r="30" spans="1:15">
      <c r="G30">
        <f>B1*0.5%/2</f>
        <v>250000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37"/>
  <sheetViews>
    <sheetView showGridLines="0" tabSelected="1" zoomScaleNormal="100" workbookViewId="0">
      <selection activeCell="J14" sqref="J14"/>
    </sheetView>
  </sheetViews>
  <sheetFormatPr defaultRowHeight="15"/>
  <cols>
    <col min="1" max="1" width="16.85546875" bestFit="1" customWidth="1"/>
    <col min="2" max="2" width="12" bestFit="1" customWidth="1"/>
    <col min="3" max="3" width="10.85546875" bestFit="1" customWidth="1"/>
    <col min="4" max="4" width="11.140625" bestFit="1" customWidth="1"/>
    <col min="5" max="5" width="14.5703125" bestFit="1" customWidth="1"/>
    <col min="6" max="6" width="10.7109375" bestFit="1" customWidth="1"/>
    <col min="7" max="7" width="12" bestFit="1" customWidth="1"/>
    <col min="8" max="8" width="8.5703125" bestFit="1" customWidth="1"/>
    <col min="9" max="9" width="12.7109375" bestFit="1" customWidth="1"/>
    <col min="10" max="10" width="12" bestFit="1" customWidth="1"/>
    <col min="11" max="11" width="11" bestFit="1" customWidth="1"/>
    <col min="12" max="12" width="12" bestFit="1" customWidth="1"/>
    <col min="13" max="13" width="12.7109375" bestFit="1" customWidth="1"/>
    <col min="14" max="14" width="8.5703125" bestFit="1" customWidth="1"/>
    <col min="15" max="15" width="2" bestFit="1" customWidth="1"/>
    <col min="17" max="17" width="6.5703125" bestFit="1" customWidth="1"/>
    <col min="18" max="18" width="12.7109375" bestFit="1" customWidth="1"/>
  </cols>
  <sheetData>
    <row r="1" spans="1:18" ht="15.75" thickBot="1">
      <c r="A1" s="3" t="s">
        <v>16</v>
      </c>
      <c r="B1" s="1">
        <v>100000000</v>
      </c>
      <c r="D1" t="s">
        <v>18</v>
      </c>
      <c r="E1" t="s">
        <v>43</v>
      </c>
      <c r="G1">
        <f>(B2-A13)/(B13-A13)*D13/2</f>
        <v>0.21603260869565216</v>
      </c>
      <c r="H1" s="3" t="s">
        <v>13</v>
      </c>
      <c r="I1" s="4">
        <v>0.216032608695652</v>
      </c>
      <c r="J1" s="4"/>
      <c r="L1" t="s">
        <v>42</v>
      </c>
      <c r="M1" s="96">
        <v>105.93018600000001</v>
      </c>
      <c r="Q1" s="93"/>
    </row>
    <row r="2" spans="1:18">
      <c r="A2" s="3" t="s">
        <v>10</v>
      </c>
      <c r="B2" s="9">
        <v>42626</v>
      </c>
      <c r="H2" s="3" t="s">
        <v>14</v>
      </c>
      <c r="I2" s="44"/>
      <c r="J2" s="3"/>
      <c r="L2" t="s">
        <v>22</v>
      </c>
      <c r="M2" s="4">
        <f>I5-M1</f>
        <v>0.63873630356542321</v>
      </c>
    </row>
    <row r="3" spans="1:18">
      <c r="A3" t="s">
        <v>19</v>
      </c>
      <c r="B3" s="62">
        <v>42625</v>
      </c>
      <c r="D3" s="46"/>
      <c r="H3" s="3" t="s">
        <v>15</v>
      </c>
      <c r="I3" s="44"/>
      <c r="J3" s="45"/>
      <c r="R3" s="47"/>
    </row>
    <row r="4" spans="1:18">
      <c r="A4" s="3" t="s">
        <v>20</v>
      </c>
      <c r="B4">
        <v>0.87058074600000002</v>
      </c>
      <c r="D4" s="47"/>
      <c r="H4" s="3" t="s">
        <v>24</v>
      </c>
      <c r="I4">
        <v>-3.7928138088776899</v>
      </c>
      <c r="J4" s="6">
        <f>I4-M34</f>
        <v>5.936878275236368</v>
      </c>
      <c r="K4" s="41"/>
    </row>
    <row r="5" spans="1:18">
      <c r="A5" s="3" t="s">
        <v>33</v>
      </c>
      <c r="B5">
        <v>2</v>
      </c>
      <c r="D5" s="47"/>
      <c r="H5" s="3" t="s">
        <v>14</v>
      </c>
      <c r="I5" s="99">
        <f>K34-I1</f>
        <v>106.56892230356543</v>
      </c>
    </row>
    <row r="6" spans="1:18">
      <c r="A6" s="3"/>
      <c r="D6" s="47"/>
    </row>
    <row r="7" spans="1:18">
      <c r="A7" s="5" t="s">
        <v>30</v>
      </c>
      <c r="B7" s="5">
        <f>(B13-B2)/(B13-A13)</f>
        <v>0.71195652173913049</v>
      </c>
      <c r="C7" s="98">
        <f>(B12-SetlDate)/(B12-B8)</f>
        <v>-0.29120879120879123</v>
      </c>
      <c r="D7" s="47"/>
    </row>
    <row r="8" spans="1:18" ht="15.75" thickBot="1">
      <c r="A8" s="3"/>
      <c r="B8" s="92">
        <v>42391</v>
      </c>
      <c r="C8" s="92"/>
      <c r="D8" s="47"/>
      <c r="H8" s="101">
        <f>(B12-A12)/(B12-B8)*D13/2</f>
        <v>0.63873626373626369</v>
      </c>
      <c r="I8" s="47">
        <f>H8*C13/100</f>
        <v>638736.26373626362</v>
      </c>
      <c r="J8" s="47">
        <f>C13*(H8%+(1.5%/2))</f>
        <v>1388736.2637362636</v>
      </c>
      <c r="L8">
        <f>H8%+(0.5%/2)</f>
        <v>8.8873626373626377E-3</v>
      </c>
      <c r="M8">
        <f>L8*100</f>
        <v>0.8887362637362638</v>
      </c>
      <c r="N8" s="100">
        <f>H8+I15</f>
        <v>1.3887362637362637</v>
      </c>
    </row>
    <row r="9" spans="1:18">
      <c r="A9" s="23" t="s">
        <v>1</v>
      </c>
      <c r="B9" s="23" t="s">
        <v>1</v>
      </c>
      <c r="C9" s="23" t="s">
        <v>2</v>
      </c>
      <c r="D9" s="23" t="s">
        <v>3</v>
      </c>
      <c r="E9" s="23" t="s">
        <v>4</v>
      </c>
      <c r="F9" s="23" t="s">
        <v>1</v>
      </c>
      <c r="G9" s="23"/>
      <c r="H9" s="18"/>
      <c r="I9" s="23"/>
      <c r="J9" s="23"/>
      <c r="K9" s="23"/>
      <c r="L9" s="19"/>
      <c r="M9" s="20"/>
    </row>
    <row r="10" spans="1:18" ht="30.75" thickBot="1">
      <c r="A10" s="26" t="s">
        <v>5</v>
      </c>
      <c r="B10" s="26" t="s">
        <v>6</v>
      </c>
      <c r="C10" s="26" t="s">
        <v>7</v>
      </c>
      <c r="D10" s="26"/>
      <c r="E10" s="26" t="s">
        <v>8</v>
      </c>
      <c r="F10" s="26" t="s">
        <v>9</v>
      </c>
      <c r="G10" s="26" t="s">
        <v>0</v>
      </c>
      <c r="H10" s="27" t="s">
        <v>28</v>
      </c>
      <c r="I10" s="26" t="s">
        <v>26</v>
      </c>
      <c r="J10" s="26" t="s">
        <v>23</v>
      </c>
      <c r="K10" s="36" t="s">
        <v>27</v>
      </c>
      <c r="L10" s="35"/>
      <c r="M10" s="37"/>
    </row>
    <row r="11" spans="1:18">
      <c r="A11" s="67"/>
      <c r="B11" s="67"/>
      <c r="C11" s="68"/>
      <c r="D11" s="69"/>
      <c r="E11" s="67"/>
      <c r="F11" s="67"/>
      <c r="G11" s="70"/>
      <c r="H11" s="71"/>
      <c r="I11" s="69"/>
      <c r="J11" s="69"/>
      <c r="K11" s="69"/>
      <c r="L11" s="69"/>
      <c r="M11" s="72"/>
      <c r="O11" s="2"/>
    </row>
    <row r="12" spans="1:18">
      <c r="A12" s="9">
        <v>42418</v>
      </c>
      <c r="B12" s="9">
        <v>42573</v>
      </c>
      <c r="C12" s="13">
        <v>100000000</v>
      </c>
      <c r="D12" s="8"/>
      <c r="E12" s="9"/>
      <c r="F12" s="9"/>
      <c r="H12" s="7"/>
      <c r="I12" s="8"/>
      <c r="J12" s="33"/>
      <c r="K12" s="33"/>
      <c r="L12" s="33"/>
      <c r="M12" s="34"/>
      <c r="O12" s="2"/>
    </row>
    <row r="13" spans="1:18">
      <c r="A13" s="9">
        <v>42573</v>
      </c>
      <c r="B13" s="12">
        <v>42757</v>
      </c>
      <c r="C13" s="13">
        <v>100000000</v>
      </c>
      <c r="D13" s="14">
        <v>1.5</v>
      </c>
      <c r="E13" s="12">
        <v>42938</v>
      </c>
      <c r="F13" s="12">
        <v>42928</v>
      </c>
      <c r="G13" s="97">
        <v>1388736.2637362599</v>
      </c>
      <c r="H13" s="11">
        <v>0</v>
      </c>
      <c r="I13" s="14">
        <f>G13/$B$1*100</f>
        <v>1.3887362637362599</v>
      </c>
      <c r="J13" s="14">
        <f>1/(1+Yield/Period*0.01)^(H13+$B$7)</f>
        <v>0.99691242368353927</v>
      </c>
      <c r="K13" s="14">
        <f>J13*I13</f>
        <v>1.3844484345385377</v>
      </c>
      <c r="L13" s="14">
        <f t="shared" ref="L13:L33" si="0">-1/Period*(H13+$B$7)*1/(1+Yield/Period*0.01)^(H13+$B$7+1)</f>
        <v>-0.35334109106885359</v>
      </c>
      <c r="M13" s="15">
        <f t="shared" ref="M13:M16" si="1">L13*I13*0.01</f>
        <v>-4.9069758663545324E-3</v>
      </c>
      <c r="O13" s="2"/>
    </row>
    <row r="14" spans="1:18">
      <c r="A14" s="9">
        <v>42757</v>
      </c>
      <c r="B14" s="9">
        <v>42938</v>
      </c>
      <c r="C14" s="10">
        <v>100000000</v>
      </c>
      <c r="D14" s="14">
        <v>1.5</v>
      </c>
      <c r="E14" s="9">
        <v>42940</v>
      </c>
      <c r="F14" s="9">
        <v>42930</v>
      </c>
      <c r="G14" s="13">
        <f>D13%/2*$B$1</f>
        <v>750000</v>
      </c>
      <c r="H14" s="7">
        <v>1</v>
      </c>
      <c r="I14" s="14">
        <f>G14/$B$1*100</f>
        <v>0.75</v>
      </c>
      <c r="J14" s="14">
        <f t="shared" ref="J14:J32" si="2">1/(1+Yield/Period*0.01)^(H14+$B$7)</f>
        <v>0.99259176727739018</v>
      </c>
      <c r="K14" s="14">
        <f>J14*I14</f>
        <v>0.74444382545804266</v>
      </c>
      <c r="L14" s="33">
        <f t="shared" si="0"/>
        <v>-0.84595461570543362</v>
      </c>
      <c r="M14" s="34">
        <f t="shared" si="1"/>
        <v>-6.3446596177907525E-3</v>
      </c>
      <c r="O14" s="2"/>
    </row>
    <row r="15" spans="1:18">
      <c r="A15" s="9">
        <v>42938</v>
      </c>
      <c r="B15" s="9">
        <v>43122</v>
      </c>
      <c r="C15" s="10">
        <v>100000000</v>
      </c>
      <c r="D15" s="14">
        <v>1.5</v>
      </c>
      <c r="E15" s="9">
        <v>43122</v>
      </c>
      <c r="F15" s="9">
        <v>43112</v>
      </c>
      <c r="G15" s="13">
        <f>D14%/2*$B$1</f>
        <v>750000</v>
      </c>
      <c r="H15" s="7">
        <f>H14+1</f>
        <v>2</v>
      </c>
      <c r="I15" s="14">
        <f t="shared" ref="I15:I24" si="3">G15/$B$1*100</f>
        <v>0.75</v>
      </c>
      <c r="J15" s="14">
        <f t="shared" si="2"/>
        <v>0.98828983676063364</v>
      </c>
      <c r="K15" s="33">
        <f>J15*I15</f>
        <v>0.74121737757047523</v>
      </c>
      <c r="L15" s="33">
        <f t="shared" si="0"/>
        <v>-1.3342914916747322</v>
      </c>
      <c r="M15" s="34">
        <f t="shared" si="1"/>
        <v>-1.0007186187560491E-2</v>
      </c>
      <c r="O15" s="2"/>
    </row>
    <row r="16" spans="1:18">
      <c r="A16" s="9">
        <v>43122</v>
      </c>
      <c r="B16" s="9">
        <v>43303</v>
      </c>
      <c r="C16" s="10">
        <v>100000000</v>
      </c>
      <c r="D16" s="14">
        <v>1.5</v>
      </c>
      <c r="E16" s="9">
        <v>43304</v>
      </c>
      <c r="F16" s="9">
        <v>43294</v>
      </c>
      <c r="G16" s="13">
        <f t="shared" ref="G16:G24" si="4">D15%/2*$B$1</f>
        <v>750000</v>
      </c>
      <c r="H16" s="7">
        <f t="shared" ref="H16:H32" si="5">H15+1</f>
        <v>3</v>
      </c>
      <c r="I16" s="14">
        <f t="shared" si="3"/>
        <v>0.75</v>
      </c>
      <c r="J16" s="14">
        <f t="shared" si="2"/>
        <v>0.98400655097455203</v>
      </c>
      <c r="K16" s="33">
        <f t="shared" ref="K16:K19" si="6">J16*I16</f>
        <v>0.73800491323091399</v>
      </c>
      <c r="L16" s="33">
        <f t="shared" si="0"/>
        <v>-1.8183795360967767</v>
      </c>
      <c r="M16" s="34">
        <f t="shared" si="1"/>
        <v>-1.3637846520725826E-2</v>
      </c>
      <c r="O16" s="2"/>
    </row>
    <row r="17" spans="1:15">
      <c r="A17" s="31">
        <v>43303</v>
      </c>
      <c r="B17" s="31">
        <v>43487</v>
      </c>
      <c r="C17" s="32">
        <v>100000000</v>
      </c>
      <c r="D17" s="14">
        <v>1.5</v>
      </c>
      <c r="E17" s="31">
        <v>43487</v>
      </c>
      <c r="F17" s="31">
        <v>43479</v>
      </c>
      <c r="G17" s="13">
        <f t="shared" si="4"/>
        <v>750000</v>
      </c>
      <c r="H17" s="7">
        <f t="shared" si="5"/>
        <v>4</v>
      </c>
      <c r="I17" s="14">
        <f t="shared" si="3"/>
        <v>0.75</v>
      </c>
      <c r="J17" s="14">
        <f t="shared" si="2"/>
        <v>0.97974182911217256</v>
      </c>
      <c r="K17" s="33">
        <f t="shared" si="6"/>
        <v>0.73480637183412945</v>
      </c>
      <c r="L17" s="33">
        <f t="shared" si="0"/>
        <v>-2.2982464053027614</v>
      </c>
      <c r="M17" s="34">
        <f>L17*I17*0.01</f>
        <v>-1.723684803977071E-2</v>
      </c>
      <c r="O17" s="2"/>
    </row>
    <row r="18" spans="1:15">
      <c r="A18" s="9">
        <v>43487</v>
      </c>
      <c r="B18" s="9">
        <v>43668</v>
      </c>
      <c r="C18" s="10">
        <v>100000000</v>
      </c>
      <c r="D18" s="14">
        <v>1.5</v>
      </c>
      <c r="E18" s="9">
        <v>43668</v>
      </c>
      <c r="F18" s="9">
        <v>43658</v>
      </c>
      <c r="G18" s="13">
        <f t="shared" si="4"/>
        <v>750000</v>
      </c>
      <c r="H18" s="7">
        <f t="shared" si="5"/>
        <v>5</v>
      </c>
      <c r="I18" s="14">
        <f t="shared" si="3"/>
        <v>0.75</v>
      </c>
      <c r="J18" s="14">
        <f t="shared" si="2"/>
        <v>0.97549559071674297</v>
      </c>
      <c r="K18" s="33">
        <f t="shared" si="6"/>
        <v>0.7316216930375572</v>
      </c>
      <c r="L18" s="33">
        <f t="shared" si="0"/>
        <v>-2.7739195957062632</v>
      </c>
      <c r="M18" s="34">
        <f t="shared" ref="M18:M33" si="7">L18*I18*0.01</f>
        <v>-2.0804396967796974E-2</v>
      </c>
      <c r="O18" s="2"/>
    </row>
    <row r="19" spans="1:15">
      <c r="A19" s="9">
        <v>43668</v>
      </c>
      <c r="B19" s="9">
        <v>43852</v>
      </c>
      <c r="C19" s="10">
        <v>100000000</v>
      </c>
      <c r="D19" s="14">
        <v>1.5</v>
      </c>
      <c r="E19" s="9">
        <v>43852</v>
      </c>
      <c r="F19" s="9">
        <v>43844</v>
      </c>
      <c r="G19" s="13">
        <f t="shared" si="4"/>
        <v>750000</v>
      </c>
      <c r="H19" s="7">
        <f t="shared" si="5"/>
        <v>6</v>
      </c>
      <c r="I19" s="14">
        <f t="shared" si="3"/>
        <v>0.75</v>
      </c>
      <c r="J19" s="14">
        <f t="shared" si="2"/>
        <v>0.97126775568021384</v>
      </c>
      <c r="K19" s="33">
        <f t="shared" si="6"/>
        <v>0.72845081676016044</v>
      </c>
      <c r="L19" s="33">
        <f t="shared" si="0"/>
        <v>-3.245426444669925</v>
      </c>
      <c r="M19" s="34">
        <f t="shared" si="7"/>
        <v>-2.434069833502444E-2</v>
      </c>
      <c r="O19" s="2"/>
    </row>
    <row r="20" spans="1:15">
      <c r="A20" s="9">
        <v>43852</v>
      </c>
      <c r="B20" s="9">
        <v>44034</v>
      </c>
      <c r="C20" s="10">
        <v>100000000</v>
      </c>
      <c r="D20" s="14">
        <v>1.5</v>
      </c>
      <c r="E20" s="9">
        <v>44034</v>
      </c>
      <c r="F20" s="9">
        <v>44026</v>
      </c>
      <c r="G20" s="13">
        <f t="shared" si="4"/>
        <v>750000</v>
      </c>
      <c r="H20" s="7">
        <f t="shared" si="5"/>
        <v>7</v>
      </c>
      <c r="I20" s="14">
        <f t="shared" si="3"/>
        <v>0.75</v>
      </c>
      <c r="J20" s="14">
        <f t="shared" si="2"/>
        <v>0.96705824424172671</v>
      </c>
      <c r="K20" s="33">
        <f>J20*I20</f>
        <v>0.72529368318129506</v>
      </c>
      <c r="L20" s="33">
        <f t="shared" si="0"/>
        <v>-3.7127941313676356</v>
      </c>
      <c r="M20" s="34">
        <f t="shared" si="7"/>
        <v>-2.7845955985257267E-2</v>
      </c>
      <c r="O20" s="2"/>
    </row>
    <row r="21" spans="1:15">
      <c r="A21" s="31">
        <v>44034</v>
      </c>
      <c r="B21" s="31">
        <v>44218</v>
      </c>
      <c r="C21" s="32">
        <v>100000000</v>
      </c>
      <c r="D21" s="14">
        <v>1.5</v>
      </c>
      <c r="E21" s="31">
        <v>44218</v>
      </c>
      <c r="F21" s="31">
        <v>44210</v>
      </c>
      <c r="G21" s="13">
        <f t="shared" si="4"/>
        <v>750000</v>
      </c>
      <c r="H21" s="7">
        <f t="shared" si="5"/>
        <v>8</v>
      </c>
      <c r="I21" s="14">
        <f t="shared" si="3"/>
        <v>0.75</v>
      </c>
      <c r="J21" s="14">
        <f t="shared" si="2"/>
        <v>0.9628669769861099</v>
      </c>
      <c r="K21" s="33">
        <f t="shared" ref="K21:K24" si="8">J21*I21</f>
        <v>0.72215023273958245</v>
      </c>
      <c r="L21" s="33">
        <f t="shared" ref="L21:L28" si="9">-1/Period*(H21+$B$7)*1/(1+Yield/Period*0.01)^(H21+$B$7+1)</f>
        <v>-4.1760496776422169</v>
      </c>
      <c r="M21" s="34">
        <f>L21*I21*0.01</f>
        <v>-3.1320372582316625E-2</v>
      </c>
      <c r="O21" s="2"/>
    </row>
    <row r="22" spans="1:15">
      <c r="A22" s="9">
        <v>44218</v>
      </c>
      <c r="B22" s="9">
        <v>44399</v>
      </c>
      <c r="C22" s="10">
        <v>100000000</v>
      </c>
      <c r="D22" s="14">
        <v>1.5</v>
      </c>
      <c r="E22" s="9">
        <v>44399</v>
      </c>
      <c r="F22" s="9">
        <v>44389</v>
      </c>
      <c r="G22" s="13">
        <f t="shared" si="4"/>
        <v>750000</v>
      </c>
      <c r="H22" s="7">
        <f t="shared" si="5"/>
        <v>9</v>
      </c>
      <c r="I22" s="14">
        <f t="shared" si="3"/>
        <v>0.75</v>
      </c>
      <c r="J22" s="14">
        <f t="shared" si="2"/>
        <v>0.95869387484238033</v>
      </c>
      <c r="K22" s="33">
        <f t="shared" si="8"/>
        <v>0.71902040613178531</v>
      </c>
      <c r="L22" s="33">
        <f t="shared" si="9"/>
        <v>-4.6352199488586487</v>
      </c>
      <c r="M22" s="34">
        <f t="shared" ref="M22:M24" si="10">L22*I22*0.01</f>
        <v>-3.4764149616439866E-2</v>
      </c>
      <c r="O22" s="2"/>
    </row>
    <row r="23" spans="1:15">
      <c r="A23" s="9">
        <v>44399</v>
      </c>
      <c r="B23" s="9">
        <v>44583</v>
      </c>
      <c r="C23" s="10">
        <v>100000000</v>
      </c>
      <c r="D23" s="14">
        <v>1.5</v>
      </c>
      <c r="E23" s="9">
        <v>44583</v>
      </c>
      <c r="F23" s="9">
        <v>44575</v>
      </c>
      <c r="G23" s="13">
        <f t="shared" si="4"/>
        <v>750000</v>
      </c>
      <c r="H23" s="7">
        <f t="shared" si="5"/>
        <v>10</v>
      </c>
      <c r="I23" s="14">
        <f t="shared" si="3"/>
        <v>0.75</v>
      </c>
      <c r="J23" s="14">
        <f t="shared" si="2"/>
        <v>0.95453885908225111</v>
      </c>
      <c r="K23" s="33">
        <f t="shared" si="8"/>
        <v>0.71590414431168836</v>
      </c>
      <c r="L23" s="33">
        <f t="shared" si="9"/>
        <v>-5.0903316547528634</v>
      </c>
      <c r="M23" s="34">
        <f t="shared" si="10"/>
        <v>-3.8177487410646478E-2</v>
      </c>
      <c r="O23" s="2"/>
    </row>
    <row r="24" spans="1:15">
      <c r="A24" s="9">
        <v>44583</v>
      </c>
      <c r="B24" s="9">
        <v>44764</v>
      </c>
      <c r="C24" s="10">
        <v>100000000</v>
      </c>
      <c r="D24" s="14">
        <v>1.5</v>
      </c>
      <c r="E24" s="9">
        <v>44764</v>
      </c>
      <c r="F24" s="9">
        <v>44756</v>
      </c>
      <c r="G24" s="13">
        <f t="shared" si="4"/>
        <v>750000</v>
      </c>
      <c r="H24" s="7">
        <f t="shared" si="5"/>
        <v>11</v>
      </c>
      <c r="I24" s="14">
        <f t="shared" si="3"/>
        <v>0.75</v>
      </c>
      <c r="J24" s="14">
        <f t="shared" si="2"/>
        <v>0.95040185131864718</v>
      </c>
      <c r="K24" s="33">
        <f>J24*I24</f>
        <v>0.71280138848898544</v>
      </c>
      <c r="L24" s="33">
        <f t="shared" si="9"/>
        <v>-5.541411350276106</v>
      </c>
      <c r="M24" s="34">
        <f t="shared" si="10"/>
        <v>-4.1560585127070795E-2</v>
      </c>
      <c r="O24" s="2"/>
    </row>
    <row r="25" spans="1:15">
      <c r="A25" s="31">
        <v>44764</v>
      </c>
      <c r="B25" s="31">
        <v>44948</v>
      </c>
      <c r="C25" s="32">
        <v>100000000</v>
      </c>
      <c r="D25" s="14">
        <v>1.5</v>
      </c>
      <c r="E25" s="31">
        <v>43487</v>
      </c>
      <c r="F25" s="31">
        <v>43479</v>
      </c>
      <c r="G25" s="13">
        <f t="shared" ref="G25:G32" si="11">D24%/2*$B$1</f>
        <v>750000</v>
      </c>
      <c r="H25" s="7">
        <f t="shared" si="5"/>
        <v>12</v>
      </c>
      <c r="I25" s="14">
        <f t="shared" ref="I25:I32" si="12">G25/$B$1*100</f>
        <v>0.75</v>
      </c>
      <c r="J25" s="14">
        <f t="shared" si="2"/>
        <v>0.94628277350422585</v>
      </c>
      <c r="K25" s="33">
        <f t="shared" ref="K25:K28" si="13">J25*I25</f>
        <v>0.70971208012816933</v>
      </c>
      <c r="L25" s="33">
        <f t="shared" si="9"/>
        <v>-5.9884854364349094</v>
      </c>
      <c r="M25" s="34">
        <f>L25*I25*0.01</f>
        <v>-4.491364077326182E-2</v>
      </c>
      <c r="O25" s="2"/>
    </row>
    <row r="26" spans="1:15">
      <c r="A26" s="9">
        <v>44948</v>
      </c>
      <c r="B26" s="9">
        <v>45129</v>
      </c>
      <c r="C26" s="10">
        <v>100000000</v>
      </c>
      <c r="D26" s="14">
        <v>1.5</v>
      </c>
      <c r="E26" s="9">
        <v>43668</v>
      </c>
      <c r="F26" s="9">
        <v>43658</v>
      </c>
      <c r="G26" s="13">
        <f t="shared" si="11"/>
        <v>750000</v>
      </c>
      <c r="H26" s="7">
        <f t="shared" si="5"/>
        <v>13</v>
      </c>
      <c r="I26" s="14">
        <f t="shared" si="12"/>
        <v>0.75</v>
      </c>
      <c r="J26" s="14">
        <f t="shared" si="2"/>
        <v>0.94218154792990449</v>
      </c>
      <c r="K26" s="33">
        <f t="shared" si="13"/>
        <v>0.70663616094742832</v>
      </c>
      <c r="L26" s="33">
        <f t="shared" si="9"/>
        <v>-6.4315801611266989</v>
      </c>
      <c r="M26" s="34">
        <f t="shared" ref="M26:M32" si="14">L26*I26*0.01</f>
        <v>-4.823685120845024E-2</v>
      </c>
      <c r="O26" s="2"/>
    </row>
    <row r="27" spans="1:15">
      <c r="A27" s="9">
        <v>45129</v>
      </c>
      <c r="B27" s="9">
        <v>45313</v>
      </c>
      <c r="C27" s="10">
        <v>100000000</v>
      </c>
      <c r="D27" s="14">
        <v>1.5</v>
      </c>
      <c r="E27" s="9">
        <v>43852</v>
      </c>
      <c r="F27" s="9">
        <v>43844</v>
      </c>
      <c r="G27" s="13">
        <f t="shared" si="11"/>
        <v>750000</v>
      </c>
      <c r="H27" s="7">
        <f t="shared" si="5"/>
        <v>14</v>
      </c>
      <c r="I27" s="14">
        <f t="shared" si="12"/>
        <v>0.75</v>
      </c>
      <c r="J27" s="14">
        <f t="shared" si="2"/>
        <v>0.93809809722339488</v>
      </c>
      <c r="K27" s="33">
        <f t="shared" si="13"/>
        <v>0.70357357291754619</v>
      </c>
      <c r="L27" s="33">
        <f t="shared" si="9"/>
        <v>-6.8707216199710324</v>
      </c>
      <c r="M27" s="34">
        <f t="shared" si="14"/>
        <v>-5.1530412149782746E-2</v>
      </c>
      <c r="O27" s="2"/>
    </row>
    <row r="28" spans="1:15">
      <c r="A28" s="9">
        <v>45313</v>
      </c>
      <c r="B28" s="9">
        <v>45495</v>
      </c>
      <c r="C28" s="10">
        <v>100000000</v>
      </c>
      <c r="D28" s="14">
        <v>1.5</v>
      </c>
      <c r="E28" s="9">
        <v>44034</v>
      </c>
      <c r="F28" s="9">
        <v>44026</v>
      </c>
      <c r="G28" s="13">
        <f t="shared" si="11"/>
        <v>750000</v>
      </c>
      <c r="H28" s="7">
        <f t="shared" si="5"/>
        <v>15</v>
      </c>
      <c r="I28" s="14">
        <f t="shared" si="12"/>
        <v>0.75</v>
      </c>
      <c r="J28" s="14">
        <f t="shared" si="2"/>
        <v>0.93403234434774285</v>
      </c>
      <c r="K28" s="33">
        <f>J28*I28</f>
        <v>0.70052425826080711</v>
      </c>
      <c r="L28" s="33">
        <f t="shared" si="9"/>
        <v>-7.3059357571365231</v>
      </c>
      <c r="M28" s="34">
        <f t="shared" si="14"/>
        <v>-5.4794518178523925E-2</v>
      </c>
      <c r="O28" s="2"/>
    </row>
    <row r="29" spans="1:15">
      <c r="A29" s="31">
        <v>45495</v>
      </c>
      <c r="B29" s="31">
        <v>45679</v>
      </c>
      <c r="C29" s="32">
        <v>100000000</v>
      </c>
      <c r="D29" s="14">
        <v>1.5</v>
      </c>
      <c r="E29" s="31">
        <v>44218</v>
      </c>
      <c r="F29" s="31">
        <v>44210</v>
      </c>
      <c r="G29" s="13">
        <f t="shared" si="11"/>
        <v>750000</v>
      </c>
      <c r="H29" s="7">
        <f t="shared" si="5"/>
        <v>16</v>
      </c>
      <c r="I29" s="14">
        <f t="shared" si="12"/>
        <v>0.75</v>
      </c>
      <c r="J29" s="14">
        <f t="shared" si="2"/>
        <v>0.92998421259987574</v>
      </c>
      <c r="K29" s="33">
        <f t="shared" ref="K29:K32" si="15">J29*I29</f>
        <v>0.69748815944990683</v>
      </c>
      <c r="L29" s="33">
        <f t="shared" ref="L29:L32" si="16">-1/Period*(H29+$B$7)*1/(1+Yield/Period*0.01)^(H29+$B$7+1)</f>
        <v>-7.7372483661634508</v>
      </c>
      <c r="M29" s="34">
        <f>L29*I29*0.01</f>
        <v>-5.8029362746225888E-2</v>
      </c>
      <c r="O29" s="2"/>
    </row>
    <row r="30" spans="1:15">
      <c r="A30" s="9">
        <v>45679</v>
      </c>
      <c r="B30" s="9">
        <v>45860</v>
      </c>
      <c r="C30" s="10">
        <v>100000000</v>
      </c>
      <c r="D30" s="14">
        <v>1.5</v>
      </c>
      <c r="E30" s="9">
        <v>44399</v>
      </c>
      <c r="F30" s="9">
        <v>44389</v>
      </c>
      <c r="G30" s="13">
        <f t="shared" si="11"/>
        <v>750000</v>
      </c>
      <c r="H30" s="7">
        <f t="shared" si="5"/>
        <v>17</v>
      </c>
      <c r="I30" s="14">
        <f t="shared" si="12"/>
        <v>0.75</v>
      </c>
      <c r="J30" s="14">
        <f t="shared" si="2"/>
        <v>0.92595362560915451</v>
      </c>
      <c r="K30" s="33">
        <f t="shared" si="15"/>
        <v>0.69446521920686588</v>
      </c>
      <c r="L30" s="33">
        <f t="shared" si="16"/>
        <v>-8.1646850907820863</v>
      </c>
      <c r="M30" s="34">
        <f t="shared" ref="M30:M32" si="17">L30*I30*0.01</f>
        <v>-6.123513818086565E-2</v>
      </c>
      <c r="O30" s="2"/>
    </row>
    <row r="31" spans="1:15">
      <c r="A31" s="9">
        <v>45860</v>
      </c>
      <c r="B31" s="9">
        <v>46044</v>
      </c>
      <c r="C31" s="10">
        <v>100000000</v>
      </c>
      <c r="D31" s="14">
        <v>1.5</v>
      </c>
      <c r="E31" s="9">
        <v>44583</v>
      </c>
      <c r="F31" s="9">
        <v>44575</v>
      </c>
      <c r="G31" s="13">
        <f t="shared" si="11"/>
        <v>750000</v>
      </c>
      <c r="H31" s="7">
        <f t="shared" si="5"/>
        <v>18</v>
      </c>
      <c r="I31" s="14">
        <f t="shared" si="12"/>
        <v>0.75</v>
      </c>
      <c r="J31" s="14">
        <f t="shared" si="2"/>
        <v>0.92194050733593358</v>
      </c>
      <c r="K31" s="33">
        <f t="shared" si="15"/>
        <v>0.69145538050195021</v>
      </c>
      <c r="L31" s="33">
        <f t="shared" si="16"/>
        <v>-8.5882714257267541</v>
      </c>
      <c r="M31" s="34">
        <f t="shared" si="17"/>
        <v>-6.4412035692950662E-2</v>
      </c>
      <c r="O31" s="2"/>
    </row>
    <row r="32" spans="1:15">
      <c r="A32" s="9">
        <v>46044</v>
      </c>
      <c r="B32" s="9">
        <v>46225</v>
      </c>
      <c r="C32" s="10">
        <v>100000000</v>
      </c>
      <c r="D32" s="14">
        <v>1.5</v>
      </c>
      <c r="E32" s="9">
        <v>44764</v>
      </c>
      <c r="F32" s="9">
        <v>44756</v>
      </c>
      <c r="G32" s="13">
        <f t="shared" si="11"/>
        <v>750000</v>
      </c>
      <c r="H32" s="7">
        <f t="shared" si="5"/>
        <v>19</v>
      </c>
      <c r="I32" s="14">
        <f t="shared" si="12"/>
        <v>0.75</v>
      </c>
      <c r="J32" s="14">
        <f t="shared" si="2"/>
        <v>0.91794478207012653</v>
      </c>
      <c r="K32" s="33">
        <f>J32*I32</f>
        <v>0.68845858655259495</v>
      </c>
      <c r="L32" s="33">
        <f t="shared" si="16"/>
        <v>-9.0080327175456496</v>
      </c>
      <c r="M32" s="34">
        <f t="shared" si="17"/>
        <v>-6.7560245381592374E-2</v>
      </c>
      <c r="O32" s="2"/>
    </row>
    <row r="33" spans="1:15">
      <c r="A33" s="8"/>
      <c r="B33" s="8"/>
      <c r="C33" s="8"/>
      <c r="D33" s="8"/>
      <c r="E33" s="8"/>
      <c r="F33" s="8"/>
      <c r="G33" s="8"/>
      <c r="H33" s="43">
        <v>19</v>
      </c>
      <c r="I33" s="8">
        <v>100</v>
      </c>
      <c r="J33" s="8">
        <f>1/(1+Yield/Period*0.01)^(H33+$B$7)</f>
        <v>0.91794478207012653</v>
      </c>
      <c r="K33" s="33">
        <f>J33*I33</f>
        <v>91.794478207012659</v>
      </c>
      <c r="L33" s="33">
        <f t="shared" si="0"/>
        <v>-9.0080327175456496</v>
      </c>
      <c r="M33" s="34">
        <f t="shared" si="7"/>
        <v>-9.0080327175456496</v>
      </c>
      <c r="O33" s="2"/>
    </row>
    <row r="34" spans="1:15" ht="15.75" thickBot="1">
      <c r="A34" s="17"/>
      <c r="B34" s="17"/>
      <c r="C34" s="17"/>
      <c r="D34" s="17"/>
      <c r="E34" s="17"/>
      <c r="F34" s="17"/>
      <c r="G34" s="17"/>
      <c r="H34" s="16"/>
      <c r="I34" s="17"/>
      <c r="J34" s="29" t="s">
        <v>12</v>
      </c>
      <c r="K34" s="39">
        <f>SUM(K11:K33)</f>
        <v>106.78495491226109</v>
      </c>
      <c r="L34" s="29" t="s">
        <v>21</v>
      </c>
      <c r="M34" s="40">
        <f>SUM(M11:M33)</f>
        <v>-9.7296920841140579</v>
      </c>
      <c r="O34" s="2"/>
    </row>
    <row r="36" spans="1:15">
      <c r="E36" s="93"/>
    </row>
    <row r="37" spans="1:15">
      <c r="D37" s="9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39"/>
  <sheetViews>
    <sheetView workbookViewId="0">
      <selection activeCell="G11" sqref="G11"/>
    </sheetView>
  </sheetViews>
  <sheetFormatPr defaultRowHeight="15"/>
  <cols>
    <col min="1" max="1" width="16.7109375" bestFit="1" customWidth="1"/>
    <col min="2" max="2" width="12.7109375" bestFit="1" customWidth="1"/>
    <col min="3" max="3" width="10.85546875" bestFit="1" customWidth="1"/>
    <col min="4" max="4" width="11.140625" bestFit="1" customWidth="1"/>
    <col min="5" max="5" width="14.5703125" bestFit="1" customWidth="1"/>
    <col min="6" max="6" width="10.7109375" bestFit="1" customWidth="1"/>
    <col min="7" max="7" width="10.85546875" bestFit="1" customWidth="1"/>
    <col min="8" max="8" width="11.7109375" bestFit="1" customWidth="1"/>
    <col min="9" max="9" width="12.5703125" bestFit="1" customWidth="1"/>
    <col min="10" max="10" width="9" bestFit="1" customWidth="1"/>
    <col min="11" max="11" width="15.28515625" bestFit="1" customWidth="1"/>
    <col min="12" max="12" width="12" bestFit="1" customWidth="1"/>
    <col min="13" max="13" width="8.7109375" bestFit="1" customWidth="1"/>
    <col min="14" max="14" width="16.7109375" bestFit="1" customWidth="1"/>
    <col min="17" max="16384" width="9.140625" style="5"/>
  </cols>
  <sheetData>
    <row r="1" spans="1:16">
      <c r="A1" s="60" t="s">
        <v>16</v>
      </c>
      <c r="B1" s="61">
        <v>100000000</v>
      </c>
      <c r="C1" s="5"/>
      <c r="D1" s="5" t="s">
        <v>18</v>
      </c>
      <c r="E1" s="5" t="s">
        <v>17</v>
      </c>
      <c r="F1" s="5"/>
      <c r="G1" s="5"/>
      <c r="H1" s="60" t="s">
        <v>13</v>
      </c>
      <c r="I1" s="5">
        <v>0.363504004790771</v>
      </c>
      <c r="J1" s="5"/>
      <c r="K1" s="5"/>
      <c r="L1" s="5"/>
      <c r="M1" s="5"/>
      <c r="N1" s="5"/>
      <c r="O1" s="5"/>
      <c r="P1" s="5"/>
    </row>
    <row r="2" spans="1:16">
      <c r="A2" s="60" t="s">
        <v>31</v>
      </c>
      <c r="B2" s="62">
        <v>42650</v>
      </c>
      <c r="C2" s="5"/>
      <c r="D2" s="5"/>
      <c r="E2" s="5"/>
      <c r="F2" s="5"/>
      <c r="G2" s="5"/>
      <c r="H2" s="60" t="s">
        <v>14</v>
      </c>
      <c r="I2" s="60">
        <v>95.5537387751355</v>
      </c>
      <c r="J2" s="60" t="s">
        <v>22</v>
      </c>
      <c r="K2" s="5"/>
      <c r="L2" s="5"/>
      <c r="M2" s="5"/>
      <c r="N2" s="5"/>
      <c r="O2" s="5"/>
      <c r="P2" s="5"/>
    </row>
    <row r="3" spans="1:16">
      <c r="A3" s="5" t="s">
        <v>19</v>
      </c>
      <c r="B3" s="62">
        <v>42648</v>
      </c>
      <c r="C3" s="5"/>
      <c r="D3" s="5"/>
      <c r="E3" s="5"/>
      <c r="F3" s="5"/>
      <c r="G3" s="5"/>
      <c r="H3" s="60" t="s">
        <v>15</v>
      </c>
      <c r="I3" s="63">
        <f>I2+I1</f>
        <v>95.917242779926269</v>
      </c>
      <c r="J3" s="64">
        <f>I3-L22</f>
        <v>3.4124667536161724E-9</v>
      </c>
      <c r="K3" s="5"/>
      <c r="L3" s="5"/>
      <c r="M3" s="5"/>
      <c r="N3" s="5"/>
      <c r="O3" s="5"/>
      <c r="P3" s="5"/>
    </row>
    <row r="4" spans="1:16">
      <c r="A4" s="60" t="s">
        <v>20</v>
      </c>
      <c r="B4" s="5">
        <v>1</v>
      </c>
      <c r="C4" s="5"/>
      <c r="D4" s="5"/>
      <c r="E4" s="5"/>
      <c r="F4" s="5"/>
      <c r="G4" s="5"/>
      <c r="H4" s="60" t="s">
        <v>24</v>
      </c>
      <c r="I4" s="5">
        <v>-8.6670018714826096</v>
      </c>
      <c r="J4" s="64">
        <f>I4-N22</f>
        <v>-1.3743672866439738E-11</v>
      </c>
      <c r="K4" s="5"/>
      <c r="L4" s="5"/>
      <c r="M4" s="5"/>
      <c r="N4" s="5"/>
      <c r="O4" s="5"/>
      <c r="P4" s="5"/>
    </row>
    <row r="5" spans="1:1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ht="18.75" customHeight="1">
      <c r="A6" s="5" t="s">
        <v>30</v>
      </c>
      <c r="B6" s="5">
        <f>(B11-B2)/(B11-B7)</f>
        <v>0.35792349726775957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30">
      <c r="A7" s="84" t="s">
        <v>37</v>
      </c>
      <c r="B7" s="62">
        <v>42415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ht="18.75" customHeight="1" thickBot="1">
      <c r="A8" s="5"/>
      <c r="B8" s="62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>
      <c r="A9" s="23" t="s">
        <v>1</v>
      </c>
      <c r="B9" s="23" t="s">
        <v>1</v>
      </c>
      <c r="C9" s="23" t="s">
        <v>2</v>
      </c>
      <c r="D9" s="23" t="s">
        <v>3</v>
      </c>
      <c r="E9" s="23" t="s">
        <v>4</v>
      </c>
      <c r="F9" s="23" t="s">
        <v>1</v>
      </c>
      <c r="G9" s="23"/>
      <c r="H9" s="18"/>
      <c r="I9" s="19"/>
      <c r="J9" s="23"/>
      <c r="K9" s="23"/>
      <c r="L9" s="23"/>
      <c r="M9" s="19"/>
      <c r="N9" s="20"/>
      <c r="O9" s="5"/>
      <c r="P9" s="5"/>
    </row>
    <row r="10" spans="1:16" ht="30.75" thickBot="1">
      <c r="A10" s="26" t="s">
        <v>5</v>
      </c>
      <c r="B10" s="26" t="s">
        <v>6</v>
      </c>
      <c r="C10" s="26" t="s">
        <v>7</v>
      </c>
      <c r="D10" s="26"/>
      <c r="E10" s="26" t="s">
        <v>8</v>
      </c>
      <c r="F10" s="26" t="s">
        <v>9</v>
      </c>
      <c r="G10" s="26" t="s">
        <v>0</v>
      </c>
      <c r="H10" s="24" t="s">
        <v>25</v>
      </c>
      <c r="I10" s="21"/>
      <c r="J10" s="25" t="s">
        <v>26</v>
      </c>
      <c r="K10" s="25" t="s">
        <v>23</v>
      </c>
      <c r="L10" s="30" t="s">
        <v>27</v>
      </c>
      <c r="M10" s="21"/>
      <c r="N10" s="22"/>
      <c r="O10" s="5"/>
      <c r="P10" s="5"/>
    </row>
    <row r="11" spans="1:16">
      <c r="A11" s="12">
        <v>42384</v>
      </c>
      <c r="B11" s="12">
        <v>42781</v>
      </c>
      <c r="C11" s="13">
        <v>100000000</v>
      </c>
      <c r="D11" s="14">
        <v>0.5</v>
      </c>
      <c r="E11" s="12">
        <v>42781</v>
      </c>
      <c r="F11" s="12">
        <v>42781</v>
      </c>
      <c r="G11" s="82">
        <v>542465.75</v>
      </c>
      <c r="H11" s="83">
        <v>0</v>
      </c>
      <c r="I11" s="79"/>
      <c r="J11" s="14">
        <f>G11/$B$1*100</f>
        <v>0.54246574999999997</v>
      </c>
      <c r="K11" s="55">
        <f>1/(1+$B$4*0.01)^(H11+$B$6)</f>
        <v>0.99644487724861197</v>
      </c>
      <c r="L11" s="14">
        <f t="shared" ref="L11:L20" si="0">K11*J11</f>
        <v>0.54053721767032625</v>
      </c>
      <c r="M11" s="14">
        <f>-(H11+$B$6)*1/(1+$B$4*0.01)^(H11+$B$6+1)</f>
        <v>-0.35311983693006593</v>
      </c>
      <c r="N11" s="15">
        <f>M11*J11*0.01</f>
        <v>-1.915554171801459E-3</v>
      </c>
      <c r="O11" s="5"/>
      <c r="P11" s="5"/>
    </row>
    <row r="12" spans="1:16">
      <c r="A12" s="49">
        <v>42781</v>
      </c>
      <c r="B12" s="49">
        <v>43146</v>
      </c>
      <c r="C12" s="50">
        <v>100000000</v>
      </c>
      <c r="D12" s="51">
        <v>0.5</v>
      </c>
      <c r="E12" s="49">
        <v>43146</v>
      </c>
      <c r="F12" s="49">
        <v>43146</v>
      </c>
      <c r="G12" s="50">
        <v>500000</v>
      </c>
      <c r="H12" s="38">
        <v>1</v>
      </c>
      <c r="I12" s="52"/>
      <c r="J12" s="51">
        <f t="shared" ref="J12:J20" si="1">G12/$B$1*100</f>
        <v>0.5</v>
      </c>
      <c r="K12" s="80">
        <f t="shared" ref="K12:K20" si="2">1/(1+$B$4*0.01)^(H12+$B$6)</f>
        <v>0.98657908638476433</v>
      </c>
      <c r="L12" s="51">
        <f t="shared" si="0"/>
        <v>0.49328954319238216</v>
      </c>
      <c r="M12" s="51">
        <f t="shared" ref="M12:M21" si="3">-(H12+$B$6)*1/(1+$B$4*0.01)^(H12+$B$6+1)</f>
        <v>-1.3264345775394357</v>
      </c>
      <c r="N12" s="53">
        <f t="shared" ref="N12:N21" si="4">M12*J12*0.01</f>
        <v>-6.6321728876971783E-3</v>
      </c>
      <c r="O12" s="5"/>
      <c r="P12" s="5"/>
    </row>
    <row r="13" spans="1:16">
      <c r="A13" s="49">
        <v>43146</v>
      </c>
      <c r="B13" s="49">
        <v>43511</v>
      </c>
      <c r="C13" s="50">
        <v>100000000</v>
      </c>
      <c r="D13" s="51">
        <v>0.5</v>
      </c>
      <c r="E13" s="49">
        <v>43511</v>
      </c>
      <c r="F13" s="49">
        <v>43511</v>
      </c>
      <c r="G13" s="50">
        <v>500000</v>
      </c>
      <c r="H13" s="38">
        <f t="shared" ref="H13:H20" si="5">H12+1</f>
        <v>2</v>
      </c>
      <c r="I13" s="52"/>
      <c r="J13" s="51">
        <f>G13/$B$1*100</f>
        <v>0.5</v>
      </c>
      <c r="K13" s="80">
        <f t="shared" si="2"/>
        <v>0.97681097661857841</v>
      </c>
      <c r="L13" s="51">
        <f t="shared" si="0"/>
        <v>0.4884054883092892</v>
      </c>
      <c r="M13" s="51">
        <f t="shared" si="3"/>
        <v>-2.2804411427307065</v>
      </c>
      <c r="N13" s="53">
        <f t="shared" si="4"/>
        <v>-1.1402205713653532E-2</v>
      </c>
      <c r="O13" s="5"/>
      <c r="P13" s="5"/>
    </row>
    <row r="14" spans="1:16">
      <c r="A14" s="49">
        <v>43511</v>
      </c>
      <c r="B14" s="49">
        <v>43876</v>
      </c>
      <c r="C14" s="50">
        <v>100000000</v>
      </c>
      <c r="D14" s="51">
        <v>0.5</v>
      </c>
      <c r="E14" s="49">
        <v>43878</v>
      </c>
      <c r="F14" s="49">
        <v>43876</v>
      </c>
      <c r="G14" s="50">
        <v>500000</v>
      </c>
      <c r="H14" s="38">
        <f t="shared" si="5"/>
        <v>3</v>
      </c>
      <c r="I14" s="52"/>
      <c r="J14" s="51">
        <f t="shared" si="1"/>
        <v>0.5</v>
      </c>
      <c r="K14" s="80">
        <f t="shared" si="2"/>
        <v>0.96713958081047358</v>
      </c>
      <c r="L14" s="51">
        <f t="shared" si="0"/>
        <v>0.48356979040523679</v>
      </c>
      <c r="M14" s="51">
        <f t="shared" si="3"/>
        <v>-3.2154264589516637</v>
      </c>
      <c r="N14" s="53">
        <f t="shared" si="4"/>
        <v>-1.6077132294758319E-2</v>
      </c>
      <c r="O14" s="5"/>
      <c r="P14" s="5"/>
    </row>
    <row r="15" spans="1:16">
      <c r="A15" s="49">
        <v>43876</v>
      </c>
      <c r="B15" s="49">
        <v>44242</v>
      </c>
      <c r="C15" s="50">
        <v>100000000</v>
      </c>
      <c r="D15" s="51">
        <v>0.5</v>
      </c>
      <c r="E15" s="49">
        <v>44242</v>
      </c>
      <c r="F15" s="49">
        <v>44242</v>
      </c>
      <c r="G15" s="50">
        <v>500000</v>
      </c>
      <c r="H15" s="38">
        <f t="shared" si="5"/>
        <v>4</v>
      </c>
      <c r="I15" s="52"/>
      <c r="J15" s="51">
        <f t="shared" si="1"/>
        <v>0.5</v>
      </c>
      <c r="K15" s="80">
        <f t="shared" si="2"/>
        <v>0.95756394139650858</v>
      </c>
      <c r="L15" s="51">
        <f t="shared" si="0"/>
        <v>0.47878197069825429</v>
      </c>
      <c r="M15" s="51">
        <f t="shared" si="3"/>
        <v>-4.1316736637110623</v>
      </c>
      <c r="N15" s="53">
        <f t="shared" si="4"/>
        <v>-2.065836831855531E-2</v>
      </c>
      <c r="O15" s="5"/>
      <c r="P15" s="5"/>
    </row>
    <row r="16" spans="1:16">
      <c r="A16" s="49">
        <v>44242</v>
      </c>
      <c r="B16" s="49">
        <v>44607</v>
      </c>
      <c r="C16" s="50">
        <v>100000000</v>
      </c>
      <c r="D16" s="51">
        <v>0.5</v>
      </c>
      <c r="E16" s="49">
        <v>44607</v>
      </c>
      <c r="F16" s="49">
        <v>44607</v>
      </c>
      <c r="G16" s="50">
        <v>500000</v>
      </c>
      <c r="H16" s="38">
        <f t="shared" si="5"/>
        <v>5</v>
      </c>
      <c r="I16" s="52"/>
      <c r="J16" s="51">
        <f t="shared" si="1"/>
        <v>0.5</v>
      </c>
      <c r="K16" s="80">
        <f t="shared" si="2"/>
        <v>0.94808311029357284</v>
      </c>
      <c r="L16" s="51">
        <f t="shared" si="0"/>
        <v>0.47404155514678642</v>
      </c>
      <c r="M16" s="51">
        <f t="shared" si="3"/>
        <v>-5.0294621524798364</v>
      </c>
      <c r="N16" s="53">
        <f t="shared" si="4"/>
        <v>-2.5147310762399181E-2</v>
      </c>
      <c r="O16" s="5"/>
      <c r="P16" s="5"/>
    </row>
    <row r="17" spans="1:16">
      <c r="A17" s="49">
        <v>44607</v>
      </c>
      <c r="B17" s="49">
        <v>44972</v>
      </c>
      <c r="C17" s="50">
        <v>100000000</v>
      </c>
      <c r="D17" s="51">
        <v>0.5</v>
      </c>
      <c r="E17" s="49">
        <v>44972</v>
      </c>
      <c r="F17" s="49">
        <v>44972</v>
      </c>
      <c r="G17" s="50">
        <v>500000</v>
      </c>
      <c r="H17" s="38">
        <f t="shared" si="5"/>
        <v>6</v>
      </c>
      <c r="I17" s="52"/>
      <c r="J17" s="51">
        <f t="shared" si="1"/>
        <v>0.5</v>
      </c>
      <c r="K17" s="80">
        <f t="shared" si="2"/>
        <v>0.93869614880551766</v>
      </c>
      <c r="L17" s="51">
        <f t="shared" si="0"/>
        <v>0.46934807440275883</v>
      </c>
      <c r="M17" s="51">
        <f t="shared" si="3"/>
        <v>-5.9090676250350045</v>
      </c>
      <c r="N17" s="53">
        <f t="shared" si="4"/>
        <v>-2.9545338125175024E-2</v>
      </c>
      <c r="O17" s="5"/>
      <c r="P17" s="5"/>
    </row>
    <row r="18" spans="1:16">
      <c r="A18" s="49">
        <v>44972</v>
      </c>
      <c r="B18" s="49">
        <v>45337</v>
      </c>
      <c r="C18" s="50">
        <v>100000000</v>
      </c>
      <c r="D18" s="51">
        <v>0.5</v>
      </c>
      <c r="E18" s="49">
        <v>45337</v>
      </c>
      <c r="F18" s="49">
        <v>45337</v>
      </c>
      <c r="G18" s="50">
        <v>500000</v>
      </c>
      <c r="H18" s="38">
        <f t="shared" si="5"/>
        <v>7</v>
      </c>
      <c r="I18" s="52"/>
      <c r="J18" s="51">
        <f t="shared" si="1"/>
        <v>0.5</v>
      </c>
      <c r="K18" s="80">
        <f t="shared" si="2"/>
        <v>0.92940212753021556</v>
      </c>
      <c r="L18" s="51">
        <f t="shared" si="0"/>
        <v>0.46470106376510778</v>
      </c>
      <c r="M18" s="51">
        <f t="shared" si="3"/>
        <v>-6.7707621312526927</v>
      </c>
      <c r="N18" s="53">
        <f t="shared" si="4"/>
        <v>-3.3853810656263465E-2</v>
      </c>
      <c r="O18" s="5"/>
      <c r="P18" s="5"/>
    </row>
    <row r="19" spans="1:16">
      <c r="A19" s="49">
        <v>45337</v>
      </c>
      <c r="B19" s="49">
        <v>45703</v>
      </c>
      <c r="C19" s="50">
        <v>100000000</v>
      </c>
      <c r="D19" s="51">
        <v>0.5</v>
      </c>
      <c r="E19" s="49">
        <v>45705</v>
      </c>
      <c r="F19" s="49">
        <v>45703</v>
      </c>
      <c r="G19" s="50">
        <v>500000</v>
      </c>
      <c r="H19" s="38">
        <f t="shared" si="5"/>
        <v>8</v>
      </c>
      <c r="I19" s="52"/>
      <c r="J19" s="51">
        <f t="shared" si="1"/>
        <v>0.5</v>
      </c>
      <c r="K19" s="80">
        <f t="shared" si="2"/>
        <v>0.92020012626754011</v>
      </c>
      <c r="L19" s="51">
        <f t="shared" si="0"/>
        <v>0.46010006313377005</v>
      </c>
      <c r="M19" s="51">
        <f t="shared" si="3"/>
        <v>-7.6148141163566656</v>
      </c>
      <c r="N19" s="53">
        <f t="shared" si="4"/>
        <v>-3.8074070581783331E-2</v>
      </c>
      <c r="O19" s="5"/>
      <c r="P19" s="5"/>
    </row>
    <row r="20" spans="1:16">
      <c r="A20" s="49">
        <v>45703</v>
      </c>
      <c r="B20" s="49">
        <v>46068</v>
      </c>
      <c r="C20" s="50">
        <v>100000000</v>
      </c>
      <c r="D20" s="51">
        <v>0.5</v>
      </c>
      <c r="E20" s="49">
        <v>46069</v>
      </c>
      <c r="F20" s="49">
        <v>46068</v>
      </c>
      <c r="G20" s="50">
        <v>500000</v>
      </c>
      <c r="H20" s="38">
        <f t="shared" si="5"/>
        <v>9</v>
      </c>
      <c r="I20" s="54"/>
      <c r="J20" s="51">
        <f t="shared" si="1"/>
        <v>0.5</v>
      </c>
      <c r="K20" s="80">
        <f t="shared" si="2"/>
        <v>0.91108923392825758</v>
      </c>
      <c r="L20" s="51">
        <f t="shared" si="0"/>
        <v>0.45554461696412879</v>
      </c>
      <c r="M20" s="51">
        <f t="shared" si="3"/>
        <v>-8.4414884656286358</v>
      </c>
      <c r="N20" s="53">
        <f t="shared" si="4"/>
        <v>-4.2207442328143177E-2</v>
      </c>
      <c r="O20" s="5"/>
      <c r="P20" s="5"/>
    </row>
    <row r="21" spans="1:16">
      <c r="A21" s="49"/>
      <c r="B21" s="49"/>
      <c r="C21" s="51"/>
      <c r="D21" s="51"/>
      <c r="E21" s="51"/>
      <c r="F21" s="51"/>
      <c r="G21" s="51"/>
      <c r="H21" s="38">
        <f>H20</f>
        <v>9</v>
      </c>
      <c r="I21" s="81" t="s">
        <v>11</v>
      </c>
      <c r="J21" s="51">
        <v>100</v>
      </c>
      <c r="K21" s="51">
        <f>1/(1+$B$4*0.01)^(H21+$B$6)</f>
        <v>0.91108923392825758</v>
      </c>
      <c r="L21" s="51">
        <f>K21*J21</f>
        <v>91.108923392825758</v>
      </c>
      <c r="M21" s="51">
        <f t="shared" si="3"/>
        <v>-8.4414884656286358</v>
      </c>
      <c r="N21" s="53">
        <f t="shared" si="4"/>
        <v>-8.4414884656286358</v>
      </c>
      <c r="O21" s="5"/>
      <c r="P21" s="5"/>
    </row>
    <row r="22" spans="1:16" ht="15.75" thickBot="1">
      <c r="A22" s="42"/>
      <c r="B22" s="42"/>
      <c r="C22" s="42"/>
      <c r="D22" s="42"/>
      <c r="E22" s="42"/>
      <c r="F22" s="42"/>
      <c r="G22" s="42"/>
      <c r="H22" s="66"/>
      <c r="I22" s="42"/>
      <c r="J22" s="42"/>
      <c r="K22" s="29" t="s">
        <v>12</v>
      </c>
      <c r="L22" s="39">
        <f>SUM(L11:L21)</f>
        <v>95.917242776513802</v>
      </c>
      <c r="M22" s="29" t="s">
        <v>21</v>
      </c>
      <c r="N22" s="40">
        <f>SUM(N11:N21)</f>
        <v>-8.6670018714688659</v>
      </c>
      <c r="O22" s="5"/>
      <c r="P22" s="5"/>
    </row>
    <row r="23" spans="1:1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1:1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39"/>
  <sheetViews>
    <sheetView workbookViewId="0">
      <selection activeCell="B6" sqref="B6"/>
    </sheetView>
  </sheetViews>
  <sheetFormatPr defaultRowHeight="15"/>
  <cols>
    <col min="1" max="1" width="16.7109375" bestFit="1" customWidth="1"/>
    <col min="2" max="2" width="12.7109375" bestFit="1" customWidth="1"/>
    <col min="3" max="3" width="10.85546875" bestFit="1" customWidth="1"/>
    <col min="4" max="4" width="11.140625" bestFit="1" customWidth="1"/>
    <col min="5" max="5" width="14.5703125" bestFit="1" customWidth="1"/>
    <col min="6" max="6" width="10.7109375" bestFit="1" customWidth="1"/>
    <col min="7" max="7" width="10.85546875" bestFit="1" customWidth="1"/>
    <col min="8" max="8" width="11.7109375" bestFit="1" customWidth="1"/>
    <col min="9" max="9" width="12.5703125" bestFit="1" customWidth="1"/>
    <col min="10" max="10" width="9" bestFit="1" customWidth="1"/>
    <col min="11" max="11" width="15.28515625" bestFit="1" customWidth="1"/>
    <col min="12" max="12" width="12" bestFit="1" customWidth="1"/>
    <col min="13" max="13" width="8.7109375" bestFit="1" customWidth="1"/>
    <col min="14" max="14" width="16.7109375" bestFit="1" customWidth="1"/>
    <col min="17" max="16384" width="9.140625" style="5"/>
  </cols>
  <sheetData>
    <row r="1" spans="1:16">
      <c r="A1" s="60" t="s">
        <v>16</v>
      </c>
      <c r="B1" s="61">
        <v>100000000</v>
      </c>
      <c r="C1" s="5"/>
      <c r="D1" s="5" t="s">
        <v>18</v>
      </c>
      <c r="E1" s="5" t="s">
        <v>17</v>
      </c>
      <c r="F1" s="5"/>
      <c r="G1" s="5"/>
      <c r="H1" s="60" t="s">
        <v>13</v>
      </c>
      <c r="I1" s="5">
        <v>0.363504004790771</v>
      </c>
      <c r="J1" s="5"/>
      <c r="K1" s="5"/>
      <c r="L1" s="5"/>
      <c r="M1" s="5"/>
      <c r="N1" s="5"/>
      <c r="O1" s="5"/>
      <c r="P1" s="5"/>
    </row>
    <row r="2" spans="1:16">
      <c r="A2" s="60" t="s">
        <v>31</v>
      </c>
      <c r="B2" s="62">
        <v>42650</v>
      </c>
      <c r="C2" s="5"/>
      <c r="D2" s="5"/>
      <c r="E2" s="5"/>
      <c r="F2" s="5"/>
      <c r="G2" s="5"/>
      <c r="H2" s="60" t="s">
        <v>14</v>
      </c>
      <c r="I2" s="60">
        <v>95.5537387751355</v>
      </c>
      <c r="J2" s="60" t="s">
        <v>22</v>
      </c>
      <c r="K2" s="5"/>
      <c r="L2" s="5"/>
      <c r="M2" s="5"/>
      <c r="N2" s="5"/>
      <c r="O2" s="5"/>
      <c r="P2" s="5"/>
    </row>
    <row r="3" spans="1:16">
      <c r="A3" s="5" t="s">
        <v>19</v>
      </c>
      <c r="B3" s="62">
        <v>42648</v>
      </c>
      <c r="C3" s="5"/>
      <c r="D3" s="5"/>
      <c r="E3" s="5"/>
      <c r="F3" s="5"/>
      <c r="G3" s="5"/>
      <c r="H3" s="60" t="s">
        <v>15</v>
      </c>
      <c r="I3" s="63">
        <f>I2+I1</f>
        <v>95.917242779926269</v>
      </c>
      <c r="J3" s="64">
        <f>I3-L22</f>
        <v>3.4124667536161724E-9</v>
      </c>
      <c r="K3" s="5"/>
      <c r="L3" s="5"/>
      <c r="M3" s="5"/>
      <c r="N3" s="5"/>
      <c r="O3" s="5"/>
      <c r="P3" s="5"/>
    </row>
    <row r="4" spans="1:16">
      <c r="A4" s="60" t="s">
        <v>20</v>
      </c>
      <c r="B4" s="5">
        <v>1</v>
      </c>
      <c r="C4" s="5"/>
      <c r="D4" s="5"/>
      <c r="E4" s="5"/>
      <c r="F4" s="5"/>
      <c r="G4" s="5"/>
      <c r="H4" s="60" t="s">
        <v>24</v>
      </c>
      <c r="I4" s="5">
        <v>-8.6670018714826096</v>
      </c>
      <c r="J4" s="64">
        <f>I4-N22</f>
        <v>-1.3743672866439738E-11</v>
      </c>
      <c r="K4" s="5"/>
      <c r="L4" s="5"/>
      <c r="M4" s="5"/>
      <c r="N4" s="5"/>
      <c r="O4" s="5"/>
      <c r="P4" s="5"/>
    </row>
    <row r="5" spans="1:1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ht="18.75" customHeight="1">
      <c r="A6" s="5" t="s">
        <v>30</v>
      </c>
      <c r="B6" s="5">
        <f>(B11-B2)/(B11-B7)</f>
        <v>0.35792349726775957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30">
      <c r="A7" s="84" t="s">
        <v>37</v>
      </c>
      <c r="B7" s="62">
        <v>42415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ht="18.75" customHeight="1" thickBot="1">
      <c r="A8" s="5"/>
      <c r="B8" s="62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>
      <c r="A9" s="23" t="s">
        <v>1</v>
      </c>
      <c r="B9" s="23" t="s">
        <v>1</v>
      </c>
      <c r="C9" s="23" t="s">
        <v>2</v>
      </c>
      <c r="D9" s="23" t="s">
        <v>3</v>
      </c>
      <c r="E9" s="23" t="s">
        <v>4</v>
      </c>
      <c r="F9" s="23" t="s">
        <v>1</v>
      </c>
      <c r="G9" s="23"/>
      <c r="H9" s="18"/>
      <c r="I9" s="19"/>
      <c r="J9" s="23"/>
      <c r="K9" s="23"/>
      <c r="L9" s="23"/>
      <c r="M9" s="19"/>
      <c r="N9" s="20"/>
      <c r="O9" s="5"/>
      <c r="P9" s="5"/>
    </row>
    <row r="10" spans="1:16" ht="30.75" thickBot="1">
      <c r="A10" s="26" t="s">
        <v>5</v>
      </c>
      <c r="B10" s="26" t="s">
        <v>6</v>
      </c>
      <c r="C10" s="26" t="s">
        <v>7</v>
      </c>
      <c r="D10" s="26"/>
      <c r="E10" s="26" t="s">
        <v>8</v>
      </c>
      <c r="F10" s="26" t="s">
        <v>9</v>
      </c>
      <c r="G10" s="26" t="s">
        <v>0</v>
      </c>
      <c r="H10" s="24" t="s">
        <v>25</v>
      </c>
      <c r="I10" s="21"/>
      <c r="J10" s="25" t="s">
        <v>26</v>
      </c>
      <c r="K10" s="25" t="s">
        <v>23</v>
      </c>
      <c r="L10" s="30" t="s">
        <v>27</v>
      </c>
      <c r="M10" s="21"/>
      <c r="N10" s="22"/>
      <c r="O10" s="5"/>
      <c r="P10" s="5"/>
    </row>
    <row r="11" spans="1:16">
      <c r="A11" s="12">
        <v>42384</v>
      </c>
      <c r="B11" s="12">
        <v>42781</v>
      </c>
      <c r="C11" s="13">
        <v>100000000</v>
      </c>
      <c r="D11" s="14">
        <v>0.5</v>
      </c>
      <c r="E11" s="12">
        <v>42781</v>
      </c>
      <c r="F11" s="12">
        <v>42781</v>
      </c>
      <c r="G11" s="82">
        <v>542465.75</v>
      </c>
      <c r="H11" s="83">
        <v>0</v>
      </c>
      <c r="I11" s="79"/>
      <c r="J11" s="14">
        <f>G11/$B$1*100</f>
        <v>0.54246574999999997</v>
      </c>
      <c r="K11" s="55">
        <f>1/(1+$B$4*0.01)^(H11+$B$6)</f>
        <v>0.99644487724861197</v>
      </c>
      <c r="L11" s="14">
        <f t="shared" ref="L11:L20" si="0">K11*J11</f>
        <v>0.54053721767032625</v>
      </c>
      <c r="M11" s="14">
        <f>-(H11+$B$6)*1/(1+$B$4*0.01)^(H11+$B$6+1)</f>
        <v>-0.35311983693006593</v>
      </c>
      <c r="N11" s="15">
        <f>M11*J11*0.01</f>
        <v>-1.915554171801459E-3</v>
      </c>
      <c r="O11" s="5"/>
      <c r="P11" s="5"/>
    </row>
    <row r="12" spans="1:16">
      <c r="A12" s="49">
        <v>42781</v>
      </c>
      <c r="B12" s="49">
        <v>43146</v>
      </c>
      <c r="C12" s="50">
        <v>100000000</v>
      </c>
      <c r="D12" s="51">
        <v>0.5</v>
      </c>
      <c r="E12" s="49">
        <v>43146</v>
      </c>
      <c r="F12" s="49">
        <v>43146</v>
      </c>
      <c r="G12" s="50">
        <v>500000</v>
      </c>
      <c r="H12" s="38">
        <v>1</v>
      </c>
      <c r="I12" s="52"/>
      <c r="J12" s="51">
        <f t="shared" ref="J12:J20" si="1">G12/$B$1*100</f>
        <v>0.5</v>
      </c>
      <c r="K12" s="80">
        <f t="shared" ref="K12:K20" si="2">1/(1+$B$4*0.01)^(H12+$B$6)</f>
        <v>0.98657908638476433</v>
      </c>
      <c r="L12" s="51">
        <f t="shared" si="0"/>
        <v>0.49328954319238216</v>
      </c>
      <c r="M12" s="51">
        <f t="shared" ref="M12:M21" si="3">-(H12+$B$6)*1/(1+$B$4*0.01)^(H12+$B$6+1)</f>
        <v>-1.3264345775394357</v>
      </c>
      <c r="N12" s="53">
        <f t="shared" ref="N12:N21" si="4">M12*J12*0.01</f>
        <v>-6.6321728876971783E-3</v>
      </c>
      <c r="O12" s="5"/>
      <c r="P12" s="5"/>
    </row>
    <row r="13" spans="1:16">
      <c r="A13" s="49">
        <v>43146</v>
      </c>
      <c r="B13" s="49">
        <v>43511</v>
      </c>
      <c r="C13" s="50">
        <v>100000000</v>
      </c>
      <c r="D13" s="51">
        <v>0.5</v>
      </c>
      <c r="E13" s="49">
        <v>43511</v>
      </c>
      <c r="F13" s="49">
        <v>43511</v>
      </c>
      <c r="G13" s="50">
        <v>500000</v>
      </c>
      <c r="H13" s="38">
        <f t="shared" ref="H13:H20" si="5">H12+1</f>
        <v>2</v>
      </c>
      <c r="I13" s="52"/>
      <c r="J13" s="51">
        <f>G13/$B$1*100</f>
        <v>0.5</v>
      </c>
      <c r="K13" s="80">
        <f t="shared" si="2"/>
        <v>0.97681097661857841</v>
      </c>
      <c r="L13" s="51">
        <f t="shared" si="0"/>
        <v>0.4884054883092892</v>
      </c>
      <c r="M13" s="51">
        <f t="shared" si="3"/>
        <v>-2.2804411427307065</v>
      </c>
      <c r="N13" s="53">
        <f t="shared" si="4"/>
        <v>-1.1402205713653532E-2</v>
      </c>
      <c r="O13" s="5"/>
      <c r="P13" s="5"/>
    </row>
    <row r="14" spans="1:16">
      <c r="A14" s="49">
        <v>43511</v>
      </c>
      <c r="B14" s="49">
        <v>43876</v>
      </c>
      <c r="C14" s="50">
        <v>100000000</v>
      </c>
      <c r="D14" s="51">
        <v>0.5</v>
      </c>
      <c r="E14" s="49">
        <v>43878</v>
      </c>
      <c r="F14" s="49">
        <v>43876</v>
      </c>
      <c r="G14" s="50">
        <v>500000</v>
      </c>
      <c r="H14" s="38">
        <f t="shared" si="5"/>
        <v>3</v>
      </c>
      <c r="I14" s="52"/>
      <c r="J14" s="51">
        <f t="shared" si="1"/>
        <v>0.5</v>
      </c>
      <c r="K14" s="80">
        <f t="shared" si="2"/>
        <v>0.96713958081047358</v>
      </c>
      <c r="L14" s="51">
        <f t="shared" si="0"/>
        <v>0.48356979040523679</v>
      </c>
      <c r="M14" s="51">
        <f t="shared" si="3"/>
        <v>-3.2154264589516637</v>
      </c>
      <c r="N14" s="53">
        <f t="shared" si="4"/>
        <v>-1.6077132294758319E-2</v>
      </c>
      <c r="O14" s="5"/>
      <c r="P14" s="5"/>
    </row>
    <row r="15" spans="1:16">
      <c r="A15" s="49">
        <v>43876</v>
      </c>
      <c r="B15" s="49">
        <v>44242</v>
      </c>
      <c r="C15" s="50">
        <v>100000000</v>
      </c>
      <c r="D15" s="51">
        <v>0.5</v>
      </c>
      <c r="E15" s="49">
        <v>44242</v>
      </c>
      <c r="F15" s="49">
        <v>44242</v>
      </c>
      <c r="G15" s="50">
        <v>500000</v>
      </c>
      <c r="H15" s="38">
        <f t="shared" si="5"/>
        <v>4</v>
      </c>
      <c r="I15" s="52"/>
      <c r="J15" s="51">
        <f t="shared" si="1"/>
        <v>0.5</v>
      </c>
      <c r="K15" s="80">
        <f t="shared" si="2"/>
        <v>0.95756394139650858</v>
      </c>
      <c r="L15" s="51">
        <f t="shared" si="0"/>
        <v>0.47878197069825429</v>
      </c>
      <c r="M15" s="51">
        <f t="shared" si="3"/>
        <v>-4.1316736637110623</v>
      </c>
      <c r="N15" s="53">
        <f t="shared" si="4"/>
        <v>-2.065836831855531E-2</v>
      </c>
      <c r="O15" s="5"/>
      <c r="P15" s="5"/>
    </row>
    <row r="16" spans="1:16">
      <c r="A16" s="49">
        <v>44242</v>
      </c>
      <c r="B16" s="49">
        <v>44607</v>
      </c>
      <c r="C16" s="50">
        <v>100000000</v>
      </c>
      <c r="D16" s="51">
        <v>0.5</v>
      </c>
      <c r="E16" s="49">
        <v>44607</v>
      </c>
      <c r="F16" s="49">
        <v>44607</v>
      </c>
      <c r="G16" s="50">
        <v>500000</v>
      </c>
      <c r="H16" s="38">
        <f t="shared" si="5"/>
        <v>5</v>
      </c>
      <c r="I16" s="52"/>
      <c r="J16" s="51">
        <f t="shared" si="1"/>
        <v>0.5</v>
      </c>
      <c r="K16" s="80">
        <f t="shared" si="2"/>
        <v>0.94808311029357284</v>
      </c>
      <c r="L16" s="51">
        <f t="shared" si="0"/>
        <v>0.47404155514678642</v>
      </c>
      <c r="M16" s="51">
        <f t="shared" si="3"/>
        <v>-5.0294621524798364</v>
      </c>
      <c r="N16" s="53">
        <f t="shared" si="4"/>
        <v>-2.5147310762399181E-2</v>
      </c>
      <c r="O16" s="5"/>
      <c r="P16" s="5"/>
    </row>
    <row r="17" spans="1:16">
      <c r="A17" s="49">
        <v>44607</v>
      </c>
      <c r="B17" s="49">
        <v>44972</v>
      </c>
      <c r="C17" s="50">
        <v>100000000</v>
      </c>
      <c r="D17" s="51">
        <v>0.5</v>
      </c>
      <c r="E17" s="49">
        <v>44972</v>
      </c>
      <c r="F17" s="49">
        <v>44972</v>
      </c>
      <c r="G17" s="50">
        <v>500000</v>
      </c>
      <c r="H17" s="38">
        <f t="shared" si="5"/>
        <v>6</v>
      </c>
      <c r="I17" s="52"/>
      <c r="J17" s="51">
        <f t="shared" si="1"/>
        <v>0.5</v>
      </c>
      <c r="K17" s="80">
        <f t="shared" si="2"/>
        <v>0.93869614880551766</v>
      </c>
      <c r="L17" s="51">
        <f t="shared" si="0"/>
        <v>0.46934807440275883</v>
      </c>
      <c r="M17" s="51">
        <f t="shared" si="3"/>
        <v>-5.9090676250350045</v>
      </c>
      <c r="N17" s="53">
        <f t="shared" si="4"/>
        <v>-2.9545338125175024E-2</v>
      </c>
      <c r="O17" s="5"/>
      <c r="P17" s="5"/>
    </row>
    <row r="18" spans="1:16">
      <c r="A18" s="49">
        <v>44972</v>
      </c>
      <c r="B18" s="49">
        <v>45337</v>
      </c>
      <c r="C18" s="50">
        <v>100000000</v>
      </c>
      <c r="D18" s="51">
        <v>0.5</v>
      </c>
      <c r="E18" s="49">
        <v>45337</v>
      </c>
      <c r="F18" s="49">
        <v>45337</v>
      </c>
      <c r="G18" s="50">
        <v>500000</v>
      </c>
      <c r="H18" s="38">
        <f t="shared" si="5"/>
        <v>7</v>
      </c>
      <c r="I18" s="52"/>
      <c r="J18" s="51">
        <f t="shared" si="1"/>
        <v>0.5</v>
      </c>
      <c r="K18" s="80">
        <f t="shared" si="2"/>
        <v>0.92940212753021556</v>
      </c>
      <c r="L18" s="51">
        <f t="shared" si="0"/>
        <v>0.46470106376510778</v>
      </c>
      <c r="M18" s="51">
        <f t="shared" si="3"/>
        <v>-6.7707621312526927</v>
      </c>
      <c r="N18" s="53">
        <f t="shared" si="4"/>
        <v>-3.3853810656263465E-2</v>
      </c>
      <c r="O18" s="5"/>
      <c r="P18" s="5"/>
    </row>
    <row r="19" spans="1:16">
      <c r="A19" s="49">
        <v>45337</v>
      </c>
      <c r="B19" s="49">
        <v>45703</v>
      </c>
      <c r="C19" s="50">
        <v>100000000</v>
      </c>
      <c r="D19" s="51">
        <v>0.5</v>
      </c>
      <c r="E19" s="49">
        <v>45705</v>
      </c>
      <c r="F19" s="49">
        <v>45703</v>
      </c>
      <c r="G19" s="50">
        <v>500000</v>
      </c>
      <c r="H19" s="38">
        <f t="shared" si="5"/>
        <v>8</v>
      </c>
      <c r="I19" s="52"/>
      <c r="J19" s="51">
        <f t="shared" si="1"/>
        <v>0.5</v>
      </c>
      <c r="K19" s="80">
        <f t="shared" si="2"/>
        <v>0.92020012626754011</v>
      </c>
      <c r="L19" s="51">
        <f t="shared" si="0"/>
        <v>0.46010006313377005</v>
      </c>
      <c r="M19" s="51">
        <f t="shared" si="3"/>
        <v>-7.6148141163566656</v>
      </c>
      <c r="N19" s="53">
        <f t="shared" si="4"/>
        <v>-3.8074070581783331E-2</v>
      </c>
      <c r="O19" s="5"/>
      <c r="P19" s="5"/>
    </row>
    <row r="20" spans="1:16">
      <c r="A20" s="49">
        <v>45703</v>
      </c>
      <c r="B20" s="49">
        <v>46068</v>
      </c>
      <c r="C20" s="50">
        <v>100000000</v>
      </c>
      <c r="D20" s="51">
        <v>0.5</v>
      </c>
      <c r="E20" s="49">
        <v>46069</v>
      </c>
      <c r="F20" s="49">
        <v>46068</v>
      </c>
      <c r="G20" s="50">
        <v>500000</v>
      </c>
      <c r="H20" s="38">
        <f t="shared" si="5"/>
        <v>9</v>
      </c>
      <c r="I20" s="54"/>
      <c r="J20" s="51">
        <f t="shared" si="1"/>
        <v>0.5</v>
      </c>
      <c r="K20" s="80">
        <f t="shared" si="2"/>
        <v>0.91108923392825758</v>
      </c>
      <c r="L20" s="51">
        <f t="shared" si="0"/>
        <v>0.45554461696412879</v>
      </c>
      <c r="M20" s="51">
        <f t="shared" si="3"/>
        <v>-8.4414884656286358</v>
      </c>
      <c r="N20" s="53">
        <f t="shared" si="4"/>
        <v>-4.2207442328143177E-2</v>
      </c>
      <c r="O20" s="5"/>
      <c r="P20" s="5"/>
    </row>
    <row r="21" spans="1:16">
      <c r="A21" s="49"/>
      <c r="B21" s="49"/>
      <c r="C21" s="51"/>
      <c r="D21" s="51"/>
      <c r="E21" s="51"/>
      <c r="F21" s="51"/>
      <c r="G21" s="51"/>
      <c r="H21" s="38">
        <f>H20</f>
        <v>9</v>
      </c>
      <c r="I21" s="81" t="s">
        <v>11</v>
      </c>
      <c r="J21" s="51">
        <v>100</v>
      </c>
      <c r="K21" s="51">
        <f>1/(1+$B$4*0.01)^(H21+$B$6)</f>
        <v>0.91108923392825758</v>
      </c>
      <c r="L21" s="51">
        <f>K21*J21</f>
        <v>91.108923392825758</v>
      </c>
      <c r="M21" s="51">
        <f t="shared" si="3"/>
        <v>-8.4414884656286358</v>
      </c>
      <c r="N21" s="53">
        <f t="shared" si="4"/>
        <v>-8.4414884656286358</v>
      </c>
      <c r="O21" s="5"/>
      <c r="P21" s="5"/>
    </row>
    <row r="22" spans="1:16" ht="15.75" thickBot="1">
      <c r="A22" s="42"/>
      <c r="B22" s="42"/>
      <c r="C22" s="42"/>
      <c r="D22" s="42"/>
      <c r="E22" s="42"/>
      <c r="F22" s="42"/>
      <c r="G22" s="42"/>
      <c r="H22" s="66"/>
      <c r="I22" s="42"/>
      <c r="J22" s="42"/>
      <c r="K22" s="29" t="s">
        <v>12</v>
      </c>
      <c r="L22" s="39">
        <f>SUM(L11:L21)</f>
        <v>95.917242776513802</v>
      </c>
      <c r="M22" s="29" t="s">
        <v>21</v>
      </c>
      <c r="N22" s="40">
        <f>SUM(N11:N21)</f>
        <v>-8.6670018714688659</v>
      </c>
      <c r="O22" s="5"/>
      <c r="P22" s="5"/>
    </row>
    <row r="23" spans="1:1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1:1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38"/>
  <sheetViews>
    <sheetView workbookViewId="0">
      <selection activeCell="B6" sqref="B6"/>
    </sheetView>
  </sheetViews>
  <sheetFormatPr defaultRowHeight="15"/>
  <cols>
    <col min="1" max="1" width="16.7109375" bestFit="1" customWidth="1"/>
    <col min="2" max="2" width="12.7109375" bestFit="1" customWidth="1"/>
    <col min="3" max="4" width="10.85546875" bestFit="1" customWidth="1"/>
    <col min="5" max="5" width="15.5703125" bestFit="1" customWidth="1"/>
    <col min="6" max="6" width="10.7109375" bestFit="1" customWidth="1"/>
    <col min="7" max="7" width="11.7109375" bestFit="1" customWidth="1"/>
    <col min="8" max="8" width="14.42578125" bestFit="1" customWidth="1"/>
    <col min="9" max="9" width="12.5703125" bestFit="1" customWidth="1"/>
    <col min="10" max="10" width="9" bestFit="1" customWidth="1"/>
    <col min="11" max="11" width="15.28515625" bestFit="1" customWidth="1"/>
    <col min="12" max="12" width="12" bestFit="1" customWidth="1"/>
    <col min="13" max="13" width="8.7109375" bestFit="1" customWidth="1"/>
    <col min="14" max="14" width="16.7109375" bestFit="1" customWidth="1"/>
    <col min="17" max="16384" width="9.140625" style="5"/>
  </cols>
  <sheetData>
    <row r="1" spans="1:16">
      <c r="A1" s="60" t="s">
        <v>16</v>
      </c>
      <c r="B1" s="61">
        <v>100000000</v>
      </c>
      <c r="C1" s="5"/>
      <c r="D1" s="5" t="s">
        <v>18</v>
      </c>
      <c r="E1" s="5" t="s">
        <v>38</v>
      </c>
      <c r="F1" s="5"/>
      <c r="G1" s="5"/>
      <c r="H1" s="60" t="s">
        <v>13</v>
      </c>
      <c r="I1" s="5">
        <v>1.1061643835616399</v>
      </c>
      <c r="J1" s="5"/>
      <c r="K1" s="5"/>
      <c r="L1" s="5"/>
      <c r="M1" s="5"/>
      <c r="N1" s="5"/>
      <c r="O1" s="5"/>
      <c r="P1" s="5"/>
    </row>
    <row r="2" spans="1:16">
      <c r="A2" s="60" t="s">
        <v>31</v>
      </c>
      <c r="B2" s="62">
        <v>42650</v>
      </c>
      <c r="C2" s="5"/>
      <c r="D2" s="5"/>
      <c r="E2" s="5"/>
      <c r="F2" s="5"/>
      <c r="G2" s="5"/>
      <c r="H2" s="60" t="s">
        <v>14</v>
      </c>
      <c r="I2" s="60">
        <v>102.378333848693</v>
      </c>
      <c r="J2" s="60" t="s">
        <v>22</v>
      </c>
      <c r="K2" s="5"/>
      <c r="L2" s="5"/>
      <c r="M2" s="5"/>
      <c r="N2" s="5"/>
      <c r="O2" s="5"/>
      <c r="P2" s="5"/>
    </row>
    <row r="3" spans="1:16">
      <c r="A3" s="5" t="s">
        <v>19</v>
      </c>
      <c r="B3" s="62">
        <v>42648</v>
      </c>
      <c r="C3" s="5"/>
      <c r="D3" s="5"/>
      <c r="E3" s="5"/>
      <c r="F3" s="5"/>
      <c r="G3" s="5"/>
      <c r="H3" s="60" t="s">
        <v>15</v>
      </c>
      <c r="I3" s="63">
        <f>I2+I1</f>
        <v>103.48449823225464</v>
      </c>
      <c r="J3" s="64">
        <f>I3-L21</f>
        <v>0</v>
      </c>
      <c r="K3" s="5"/>
      <c r="L3" s="5"/>
      <c r="M3" s="5"/>
      <c r="N3" s="5"/>
      <c r="O3" s="5"/>
      <c r="P3" s="5"/>
    </row>
    <row r="4" spans="1:16">
      <c r="A4" s="60" t="s">
        <v>20</v>
      </c>
      <c r="B4" s="5">
        <v>1</v>
      </c>
      <c r="C4" s="5"/>
      <c r="D4" s="5"/>
      <c r="E4" s="5"/>
      <c r="F4" s="5"/>
      <c r="G4" s="5"/>
      <c r="H4" s="60" t="s">
        <v>24</v>
      </c>
      <c r="I4" s="5">
        <v>-0.75988073274517998</v>
      </c>
      <c r="J4" s="64">
        <f>I4-N21</f>
        <v>-5.5293836176417699E-10</v>
      </c>
      <c r="K4" s="5"/>
      <c r="L4" s="5"/>
      <c r="M4" s="5"/>
      <c r="N4" s="5"/>
      <c r="O4" s="5"/>
      <c r="P4" s="5"/>
    </row>
    <row r="5" spans="1:1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ht="18.75" customHeight="1">
      <c r="A6" s="5" t="s">
        <v>30</v>
      </c>
      <c r="B6" s="88">
        <f>(B19-B2)/365</f>
        <v>0.73972602739726023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18.75" customHeight="1" thickBot="1">
      <c r="A7" s="5"/>
      <c r="B7" s="62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>
      <c r="A8" s="23" t="s">
        <v>1</v>
      </c>
      <c r="B8" s="23" t="s">
        <v>1</v>
      </c>
      <c r="C8" s="23" t="s">
        <v>2</v>
      </c>
      <c r="D8" s="23" t="s">
        <v>3</v>
      </c>
      <c r="E8" s="23" t="s">
        <v>4</v>
      </c>
      <c r="F8" s="23" t="s">
        <v>1</v>
      </c>
      <c r="G8" s="23"/>
      <c r="H8" s="18"/>
      <c r="I8" s="19"/>
      <c r="J8" s="23"/>
      <c r="K8" s="23"/>
      <c r="L8" s="23"/>
      <c r="M8" s="19"/>
      <c r="N8" s="20"/>
      <c r="O8" s="5"/>
      <c r="P8" s="5"/>
    </row>
    <row r="9" spans="1:16" ht="30.75" thickBot="1">
      <c r="A9" s="26" t="s">
        <v>5</v>
      </c>
      <c r="B9" s="26" t="s">
        <v>6</v>
      </c>
      <c r="C9" s="26" t="s">
        <v>7</v>
      </c>
      <c r="D9" s="26"/>
      <c r="E9" s="26" t="s">
        <v>8</v>
      </c>
      <c r="F9" s="26" t="s">
        <v>9</v>
      </c>
      <c r="G9" s="26" t="s">
        <v>0</v>
      </c>
      <c r="H9" s="24" t="s">
        <v>25</v>
      </c>
      <c r="I9" s="21"/>
      <c r="J9" s="25" t="s">
        <v>26</v>
      </c>
      <c r="K9" s="25" t="s">
        <v>23</v>
      </c>
      <c r="L9" s="30" t="s">
        <v>27</v>
      </c>
      <c r="M9" s="21"/>
      <c r="N9" s="22"/>
      <c r="O9" s="5"/>
      <c r="P9" s="5"/>
    </row>
    <row r="10" spans="1:16" s="54" customFormat="1">
      <c r="A10" s="49">
        <v>39227</v>
      </c>
      <c r="B10" s="49">
        <v>39633</v>
      </c>
      <c r="C10" s="50">
        <v>100000000</v>
      </c>
      <c r="D10" s="51">
        <v>4.25</v>
      </c>
      <c r="E10" s="49">
        <v>39633</v>
      </c>
      <c r="F10" s="49">
        <v>39633</v>
      </c>
      <c r="G10" s="85">
        <v>4715753.42</v>
      </c>
      <c r="H10" s="86"/>
      <c r="I10" s="87"/>
      <c r="J10" s="51"/>
      <c r="K10" s="80"/>
      <c r="L10" s="51"/>
      <c r="M10" s="51"/>
      <c r="N10" s="53"/>
    </row>
    <row r="11" spans="1:16">
      <c r="A11" s="49">
        <v>39633</v>
      </c>
      <c r="B11" s="49">
        <v>39998</v>
      </c>
      <c r="C11" s="50">
        <v>100000000</v>
      </c>
      <c r="D11" s="51">
        <v>4.25</v>
      </c>
      <c r="E11" s="49">
        <v>40000</v>
      </c>
      <c r="F11" s="49">
        <v>39998</v>
      </c>
      <c r="G11" s="50">
        <v>4250000</v>
      </c>
      <c r="H11" s="38"/>
      <c r="I11" s="52"/>
      <c r="J11" s="51"/>
      <c r="K11" s="80"/>
      <c r="L11" s="51"/>
      <c r="M11" s="51"/>
      <c r="N11" s="53"/>
      <c r="O11" s="5"/>
      <c r="P11" s="5"/>
    </row>
    <row r="12" spans="1:16">
      <c r="A12" s="49">
        <v>39998</v>
      </c>
      <c r="B12" s="49">
        <v>40363</v>
      </c>
      <c r="C12" s="50">
        <v>100000000</v>
      </c>
      <c r="D12" s="51">
        <v>4.25</v>
      </c>
      <c r="E12" s="49">
        <v>40364</v>
      </c>
      <c r="F12" s="49">
        <v>40363</v>
      </c>
      <c r="G12" s="50">
        <v>4250000</v>
      </c>
      <c r="H12" s="38"/>
      <c r="I12" s="52"/>
      <c r="J12" s="51"/>
      <c r="K12" s="80"/>
      <c r="L12" s="51"/>
      <c r="M12" s="51"/>
      <c r="N12" s="53"/>
      <c r="O12" s="5"/>
      <c r="P12" s="5"/>
    </row>
    <row r="13" spans="1:16">
      <c r="A13" s="49">
        <v>40363</v>
      </c>
      <c r="B13" s="49">
        <v>40728</v>
      </c>
      <c r="C13" s="50">
        <v>100000000</v>
      </c>
      <c r="D13" s="51">
        <v>4.25</v>
      </c>
      <c r="E13" s="49">
        <v>40728</v>
      </c>
      <c r="F13" s="49">
        <v>40728</v>
      </c>
      <c r="G13" s="50">
        <v>4250000</v>
      </c>
      <c r="H13" s="38"/>
      <c r="I13" s="52"/>
      <c r="J13" s="51"/>
      <c r="K13" s="80"/>
      <c r="L13" s="51"/>
      <c r="M13" s="51"/>
      <c r="N13" s="53"/>
      <c r="O13" s="5"/>
      <c r="P13" s="5"/>
    </row>
    <row r="14" spans="1:16">
      <c r="A14" s="49">
        <v>40728</v>
      </c>
      <c r="B14" s="49">
        <v>41094</v>
      </c>
      <c r="C14" s="50">
        <v>100000000</v>
      </c>
      <c r="D14" s="51">
        <v>4.25</v>
      </c>
      <c r="E14" s="49">
        <v>41094</v>
      </c>
      <c r="F14" s="49">
        <v>41094</v>
      </c>
      <c r="G14" s="50">
        <v>4250000</v>
      </c>
      <c r="H14" s="38"/>
      <c r="I14" s="52"/>
      <c r="J14" s="51"/>
      <c r="K14" s="80"/>
      <c r="L14" s="51"/>
      <c r="M14" s="51"/>
      <c r="N14" s="53"/>
      <c r="O14" s="5"/>
      <c r="P14" s="5"/>
    </row>
    <row r="15" spans="1:16">
      <c r="A15" s="49">
        <v>41094</v>
      </c>
      <c r="B15" s="49">
        <v>41459</v>
      </c>
      <c r="C15" s="50">
        <v>100000000</v>
      </c>
      <c r="D15" s="51">
        <v>4.25</v>
      </c>
      <c r="E15" s="49">
        <v>41459</v>
      </c>
      <c r="F15" s="49">
        <v>41459</v>
      </c>
      <c r="G15" s="50">
        <v>4250000</v>
      </c>
      <c r="H15" s="38"/>
      <c r="I15" s="52"/>
      <c r="J15" s="51"/>
      <c r="K15" s="80"/>
      <c r="L15" s="51"/>
      <c r="M15" s="51"/>
      <c r="N15" s="53"/>
      <c r="O15" s="5"/>
      <c r="P15" s="5"/>
    </row>
    <row r="16" spans="1:16">
      <c r="A16" s="49">
        <v>41459</v>
      </c>
      <c r="B16" s="49">
        <v>41824</v>
      </c>
      <c r="C16" s="50">
        <v>100000000</v>
      </c>
      <c r="D16" s="51">
        <v>4.25</v>
      </c>
      <c r="E16" s="49">
        <v>41824</v>
      </c>
      <c r="F16" s="49">
        <v>41824</v>
      </c>
      <c r="G16" s="50">
        <v>4250000</v>
      </c>
      <c r="H16" s="38"/>
      <c r="I16" s="52"/>
      <c r="J16" s="51"/>
      <c r="K16" s="80"/>
      <c r="L16" s="51"/>
      <c r="M16" s="51"/>
      <c r="N16" s="53"/>
      <c r="O16" s="5"/>
      <c r="P16" s="5"/>
    </row>
    <row r="17" spans="1:16">
      <c r="A17" s="49">
        <v>41824</v>
      </c>
      <c r="B17" s="49">
        <v>42189</v>
      </c>
      <c r="C17" s="50">
        <v>100000000</v>
      </c>
      <c r="D17" s="51">
        <v>4.25</v>
      </c>
      <c r="E17" s="49">
        <v>42191</v>
      </c>
      <c r="F17" s="49">
        <v>42189</v>
      </c>
      <c r="G17" s="50">
        <v>4250000</v>
      </c>
      <c r="H17" s="38"/>
      <c r="I17" s="52"/>
      <c r="J17" s="51"/>
      <c r="K17" s="80"/>
      <c r="L17" s="51"/>
      <c r="M17" s="51"/>
      <c r="N17" s="53"/>
      <c r="O17" s="5"/>
      <c r="P17" s="5"/>
    </row>
    <row r="18" spans="1:16">
      <c r="A18" s="49">
        <v>42189</v>
      </c>
      <c r="B18" s="49">
        <v>42555</v>
      </c>
      <c r="C18" s="50">
        <v>100000000</v>
      </c>
      <c r="D18" s="51">
        <v>4.25</v>
      </c>
      <c r="E18" s="49">
        <v>42555</v>
      </c>
      <c r="F18" s="49">
        <v>42555</v>
      </c>
      <c r="G18" s="50">
        <v>4250000</v>
      </c>
      <c r="H18" s="38"/>
      <c r="I18" s="52"/>
      <c r="J18" s="51"/>
      <c r="K18" s="80"/>
      <c r="L18" s="51"/>
      <c r="M18" s="51"/>
      <c r="N18" s="53"/>
      <c r="O18" s="5"/>
      <c r="P18" s="5"/>
    </row>
    <row r="19" spans="1:16">
      <c r="A19" s="12">
        <v>42555</v>
      </c>
      <c r="B19" s="12">
        <v>42920</v>
      </c>
      <c r="C19" s="13">
        <v>100000000</v>
      </c>
      <c r="D19" s="14">
        <v>4.25</v>
      </c>
      <c r="E19" s="12">
        <v>42920</v>
      </c>
      <c r="F19" s="12">
        <v>42920</v>
      </c>
      <c r="G19" s="13">
        <v>4250000</v>
      </c>
      <c r="H19" s="11">
        <v>0</v>
      </c>
      <c r="I19" s="48"/>
      <c r="J19" s="14">
        <f t="shared" ref="J19" si="0">G19/$B$1*100</f>
        <v>4.25</v>
      </c>
      <c r="K19" s="55">
        <f>1/(1+$B$4*0.01*$B$6)</f>
        <v>0.99265705738373666</v>
      </c>
      <c r="L19" s="14">
        <f t="shared" ref="L19" si="1">K19*J19</f>
        <v>4.2187924938808807</v>
      </c>
      <c r="M19" s="14">
        <f>-$B$6*1/(1+$B$4*0.01*$B$6)^2</f>
        <v>-0.72890238099975213</v>
      </c>
      <c r="N19" s="15">
        <f t="shared" ref="N19:N20" si="2">M19*J19*0.01</f>
        <v>-3.0978351192489467E-2</v>
      </c>
      <c r="O19" s="5"/>
      <c r="P19" s="5"/>
    </row>
    <row r="20" spans="1:16">
      <c r="A20" s="49"/>
      <c r="B20" s="49"/>
      <c r="C20" s="51"/>
      <c r="D20" s="51"/>
      <c r="E20" s="51"/>
      <c r="F20" s="51"/>
      <c r="G20" s="51"/>
      <c r="H20" s="38">
        <v>0</v>
      </c>
      <c r="I20" s="81" t="s">
        <v>11</v>
      </c>
      <c r="J20" s="51">
        <v>100</v>
      </c>
      <c r="K20" s="80">
        <f>1/(1+$B$4*0.01*$B$6)</f>
        <v>0.99265705738373666</v>
      </c>
      <c r="L20" s="51">
        <f>K20*J20</f>
        <v>99.265705738373669</v>
      </c>
      <c r="M20" s="51">
        <f>-$B$6*1/(1+$B$4*0.01*$B$6)^2</f>
        <v>-0.72890238099975213</v>
      </c>
      <c r="N20" s="53">
        <f t="shared" si="2"/>
        <v>-0.72890238099975213</v>
      </c>
      <c r="O20" s="5"/>
      <c r="P20" s="5"/>
    </row>
    <row r="21" spans="1:16" ht="15.75" thickBot="1">
      <c r="A21" s="42"/>
      <c r="B21" s="42"/>
      <c r="C21" s="42"/>
      <c r="D21" s="42"/>
      <c r="E21" s="42"/>
      <c r="F21" s="42"/>
      <c r="G21" s="42"/>
      <c r="H21" s="66"/>
      <c r="I21" s="42"/>
      <c r="J21" s="42"/>
      <c r="K21" s="29" t="s">
        <v>12</v>
      </c>
      <c r="L21" s="39">
        <f>SUM(L10:L20)</f>
        <v>103.48449823225455</v>
      </c>
      <c r="M21" s="29" t="s">
        <v>21</v>
      </c>
      <c r="N21" s="40">
        <f>SUM(N10:N20)</f>
        <v>-0.75988073219224161</v>
      </c>
      <c r="O21" s="5"/>
      <c r="P21" s="5"/>
    </row>
    <row r="22" spans="1:1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1:1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33"/>
  <sheetViews>
    <sheetView workbookViewId="0">
      <selection activeCell="N12" sqref="N12"/>
    </sheetView>
  </sheetViews>
  <sheetFormatPr defaultRowHeight="15"/>
  <cols>
    <col min="1" max="1" width="16.7109375" bestFit="1" customWidth="1"/>
    <col min="2" max="2" width="12.7109375" bestFit="1" customWidth="1"/>
    <col min="3" max="3" width="10.85546875" bestFit="1" customWidth="1"/>
    <col min="4" max="4" width="11.140625" bestFit="1" customWidth="1"/>
    <col min="5" max="5" width="14.5703125" bestFit="1" customWidth="1"/>
    <col min="6" max="6" width="10.7109375" bestFit="1" customWidth="1"/>
    <col min="7" max="7" width="10.85546875" bestFit="1" customWidth="1"/>
    <col min="8" max="8" width="11.7109375" bestFit="1" customWidth="1"/>
    <col min="9" max="9" width="12.5703125" bestFit="1" customWidth="1"/>
    <col min="11" max="11" width="15.28515625" bestFit="1" customWidth="1"/>
    <col min="12" max="12" width="12" bestFit="1" customWidth="1"/>
    <col min="13" max="13" width="8.7109375" bestFit="1" customWidth="1"/>
    <col min="14" max="14" width="16.7109375" bestFit="1" customWidth="1"/>
    <col min="17" max="16384" width="9.140625" style="5"/>
  </cols>
  <sheetData>
    <row r="1" spans="1:16">
      <c r="A1" s="60" t="s">
        <v>16</v>
      </c>
      <c r="B1" s="61">
        <v>100000000</v>
      </c>
      <c r="C1" s="5"/>
      <c r="D1" s="5" t="s">
        <v>18</v>
      </c>
      <c r="E1" s="5" t="s">
        <v>29</v>
      </c>
      <c r="F1" s="5"/>
      <c r="G1" s="5"/>
      <c r="H1" s="60" t="s">
        <v>13</v>
      </c>
      <c r="I1" s="5">
        <v>0.98633879781420097</v>
      </c>
      <c r="J1" s="5"/>
      <c r="K1" s="5"/>
      <c r="L1" s="5"/>
      <c r="M1" s="5"/>
      <c r="N1" s="5"/>
      <c r="O1" s="5"/>
      <c r="P1" s="5"/>
    </row>
    <row r="2" spans="1:16">
      <c r="A2" s="60" t="s">
        <v>31</v>
      </c>
      <c r="B2" s="62">
        <v>42650</v>
      </c>
      <c r="C2" s="5"/>
      <c r="D2" s="5"/>
      <c r="E2" s="5"/>
      <c r="F2" s="5"/>
      <c r="G2" s="5"/>
      <c r="H2" s="60" t="s">
        <v>14</v>
      </c>
      <c r="I2" s="60">
        <v>99.999932853636395</v>
      </c>
      <c r="J2" s="60" t="s">
        <v>22</v>
      </c>
      <c r="K2" s="5"/>
      <c r="L2" s="5"/>
      <c r="M2" s="5"/>
      <c r="N2" s="5"/>
      <c r="O2" s="5"/>
      <c r="P2" s="5"/>
    </row>
    <row r="3" spans="1:16">
      <c r="A3" s="5" t="s">
        <v>19</v>
      </c>
      <c r="B3" s="62">
        <v>42648</v>
      </c>
      <c r="C3" s="5"/>
      <c r="D3" s="5"/>
      <c r="E3" s="5"/>
      <c r="F3" s="5"/>
      <c r="G3" s="5"/>
      <c r="H3" s="60" t="s">
        <v>15</v>
      </c>
      <c r="I3" s="63">
        <f>I2+I1</f>
        <v>100.98627165145059</v>
      </c>
      <c r="J3" s="64">
        <f>I3-L16</f>
        <v>0</v>
      </c>
      <c r="K3" s="5"/>
      <c r="L3" s="5"/>
      <c r="M3" s="5"/>
      <c r="N3" s="5"/>
      <c r="O3" s="5"/>
      <c r="P3" s="5"/>
    </row>
    <row r="4" spans="1:16">
      <c r="A4" s="60" t="s">
        <v>20</v>
      </c>
      <c r="B4" s="5">
        <v>1</v>
      </c>
      <c r="C4" s="5"/>
      <c r="D4" s="5"/>
      <c r="E4" s="5"/>
      <c r="F4" s="5"/>
      <c r="G4" s="5"/>
      <c r="H4" s="60" t="s">
        <v>24</v>
      </c>
      <c r="I4" s="5">
        <v>-1.98378658014817</v>
      </c>
      <c r="J4" s="64">
        <f>I4-N16</f>
        <v>-5.5511151231257827E-15</v>
      </c>
      <c r="K4" s="5"/>
      <c r="L4" s="5"/>
      <c r="M4" s="5"/>
      <c r="N4" s="5"/>
      <c r="O4" s="5"/>
      <c r="P4" s="5"/>
    </row>
    <row r="5" spans="1:1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ht="18.75" customHeight="1">
      <c r="A6" s="5" t="s">
        <v>30</v>
      </c>
      <c r="B6" s="5">
        <f>(B12-B2)/(B12-A12)</f>
        <v>1.3661202185792349E-2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18.75" customHeight="1" thickBo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>
      <c r="A8" s="23" t="s">
        <v>1</v>
      </c>
      <c r="B8" s="23" t="s">
        <v>1</v>
      </c>
      <c r="C8" s="23" t="s">
        <v>2</v>
      </c>
      <c r="D8" s="23" t="s">
        <v>3</v>
      </c>
      <c r="E8" s="23" t="s">
        <v>4</v>
      </c>
      <c r="F8" s="23" t="s">
        <v>1</v>
      </c>
      <c r="G8" s="23"/>
      <c r="H8" s="18"/>
      <c r="I8" s="19"/>
      <c r="J8" s="23"/>
      <c r="K8" s="23"/>
      <c r="L8" s="23"/>
      <c r="M8" s="19"/>
      <c r="N8" s="20"/>
      <c r="O8" s="5"/>
      <c r="P8" s="5"/>
    </row>
    <row r="9" spans="1:16" ht="30.75" thickBot="1">
      <c r="A9" s="26" t="s">
        <v>5</v>
      </c>
      <c r="B9" s="26" t="s">
        <v>6</v>
      </c>
      <c r="C9" s="26" t="s">
        <v>7</v>
      </c>
      <c r="D9" s="26"/>
      <c r="E9" s="26" t="s">
        <v>8</v>
      </c>
      <c r="F9" s="26" t="s">
        <v>9</v>
      </c>
      <c r="G9" s="26" t="s">
        <v>0</v>
      </c>
      <c r="H9" s="24" t="s">
        <v>25</v>
      </c>
      <c r="I9" s="21"/>
      <c r="J9" s="25" t="s">
        <v>26</v>
      </c>
      <c r="K9" s="25" t="s">
        <v>23</v>
      </c>
      <c r="L9" s="30" t="s">
        <v>27</v>
      </c>
      <c r="M9" s="21"/>
      <c r="N9" s="22"/>
      <c r="O9" s="5"/>
      <c r="P9" s="5"/>
    </row>
    <row r="10" spans="1:16">
      <c r="A10" s="31">
        <v>41523</v>
      </c>
      <c r="B10" s="31">
        <v>41924</v>
      </c>
      <c r="C10" s="32">
        <v>100000000</v>
      </c>
      <c r="D10" s="33">
        <v>1</v>
      </c>
      <c r="E10" s="31">
        <v>41925</v>
      </c>
      <c r="F10" s="31">
        <v>41924</v>
      </c>
      <c r="G10" s="32">
        <v>1098630.1399999999</v>
      </c>
      <c r="H10" s="57"/>
      <c r="I10" s="58"/>
      <c r="J10" s="33"/>
      <c r="K10" s="59"/>
      <c r="L10" s="33"/>
      <c r="M10" s="33"/>
      <c r="N10" s="34"/>
      <c r="O10" s="5"/>
      <c r="P10" s="5"/>
    </row>
    <row r="11" spans="1:16">
      <c r="A11" s="31">
        <v>41924</v>
      </c>
      <c r="B11" s="31">
        <v>42289</v>
      </c>
      <c r="C11" s="32">
        <v>100000000</v>
      </c>
      <c r="D11" s="33">
        <v>1</v>
      </c>
      <c r="E11" s="31">
        <v>42289</v>
      </c>
      <c r="F11" s="31">
        <v>42289</v>
      </c>
      <c r="G11" s="32">
        <v>1000000</v>
      </c>
      <c r="H11" s="57"/>
      <c r="I11" s="58"/>
      <c r="J11" s="33"/>
      <c r="K11" s="59"/>
      <c r="L11" s="33"/>
      <c r="M11" s="33"/>
      <c r="N11" s="34"/>
      <c r="O11" s="5"/>
      <c r="P11" s="5"/>
    </row>
    <row r="12" spans="1:16" s="48" customFormat="1">
      <c r="A12" s="12">
        <v>42289</v>
      </c>
      <c r="B12" s="12">
        <v>42655</v>
      </c>
      <c r="C12" s="13">
        <v>100000000</v>
      </c>
      <c r="D12" s="14">
        <v>1</v>
      </c>
      <c r="E12" s="12">
        <v>42655</v>
      </c>
      <c r="F12" s="12">
        <v>42655</v>
      </c>
      <c r="G12" s="13">
        <v>1000000</v>
      </c>
      <c r="H12" s="11">
        <v>0</v>
      </c>
      <c r="I12" s="28"/>
      <c r="J12" s="14">
        <f t="shared" ref="J12:J14" si="0">G12/$B$1*100</f>
        <v>1</v>
      </c>
      <c r="K12" s="55">
        <f>1/(1+$B$4*0.01)^(H12+$B$6)</f>
        <v>0.99986407575693637</v>
      </c>
      <c r="L12" s="14">
        <f>K12*J12</f>
        <v>0.99986407575693637</v>
      </c>
      <c r="M12" s="14">
        <f>-(H12+$B$6)*1/(1+$B$4*0.01)^(H12+$B$6+1)</f>
        <v>-1.3524104254679117E-2</v>
      </c>
      <c r="N12" s="15">
        <f t="shared" ref="N12:N15" si="1">M12*J12*0.01</f>
        <v>-1.3524104254679118E-4</v>
      </c>
    </row>
    <row r="13" spans="1:16">
      <c r="A13" s="31">
        <v>42655</v>
      </c>
      <c r="B13" s="31">
        <v>43020</v>
      </c>
      <c r="C13" s="32">
        <v>100000000</v>
      </c>
      <c r="D13" s="33">
        <v>1</v>
      </c>
      <c r="E13" s="31">
        <v>43020</v>
      </c>
      <c r="F13" s="31">
        <v>43020</v>
      </c>
      <c r="G13" s="32">
        <v>1000000</v>
      </c>
      <c r="H13" s="57">
        <v>1</v>
      </c>
      <c r="I13" s="58"/>
      <c r="J13" s="33">
        <f t="shared" si="0"/>
        <v>1</v>
      </c>
      <c r="K13" s="59">
        <f t="shared" ref="K13:K15" si="2">1/(1+$B$4*0.01)^(H13+$B$6)</f>
        <v>0.98996443144251134</v>
      </c>
      <c r="L13" s="33">
        <f t="shared" ref="L13:L15" si="3">K13*J13</f>
        <v>0.98996443144251134</v>
      </c>
      <c r="M13" s="33">
        <f t="shared" ref="M13:M15" si="4">-(H13+$B$6)*1/(1+$B$4*0.01)^(H13+$B$6+1)</f>
        <v>-0.99355300564078253</v>
      </c>
      <c r="N13" s="34">
        <f t="shared" si="1"/>
        <v>-9.935530056407826E-3</v>
      </c>
      <c r="O13" s="5"/>
      <c r="P13" s="5"/>
    </row>
    <row r="14" spans="1:16">
      <c r="A14" s="31">
        <v>43020</v>
      </c>
      <c r="B14" s="31">
        <v>43385</v>
      </c>
      <c r="C14" s="32">
        <v>100000000</v>
      </c>
      <c r="D14" s="33">
        <v>1</v>
      </c>
      <c r="E14" s="31">
        <v>43385</v>
      </c>
      <c r="F14" s="31">
        <v>43385</v>
      </c>
      <c r="G14" s="32">
        <v>1000000</v>
      </c>
      <c r="H14" s="57">
        <v>2</v>
      </c>
      <c r="I14" s="58"/>
      <c r="J14" s="33">
        <f t="shared" si="0"/>
        <v>1</v>
      </c>
      <c r="K14" s="59">
        <f t="shared" si="2"/>
        <v>0.9801628034084271</v>
      </c>
      <c r="L14" s="33">
        <f t="shared" si="3"/>
        <v>0.9801628034084271</v>
      </c>
      <c r="M14" s="33">
        <f t="shared" si="4"/>
        <v>-1.9541740683655542</v>
      </c>
      <c r="N14" s="34">
        <f t="shared" si="1"/>
        <v>-1.9541740683655544E-2</v>
      </c>
      <c r="O14" s="5"/>
      <c r="P14" s="5"/>
    </row>
    <row r="15" spans="1:16">
      <c r="A15" s="33"/>
      <c r="B15" s="33"/>
      <c r="C15" s="33"/>
      <c r="D15" s="33"/>
      <c r="E15" s="33"/>
      <c r="F15" s="33"/>
      <c r="G15" s="33"/>
      <c r="H15" s="57">
        <v>2</v>
      </c>
      <c r="I15" s="65" t="s">
        <v>11</v>
      </c>
      <c r="J15" s="33">
        <v>100</v>
      </c>
      <c r="K15" s="59">
        <f t="shared" si="2"/>
        <v>0.9801628034084271</v>
      </c>
      <c r="L15" s="33">
        <f t="shared" si="3"/>
        <v>98.016280340842712</v>
      </c>
      <c r="M15" s="33">
        <f t="shared" si="4"/>
        <v>-1.9541740683655542</v>
      </c>
      <c r="N15" s="34">
        <f t="shared" si="1"/>
        <v>-1.9541740683655542</v>
      </c>
      <c r="O15" s="5"/>
      <c r="P15" s="5"/>
    </row>
    <row r="16" spans="1:16" ht="15.75" thickBot="1">
      <c r="A16" s="42"/>
      <c r="B16" s="42"/>
      <c r="C16" s="42"/>
      <c r="D16" s="42"/>
      <c r="E16" s="42"/>
      <c r="F16" s="42"/>
      <c r="G16" s="42"/>
      <c r="H16" s="66"/>
      <c r="I16" s="42"/>
      <c r="J16" s="42"/>
      <c r="K16" s="29" t="s">
        <v>12</v>
      </c>
      <c r="L16" s="39">
        <f>SUM(L10:L15)</f>
        <v>100.98627165145059</v>
      </c>
      <c r="M16" s="29" t="s">
        <v>21</v>
      </c>
      <c r="N16" s="40">
        <f>SUM(N10:N15)</f>
        <v>-1.9837865801481644</v>
      </c>
      <c r="O16" s="5"/>
      <c r="P16" s="5"/>
    </row>
    <row r="17" spans="1:1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1:1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33"/>
  <sheetViews>
    <sheetView workbookViewId="0">
      <selection activeCell="L2" sqref="L2"/>
    </sheetView>
  </sheetViews>
  <sheetFormatPr defaultRowHeight="15"/>
  <cols>
    <col min="1" max="1" width="16.7109375" bestFit="1" customWidth="1"/>
    <col min="2" max="2" width="12.7109375" bestFit="1" customWidth="1"/>
    <col min="3" max="3" width="10.85546875" bestFit="1" customWidth="1"/>
    <col min="4" max="4" width="11.140625" bestFit="1" customWidth="1"/>
    <col min="5" max="5" width="14.5703125" bestFit="1" customWidth="1"/>
    <col min="6" max="6" width="10.7109375" bestFit="1" customWidth="1"/>
    <col min="7" max="7" width="10.85546875" bestFit="1" customWidth="1"/>
    <col min="8" max="8" width="11.7109375" bestFit="1" customWidth="1"/>
    <col min="9" max="9" width="12.5703125" bestFit="1" customWidth="1"/>
    <col min="11" max="11" width="10.140625" bestFit="1" customWidth="1"/>
    <col min="12" max="12" width="12" bestFit="1" customWidth="1"/>
    <col min="13" max="13" width="12.7109375" bestFit="1" customWidth="1"/>
    <col min="14" max="14" width="16.7109375" bestFit="1" customWidth="1"/>
    <col min="17" max="16384" width="9.140625" style="5"/>
  </cols>
  <sheetData>
    <row r="1" spans="1:16">
      <c r="A1" s="60" t="s">
        <v>16</v>
      </c>
      <c r="B1" s="61">
        <v>100000000</v>
      </c>
      <c r="C1" s="5"/>
      <c r="D1" s="5" t="s">
        <v>18</v>
      </c>
      <c r="E1" s="5" t="s">
        <v>39</v>
      </c>
      <c r="F1" s="5"/>
      <c r="G1" s="5"/>
      <c r="H1" s="60" t="s">
        <v>13</v>
      </c>
      <c r="I1" s="5">
        <v>0.46311475409837</v>
      </c>
      <c r="J1" s="5"/>
      <c r="K1" s="5">
        <f>B1*0.75%</f>
        <v>750000</v>
      </c>
      <c r="L1" s="5">
        <f>(B10-A10)/360</f>
        <v>1.1333333333333333</v>
      </c>
      <c r="M1" s="5">
        <f>K1*L1</f>
        <v>850000</v>
      </c>
      <c r="N1" s="5"/>
      <c r="O1" s="5"/>
      <c r="P1" s="5"/>
    </row>
    <row r="2" spans="1:16">
      <c r="A2" s="60" t="s">
        <v>31</v>
      </c>
      <c r="B2" s="62">
        <v>42650</v>
      </c>
      <c r="C2" s="5"/>
      <c r="D2" s="5"/>
      <c r="E2" s="5"/>
      <c r="F2" s="5"/>
      <c r="G2" s="5"/>
      <c r="H2" s="60" t="s">
        <v>14</v>
      </c>
      <c r="I2" s="60">
        <v>99.902971255700194</v>
      </c>
      <c r="J2" s="60" t="s">
        <v>22</v>
      </c>
      <c r="K2" s="5"/>
      <c r="L2" s="5"/>
      <c r="M2" s="5"/>
      <c r="N2" s="5"/>
      <c r="O2" s="5"/>
      <c r="P2" s="5"/>
    </row>
    <row r="3" spans="1:16">
      <c r="A3" s="5" t="s">
        <v>19</v>
      </c>
      <c r="B3" s="62">
        <v>42648</v>
      </c>
      <c r="C3" s="5"/>
      <c r="D3" s="5"/>
      <c r="E3" s="5"/>
      <c r="F3" s="5"/>
      <c r="G3" s="5"/>
      <c r="H3" s="60" t="s">
        <v>15</v>
      </c>
      <c r="I3" s="63">
        <f>I2+I1</f>
        <v>100.36608600979856</v>
      </c>
      <c r="J3" s="64">
        <f>I3-L16</f>
        <v>0</v>
      </c>
      <c r="K3" s="5"/>
      <c r="L3" s="5"/>
      <c r="M3" s="5"/>
      <c r="N3" s="5"/>
      <c r="O3" s="5"/>
      <c r="P3" s="5"/>
    </row>
    <row r="4" spans="1:16">
      <c r="A4" s="60" t="s">
        <v>20</v>
      </c>
      <c r="B4" s="5">
        <v>1</v>
      </c>
      <c r="C4" s="5"/>
      <c r="D4" s="5"/>
      <c r="E4" s="5"/>
      <c r="F4" s="5"/>
      <c r="G4" s="5"/>
      <c r="H4" s="60" t="s">
        <v>24</v>
      </c>
      <c r="I4" s="5">
        <v>-0.38245106263940698</v>
      </c>
      <c r="J4" s="64">
        <f>I4-N16</f>
        <v>0</v>
      </c>
      <c r="K4" s="5"/>
      <c r="L4" s="5"/>
      <c r="M4" s="5"/>
      <c r="N4" s="5"/>
      <c r="O4" s="5"/>
      <c r="P4" s="5"/>
    </row>
    <row r="5" spans="1:1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ht="18.75" customHeight="1">
      <c r="A6" s="5" t="s">
        <v>30</v>
      </c>
      <c r="B6" s="5">
        <f>(B14-B2)/(B14-A14)</f>
        <v>0.38251366120218577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18.75" customHeight="1" thickBo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>
      <c r="A8" s="23" t="s">
        <v>1</v>
      </c>
      <c r="B8" s="23" t="s">
        <v>1</v>
      </c>
      <c r="C8" s="23" t="s">
        <v>2</v>
      </c>
      <c r="D8" s="23" t="s">
        <v>3</v>
      </c>
      <c r="E8" s="23" t="s">
        <v>4</v>
      </c>
      <c r="F8" s="23" t="s">
        <v>1</v>
      </c>
      <c r="G8" s="23"/>
      <c r="H8" s="18"/>
      <c r="I8" s="19"/>
      <c r="J8" s="23"/>
      <c r="K8" s="23"/>
      <c r="L8" s="23"/>
      <c r="M8" s="19"/>
      <c r="N8" s="20"/>
      <c r="O8" s="5"/>
      <c r="P8" s="5"/>
    </row>
    <row r="9" spans="1:16" ht="30.75" thickBot="1">
      <c r="A9" s="26" t="s">
        <v>5</v>
      </c>
      <c r="B9" s="26" t="s">
        <v>6</v>
      </c>
      <c r="C9" s="26" t="s">
        <v>7</v>
      </c>
      <c r="D9" s="26"/>
      <c r="E9" s="26" t="s">
        <v>8</v>
      </c>
      <c r="F9" s="26" t="s">
        <v>9</v>
      </c>
      <c r="G9" s="26" t="s">
        <v>0</v>
      </c>
      <c r="H9" s="24" t="s">
        <v>25</v>
      </c>
      <c r="I9" s="21"/>
      <c r="J9" s="25" t="s">
        <v>26</v>
      </c>
      <c r="K9" s="25" t="s">
        <v>23</v>
      </c>
      <c r="L9" s="30" t="s">
        <v>27</v>
      </c>
      <c r="M9" s="21"/>
      <c r="N9" s="22"/>
      <c r="O9" s="5"/>
      <c r="P9" s="5"/>
    </row>
    <row r="10" spans="1:16">
      <c r="A10" s="31">
        <v>40921</v>
      </c>
      <c r="B10" s="31">
        <v>41329</v>
      </c>
      <c r="C10" s="32">
        <v>100000000</v>
      </c>
      <c r="D10" s="33">
        <v>0.75</v>
      </c>
      <c r="E10" s="31">
        <v>41330</v>
      </c>
      <c r="F10" s="31">
        <v>41329</v>
      </c>
      <c r="G10" s="32">
        <v>836301.37</v>
      </c>
      <c r="H10" s="57"/>
      <c r="I10" s="58"/>
      <c r="J10" s="33"/>
      <c r="K10" s="59"/>
      <c r="L10" s="33"/>
      <c r="M10" s="33"/>
      <c r="N10" s="34"/>
      <c r="O10" s="5"/>
      <c r="P10" s="5"/>
    </row>
    <row r="11" spans="1:16">
      <c r="A11" s="31">
        <v>41329</v>
      </c>
      <c r="B11" s="31">
        <v>41694</v>
      </c>
      <c r="C11" s="32">
        <v>100000000</v>
      </c>
      <c r="D11" s="33">
        <v>0.75</v>
      </c>
      <c r="E11" s="31">
        <v>41694</v>
      </c>
      <c r="F11" s="31">
        <v>41694</v>
      </c>
      <c r="G11" s="32">
        <v>750000</v>
      </c>
      <c r="H11" s="57"/>
      <c r="I11" s="58"/>
      <c r="J11" s="33"/>
      <c r="K11" s="59"/>
      <c r="L11" s="33"/>
      <c r="M11" s="33"/>
      <c r="N11" s="34"/>
      <c r="O11" s="5"/>
      <c r="P11" s="5"/>
    </row>
    <row r="12" spans="1:16" s="54" customFormat="1">
      <c r="A12" s="49">
        <v>41694</v>
      </c>
      <c r="B12" s="49">
        <v>42059</v>
      </c>
      <c r="C12" s="50">
        <v>100000000</v>
      </c>
      <c r="D12" s="51">
        <v>0.75</v>
      </c>
      <c r="E12" s="49">
        <v>42059</v>
      </c>
      <c r="F12" s="49">
        <v>42059</v>
      </c>
      <c r="G12" s="50">
        <v>750000</v>
      </c>
      <c r="H12" s="38"/>
      <c r="I12" s="52"/>
      <c r="J12" s="51"/>
      <c r="K12" s="80"/>
      <c r="L12" s="51"/>
      <c r="M12" s="51"/>
      <c r="N12" s="53"/>
    </row>
    <row r="13" spans="1:16">
      <c r="A13" s="31">
        <v>42059</v>
      </c>
      <c r="B13" s="31">
        <v>42424</v>
      </c>
      <c r="C13" s="32">
        <v>100000000</v>
      </c>
      <c r="D13" s="33">
        <v>0.75</v>
      </c>
      <c r="E13" s="31">
        <v>42424</v>
      </c>
      <c r="F13" s="31">
        <v>42424</v>
      </c>
      <c r="G13" s="32">
        <v>750000</v>
      </c>
      <c r="H13" s="57"/>
      <c r="I13" s="58"/>
      <c r="J13" s="33"/>
      <c r="K13" s="59"/>
      <c r="L13" s="33"/>
      <c r="M13" s="33"/>
      <c r="N13" s="34"/>
      <c r="O13" s="5"/>
      <c r="P13" s="5"/>
    </row>
    <row r="14" spans="1:16">
      <c r="A14" s="12">
        <v>42424</v>
      </c>
      <c r="B14" s="12">
        <v>42790</v>
      </c>
      <c r="C14" s="13">
        <v>100000000</v>
      </c>
      <c r="D14" s="14">
        <v>0.75</v>
      </c>
      <c r="E14" s="12">
        <v>42790</v>
      </c>
      <c r="F14" s="12">
        <v>42790</v>
      </c>
      <c r="G14" s="13">
        <v>750000</v>
      </c>
      <c r="H14" s="11">
        <v>0</v>
      </c>
      <c r="I14" s="28"/>
      <c r="J14" s="14">
        <f t="shared" ref="J14" si="0">G14/$B$1*100</f>
        <v>0.75</v>
      </c>
      <c r="K14" s="55">
        <f>1/(1+$B$4*0.01*$B$6)</f>
        <v>0.99618943930321169</v>
      </c>
      <c r="L14" s="14">
        <f t="shared" ref="L14:L15" si="1">K14*J14</f>
        <v>0.74714207947740874</v>
      </c>
      <c r="M14" s="14">
        <f>-$B$6*1/(1+$B$4*0.01*$B$6)^2</f>
        <v>-0.37960403239643342</v>
      </c>
      <c r="N14" s="15">
        <f t="shared" ref="N14:N15" si="2">M14*J14*0.01</f>
        <v>-2.8470302429732509E-3</v>
      </c>
      <c r="O14" s="5"/>
      <c r="P14" s="5"/>
    </row>
    <row r="15" spans="1:16">
      <c r="A15" s="33"/>
      <c r="B15" s="33"/>
      <c r="C15" s="33"/>
      <c r="D15" s="33"/>
      <c r="E15" s="33"/>
      <c r="F15" s="33"/>
      <c r="G15" s="33"/>
      <c r="H15" s="57">
        <v>0</v>
      </c>
      <c r="I15" s="65" t="s">
        <v>11</v>
      </c>
      <c r="J15" s="33">
        <v>100</v>
      </c>
      <c r="K15" s="59">
        <f>1/(1+$B$4*0.01*$B$6)</f>
        <v>0.99618943930321169</v>
      </c>
      <c r="L15" s="33">
        <f t="shared" si="1"/>
        <v>99.618943930321166</v>
      </c>
      <c r="M15" s="33">
        <f>-$B$6*1/(1+$B$4*0.01*$B$6)^2</f>
        <v>-0.37960403239643342</v>
      </c>
      <c r="N15" s="34">
        <f t="shared" si="2"/>
        <v>-0.37960403239643342</v>
      </c>
      <c r="O15" s="5"/>
      <c r="P15" s="5"/>
    </row>
    <row r="16" spans="1:16" ht="15.75" thickBot="1">
      <c r="A16" s="42"/>
      <c r="B16" s="42"/>
      <c r="C16" s="42"/>
      <c r="D16" s="42"/>
      <c r="E16" s="42"/>
      <c r="F16" s="42"/>
      <c r="G16" s="42"/>
      <c r="H16" s="66"/>
      <c r="I16" s="42"/>
      <c r="J16" s="42"/>
      <c r="K16" s="29" t="s">
        <v>12</v>
      </c>
      <c r="L16" s="39">
        <f>SUM(L10:L15)</f>
        <v>100.36608600979858</v>
      </c>
      <c r="M16" s="29" t="s">
        <v>21</v>
      </c>
      <c r="N16" s="40">
        <f>SUM(N10:N15)</f>
        <v>-0.38245106263940665</v>
      </c>
      <c r="O16" s="5"/>
      <c r="P16" s="5"/>
    </row>
    <row r="17" spans="1:1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1:1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28"/>
  <sheetViews>
    <sheetView workbookViewId="0">
      <selection activeCell="B6" sqref="B6"/>
    </sheetView>
  </sheetViews>
  <sheetFormatPr defaultRowHeight="15"/>
  <cols>
    <col min="1" max="1" width="16.7109375" bestFit="1" customWidth="1"/>
    <col min="2" max="2" width="12.7109375" bestFit="1" customWidth="1"/>
    <col min="3" max="3" width="10.85546875" bestFit="1" customWidth="1"/>
    <col min="4" max="4" width="11.140625" bestFit="1" customWidth="1"/>
    <col min="5" max="5" width="14.5703125" bestFit="1" customWidth="1"/>
    <col min="6" max="6" width="10.7109375" bestFit="1" customWidth="1"/>
    <col min="7" max="7" width="10.85546875" bestFit="1" customWidth="1"/>
    <col min="8" max="8" width="11.7109375" bestFit="1" customWidth="1"/>
    <col min="9" max="9" width="12.5703125" bestFit="1" customWidth="1"/>
    <col min="11" max="11" width="15.28515625" bestFit="1" customWidth="1"/>
    <col min="12" max="12" width="12" bestFit="1" customWidth="1"/>
    <col min="13" max="13" width="8.7109375" bestFit="1" customWidth="1"/>
    <col min="14" max="14" width="16.7109375" bestFit="1" customWidth="1"/>
    <col min="17" max="16384" width="9.140625" style="5"/>
  </cols>
  <sheetData>
    <row r="1" spans="1:16">
      <c r="A1" s="60" t="s">
        <v>16</v>
      </c>
      <c r="B1" s="61">
        <v>100000000</v>
      </c>
      <c r="C1" s="5"/>
      <c r="D1" s="5" t="s">
        <v>18</v>
      </c>
      <c r="E1" s="5" t="s">
        <v>32</v>
      </c>
      <c r="F1" s="5"/>
      <c r="G1" s="5"/>
      <c r="H1" s="60" t="s">
        <v>13</v>
      </c>
      <c r="I1" s="5">
        <v>0</v>
      </c>
      <c r="J1" s="5"/>
      <c r="K1" s="5"/>
      <c r="L1" s="5"/>
      <c r="M1" s="5"/>
      <c r="N1" s="5"/>
      <c r="O1" s="5"/>
      <c r="P1" s="5"/>
    </row>
    <row r="2" spans="1:16">
      <c r="A2" s="60" t="s">
        <v>31</v>
      </c>
      <c r="B2" s="62">
        <v>42650</v>
      </c>
      <c r="C2" s="5"/>
      <c r="D2" s="5"/>
      <c r="E2" s="5"/>
      <c r="F2" s="5"/>
      <c r="G2" s="5"/>
      <c r="H2" s="60" t="s">
        <v>14</v>
      </c>
      <c r="I2" s="60">
        <v>99.444766719151403</v>
      </c>
      <c r="J2" s="60" t="s">
        <v>22</v>
      </c>
      <c r="K2" s="5"/>
      <c r="L2" s="5"/>
      <c r="M2" s="5"/>
      <c r="N2" s="5"/>
      <c r="O2" s="5"/>
      <c r="P2" s="5"/>
    </row>
    <row r="3" spans="1:16">
      <c r="A3" s="5" t="s">
        <v>19</v>
      </c>
      <c r="B3" s="62">
        <v>42648</v>
      </c>
      <c r="C3" s="5"/>
      <c r="D3" s="5"/>
      <c r="E3" s="5"/>
      <c r="F3" s="5"/>
      <c r="G3" s="5"/>
      <c r="H3" s="60" t="s">
        <v>15</v>
      </c>
      <c r="I3" s="63">
        <f>I2+I1</f>
        <v>99.444766719151403</v>
      </c>
      <c r="J3" s="56">
        <f>I3-L11</f>
        <v>0</v>
      </c>
      <c r="K3" s="5"/>
      <c r="L3" s="5"/>
      <c r="M3" s="5"/>
      <c r="N3" s="5"/>
      <c r="O3" s="5"/>
      <c r="P3" s="5"/>
    </row>
    <row r="4" spans="1:16">
      <c r="A4" s="60" t="s">
        <v>20</v>
      </c>
      <c r="B4" s="5">
        <v>1</v>
      </c>
      <c r="C4" s="5"/>
      <c r="D4" s="5"/>
      <c r="E4" s="5"/>
      <c r="F4" s="5"/>
      <c r="G4" s="5"/>
      <c r="H4" s="60" t="s">
        <v>24</v>
      </c>
      <c r="I4" s="5">
        <v>-0.55215105403208897</v>
      </c>
      <c r="J4" s="56">
        <f>I4-N11</f>
        <v>-6.1314511257126725E-7</v>
      </c>
      <c r="K4" s="5"/>
      <c r="L4" s="5"/>
      <c r="M4" s="5"/>
      <c r="N4" s="5"/>
      <c r="O4" s="5"/>
      <c r="P4" s="5"/>
    </row>
    <row r="5" spans="1:1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ht="18.75" customHeight="1">
      <c r="A6" s="5" t="s">
        <v>30</v>
      </c>
      <c r="B6" s="5">
        <f>(B10-B2)/360</f>
        <v>0.55833333333333335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18.75" customHeight="1" thickBo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>
      <c r="A8" s="23" t="s">
        <v>1</v>
      </c>
      <c r="B8" s="23" t="s">
        <v>1</v>
      </c>
      <c r="C8" s="23" t="s">
        <v>2</v>
      </c>
      <c r="D8" s="23" t="s">
        <v>3</v>
      </c>
      <c r="E8" s="23" t="s">
        <v>4</v>
      </c>
      <c r="F8" s="23" t="s">
        <v>1</v>
      </c>
      <c r="G8" s="23"/>
      <c r="H8" s="18"/>
      <c r="I8" s="19"/>
      <c r="J8" s="23"/>
      <c r="K8" s="23"/>
      <c r="L8" s="23"/>
      <c r="M8" s="19"/>
      <c r="N8" s="20"/>
      <c r="O8" s="5"/>
      <c r="P8" s="5"/>
    </row>
    <row r="9" spans="1:16" ht="30.75" thickBot="1">
      <c r="A9" s="26" t="s">
        <v>5</v>
      </c>
      <c r="B9" s="26" t="s">
        <v>6</v>
      </c>
      <c r="C9" s="26" t="s">
        <v>7</v>
      </c>
      <c r="D9" s="26"/>
      <c r="E9" s="26" t="s">
        <v>8</v>
      </c>
      <c r="F9" s="26" t="s">
        <v>9</v>
      </c>
      <c r="G9" s="26" t="s">
        <v>0</v>
      </c>
      <c r="H9" s="24" t="s">
        <v>25</v>
      </c>
      <c r="I9" s="21"/>
      <c r="J9" s="25" t="s">
        <v>26</v>
      </c>
      <c r="K9" s="25" t="s">
        <v>23</v>
      </c>
      <c r="L9" s="30" t="s">
        <v>27</v>
      </c>
      <c r="M9" s="21"/>
      <c r="N9" s="22"/>
      <c r="O9" s="5"/>
      <c r="P9" s="5"/>
    </row>
    <row r="10" spans="1:16">
      <c r="A10" s="31">
        <v>42487</v>
      </c>
      <c r="B10" s="31">
        <v>42851</v>
      </c>
      <c r="C10" s="32">
        <v>100000000</v>
      </c>
      <c r="D10" s="33">
        <v>0</v>
      </c>
      <c r="E10" s="31">
        <v>42851</v>
      </c>
      <c r="F10" s="31">
        <v>42851</v>
      </c>
      <c r="G10" s="32">
        <v>100000000</v>
      </c>
      <c r="H10" s="57">
        <v>0</v>
      </c>
      <c r="I10" s="65" t="s">
        <v>11</v>
      </c>
      <c r="J10" s="33">
        <v>100</v>
      </c>
      <c r="K10" s="59">
        <f>1/(1+$B$4*0.01*$B$6)</f>
        <v>0.99444766719151412</v>
      </c>
      <c r="L10" s="33">
        <f t="shared" ref="L10" si="0">K10*J10</f>
        <v>99.444766719151417</v>
      </c>
      <c r="M10" s="33">
        <f>-($B$6)*1/(1+$B$4*0.01*$B$6)^2</f>
        <v>-0.5521504408869764</v>
      </c>
      <c r="N10" s="34">
        <f t="shared" ref="N10" si="1">M10*J10*0.01</f>
        <v>-0.5521504408869764</v>
      </c>
      <c r="O10" s="5"/>
      <c r="P10" s="5"/>
    </row>
    <row r="11" spans="1:16" ht="15.75" thickBot="1">
      <c r="A11" s="42"/>
      <c r="B11" s="42"/>
      <c r="C11" s="42"/>
      <c r="D11" s="42"/>
      <c r="E11" s="42"/>
      <c r="F11" s="42"/>
      <c r="G11" s="42"/>
      <c r="H11" s="66"/>
      <c r="I11" s="42"/>
      <c r="J11" s="42"/>
      <c r="K11" s="29" t="s">
        <v>12</v>
      </c>
      <c r="L11" s="39">
        <f>SUM(L10:L10)</f>
        <v>99.444766719151417</v>
      </c>
      <c r="M11" s="29" t="s">
        <v>21</v>
      </c>
      <c r="N11" s="40">
        <f>SUM(N10:N10)</f>
        <v>-0.5521504408869764</v>
      </c>
      <c r="O11" s="5"/>
      <c r="P11" s="5"/>
    </row>
    <row r="12" spans="1:1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1:1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"/>
  <sheetViews>
    <sheetView showGridLines="0" zoomScaleNormal="100" workbookViewId="0">
      <selection activeCell="J14" sqref="J14"/>
    </sheetView>
  </sheetViews>
  <sheetFormatPr defaultRowHeight="15"/>
  <cols>
    <col min="1" max="1" width="16.85546875" bestFit="1" customWidth="1"/>
    <col min="2" max="2" width="12" bestFit="1" customWidth="1"/>
    <col min="3" max="3" width="10.85546875" bestFit="1" customWidth="1"/>
    <col min="4" max="4" width="11.140625" bestFit="1" customWidth="1"/>
    <col min="5" max="5" width="14.5703125" bestFit="1" customWidth="1"/>
    <col min="6" max="6" width="10.7109375" bestFit="1" customWidth="1"/>
    <col min="7" max="8" width="11.7109375" bestFit="1" customWidth="1"/>
    <col min="9" max="9" width="8.5703125" customWidth="1"/>
    <col min="10" max="10" width="12" bestFit="1" customWidth="1"/>
    <col min="11" max="11" width="11" bestFit="1" customWidth="1"/>
    <col min="12" max="13" width="12" bestFit="1" customWidth="1"/>
    <col min="14" max="14" width="12.7109375" bestFit="1" customWidth="1"/>
    <col min="15" max="15" width="2" bestFit="1" customWidth="1"/>
  </cols>
  <sheetData>
    <row r="1" spans="1:15">
      <c r="A1" s="3" t="s">
        <v>16</v>
      </c>
      <c r="B1" s="1">
        <v>100000000</v>
      </c>
      <c r="D1" t="s">
        <v>18</v>
      </c>
      <c r="E1" t="s">
        <v>34</v>
      </c>
      <c r="H1" s="3" t="s">
        <v>13</v>
      </c>
      <c r="I1" s="4">
        <v>0.41304347826087701</v>
      </c>
    </row>
    <row r="2" spans="1:15">
      <c r="A2" s="3" t="s">
        <v>10</v>
      </c>
      <c r="B2" s="9">
        <v>42649</v>
      </c>
      <c r="H2" s="3" t="s">
        <v>14</v>
      </c>
      <c r="I2" s="44">
        <v>103.71272186478799</v>
      </c>
      <c r="J2" s="3" t="s">
        <v>22</v>
      </c>
    </row>
    <row r="3" spans="1:15">
      <c r="A3" t="s">
        <v>19</v>
      </c>
      <c r="B3" s="62">
        <v>42648</v>
      </c>
      <c r="D3" s="46"/>
      <c r="H3" s="3" t="s">
        <v>15</v>
      </c>
      <c r="I3" s="44">
        <f>I2+I1</f>
        <v>104.12576534304887</v>
      </c>
      <c r="J3" s="45">
        <f>I3-K23</f>
        <v>3.694822225952521E-13</v>
      </c>
    </row>
    <row r="4" spans="1:15">
      <c r="A4" s="3" t="s">
        <v>20</v>
      </c>
      <c r="B4">
        <v>1</v>
      </c>
      <c r="D4" s="47"/>
      <c r="H4" s="3" t="s">
        <v>24</v>
      </c>
      <c r="I4">
        <v>-3.7928138088776899</v>
      </c>
      <c r="J4" s="6">
        <f>I4-M23</f>
        <v>-4.4408920985006262E-15</v>
      </c>
      <c r="K4" s="41"/>
    </row>
    <row r="5" spans="1:15">
      <c r="A5" s="3" t="s">
        <v>33</v>
      </c>
      <c r="B5">
        <v>2</v>
      </c>
      <c r="D5" s="47"/>
    </row>
    <row r="6" spans="1:15">
      <c r="A6" s="3"/>
      <c r="D6" s="47"/>
    </row>
    <row r="7" spans="1:15">
      <c r="A7" s="5" t="s">
        <v>30</v>
      </c>
      <c r="B7" s="5">
        <f>(B14-B2)/(B14-A14)</f>
        <v>0.58695652173913049</v>
      </c>
      <c r="D7" s="47"/>
    </row>
    <row r="8" spans="1:15" ht="15.75" thickBot="1">
      <c r="A8" s="3"/>
      <c r="D8" s="47"/>
    </row>
    <row r="9" spans="1:15">
      <c r="A9" s="23" t="s">
        <v>1</v>
      </c>
      <c r="B9" s="23" t="s">
        <v>1</v>
      </c>
      <c r="C9" s="23" t="s">
        <v>2</v>
      </c>
      <c r="D9" s="23" t="s">
        <v>3</v>
      </c>
      <c r="E9" s="23" t="s">
        <v>4</v>
      </c>
      <c r="F9" s="23" t="s">
        <v>1</v>
      </c>
      <c r="G9" s="23"/>
      <c r="H9" s="18"/>
      <c r="I9" s="23"/>
      <c r="J9" s="23"/>
      <c r="K9" s="23"/>
      <c r="L9" s="19"/>
      <c r="M9" s="20"/>
    </row>
    <row r="10" spans="1:15" ht="30.75" thickBot="1">
      <c r="A10" s="26" t="s">
        <v>5</v>
      </c>
      <c r="B10" s="26" t="s">
        <v>6</v>
      </c>
      <c r="C10" s="26" t="s">
        <v>7</v>
      </c>
      <c r="D10" s="26"/>
      <c r="E10" s="26" t="s">
        <v>8</v>
      </c>
      <c r="F10" s="26" t="s">
        <v>9</v>
      </c>
      <c r="G10" s="26" t="s">
        <v>0</v>
      </c>
      <c r="H10" s="27" t="s">
        <v>28</v>
      </c>
      <c r="I10" s="26" t="s">
        <v>26</v>
      </c>
      <c r="J10" s="26" t="s">
        <v>23</v>
      </c>
      <c r="K10" s="36" t="s">
        <v>27</v>
      </c>
      <c r="L10" s="35"/>
      <c r="M10" s="37"/>
    </row>
    <row r="11" spans="1:15">
      <c r="A11" s="67">
        <v>41885</v>
      </c>
      <c r="B11" s="67">
        <v>42207</v>
      </c>
      <c r="C11" s="68">
        <v>100000000</v>
      </c>
      <c r="D11" s="69">
        <v>2</v>
      </c>
      <c r="E11" s="67">
        <v>42207</v>
      </c>
      <c r="F11" s="67">
        <v>42199</v>
      </c>
      <c r="G11" s="70">
        <v>1766304.35</v>
      </c>
      <c r="H11" s="71"/>
      <c r="I11" s="69"/>
      <c r="J11" s="69"/>
      <c r="K11" s="69"/>
      <c r="L11" s="69"/>
      <c r="M11" s="72"/>
      <c r="O11" s="2"/>
    </row>
    <row r="12" spans="1:15">
      <c r="A12" s="9">
        <v>42207</v>
      </c>
      <c r="B12" s="9">
        <v>42391</v>
      </c>
      <c r="C12" s="10">
        <v>100000000</v>
      </c>
      <c r="D12" s="8">
        <v>2</v>
      </c>
      <c r="E12" s="9">
        <v>42391</v>
      </c>
      <c r="F12" s="9">
        <v>42383</v>
      </c>
      <c r="G12" s="10">
        <v>1000000</v>
      </c>
      <c r="H12" s="7"/>
      <c r="I12" s="8"/>
      <c r="J12" s="33"/>
      <c r="K12" s="33"/>
      <c r="L12" s="33"/>
      <c r="M12" s="34"/>
      <c r="O12" s="2"/>
    </row>
    <row r="13" spans="1:15">
      <c r="A13" s="9">
        <v>42391</v>
      </c>
      <c r="B13" s="9">
        <v>42573</v>
      </c>
      <c r="C13" s="10">
        <v>100000000</v>
      </c>
      <c r="D13" s="8">
        <v>2</v>
      </c>
      <c r="E13" s="9">
        <v>42573</v>
      </c>
      <c r="F13" s="9">
        <v>42565</v>
      </c>
      <c r="G13" s="10">
        <v>1000000</v>
      </c>
      <c r="H13" s="7"/>
      <c r="I13" s="8"/>
      <c r="J13" s="33"/>
      <c r="K13" s="33"/>
      <c r="L13" s="33"/>
      <c r="M13" s="34"/>
      <c r="O13" s="2"/>
    </row>
    <row r="14" spans="1:15">
      <c r="A14" s="12">
        <v>42573</v>
      </c>
      <c r="B14" s="12">
        <v>42757</v>
      </c>
      <c r="C14" s="13">
        <v>100000000</v>
      </c>
      <c r="D14" s="14">
        <v>2</v>
      </c>
      <c r="E14" s="12">
        <v>42758</v>
      </c>
      <c r="F14" s="12">
        <v>42748</v>
      </c>
      <c r="G14" s="13">
        <v>1000000</v>
      </c>
      <c r="H14" s="11">
        <v>0</v>
      </c>
      <c r="I14" s="14">
        <f t="shared" ref="I14:I21" si="0">G14/$B$1*100</f>
        <v>1</v>
      </c>
      <c r="J14" s="14">
        <f t="shared" ref="J14:J22" si="1">1/(1+Yield/Period*0.01)^(H14+$B$7)</f>
        <v>0.9970768108446183</v>
      </c>
      <c r="K14" s="14">
        <f>J14*I14</f>
        <v>0.9970768108446183</v>
      </c>
      <c r="L14" s="14">
        <f t="shared" ref="L14:L22" si="2">-1/Period*(H14+$B$7)*1/(1+Yield/Period*0.01)^(H14+$B$7+1)</f>
        <v>-0.29116454567169264</v>
      </c>
      <c r="M14" s="15">
        <f t="shared" ref="M14:M17" si="3">L14*I14*0.01</f>
        <v>-2.9116454567169265E-3</v>
      </c>
      <c r="O14" s="2"/>
    </row>
    <row r="15" spans="1:15">
      <c r="A15" s="9">
        <v>42757</v>
      </c>
      <c r="B15" s="9">
        <v>42938</v>
      </c>
      <c r="C15" s="10">
        <v>100000000</v>
      </c>
      <c r="D15" s="8">
        <v>2</v>
      </c>
      <c r="E15" s="9">
        <v>42940</v>
      </c>
      <c r="F15" s="9">
        <v>42930</v>
      </c>
      <c r="G15" s="10">
        <v>1000000</v>
      </c>
      <c r="H15" s="7">
        <f t="shared" ref="H15:H21" si="4">H14+1</f>
        <v>1</v>
      </c>
      <c r="I15" s="8">
        <f t="shared" si="0"/>
        <v>1</v>
      </c>
      <c r="J15" s="8">
        <f t="shared" si="1"/>
        <v>0.99211622969613789</v>
      </c>
      <c r="K15" s="33">
        <f t="shared" ref="K15:K20" si="5">J15*I15</f>
        <v>0.99211622969613789</v>
      </c>
      <c r="L15" s="33">
        <f t="shared" si="2"/>
        <v>-0.78330612987040948</v>
      </c>
      <c r="M15" s="34">
        <f t="shared" si="3"/>
        <v>-7.833061298704095E-3</v>
      </c>
      <c r="O15" s="2"/>
    </row>
    <row r="16" spans="1:15">
      <c r="A16" s="9">
        <v>42938</v>
      </c>
      <c r="B16" s="9">
        <v>43122</v>
      </c>
      <c r="C16" s="10">
        <v>100000000</v>
      </c>
      <c r="D16" s="8">
        <v>2</v>
      </c>
      <c r="E16" s="9">
        <v>43122</v>
      </c>
      <c r="F16" s="9">
        <v>43112</v>
      </c>
      <c r="G16" s="10">
        <v>1000000</v>
      </c>
      <c r="H16" s="7">
        <f t="shared" si="4"/>
        <v>2</v>
      </c>
      <c r="I16" s="8">
        <f t="shared" si="0"/>
        <v>1</v>
      </c>
      <c r="J16" s="8">
        <f t="shared" si="1"/>
        <v>0.98718032805585865</v>
      </c>
      <c r="K16" s="33">
        <f>J16*I16</f>
        <v>0.98718032805585865</v>
      </c>
      <c r="L16" s="33">
        <f t="shared" si="2"/>
        <v>-1.2705435760182477</v>
      </c>
      <c r="M16" s="34">
        <f t="shared" si="3"/>
        <v>-1.2705435760182477E-2</v>
      </c>
      <c r="O16" s="2"/>
    </row>
    <row r="17" spans="1:15">
      <c r="A17" s="9">
        <v>43122</v>
      </c>
      <c r="B17" s="9">
        <v>43303</v>
      </c>
      <c r="C17" s="10">
        <v>100000000</v>
      </c>
      <c r="D17" s="8">
        <v>2</v>
      </c>
      <c r="E17" s="9">
        <v>43304</v>
      </c>
      <c r="F17" s="9">
        <v>43294</v>
      </c>
      <c r="G17" s="10">
        <v>1000000</v>
      </c>
      <c r="H17" s="7">
        <f t="shared" si="4"/>
        <v>3</v>
      </c>
      <c r="I17" s="8">
        <f t="shared" si="0"/>
        <v>1</v>
      </c>
      <c r="J17" s="8">
        <f t="shared" si="1"/>
        <v>0.98226898314015787</v>
      </c>
      <c r="K17" s="33">
        <f t="shared" si="5"/>
        <v>0.98226898314015787</v>
      </c>
      <c r="L17" s="33">
        <f t="shared" si="2"/>
        <v>-1.7529135000878875</v>
      </c>
      <c r="M17" s="34">
        <f t="shared" si="3"/>
        <v>-1.7529135000878875E-2</v>
      </c>
      <c r="O17" s="2"/>
    </row>
    <row r="18" spans="1:15">
      <c r="A18" s="31">
        <v>43303</v>
      </c>
      <c r="B18" s="31">
        <v>43487</v>
      </c>
      <c r="C18" s="32">
        <v>100000000</v>
      </c>
      <c r="D18" s="33">
        <v>2</v>
      </c>
      <c r="E18" s="31">
        <v>43487</v>
      </c>
      <c r="F18" s="31">
        <v>43479</v>
      </c>
      <c r="G18" s="32">
        <v>1000000</v>
      </c>
      <c r="H18" s="7">
        <f t="shared" si="4"/>
        <v>4</v>
      </c>
      <c r="I18" s="33">
        <f t="shared" si="0"/>
        <v>1</v>
      </c>
      <c r="J18" s="8">
        <f t="shared" si="1"/>
        <v>0.97738207277627664</v>
      </c>
      <c r="K18" s="33">
        <f t="shared" si="5"/>
        <v>0.97738207277627664</v>
      </c>
      <c r="L18" s="33">
        <f t="shared" si="2"/>
        <v>-2.2304522751005234</v>
      </c>
      <c r="M18" s="34">
        <f>L18*I18*0.01</f>
        <v>-2.2304522751005234E-2</v>
      </c>
      <c r="O18" s="2"/>
    </row>
    <row r="19" spans="1:15">
      <c r="A19" s="9">
        <v>43487</v>
      </c>
      <c r="B19" s="9">
        <v>43668</v>
      </c>
      <c r="C19" s="10">
        <v>100000000</v>
      </c>
      <c r="D19" s="8">
        <v>2</v>
      </c>
      <c r="E19" s="9">
        <v>43668</v>
      </c>
      <c r="F19" s="9">
        <v>43658</v>
      </c>
      <c r="G19" s="10">
        <v>1000000</v>
      </c>
      <c r="H19" s="7">
        <f t="shared" si="4"/>
        <v>5</v>
      </c>
      <c r="I19" s="8">
        <f t="shared" si="0"/>
        <v>1</v>
      </c>
      <c r="J19" s="8">
        <f t="shared" si="1"/>
        <v>0.9725194753992803</v>
      </c>
      <c r="K19" s="33">
        <f t="shared" si="5"/>
        <v>0.9725194753992803</v>
      </c>
      <c r="L19" s="33">
        <f t="shared" si="2"/>
        <v>-2.7031960326369791</v>
      </c>
      <c r="M19" s="34">
        <f t="shared" ref="M19:M22" si="6">L19*I19*0.01</f>
        <v>-2.703196032636979E-2</v>
      </c>
      <c r="O19" s="2"/>
    </row>
    <row r="20" spans="1:15">
      <c r="A20" s="9">
        <v>43668</v>
      </c>
      <c r="B20" s="9">
        <v>43852</v>
      </c>
      <c r="C20" s="10">
        <v>100000000</v>
      </c>
      <c r="D20" s="8">
        <v>2</v>
      </c>
      <c r="E20" s="9">
        <v>43852</v>
      </c>
      <c r="F20" s="9">
        <v>43844</v>
      </c>
      <c r="G20" s="10">
        <v>1000000</v>
      </c>
      <c r="H20" s="7">
        <f t="shared" si="4"/>
        <v>6</v>
      </c>
      <c r="I20" s="8">
        <f t="shared" si="0"/>
        <v>1</v>
      </c>
      <c r="J20" s="8">
        <f t="shared" si="1"/>
        <v>0.96768107004903525</v>
      </c>
      <c r="K20" s="33">
        <f t="shared" si="5"/>
        <v>0.96768107004903525</v>
      </c>
      <c r="L20" s="33">
        <f t="shared" si="2"/>
        <v>-3.1711806643397979</v>
      </c>
      <c r="M20" s="34">
        <f t="shared" si="6"/>
        <v>-3.1711806643397983E-2</v>
      </c>
      <c r="O20" s="2"/>
    </row>
    <row r="21" spans="1:15">
      <c r="A21" s="9">
        <v>43852</v>
      </c>
      <c r="B21" s="9">
        <v>44034</v>
      </c>
      <c r="C21" s="10">
        <v>100000000</v>
      </c>
      <c r="D21" s="8">
        <v>2</v>
      </c>
      <c r="E21" s="9">
        <v>44034</v>
      </c>
      <c r="F21" s="9">
        <v>44026</v>
      </c>
      <c r="G21" s="10">
        <v>1000000</v>
      </c>
      <c r="H21" s="7">
        <f t="shared" si="4"/>
        <v>7</v>
      </c>
      <c r="I21" s="8">
        <f t="shared" si="0"/>
        <v>1</v>
      </c>
      <c r="J21" s="8">
        <f t="shared" si="1"/>
        <v>0.96286673636719933</v>
      </c>
      <c r="K21" s="33">
        <f>J21*I21</f>
        <v>0.96286673636719933</v>
      </c>
      <c r="L21" s="33">
        <f t="shared" si="2"/>
        <v>-3.6344418234063665</v>
      </c>
      <c r="M21" s="34">
        <f t="shared" si="6"/>
        <v>-3.6344418234063668E-2</v>
      </c>
      <c r="O21" s="2"/>
    </row>
    <row r="22" spans="1:15">
      <c r="A22" s="8"/>
      <c r="B22" s="8"/>
      <c r="C22" s="8"/>
      <c r="D22" s="8"/>
      <c r="E22" s="8"/>
      <c r="F22" s="8"/>
      <c r="G22" s="8"/>
      <c r="H22" s="43">
        <f>H21</f>
        <v>7</v>
      </c>
      <c r="I22" s="8">
        <v>100</v>
      </c>
      <c r="J22" s="8">
        <f t="shared" si="1"/>
        <v>0.96286673636719933</v>
      </c>
      <c r="K22" s="33">
        <f>J22*I22</f>
        <v>96.286673636719939</v>
      </c>
      <c r="L22" s="33">
        <f t="shared" si="2"/>
        <v>-3.6344418234063665</v>
      </c>
      <c r="M22" s="34">
        <f t="shared" si="6"/>
        <v>-3.6344418234063665</v>
      </c>
      <c r="O22" s="2"/>
    </row>
    <row r="23" spans="1:15" ht="15.75" thickBot="1">
      <c r="A23" s="17"/>
      <c r="B23" s="17"/>
      <c r="C23" s="17"/>
      <c r="D23" s="17"/>
      <c r="E23" s="17"/>
      <c r="F23" s="17"/>
      <c r="G23" s="17"/>
      <c r="H23" s="16"/>
      <c r="I23" s="17"/>
      <c r="J23" s="29" t="s">
        <v>12</v>
      </c>
      <c r="K23" s="39">
        <f>SUM(K11:K22)</f>
        <v>104.1257653430485</v>
      </c>
      <c r="L23" s="29" t="s">
        <v>21</v>
      </c>
      <c r="M23" s="40">
        <f>SUM(M11:M22)</f>
        <v>-3.7928138088776855</v>
      </c>
      <c r="O23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5"/>
  <sheetViews>
    <sheetView showGridLines="0" zoomScaleNormal="100" workbookViewId="0">
      <selection activeCell="B7" sqref="B7"/>
    </sheetView>
  </sheetViews>
  <sheetFormatPr defaultRowHeight="15"/>
  <cols>
    <col min="1" max="1" width="16.85546875" bestFit="1" customWidth="1"/>
    <col min="2" max="2" width="12" bestFit="1" customWidth="1"/>
    <col min="3" max="3" width="10.85546875" bestFit="1" customWidth="1"/>
    <col min="4" max="4" width="11.140625" bestFit="1" customWidth="1"/>
    <col min="5" max="5" width="14.5703125" bestFit="1" customWidth="1"/>
    <col min="6" max="6" width="10.7109375" bestFit="1" customWidth="1"/>
    <col min="7" max="8" width="11.7109375" bestFit="1" customWidth="1"/>
    <col min="9" max="9" width="8.5703125" customWidth="1"/>
    <col min="10" max="10" width="12" bestFit="1" customWidth="1"/>
    <col min="11" max="11" width="11" bestFit="1" customWidth="1"/>
    <col min="12" max="13" width="12" bestFit="1" customWidth="1"/>
    <col min="14" max="14" width="12.7109375" bestFit="1" customWidth="1"/>
    <col min="15" max="15" width="2" bestFit="1" customWidth="1"/>
  </cols>
  <sheetData>
    <row r="1" spans="1:15">
      <c r="A1" s="3" t="s">
        <v>16</v>
      </c>
      <c r="B1" s="1">
        <v>100000000</v>
      </c>
      <c r="D1" t="s">
        <v>18</v>
      </c>
      <c r="E1" t="s">
        <v>40</v>
      </c>
      <c r="H1" s="3" t="s">
        <v>13</v>
      </c>
      <c r="I1" s="4">
        <v>0.36141304347825398</v>
      </c>
    </row>
    <row r="2" spans="1:15">
      <c r="A2" s="3" t="s">
        <v>10</v>
      </c>
      <c r="B2" s="9">
        <v>42649</v>
      </c>
      <c r="H2" s="3" t="s">
        <v>14</v>
      </c>
      <c r="I2" s="44">
        <v>100.21871025047299</v>
      </c>
      <c r="J2" s="3" t="s">
        <v>22</v>
      </c>
    </row>
    <row r="3" spans="1:15">
      <c r="A3" t="s">
        <v>19</v>
      </c>
      <c r="B3" s="62">
        <v>42648</v>
      </c>
      <c r="D3" s="46"/>
      <c r="H3" s="3" t="s">
        <v>15</v>
      </c>
      <c r="I3" s="44">
        <f>I2+I1</f>
        <v>100.58012329395125</v>
      </c>
      <c r="J3" s="45">
        <f>I3-K22</f>
        <v>3.836930773104541E-13</v>
      </c>
    </row>
    <row r="4" spans="1:15">
      <c r="A4" s="3" t="s">
        <v>20</v>
      </c>
      <c r="B4">
        <v>1</v>
      </c>
      <c r="D4" s="47"/>
      <c r="H4" s="3" t="s">
        <v>24</v>
      </c>
      <c r="I4">
        <v>-0.29371223544632002</v>
      </c>
      <c r="J4" s="6">
        <f>I4-M22</f>
        <v>0</v>
      </c>
      <c r="K4" s="41"/>
    </row>
    <row r="5" spans="1:15">
      <c r="A5" s="3" t="s">
        <v>33</v>
      </c>
      <c r="B5">
        <v>2</v>
      </c>
      <c r="D5" s="47"/>
    </row>
    <row r="6" spans="1:15">
      <c r="A6" s="3"/>
      <c r="D6" s="47"/>
    </row>
    <row r="7" spans="1:15">
      <c r="A7" s="5" t="s">
        <v>30</v>
      </c>
      <c r="B7" s="5">
        <f>(B20-B2)/(B20-A20)</f>
        <v>0.58695652173913049</v>
      </c>
      <c r="D7" s="47"/>
    </row>
    <row r="8" spans="1:15" ht="15.75" thickBot="1">
      <c r="A8" s="3"/>
      <c r="D8" s="47"/>
    </row>
    <row r="9" spans="1:15">
      <c r="A9" s="23" t="s">
        <v>1</v>
      </c>
      <c r="B9" s="23" t="s">
        <v>1</v>
      </c>
      <c r="C9" s="23" t="s">
        <v>2</v>
      </c>
      <c r="D9" s="23" t="s">
        <v>3</v>
      </c>
      <c r="E9" s="23" t="s">
        <v>4</v>
      </c>
      <c r="F9" s="23" t="s">
        <v>1</v>
      </c>
      <c r="G9" s="23"/>
      <c r="H9" s="18"/>
      <c r="I9" s="23"/>
      <c r="J9" s="23"/>
      <c r="K9" s="23"/>
      <c r="L9" s="19"/>
      <c r="M9" s="20"/>
    </row>
    <row r="10" spans="1:15" ht="30.75" thickBot="1">
      <c r="A10" s="26" t="s">
        <v>5</v>
      </c>
      <c r="B10" s="26" t="s">
        <v>6</v>
      </c>
      <c r="C10" s="26" t="s">
        <v>7</v>
      </c>
      <c r="D10" s="26"/>
      <c r="E10" s="26" t="s">
        <v>8</v>
      </c>
      <c r="F10" s="26" t="s">
        <v>9</v>
      </c>
      <c r="G10" s="26" t="s">
        <v>0</v>
      </c>
      <c r="H10" s="27" t="s">
        <v>28</v>
      </c>
      <c r="I10" s="26" t="s">
        <v>26</v>
      </c>
      <c r="J10" s="26" t="s">
        <v>23</v>
      </c>
      <c r="K10" s="36" t="s">
        <v>27</v>
      </c>
      <c r="L10" s="35"/>
      <c r="M10" s="37"/>
    </row>
    <row r="11" spans="1:15">
      <c r="A11" s="67">
        <v>40774</v>
      </c>
      <c r="B11" s="67">
        <v>41112</v>
      </c>
      <c r="C11" s="68">
        <v>100000000</v>
      </c>
      <c r="D11" s="69">
        <v>1.75</v>
      </c>
      <c r="E11" s="67">
        <v>41113</v>
      </c>
      <c r="F11" s="67">
        <v>41103</v>
      </c>
      <c r="G11" s="70">
        <v>1616847.83</v>
      </c>
      <c r="H11" s="71"/>
      <c r="I11" s="69"/>
      <c r="J11" s="69"/>
      <c r="K11" s="69"/>
      <c r="L11" s="69"/>
      <c r="M11" s="72"/>
      <c r="O11" s="2"/>
    </row>
    <row r="12" spans="1:15">
      <c r="A12" s="9">
        <v>41112</v>
      </c>
      <c r="B12" s="9">
        <v>41296</v>
      </c>
      <c r="C12" s="10">
        <v>100000000</v>
      </c>
      <c r="D12" s="8">
        <v>1.75</v>
      </c>
      <c r="E12" s="9">
        <v>41296</v>
      </c>
      <c r="F12" s="9">
        <v>41288</v>
      </c>
      <c r="G12" s="10">
        <v>875000</v>
      </c>
      <c r="H12" s="7"/>
      <c r="I12" s="8"/>
      <c r="J12" s="33"/>
      <c r="K12" s="33"/>
      <c r="L12" s="33"/>
      <c r="M12" s="34"/>
      <c r="O12" s="2"/>
    </row>
    <row r="13" spans="1:15">
      <c r="A13" s="9">
        <v>41296</v>
      </c>
      <c r="B13" s="9">
        <v>41477</v>
      </c>
      <c r="C13" s="10">
        <v>100000000</v>
      </c>
      <c r="D13" s="8">
        <v>1.75</v>
      </c>
      <c r="E13" s="9">
        <v>41477</v>
      </c>
      <c r="F13" s="9">
        <v>41467</v>
      </c>
      <c r="G13" s="10">
        <v>875000</v>
      </c>
      <c r="H13" s="7"/>
      <c r="I13" s="8"/>
      <c r="J13" s="33"/>
      <c r="K13" s="33"/>
      <c r="L13" s="33"/>
      <c r="M13" s="34"/>
      <c r="O13" s="2"/>
    </row>
    <row r="14" spans="1:15" s="54" customFormat="1">
      <c r="A14" s="49">
        <v>41477</v>
      </c>
      <c r="B14" s="49">
        <v>41661</v>
      </c>
      <c r="C14" s="50">
        <v>100000000</v>
      </c>
      <c r="D14" s="51">
        <v>1.75</v>
      </c>
      <c r="E14" s="49">
        <v>41661</v>
      </c>
      <c r="F14" s="49">
        <v>41653</v>
      </c>
      <c r="G14" s="50">
        <v>875000</v>
      </c>
      <c r="H14" s="38"/>
      <c r="I14" s="51"/>
      <c r="J14" s="51"/>
      <c r="K14" s="51"/>
      <c r="L14" s="51"/>
      <c r="M14" s="53"/>
      <c r="O14" s="89"/>
    </row>
    <row r="15" spans="1:15">
      <c r="A15" s="9">
        <v>41661</v>
      </c>
      <c r="B15" s="9">
        <v>41842</v>
      </c>
      <c r="C15" s="10">
        <v>100000000</v>
      </c>
      <c r="D15" s="8">
        <v>1.75</v>
      </c>
      <c r="E15" s="9">
        <v>41842</v>
      </c>
      <c r="F15" s="9">
        <v>41834</v>
      </c>
      <c r="G15" s="10">
        <v>875000</v>
      </c>
      <c r="H15" s="7"/>
      <c r="I15" s="8"/>
      <c r="J15" s="8"/>
      <c r="K15" s="33"/>
      <c r="L15" s="33"/>
      <c r="M15" s="34"/>
      <c r="O15" s="2"/>
    </row>
    <row r="16" spans="1:15">
      <c r="A16" s="9">
        <v>41842</v>
      </c>
      <c r="B16" s="9">
        <v>42026</v>
      </c>
      <c r="C16" s="10">
        <v>100000000</v>
      </c>
      <c r="D16" s="8">
        <v>1.75</v>
      </c>
      <c r="E16" s="9">
        <v>42026</v>
      </c>
      <c r="F16" s="9">
        <v>42018</v>
      </c>
      <c r="G16" s="10">
        <v>875000</v>
      </c>
      <c r="H16" s="7"/>
      <c r="I16" s="8"/>
      <c r="J16" s="8"/>
      <c r="K16" s="33"/>
      <c r="L16" s="33"/>
      <c r="M16" s="34"/>
      <c r="O16" s="2"/>
    </row>
    <row r="17" spans="1:15">
      <c r="A17" s="9">
        <v>42026</v>
      </c>
      <c r="B17" s="9">
        <v>42207</v>
      </c>
      <c r="C17" s="10">
        <v>100000000</v>
      </c>
      <c r="D17" s="8">
        <v>1.75</v>
      </c>
      <c r="E17" s="9">
        <v>42207</v>
      </c>
      <c r="F17" s="9">
        <v>42199</v>
      </c>
      <c r="G17" s="10">
        <v>875000</v>
      </c>
      <c r="H17" s="7"/>
      <c r="I17" s="8"/>
      <c r="J17" s="8"/>
      <c r="K17" s="33"/>
      <c r="L17" s="33"/>
      <c r="M17" s="34"/>
      <c r="O17" s="2"/>
    </row>
    <row r="18" spans="1:15">
      <c r="A18" s="31">
        <v>42207</v>
      </c>
      <c r="B18" s="31">
        <v>42391</v>
      </c>
      <c r="C18" s="32">
        <v>100000000</v>
      </c>
      <c r="D18" s="33">
        <v>1.75</v>
      </c>
      <c r="E18" s="31">
        <v>42391</v>
      </c>
      <c r="F18" s="31">
        <v>42383</v>
      </c>
      <c r="G18" s="32">
        <v>875000</v>
      </c>
      <c r="H18" s="7"/>
      <c r="I18" s="33"/>
      <c r="J18" s="8"/>
      <c r="K18" s="33"/>
      <c r="L18" s="33"/>
      <c r="M18" s="34"/>
      <c r="O18" s="2"/>
    </row>
    <row r="19" spans="1:15">
      <c r="A19" s="9">
        <v>42391</v>
      </c>
      <c r="B19" s="9">
        <v>42573</v>
      </c>
      <c r="C19" s="10">
        <v>100000000</v>
      </c>
      <c r="D19" s="8">
        <v>1.75</v>
      </c>
      <c r="E19" s="9">
        <v>42573</v>
      </c>
      <c r="F19" s="9">
        <v>42565</v>
      </c>
      <c r="G19" s="10">
        <v>875000</v>
      </c>
      <c r="H19" s="7"/>
      <c r="I19" s="8"/>
      <c r="J19" s="8"/>
      <c r="K19" s="33"/>
      <c r="L19" s="33"/>
      <c r="M19" s="34"/>
      <c r="O19" s="2"/>
    </row>
    <row r="20" spans="1:15">
      <c r="A20" s="12">
        <v>42573</v>
      </c>
      <c r="B20" s="12">
        <v>42757</v>
      </c>
      <c r="C20" s="13">
        <v>100000000</v>
      </c>
      <c r="D20" s="14">
        <v>1.75</v>
      </c>
      <c r="E20" s="12">
        <v>42758</v>
      </c>
      <c r="F20" s="12">
        <v>42748</v>
      </c>
      <c r="G20" s="13">
        <v>875000</v>
      </c>
      <c r="H20" s="11">
        <v>0</v>
      </c>
      <c r="I20" s="14">
        <f t="shared" ref="I20" si="0">G20/$B$1*100</f>
        <v>0.87500000000000011</v>
      </c>
      <c r="J20" s="14">
        <f>1/(1+Yield/Period*0.01)^(H20+$B$7)</f>
        <v>0.9970768108446183</v>
      </c>
      <c r="K20" s="14">
        <f t="shared" ref="K20" si="1">J20*I20</f>
        <v>0.87244220948904116</v>
      </c>
      <c r="L20" s="14">
        <f>-1/Period*(H20+$B$7)*1/(1+Yield/Period*0.01)^(H20+$B$7+1)</f>
        <v>-0.29116454567169264</v>
      </c>
      <c r="M20" s="15">
        <f t="shared" ref="M20:M21" si="2">L20*I20*0.01</f>
        <v>-2.5476897746273108E-3</v>
      </c>
      <c r="O20" s="2"/>
    </row>
    <row r="21" spans="1:15">
      <c r="A21" s="8"/>
      <c r="B21" s="8"/>
      <c r="C21" s="8"/>
      <c r="D21" s="8"/>
      <c r="E21" s="8"/>
      <c r="F21" s="8"/>
      <c r="G21" s="8"/>
      <c r="H21" s="43">
        <v>0</v>
      </c>
      <c r="I21" s="8">
        <v>100</v>
      </c>
      <c r="J21" s="8">
        <f>1/(1+Yield/Period*0.01)^(H21+$B$7)</f>
        <v>0.9970768108446183</v>
      </c>
      <c r="K21" s="33">
        <f>J21*I21</f>
        <v>99.707681084461825</v>
      </c>
      <c r="L21" s="33">
        <f>-1/Period*(H21+$B$7)*1/(1+Yield/Period*0.01)^(H21+$B$7+1)</f>
        <v>-0.29116454567169264</v>
      </c>
      <c r="M21" s="34">
        <f t="shared" si="2"/>
        <v>-0.29116454567169264</v>
      </c>
      <c r="O21" s="2"/>
    </row>
    <row r="22" spans="1:15" ht="15.75" thickBot="1">
      <c r="A22" s="17"/>
      <c r="B22" s="17"/>
      <c r="C22" s="17"/>
      <c r="D22" s="17"/>
      <c r="E22" s="17"/>
      <c r="F22" s="17"/>
      <c r="G22" s="17"/>
      <c r="H22" s="16"/>
      <c r="I22" s="17"/>
      <c r="J22" s="29" t="s">
        <v>12</v>
      </c>
      <c r="K22" s="39">
        <f>SUM(K11:K21)</f>
        <v>100.58012329395086</v>
      </c>
      <c r="L22" s="29" t="s">
        <v>21</v>
      </c>
      <c r="M22" s="40">
        <f>SUM(M11:M21)</f>
        <v>-0.29371223544631997</v>
      </c>
      <c r="O22" s="2"/>
    </row>
    <row r="25" spans="1:15">
      <c r="G25">
        <f>1.75%/2*B1</f>
        <v>875000.00000000012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13"/>
  <sheetViews>
    <sheetView showGridLines="0" zoomScaleNormal="100" workbookViewId="0">
      <selection activeCell="B7" sqref="B7"/>
    </sheetView>
  </sheetViews>
  <sheetFormatPr defaultRowHeight="15"/>
  <cols>
    <col min="1" max="1" width="16.85546875" bestFit="1" customWidth="1"/>
    <col min="2" max="2" width="12" bestFit="1" customWidth="1"/>
    <col min="3" max="3" width="10.85546875" bestFit="1" customWidth="1"/>
    <col min="4" max="4" width="11.140625" bestFit="1" customWidth="1"/>
    <col min="5" max="5" width="14.5703125" bestFit="1" customWidth="1"/>
    <col min="6" max="6" width="10.7109375" bestFit="1" customWidth="1"/>
    <col min="7" max="8" width="11.7109375" bestFit="1" customWidth="1"/>
    <col min="9" max="9" width="8.5703125" customWidth="1"/>
    <col min="10" max="10" width="12" bestFit="1" customWidth="1"/>
    <col min="11" max="11" width="11" bestFit="1" customWidth="1"/>
    <col min="12" max="13" width="12" bestFit="1" customWidth="1"/>
    <col min="14" max="14" width="12.7109375" bestFit="1" customWidth="1"/>
    <col min="15" max="15" width="2" bestFit="1" customWidth="1"/>
  </cols>
  <sheetData>
    <row r="1" spans="1:15">
      <c r="A1" s="3" t="s">
        <v>16</v>
      </c>
      <c r="B1" s="1">
        <v>100000000</v>
      </c>
      <c r="D1" t="s">
        <v>18</v>
      </c>
      <c r="E1" t="s">
        <v>35</v>
      </c>
      <c r="H1" s="3" t="s">
        <v>13</v>
      </c>
      <c r="I1" s="4">
        <v>0</v>
      </c>
    </row>
    <row r="2" spans="1:15">
      <c r="A2" s="3" t="s">
        <v>10</v>
      </c>
      <c r="B2" s="9">
        <v>42649</v>
      </c>
      <c r="H2" s="3" t="s">
        <v>14</v>
      </c>
      <c r="I2" s="44">
        <v>99.756757495422093</v>
      </c>
      <c r="J2" s="3" t="s">
        <v>22</v>
      </c>
    </row>
    <row r="3" spans="1:15">
      <c r="A3" t="s">
        <v>19</v>
      </c>
      <c r="B3" s="62">
        <v>42648</v>
      </c>
      <c r="D3" s="46"/>
      <c r="H3" s="3" t="s">
        <v>15</v>
      </c>
      <c r="I3" s="44">
        <f>I2+I1</f>
        <v>99.756757495422093</v>
      </c>
      <c r="J3" s="45">
        <f>I3-K13</f>
        <v>0</v>
      </c>
    </row>
    <row r="4" spans="1:15">
      <c r="A4" s="3" t="s">
        <v>20</v>
      </c>
      <c r="B4">
        <v>1</v>
      </c>
      <c r="D4" s="47"/>
      <c r="H4" s="3" t="s">
        <v>24</v>
      </c>
      <c r="I4">
        <v>-0.24265083541754501</v>
      </c>
      <c r="J4" s="6">
        <f>I4-M13</f>
        <v>4.4408920985006262E-16</v>
      </c>
      <c r="K4" s="41"/>
    </row>
    <row r="5" spans="1:15">
      <c r="A5" s="3" t="s">
        <v>33</v>
      </c>
      <c r="B5">
        <v>2</v>
      </c>
      <c r="D5" s="47"/>
    </row>
    <row r="6" spans="1:15">
      <c r="A6" s="3"/>
      <c r="D6" s="47"/>
    </row>
    <row r="7" spans="1:15">
      <c r="A7" s="5" t="s">
        <v>30</v>
      </c>
      <c r="B7" s="5">
        <f>(B11-B2)/365</f>
        <v>0.24383561643835616</v>
      </c>
      <c r="D7" s="47"/>
    </row>
    <row r="8" spans="1:15" ht="15.75" thickBot="1">
      <c r="A8" s="3"/>
      <c r="D8" s="47"/>
    </row>
    <row r="9" spans="1:15">
      <c r="A9" s="23" t="s">
        <v>1</v>
      </c>
      <c r="B9" s="23" t="s">
        <v>1</v>
      </c>
      <c r="C9" s="23" t="s">
        <v>2</v>
      </c>
      <c r="D9" s="23" t="s">
        <v>3</v>
      </c>
      <c r="E9" s="23" t="s">
        <v>4</v>
      </c>
      <c r="F9" s="23" t="s">
        <v>1</v>
      </c>
      <c r="G9" s="23"/>
      <c r="H9" s="18"/>
      <c r="I9" s="23"/>
      <c r="J9" s="23"/>
      <c r="K9" s="23"/>
      <c r="L9" s="19"/>
      <c r="M9" s="20"/>
    </row>
    <row r="10" spans="1:15" ht="30">
      <c r="A10" s="26" t="s">
        <v>5</v>
      </c>
      <c r="B10" s="26" t="s">
        <v>6</v>
      </c>
      <c r="C10" s="26" t="s">
        <v>7</v>
      </c>
      <c r="D10" s="26"/>
      <c r="E10" s="26" t="s">
        <v>8</v>
      </c>
      <c r="F10" s="26" t="s">
        <v>9</v>
      </c>
      <c r="G10" s="26" t="s">
        <v>0</v>
      </c>
      <c r="H10" s="27" t="s">
        <v>28</v>
      </c>
      <c r="I10" s="26" t="s">
        <v>26</v>
      </c>
      <c r="J10" s="26" t="s">
        <v>23</v>
      </c>
      <c r="K10" s="36" t="s">
        <v>27</v>
      </c>
      <c r="L10" s="35"/>
      <c r="M10" s="37"/>
    </row>
    <row r="11" spans="1:15">
      <c r="A11" s="9">
        <v>42555</v>
      </c>
      <c r="B11" s="9">
        <v>42738</v>
      </c>
      <c r="C11" s="10">
        <v>100000000</v>
      </c>
      <c r="D11" s="8">
        <v>0</v>
      </c>
      <c r="E11" s="9">
        <v>42738</v>
      </c>
      <c r="F11" s="9">
        <v>42725</v>
      </c>
      <c r="G11" s="10">
        <v>0</v>
      </c>
      <c r="H11" s="7">
        <v>0</v>
      </c>
      <c r="I11" s="8">
        <f t="shared" ref="I11" si="0">G11/$B$1*100</f>
        <v>0</v>
      </c>
      <c r="J11" s="8">
        <f>1/(1+Yield*0.01*$B$7)</f>
        <v>0.99756757495422133</v>
      </c>
      <c r="K11" s="33">
        <f>J11*I11</f>
        <v>0</v>
      </c>
      <c r="L11" s="33">
        <f>-1*(H11+$B$7)*1/(1+Yield*0.01*$B$7)^2</f>
        <v>-0.24265083541754545</v>
      </c>
      <c r="M11" s="34">
        <f t="shared" ref="M11:M12" si="1">L11*I11*0.01</f>
        <v>0</v>
      </c>
      <c r="O11" s="2"/>
    </row>
    <row r="12" spans="1:15">
      <c r="A12" s="8"/>
      <c r="B12" s="8"/>
      <c r="C12" s="8"/>
      <c r="D12" s="8"/>
      <c r="E12" s="8"/>
      <c r="F12" s="8"/>
      <c r="G12" s="8"/>
      <c r="H12" s="43">
        <f>H11</f>
        <v>0</v>
      </c>
      <c r="I12" s="8">
        <v>100</v>
      </c>
      <c r="J12" s="8">
        <f>1/(1+Yield*0.01*$B$7)</f>
        <v>0.99756757495422133</v>
      </c>
      <c r="K12" s="33">
        <f>J12*I12</f>
        <v>99.756757495422136</v>
      </c>
      <c r="L12" s="33">
        <f>-1*(H12+$B$7)*1/(1+Yield*0.01*$B$7)^2</f>
        <v>-0.24265083541754545</v>
      </c>
      <c r="M12" s="34">
        <f t="shared" si="1"/>
        <v>-0.24265083541754545</v>
      </c>
      <c r="O12" s="2"/>
    </row>
    <row r="13" spans="1:15" ht="15.75" thickBot="1">
      <c r="A13" s="17"/>
      <c r="B13" s="17"/>
      <c r="C13" s="17"/>
      <c r="D13" s="17"/>
      <c r="E13" s="17"/>
      <c r="F13" s="17"/>
      <c r="G13" s="17"/>
      <c r="H13" s="16"/>
      <c r="I13" s="17"/>
      <c r="J13" s="29" t="s">
        <v>12</v>
      </c>
      <c r="K13" s="39">
        <f>SUM(K11:K12)</f>
        <v>99.756757495422136</v>
      </c>
      <c r="L13" s="29" t="s">
        <v>21</v>
      </c>
      <c r="M13" s="40">
        <f>SUM(M11:M12)</f>
        <v>-0.24265083541754545</v>
      </c>
      <c r="O1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40</vt:i4>
      </vt:variant>
    </vt:vector>
  </HeadingPairs>
  <TitlesOfParts>
    <vt:vector size="54" baseType="lpstr">
      <vt:lpstr>DBR</vt:lpstr>
      <vt:lpstr>DBR - Long coupon</vt:lpstr>
      <vt:lpstr>DBR - Last Period</vt:lpstr>
      <vt:lpstr>OBL and BKO</vt:lpstr>
      <vt:lpstr>OBL and BKO - Last period</vt:lpstr>
      <vt:lpstr>BUBILL</vt:lpstr>
      <vt:lpstr>UKT</vt:lpstr>
      <vt:lpstr>UKT-Last period</vt:lpstr>
      <vt:lpstr>UKTB</vt:lpstr>
      <vt:lpstr>UKT (2)</vt:lpstr>
      <vt:lpstr>UKT (12092016 2%)</vt:lpstr>
      <vt:lpstr>UKT (12092016 0.5%) </vt:lpstr>
      <vt:lpstr>UKT (12092016 1.5%)  (2)</vt:lpstr>
      <vt:lpstr>DBR - Long coupon (12092016)</vt:lpstr>
      <vt:lpstr>'UKT (12092016 0.5%) '!FirstEndDate</vt:lpstr>
      <vt:lpstr>'UKT (12092016 1.5%)  (2)'!FirstEndDate</vt:lpstr>
      <vt:lpstr>'UKT (12092016 2%)'!FirstEndDate</vt:lpstr>
      <vt:lpstr>'UKT (2)'!FirstEndDate</vt:lpstr>
      <vt:lpstr>'UKT-Last period'!FirstEndDate</vt:lpstr>
      <vt:lpstr>FirstEndDate</vt:lpstr>
      <vt:lpstr>'UKT (12092016 0.5%) '!FirstPaymentDate</vt:lpstr>
      <vt:lpstr>'UKT (12092016 1.5%)  (2)'!FirstPaymentDate</vt:lpstr>
      <vt:lpstr>'UKT (12092016 2%)'!FirstPaymentDate</vt:lpstr>
      <vt:lpstr>'UKT (2)'!FirstPaymentDate</vt:lpstr>
      <vt:lpstr>'UKT-Last period'!FirstPaymentDate</vt:lpstr>
      <vt:lpstr>FirstPaymentDate</vt:lpstr>
      <vt:lpstr>'UKT (12092016 0.5%) '!Period</vt:lpstr>
      <vt:lpstr>'UKT (12092016 1.5%)  (2)'!Period</vt:lpstr>
      <vt:lpstr>'UKT (12092016 2%)'!Period</vt:lpstr>
      <vt:lpstr>'UKT (2)'!Period</vt:lpstr>
      <vt:lpstr>UKTB!Period</vt:lpstr>
      <vt:lpstr>'UKT-Last period'!Period</vt:lpstr>
      <vt:lpstr>Period</vt:lpstr>
      <vt:lpstr>'UKT (12092016 0.5%) '!PeriodFreq</vt:lpstr>
      <vt:lpstr>'UKT (12092016 1.5%)  (2)'!PeriodFreq</vt:lpstr>
      <vt:lpstr>'UKT (12092016 2%)'!PeriodFreq</vt:lpstr>
      <vt:lpstr>'UKT (2)'!PeriodFreq</vt:lpstr>
      <vt:lpstr>UKTB!PeriodFreq</vt:lpstr>
      <vt:lpstr>'UKT-Last period'!PeriodFreq</vt:lpstr>
      <vt:lpstr>PeriodFreq</vt:lpstr>
      <vt:lpstr>'UKT (12092016 0.5%) '!SetlDate</vt:lpstr>
      <vt:lpstr>'UKT (12092016 1.5%)  (2)'!SetlDate</vt:lpstr>
      <vt:lpstr>'UKT (12092016 2%)'!SetlDate</vt:lpstr>
      <vt:lpstr>'UKT (2)'!SetlDate</vt:lpstr>
      <vt:lpstr>UKTB!SetlDate</vt:lpstr>
      <vt:lpstr>'UKT-Last period'!SetlDate</vt:lpstr>
      <vt:lpstr>SetlDate</vt:lpstr>
      <vt:lpstr>'UKT (12092016 0.5%) '!Yield</vt:lpstr>
      <vt:lpstr>'UKT (12092016 1.5%)  (2)'!Yield</vt:lpstr>
      <vt:lpstr>'UKT (12092016 2%)'!Yield</vt:lpstr>
      <vt:lpstr>'UKT (2)'!Yield</vt:lpstr>
      <vt:lpstr>UKTB!Yield</vt:lpstr>
      <vt:lpstr>'UKT-Last period'!Yield</vt:lpstr>
      <vt:lpstr>Yield</vt:lpstr>
    </vt:vector>
  </TitlesOfParts>
  <Company>LCH.Clearnet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Dergueche</dc:creator>
  <cp:lastModifiedBy>Muhammad Aslam</cp:lastModifiedBy>
  <cp:lastPrinted>2016-12-09T10:22:11Z</cp:lastPrinted>
  <dcterms:created xsi:type="dcterms:W3CDTF">2016-12-08T17:48:02Z</dcterms:created>
  <dcterms:modified xsi:type="dcterms:W3CDTF">2017-01-19T10:41:46Z</dcterms:modified>
</cp:coreProperties>
</file>