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1"/>
  </bookViews>
  <sheets>
    <sheet name="With Swap Points" sheetId="4" r:id="rId1"/>
    <sheet name="MXN TIIE" sheetId="5" r:id="rId2"/>
  </sheets>
  <calcPr calcId="125725"/>
</workbook>
</file>

<file path=xl/calcChain.xml><?xml version="1.0" encoding="utf-8"?>
<calcChain xmlns="http://schemas.openxmlformats.org/spreadsheetml/2006/main">
  <c r="K37" i="5"/>
  <c r="Q15" i="4"/>
  <c r="Q14"/>
  <c r="P11"/>
  <c r="J57" i="5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56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M34"/>
  <c r="O34" s="1"/>
  <c r="K47"/>
  <c r="M47" s="1"/>
  <c r="O47" s="1"/>
  <c r="S25"/>
  <c r="S26"/>
  <c r="S24"/>
  <c r="B24"/>
  <c r="A25" s="1"/>
  <c r="B25" s="1"/>
  <c r="A26" s="1"/>
  <c r="B26" s="1"/>
  <c r="A27" s="1"/>
  <c r="K49"/>
  <c r="L51" s="1"/>
  <c r="L55" i="4"/>
  <c r="M57" s="1"/>
  <c r="N87"/>
  <c r="G53"/>
  <c r="I53" s="1"/>
  <c r="G48"/>
  <c r="I48" s="1"/>
  <c r="G49"/>
  <c r="F50" s="1"/>
  <c r="H50" s="1"/>
  <c r="G50"/>
  <c r="I50" s="1"/>
  <c r="G51"/>
  <c r="F52" s="1"/>
  <c r="H52" s="1"/>
  <c r="G52"/>
  <c r="F53" s="1"/>
  <c r="H53" s="1"/>
  <c r="G47"/>
  <c r="F48" s="1"/>
  <c r="H48" s="1"/>
  <c r="G46"/>
  <c r="F47" s="1"/>
  <c r="H47" s="1"/>
  <c r="G45"/>
  <c r="I45" s="1"/>
  <c r="G44"/>
  <c r="I44" s="1"/>
  <c r="G43"/>
  <c r="F44" s="1"/>
  <c r="H44" s="1"/>
  <c r="G42"/>
  <c r="I42" s="1"/>
  <c r="G41"/>
  <c r="F42" s="1"/>
  <c r="H42" s="1"/>
  <c r="G40"/>
  <c r="I40" s="1"/>
  <c r="G39"/>
  <c r="I39" s="1"/>
  <c r="G38"/>
  <c r="I38" s="1"/>
  <c r="G37"/>
  <c r="I37" s="1"/>
  <c r="G36"/>
  <c r="I36" s="1"/>
  <c r="G35"/>
  <c r="I35" s="1"/>
  <c r="G34"/>
  <c r="I34" s="1"/>
  <c r="G33"/>
  <c r="I33" s="1"/>
  <c r="G32"/>
  <c r="F33" s="1"/>
  <c r="H33" s="1"/>
  <c r="G31"/>
  <c r="I31" s="1"/>
  <c r="F31"/>
  <c r="H31" s="1"/>
  <c r="G30"/>
  <c r="I30" s="1"/>
  <c r="F30"/>
  <c r="H30" s="1"/>
  <c r="I49" i="5"/>
  <c r="J49" s="1"/>
  <c r="M24"/>
  <c r="O24" s="1"/>
  <c r="E25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J84" i="4"/>
  <c r="J85"/>
  <c r="Q11" l="1"/>
  <c r="S11" s="1"/>
  <c r="G24" i="5"/>
  <c r="H24"/>
  <c r="I49" i="4"/>
  <c r="E33"/>
  <c r="K33" s="1"/>
  <c r="E44"/>
  <c r="K44" s="1"/>
  <c r="F43"/>
  <c r="H43" s="1"/>
  <c r="I46"/>
  <c r="G25" i="5"/>
  <c r="M25"/>
  <c r="O25" s="1"/>
  <c r="H25"/>
  <c r="E31" i="4"/>
  <c r="K31" s="1"/>
  <c r="I43"/>
  <c r="I47"/>
  <c r="E47" s="1"/>
  <c r="K47" s="1"/>
  <c r="I51"/>
  <c r="E53"/>
  <c r="K53" s="1"/>
  <c r="E30"/>
  <c r="K30" s="1"/>
  <c r="E42"/>
  <c r="K42" s="1"/>
  <c r="E48"/>
  <c r="K48" s="1"/>
  <c r="E50"/>
  <c r="K50" s="1"/>
  <c r="F49"/>
  <c r="H49" s="1"/>
  <c r="F32"/>
  <c r="H32" s="1"/>
  <c r="F34"/>
  <c r="H34" s="1"/>
  <c r="E34" s="1"/>
  <c r="K34" s="1"/>
  <c r="F35"/>
  <c r="H35" s="1"/>
  <c r="E35" s="1"/>
  <c r="K35" s="1"/>
  <c r="F36"/>
  <c r="H36" s="1"/>
  <c r="E36" s="1"/>
  <c r="K36" s="1"/>
  <c r="F37"/>
  <c r="H37" s="1"/>
  <c r="E37" s="1"/>
  <c r="K37" s="1"/>
  <c r="F38"/>
  <c r="H38" s="1"/>
  <c r="E38" s="1"/>
  <c r="K38" s="1"/>
  <c r="F39"/>
  <c r="H39" s="1"/>
  <c r="E39" s="1"/>
  <c r="K39" s="1"/>
  <c r="I41"/>
  <c r="F45"/>
  <c r="H45" s="1"/>
  <c r="E45" s="1"/>
  <c r="K45" s="1"/>
  <c r="I32"/>
  <c r="F40"/>
  <c r="H40" s="1"/>
  <c r="E40" s="1"/>
  <c r="K40" s="1"/>
  <c r="F46"/>
  <c r="H46" s="1"/>
  <c r="F51"/>
  <c r="H51" s="1"/>
  <c r="I52"/>
  <c r="E52" s="1"/>
  <c r="K52" s="1"/>
  <c r="F41"/>
  <c r="H41" s="1"/>
  <c r="U25" i="5"/>
  <c r="N85" i="4"/>
  <c r="N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M55"/>
  <c r="U55" s="1"/>
  <c r="K55"/>
  <c r="L54"/>
  <c r="M54" s="1"/>
  <c r="U54" s="1"/>
  <c r="K54"/>
  <c r="L53"/>
  <c r="M53" s="1"/>
  <c r="U53" s="1"/>
  <c r="L52"/>
  <c r="M52" s="1"/>
  <c r="U52" s="1"/>
  <c r="L51"/>
  <c r="M51" s="1"/>
  <c r="U51" s="1"/>
  <c r="L50"/>
  <c r="M50" s="1"/>
  <c r="U50" s="1"/>
  <c r="L49"/>
  <c r="M49" s="1"/>
  <c r="U49" s="1"/>
  <c r="L48"/>
  <c r="M48" s="1"/>
  <c r="U48" s="1"/>
  <c r="L47"/>
  <c r="M47" s="1"/>
  <c r="U47" s="1"/>
  <c r="L46"/>
  <c r="M46" s="1"/>
  <c r="U46" s="1"/>
  <c r="L45"/>
  <c r="M45" s="1"/>
  <c r="U45" s="1"/>
  <c r="L44"/>
  <c r="M44" s="1"/>
  <c r="U44" s="1"/>
  <c r="L43"/>
  <c r="M43" s="1"/>
  <c r="U43" s="1"/>
  <c r="L42"/>
  <c r="M42" s="1"/>
  <c r="U42" s="1"/>
  <c r="L41"/>
  <c r="M41" s="1"/>
  <c r="U41" s="1"/>
  <c r="L40"/>
  <c r="M40" s="1"/>
  <c r="U40" s="1"/>
  <c r="L39"/>
  <c r="M39" s="1"/>
  <c r="U39" s="1"/>
  <c r="L38"/>
  <c r="M38" s="1"/>
  <c r="U38" s="1"/>
  <c r="L37"/>
  <c r="M37" s="1"/>
  <c r="U37" s="1"/>
  <c r="L36"/>
  <c r="M36" s="1"/>
  <c r="U36" s="1"/>
  <c r="L35"/>
  <c r="M35" s="1"/>
  <c r="U35" s="1"/>
  <c r="L34"/>
  <c r="M34" s="1"/>
  <c r="U34" s="1"/>
  <c r="L33"/>
  <c r="M33" s="1"/>
  <c r="U33" s="1"/>
  <c r="L32"/>
  <c r="M32" s="1"/>
  <c r="U32" s="1"/>
  <c r="L31"/>
  <c r="M31" s="1"/>
  <c r="U31" s="1"/>
  <c r="L30"/>
  <c r="M30" s="1"/>
  <c r="U30" s="1"/>
  <c r="L29"/>
  <c r="M29" s="1"/>
  <c r="U29" s="1"/>
  <c r="K29"/>
  <c r="L28"/>
  <c r="M28" s="1"/>
  <c r="U28" s="1"/>
  <c r="K28"/>
  <c r="E24"/>
  <c r="U24" i="5" l="1"/>
  <c r="P24"/>
  <c r="E46" i="4"/>
  <c r="K46" s="1"/>
  <c r="N46" s="1"/>
  <c r="R46" s="1"/>
  <c r="E49"/>
  <c r="K49" s="1"/>
  <c r="N49" s="1"/>
  <c r="R49" s="1"/>
  <c r="E43"/>
  <c r="K43" s="1"/>
  <c r="N43" s="1"/>
  <c r="R43" s="1"/>
  <c r="E32"/>
  <c r="K32" s="1"/>
  <c r="U26" i="5"/>
  <c r="B27"/>
  <c r="A28" s="1"/>
  <c r="G26"/>
  <c r="H26"/>
  <c r="M26"/>
  <c r="O26" s="1"/>
  <c r="P25"/>
  <c r="E51" i="4"/>
  <c r="K51" s="1"/>
  <c r="N51" s="1"/>
  <c r="R51" s="1"/>
  <c r="E41"/>
  <c r="K41" s="1"/>
  <c r="N41" s="1"/>
  <c r="R41" s="1"/>
  <c r="J71"/>
  <c r="N71" s="1"/>
  <c r="J75"/>
  <c r="N75" s="1"/>
  <c r="J66"/>
  <c r="N66" s="1"/>
  <c r="J60"/>
  <c r="N60" s="1"/>
  <c r="J64"/>
  <c r="N64" s="1"/>
  <c r="J68"/>
  <c r="N68" s="1"/>
  <c r="J72"/>
  <c r="N72" s="1"/>
  <c r="J76"/>
  <c r="N76" s="1"/>
  <c r="J80"/>
  <c r="N80" s="1"/>
  <c r="J83"/>
  <c r="N83" s="1"/>
  <c r="J63"/>
  <c r="N63" s="1"/>
  <c r="J70"/>
  <c r="N70" s="1"/>
  <c r="J74"/>
  <c r="N74" s="1"/>
  <c r="J78"/>
  <c r="N78" s="1"/>
  <c r="J82"/>
  <c r="N82" s="1"/>
  <c r="J67"/>
  <c r="N67" s="1"/>
  <c r="J79"/>
  <c r="N79" s="1"/>
  <c r="J62"/>
  <c r="N62" s="1"/>
  <c r="J61"/>
  <c r="N61" s="1"/>
  <c r="J65"/>
  <c r="N65" s="1"/>
  <c r="J69"/>
  <c r="N69" s="1"/>
  <c r="J73"/>
  <c r="N73" s="1"/>
  <c r="J77"/>
  <c r="N77" s="1"/>
  <c r="J81"/>
  <c r="N81" s="1"/>
  <c r="N33"/>
  <c r="R33" s="1"/>
  <c r="N29"/>
  <c r="R29" s="1"/>
  <c r="N53"/>
  <c r="R53" s="1"/>
  <c r="N39"/>
  <c r="R39" s="1"/>
  <c r="N40"/>
  <c r="R40" s="1"/>
  <c r="N45"/>
  <c r="R45" s="1"/>
  <c r="N42"/>
  <c r="R42" s="1"/>
  <c r="N32"/>
  <c r="R32" s="1"/>
  <c r="N34"/>
  <c r="R34" s="1"/>
  <c r="N37"/>
  <c r="R37" s="1"/>
  <c r="N47"/>
  <c r="R47" s="1"/>
  <c r="N31"/>
  <c r="R31" s="1"/>
  <c r="N48"/>
  <c r="R48" s="1"/>
  <c r="N55"/>
  <c r="R55" s="1"/>
  <c r="N30"/>
  <c r="R30" s="1"/>
  <c r="N50"/>
  <c r="R50" s="1"/>
  <c r="N38"/>
  <c r="R38" s="1"/>
  <c r="N54"/>
  <c r="R54" s="1"/>
  <c r="N28"/>
  <c r="R28" s="1"/>
  <c r="N35"/>
  <c r="R35" s="1"/>
  <c r="N52"/>
  <c r="R52" s="1"/>
  <c r="N36"/>
  <c r="R36" s="1"/>
  <c r="N44"/>
  <c r="R44" s="1"/>
  <c r="P26" i="5" l="1"/>
  <c r="M27"/>
  <c r="B28"/>
  <c r="A29" s="1"/>
  <c r="U27"/>
  <c r="G27"/>
  <c r="R57" i="4"/>
  <c r="R60" s="1"/>
  <c r="O27" i="5" l="1"/>
  <c r="F27" s="1"/>
  <c r="M28"/>
  <c r="B29"/>
  <c r="A30" s="1"/>
  <c r="G28"/>
  <c r="U28" l="1"/>
  <c r="S27"/>
  <c r="H27"/>
  <c r="O28"/>
  <c r="F28" s="1"/>
  <c r="S28" s="1"/>
  <c r="B30"/>
  <c r="A31" s="1"/>
  <c r="M29"/>
  <c r="G29"/>
  <c r="U29" l="1"/>
  <c r="P27"/>
  <c r="H28"/>
  <c r="P28" s="1"/>
  <c r="O29"/>
  <c r="F29" s="1"/>
  <c r="S29" s="1"/>
  <c r="M30"/>
  <c r="B31"/>
  <c r="A32" s="1"/>
  <c r="G30"/>
  <c r="U30" l="1"/>
  <c r="F30"/>
  <c r="H30" s="1"/>
  <c r="P30" s="1"/>
  <c r="O30"/>
  <c r="H29"/>
  <c r="P29" s="1"/>
  <c r="B32"/>
  <c r="M31"/>
  <c r="G31"/>
  <c r="U31" l="1"/>
  <c r="S30"/>
  <c r="O31"/>
  <c r="F31" s="1"/>
  <c r="S31" s="1"/>
  <c r="M32"/>
  <c r="A33"/>
  <c r="B33" s="1"/>
  <c r="A34" s="1"/>
  <c r="G32"/>
  <c r="U32" l="1"/>
  <c r="O32"/>
  <c r="F32" s="1"/>
  <c r="S32" s="1"/>
  <c r="H31"/>
  <c r="M33"/>
  <c r="B34"/>
  <c r="N34" s="1"/>
  <c r="U33"/>
  <c r="G33"/>
  <c r="P31" l="1"/>
  <c r="O33"/>
  <c r="F33" s="1"/>
  <c r="S33" s="1"/>
  <c r="H32"/>
  <c r="P32" s="1"/>
  <c r="A35"/>
  <c r="B35" s="1"/>
  <c r="U34"/>
  <c r="G34"/>
  <c r="H33" l="1"/>
  <c r="P33" s="1"/>
  <c r="F34"/>
  <c r="S34" s="1"/>
  <c r="A36"/>
  <c r="B36" s="1"/>
  <c r="M36" s="1"/>
  <c r="O36" s="1"/>
  <c r="M35"/>
  <c r="G35"/>
  <c r="U35"/>
  <c r="O35" l="1"/>
  <c r="F35" s="1"/>
  <c r="S35" s="1"/>
  <c r="H34"/>
  <c r="P34" s="1"/>
  <c r="A37"/>
  <c r="B37" s="1"/>
  <c r="A38" s="1"/>
  <c r="G36"/>
  <c r="U36" l="1"/>
  <c r="F36"/>
  <c r="S36" s="1"/>
  <c r="H35"/>
  <c r="P35" s="1"/>
  <c r="U37"/>
  <c r="B38"/>
  <c r="A39" s="1"/>
  <c r="G37"/>
  <c r="M37" s="1"/>
  <c r="O37" s="1"/>
  <c r="H36" l="1"/>
  <c r="P36" s="1"/>
  <c r="F37"/>
  <c r="S37" s="1"/>
  <c r="G38"/>
  <c r="K38" s="1"/>
  <c r="B39"/>
  <c r="A40" s="1"/>
  <c r="U38"/>
  <c r="M38" l="1"/>
  <c r="H37"/>
  <c r="P37" s="1"/>
  <c r="B40"/>
  <c r="A41" s="1"/>
  <c r="G39"/>
  <c r="K39" s="1"/>
  <c r="U39" l="1"/>
  <c r="O38"/>
  <c r="F38" s="1"/>
  <c r="M39"/>
  <c r="U40"/>
  <c r="B41"/>
  <c r="A42" s="1"/>
  <c r="G40"/>
  <c r="K40" s="1"/>
  <c r="S38" l="1"/>
  <c r="H38"/>
  <c r="P38" s="1"/>
  <c r="F39"/>
  <c r="S39" s="1"/>
  <c r="O39"/>
  <c r="M40"/>
  <c r="B42"/>
  <c r="A43" s="1"/>
  <c r="G41"/>
  <c r="K41" s="1"/>
  <c r="H39" l="1"/>
  <c r="P39" s="1"/>
  <c r="U41"/>
  <c r="F40"/>
  <c r="S40" s="1"/>
  <c r="O40"/>
  <c r="M41"/>
  <c r="G42"/>
  <c r="K42" s="1"/>
  <c r="B43"/>
  <c r="A44" s="1"/>
  <c r="U42"/>
  <c r="O41" l="1"/>
  <c r="F41" s="1"/>
  <c r="H40"/>
  <c r="P40" s="1"/>
  <c r="M42"/>
  <c r="B44"/>
  <c r="A45" s="1"/>
  <c r="G43"/>
  <c r="I43" s="1"/>
  <c r="J43" s="1"/>
  <c r="U43" l="1"/>
  <c r="S41"/>
  <c r="H41"/>
  <c r="P41" s="1"/>
  <c r="O42"/>
  <c r="F42" s="1"/>
  <c r="G44"/>
  <c r="I44" s="1"/>
  <c r="J44" s="1"/>
  <c r="B45"/>
  <c r="A46" s="1"/>
  <c r="K43"/>
  <c r="U44" l="1"/>
  <c r="S42"/>
  <c r="H42"/>
  <c r="P42" s="1"/>
  <c r="M43"/>
  <c r="K44"/>
  <c r="G45"/>
  <c r="I45" s="1"/>
  <c r="J45" s="1"/>
  <c r="B46"/>
  <c r="A47" s="1"/>
  <c r="U45" l="1"/>
  <c r="O43"/>
  <c r="F43" s="1"/>
  <c r="S43" s="1"/>
  <c r="M44"/>
  <c r="K45"/>
  <c r="B47"/>
  <c r="G46"/>
  <c r="I46" s="1"/>
  <c r="J46" s="1"/>
  <c r="U46" l="1"/>
  <c r="O44"/>
  <c r="F44" s="1"/>
  <c r="S44" s="1"/>
  <c r="H43"/>
  <c r="P43" s="1"/>
  <c r="A48"/>
  <c r="B48" s="1"/>
  <c r="A49" s="1"/>
  <c r="N47"/>
  <c r="M45"/>
  <c r="K46"/>
  <c r="G47"/>
  <c r="O45" l="1"/>
  <c r="F45" s="1"/>
  <c r="S45" s="1"/>
  <c r="H44"/>
  <c r="P44" s="1"/>
  <c r="I47"/>
  <c r="J47" s="1"/>
  <c r="M46"/>
  <c r="G48"/>
  <c r="I48" s="1"/>
  <c r="J48" s="1"/>
  <c r="U48" l="1"/>
  <c r="U47"/>
  <c r="H45"/>
  <c r="P45" s="1"/>
  <c r="O46"/>
  <c r="F47" s="1"/>
  <c r="B49"/>
  <c r="K48"/>
  <c r="F46" l="1"/>
  <c r="S46" s="1"/>
  <c r="H47"/>
  <c r="P47" s="1"/>
  <c r="M49"/>
  <c r="O49" s="1"/>
  <c r="M48"/>
  <c r="O48" s="1"/>
  <c r="G49"/>
  <c r="J83" l="1"/>
  <c r="U49"/>
  <c r="H46"/>
  <c r="P46" s="1"/>
  <c r="F48"/>
  <c r="S48" s="1"/>
  <c r="S47"/>
  <c r="F49"/>
  <c r="S49" s="1"/>
  <c r="H48" l="1"/>
  <c r="P48" s="1"/>
  <c r="H49"/>
  <c r="P49" l="1"/>
  <c r="P51" s="1"/>
  <c r="N55" s="1"/>
  <c r="H51"/>
</calcChain>
</file>

<file path=xl/comments1.xml><?xml version="1.0" encoding="utf-8"?>
<comments xmlns="http://schemas.openxmlformats.org/spreadsheetml/2006/main">
  <authors>
    <author>Luis Celhay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The first seven quotes are USD/MXN Swap Points and the following nine the spreads of the MXN-USD 28D-1M swap where the spread goes on the USD leg. 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Forwards are coming from the </t>
        </r>
        <r>
          <rPr>
            <b/>
            <sz val="9"/>
            <color indexed="81"/>
            <rFont val="Tahoma"/>
            <family val="2"/>
          </rPr>
          <t>MXN TIIE</t>
        </r>
        <r>
          <rPr>
            <sz val="9"/>
            <color indexed="81"/>
            <rFont val="Tahoma"/>
            <family val="2"/>
          </rPr>
          <t xml:space="preserve"> Curve and the</t>
        </r>
        <r>
          <rPr>
            <b/>
            <sz val="9"/>
            <color indexed="81"/>
            <rFont val="Tahoma"/>
            <family val="2"/>
          </rPr>
          <t xml:space="preserve"> USD LIBOR 1M </t>
        </r>
        <r>
          <rPr>
            <sz val="9"/>
            <color indexed="81"/>
            <rFont val="Tahoma"/>
            <family val="2"/>
          </rPr>
          <t>Curve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In Black Bold Interpolated Rates.
In Red Bold the Bootstrapped rate for the 728D pillar.
The USD discount factors come from the FedFund Rate Curve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Careful here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Forwards are coming from the </t>
        </r>
        <r>
          <rPr>
            <b/>
            <sz val="9"/>
            <color indexed="81"/>
            <rFont val="Tahoma"/>
            <family val="2"/>
          </rPr>
          <t>MXN TIIE</t>
        </r>
        <r>
          <rPr>
            <sz val="9"/>
            <color indexed="81"/>
            <rFont val="Tahoma"/>
            <family val="2"/>
          </rPr>
          <t xml:space="preserve"> Curve and the</t>
        </r>
        <r>
          <rPr>
            <b/>
            <sz val="9"/>
            <color indexed="81"/>
            <rFont val="Tahoma"/>
            <family val="2"/>
          </rPr>
          <t xml:space="preserve"> USD LIBOR 1M </t>
        </r>
        <r>
          <rPr>
            <sz val="9"/>
            <color indexed="81"/>
            <rFont val="Tahoma"/>
            <family val="2"/>
          </rPr>
          <t>Curve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Market quote for the MXN-USD 28D-1M swap at the 364D pillar
</t>
        </r>
      </text>
    </comment>
  </commentList>
</comments>
</file>

<file path=xl/comments2.xml><?xml version="1.0" encoding="utf-8"?>
<comments xmlns="http://schemas.openxmlformats.org/spreadsheetml/2006/main">
  <authors>
    <author>Luis Celhay</author>
  </authors>
  <commentList>
    <comment ref="I22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From USDMXN Basis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Luis Celhay:</t>
        </r>
        <r>
          <rPr>
            <sz val="9"/>
            <color indexed="81"/>
            <rFont val="Tahoma"/>
            <family val="2"/>
          </rPr>
          <t xml:space="preserve">
MXN Std</t>
        </r>
      </text>
    </comment>
  </commentList>
</comments>
</file>

<file path=xl/sharedStrings.xml><?xml version="1.0" encoding="utf-8"?>
<sst xmlns="http://schemas.openxmlformats.org/spreadsheetml/2006/main" count="515" uniqueCount="117">
  <si>
    <t>Tp</t>
  </si>
  <si>
    <t>Start date</t>
  </si>
  <si>
    <t>Generator</t>
  </si>
  <si>
    <t>Maturity</t>
  </si>
  <si>
    <t>ds.factor</t>
  </si>
  <si>
    <t>ds.rate</t>
  </si>
  <si>
    <t>Market quote</t>
  </si>
  <si>
    <t>Curve spread</t>
  </si>
  <si>
    <t>Selected</t>
  </si>
  <si>
    <t>System Date</t>
  </si>
  <si>
    <t>Y</t>
  </si>
  <si>
    <t>1M</t>
  </si>
  <si>
    <t>2M</t>
  </si>
  <si>
    <t>3M</t>
  </si>
  <si>
    <t>6M</t>
  </si>
  <si>
    <t>9M</t>
  </si>
  <si>
    <t>Bs</t>
  </si>
  <si>
    <t>MXN-USD 28D-1M V2</t>
  </si>
  <si>
    <t>728D</t>
  </si>
  <si>
    <t>1092D</t>
  </si>
  <si>
    <t>1456D</t>
  </si>
  <si>
    <t>1820D</t>
  </si>
  <si>
    <t>2548D</t>
  </si>
  <si>
    <t>3640D</t>
  </si>
  <si>
    <t>5460D</t>
  </si>
  <si>
    <t>7280D</t>
  </si>
  <si>
    <t>18M</t>
  </si>
  <si>
    <t>Spot</t>
  </si>
  <si>
    <t>MXN</t>
  </si>
  <si>
    <t>Npv</t>
  </si>
  <si>
    <t>Flow</t>
  </si>
  <si>
    <t>Rate</t>
  </si>
  <si>
    <t>Cur</t>
  </si>
  <si>
    <t>Date</t>
  </si>
  <si>
    <t>USD</t>
  </si>
  <si>
    <t>USD-MXN</t>
  </si>
  <si>
    <t>Disc</t>
  </si>
  <si>
    <t>Fx</t>
  </si>
  <si>
    <t>Quot.</t>
  </si>
  <si>
    <t>Converted</t>
  </si>
  <si>
    <t>Disc.flow</t>
  </si>
  <si>
    <t>Zero Rate</t>
  </si>
  <si>
    <t>Settlement</t>
  </si>
  <si>
    <t xml:space="preserve">Discounted </t>
  </si>
  <si>
    <t>For the 7th</t>
  </si>
  <si>
    <t>Factor for the 7th</t>
  </si>
  <si>
    <t>S/N</t>
  </si>
  <si>
    <t>Spread</t>
  </si>
  <si>
    <t>10920D</t>
  </si>
  <si>
    <t>Reference Notional</t>
  </si>
  <si>
    <t>Start</t>
  </si>
  <si>
    <t>End</t>
  </si>
  <si>
    <t>Exchange Rate</t>
  </si>
  <si>
    <t>USD/MXN</t>
  </si>
  <si>
    <t>12M</t>
  </si>
  <si>
    <t>728D Pillar</t>
  </si>
  <si>
    <t>DF From Feb 7th  To 7th</t>
  </si>
  <si>
    <t>LEG 2</t>
  </si>
  <si>
    <t>LEG 1</t>
  </si>
  <si>
    <t>Sp</t>
  </si>
  <si>
    <t>Sw</t>
  </si>
  <si>
    <t>MXN TIIE 28D</t>
  </si>
  <si>
    <t>84D</t>
  </si>
  <si>
    <t>168D</t>
  </si>
  <si>
    <t>252D</t>
  </si>
  <si>
    <t>364D</t>
  </si>
  <si>
    <t>Calculation</t>
  </si>
  <si>
    <t>Remaining</t>
  </si>
  <si>
    <t>Payment</t>
  </si>
  <si>
    <t>Flows</t>
  </si>
  <si>
    <t>Zero</t>
  </si>
  <si>
    <t xml:space="preserve">Discount </t>
  </si>
  <si>
    <t>End date</t>
  </si>
  <si>
    <t>Capital</t>
  </si>
  <si>
    <t>Floating leg</t>
  </si>
  <si>
    <t>Discount (MXN Std)</t>
  </si>
  <si>
    <t>Discount (USDMXN Basis)</t>
  </si>
  <si>
    <t>Factor</t>
  </si>
  <si>
    <t>Fixng Date</t>
  </si>
  <si>
    <t>Factor (IR ForwardS)</t>
  </si>
  <si>
    <t>INT</t>
  </si>
  <si>
    <t>30/06/2014</t>
  </si>
  <si>
    <t>28/07/2014</t>
  </si>
  <si>
    <t>25/08/2014</t>
  </si>
  <si>
    <t>22/09/2014</t>
  </si>
  <si>
    <t>20/10/2014</t>
  </si>
  <si>
    <t>18/11/2014</t>
  </si>
  <si>
    <t>15/12/2014</t>
  </si>
  <si>
    <t>29/06/2015</t>
  </si>
  <si>
    <t>27/07/2015</t>
  </si>
  <si>
    <t>24/08/2015</t>
  </si>
  <si>
    <t>21/09/2015</t>
  </si>
  <si>
    <t>19/10/2015</t>
  </si>
  <si>
    <t>17/11/2015</t>
  </si>
  <si>
    <t>14/12/2015</t>
  </si>
  <si>
    <t>Discount</t>
  </si>
  <si>
    <t>Discounted</t>
  </si>
  <si>
    <t>NPV</t>
  </si>
  <si>
    <t>Z (MXN TIIE)</t>
  </si>
  <si>
    <t>DF</t>
  </si>
  <si>
    <t>DF (MXN TIIE)</t>
  </si>
  <si>
    <t>Murex</t>
  </si>
  <si>
    <t>Difference</t>
  </si>
  <si>
    <t>Adjusted End Date</t>
  </si>
  <si>
    <t>NB</t>
  </si>
  <si>
    <t>Days</t>
  </si>
  <si>
    <r>
      <rPr>
        <b/>
        <sz val="11"/>
        <color theme="1"/>
        <rFont val="Calibri"/>
        <family val="2"/>
        <scheme val="minor"/>
      </rPr>
      <t>28D</t>
    </r>
    <r>
      <rPr>
        <sz val="11"/>
        <color theme="1"/>
        <rFont val="Calibri"/>
        <family val="2"/>
        <scheme val="minor"/>
      </rPr>
      <t xml:space="preserve"> TIIE rate</t>
    </r>
  </si>
  <si>
    <t>IR Forward</t>
  </si>
  <si>
    <t>Forwards</t>
  </si>
  <si>
    <t>Factor (Adjusted)</t>
  </si>
  <si>
    <t>In Green Interpolated Zeros that depend on the unknown</t>
  </si>
  <si>
    <t>Bootstrapped Rates</t>
  </si>
  <si>
    <t>FX RATE Spot</t>
  </si>
  <si>
    <t xml:space="preserve">FX Rate Used </t>
  </si>
  <si>
    <t>USD Std</t>
  </si>
  <si>
    <t>MXN Std</t>
  </si>
  <si>
    <t>System Date to Settlement</t>
  </si>
</sst>
</file>

<file path=xl/styles.xml><?xml version="1.0" encoding="utf-8"?>
<styleSheet xmlns="http://schemas.openxmlformats.org/spreadsheetml/2006/main">
  <numFmts count="13">
    <numFmt numFmtId="164" formatCode="_(* #,##0.00_);_(* \(#,##0.00\);_(* &quot;-&quot;??_);_(@_)"/>
    <numFmt numFmtId="165" formatCode="0.00000000"/>
    <numFmt numFmtId="166" formatCode="[$-F800]dddd\,\ mmmm\ dd\,\ yyyy"/>
    <numFmt numFmtId="167" formatCode="#,##0.00000000"/>
    <numFmt numFmtId="168" formatCode="#,##0.000000000"/>
    <numFmt numFmtId="169" formatCode="0.000000000"/>
    <numFmt numFmtId="170" formatCode="0.000000"/>
    <numFmt numFmtId="171" formatCode="0.0000"/>
    <numFmt numFmtId="172" formatCode="0.00000"/>
    <numFmt numFmtId="173" formatCode="0.0000000"/>
    <numFmt numFmtId="174" formatCode="#,##0.00000"/>
    <numFmt numFmtId="175" formatCode="#,##0.0000000"/>
    <numFmt numFmtId="176" formatCode="_(* #,##0.000000000_);_(* \(#,##0.0000000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166" fontId="0" fillId="34" borderId="0" xfId="0" applyNumberFormat="1" applyFill="1" applyAlignment="1">
      <alignment horizontal="center"/>
    </xf>
    <xf numFmtId="0" fontId="13" fillId="36" borderId="0" xfId="0" applyFont="1" applyFill="1" applyAlignment="1">
      <alignment horizontal="center"/>
    </xf>
    <xf numFmtId="165" fontId="0" fillId="0" borderId="15" xfId="0" applyNumberForma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70" fontId="18" fillId="34" borderId="0" xfId="0" applyNumberFormat="1" applyFont="1" applyFill="1" applyAlignment="1">
      <alignment horizontal="center"/>
    </xf>
    <xf numFmtId="0" fontId="0" fillId="37" borderId="0" xfId="0" applyFill="1" applyAlignment="1">
      <alignment horizontal="center"/>
    </xf>
    <xf numFmtId="166" fontId="0" fillId="37" borderId="0" xfId="0" applyNumberFormat="1" applyFill="1" applyAlignment="1">
      <alignment horizontal="center"/>
    </xf>
    <xf numFmtId="170" fontId="18" fillId="37" borderId="0" xfId="0" applyNumberFormat="1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3" fontId="0" fillId="37" borderId="0" xfId="0" applyNumberFormat="1" applyFill="1" applyAlignment="1">
      <alignment horizontal="center"/>
    </xf>
    <xf numFmtId="0" fontId="0" fillId="37" borderId="0" xfId="0" applyFill="1"/>
    <xf numFmtId="0" fontId="16" fillId="37" borderId="0" xfId="0" applyFont="1" applyFill="1" applyAlignment="1">
      <alignment horizontal="left"/>
    </xf>
    <xf numFmtId="0" fontId="16" fillId="37" borderId="0" xfId="0" applyFont="1" applyFill="1" applyAlignment="1">
      <alignment horizontal="center"/>
    </xf>
    <xf numFmtId="0" fontId="0" fillId="37" borderId="13" xfId="0" applyFill="1" applyBorder="1" applyAlignment="1">
      <alignment horizontal="center"/>
    </xf>
    <xf numFmtId="3" fontId="0" fillId="37" borderId="13" xfId="0" applyNumberForma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4" fontId="0" fillId="37" borderId="0" xfId="0" applyNumberFormat="1" applyFill="1" applyAlignment="1">
      <alignment horizontal="center"/>
    </xf>
    <xf numFmtId="0" fontId="16" fillId="38" borderId="0" xfId="0" applyFont="1" applyFill="1" applyAlignment="1">
      <alignment horizontal="center"/>
    </xf>
    <xf numFmtId="166" fontId="22" fillId="37" borderId="0" xfId="0" applyNumberFormat="1" applyFont="1" applyFill="1" applyAlignment="1">
      <alignment horizontal="center"/>
    </xf>
    <xf numFmtId="2" fontId="22" fillId="37" borderId="0" xfId="0" applyNumberFormat="1" applyFon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0" fontId="19" fillId="37" borderId="0" xfId="0" applyFont="1" applyFill="1" applyAlignment="1">
      <alignment horizontal="center"/>
    </xf>
    <xf numFmtId="4" fontId="22" fillId="37" borderId="0" xfId="0" applyNumberFormat="1" applyFont="1" applyFill="1" applyAlignment="1">
      <alignment horizontal="center"/>
    </xf>
    <xf numFmtId="2" fontId="0" fillId="37" borderId="0" xfId="0" applyNumberFormat="1" applyFill="1" applyAlignment="1">
      <alignment horizontal="center"/>
    </xf>
    <xf numFmtId="165" fontId="22" fillId="37" borderId="0" xfId="0" applyNumberFormat="1" applyFont="1" applyFill="1" applyAlignment="1">
      <alignment horizontal="center"/>
    </xf>
    <xf numFmtId="4" fontId="22" fillId="35" borderId="0" xfId="0" applyNumberFormat="1" applyFont="1" applyFill="1" applyAlignment="1">
      <alignment horizontal="center"/>
    </xf>
    <xf numFmtId="167" fontId="16" fillId="39" borderId="0" xfId="0" applyNumberFormat="1" applyFont="1" applyFill="1" applyAlignment="1">
      <alignment horizontal="center"/>
    </xf>
    <xf numFmtId="168" fontId="16" fillId="39" borderId="0" xfId="0" applyNumberFormat="1" applyFont="1" applyFill="1" applyAlignment="1">
      <alignment horizontal="center"/>
    </xf>
    <xf numFmtId="168" fontId="16" fillId="41" borderId="11" xfId="0" applyNumberFormat="1" applyFont="1" applyFill="1" applyBorder="1" applyAlignment="1">
      <alignment horizontal="center"/>
    </xf>
    <xf numFmtId="168" fontId="16" fillId="41" borderId="12" xfId="0" applyNumberFormat="1" applyFont="1" applyFill="1" applyBorder="1" applyAlignment="1">
      <alignment horizontal="center"/>
    </xf>
    <xf numFmtId="168" fontId="16" fillId="41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173" fontId="22" fillId="37" borderId="0" xfId="0" applyNumberFormat="1" applyFont="1" applyFill="1" applyAlignment="1">
      <alignment horizontal="center"/>
    </xf>
    <xf numFmtId="171" fontId="22" fillId="37" borderId="0" xfId="0" applyNumberFormat="1" applyFont="1" applyFill="1" applyAlignment="1">
      <alignment horizontal="center"/>
    </xf>
    <xf numFmtId="170" fontId="22" fillId="37" borderId="0" xfId="0" applyNumberFormat="1" applyFont="1" applyFill="1" applyAlignment="1">
      <alignment horizontal="center"/>
    </xf>
    <xf numFmtId="169" fontId="19" fillId="37" borderId="0" xfId="0" applyNumberFormat="1" applyFont="1" applyFill="1" applyAlignment="1">
      <alignment horizontal="center"/>
    </xf>
    <xf numFmtId="169" fontId="14" fillId="34" borderId="0" xfId="0" applyNumberFormat="1" applyFont="1" applyFill="1" applyAlignment="1">
      <alignment horizontal="center"/>
    </xf>
    <xf numFmtId="169" fontId="19" fillId="40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0" fontId="13" fillId="42" borderId="0" xfId="0" applyFont="1" applyFill="1" applyAlignment="1">
      <alignment horizontal="center"/>
    </xf>
    <xf numFmtId="14" fontId="13" fillId="42" borderId="0" xfId="0" applyNumberFormat="1" applyFont="1" applyFill="1" applyAlignment="1">
      <alignment horizontal="center"/>
    </xf>
    <xf numFmtId="171" fontId="14" fillId="37" borderId="0" xfId="0" applyNumberFormat="1" applyFont="1" applyFill="1" applyAlignment="1">
      <alignment horizontal="center"/>
    </xf>
    <xf numFmtId="14" fontId="0" fillId="34" borderId="0" xfId="0" applyNumberFormat="1" applyFill="1" applyAlignment="1">
      <alignment horizontal="center"/>
    </xf>
    <xf numFmtId="171" fontId="14" fillId="34" borderId="0" xfId="0" applyNumberFormat="1" applyFont="1" applyFill="1" applyAlignment="1">
      <alignment horizontal="center"/>
    </xf>
    <xf numFmtId="0" fontId="16" fillId="37" borderId="0" xfId="0" applyFont="1" applyFill="1" applyBorder="1" applyAlignment="1">
      <alignment horizontal="center"/>
    </xf>
    <xf numFmtId="14" fontId="16" fillId="37" borderId="0" xfId="0" applyNumberFormat="1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43" borderId="0" xfId="0" applyFill="1" applyAlignment="1">
      <alignment horizontal="center"/>
    </xf>
    <xf numFmtId="14" fontId="0" fillId="37" borderId="0" xfId="0" applyNumberFormat="1" applyFill="1" applyAlignment="1">
      <alignment horizontal="center"/>
    </xf>
    <xf numFmtId="3" fontId="0" fillId="37" borderId="0" xfId="0" applyNumberFormat="1" applyFill="1" applyAlignment="1">
      <alignment horizontal="center"/>
    </xf>
    <xf numFmtId="4" fontId="0" fillId="37" borderId="0" xfId="0" applyNumberFormat="1" applyFill="1" applyAlignment="1">
      <alignment horizontal="center"/>
    </xf>
    <xf numFmtId="0" fontId="16" fillId="37" borderId="0" xfId="0" applyFont="1" applyFill="1" applyAlignment="1">
      <alignment horizontal="center"/>
    </xf>
    <xf numFmtId="171" fontId="23" fillId="37" borderId="0" xfId="0" applyNumberFormat="1" applyFont="1" applyFill="1" applyAlignment="1">
      <alignment horizontal="center"/>
    </xf>
    <xf numFmtId="169" fontId="14" fillId="37" borderId="0" xfId="0" applyNumberFormat="1" applyFont="1" applyFill="1" applyAlignment="1">
      <alignment horizontal="center"/>
    </xf>
    <xf numFmtId="175" fontId="0" fillId="37" borderId="0" xfId="0" applyNumberFormat="1" applyFill="1" applyAlignment="1">
      <alignment horizontal="center"/>
    </xf>
    <xf numFmtId="173" fontId="22" fillId="34" borderId="0" xfId="0" applyNumberFormat="1" applyFont="1" applyFill="1" applyAlignment="1">
      <alignment horizontal="center"/>
    </xf>
    <xf numFmtId="169" fontId="19" fillId="40" borderId="10" xfId="0" applyNumberFormat="1" applyFont="1" applyFill="1" applyBorder="1" applyAlignment="1">
      <alignment horizontal="center"/>
    </xf>
    <xf numFmtId="0" fontId="14" fillId="39" borderId="0" xfId="0" applyFont="1" applyFill="1" applyAlignment="1">
      <alignment horizontal="center"/>
    </xf>
    <xf numFmtId="167" fontId="16" fillId="35" borderId="0" xfId="0" applyNumberFormat="1" applyFont="1" applyFill="1" applyBorder="1" applyAlignment="1">
      <alignment horizontal="center"/>
    </xf>
    <xf numFmtId="168" fontId="16" fillId="35" borderId="0" xfId="0" applyNumberFormat="1" applyFont="1" applyFill="1" applyBorder="1" applyAlignment="1">
      <alignment horizontal="center"/>
    </xf>
    <xf numFmtId="172" fontId="23" fillId="44" borderId="19" xfId="0" applyNumberFormat="1" applyFont="1" applyFill="1" applyBorder="1" applyAlignment="1">
      <alignment horizontal="center"/>
    </xf>
    <xf numFmtId="172" fontId="23" fillId="44" borderId="18" xfId="0" applyNumberFormat="1" applyFont="1" applyFill="1" applyBorder="1" applyAlignment="1">
      <alignment horizontal="center"/>
    </xf>
    <xf numFmtId="169" fontId="0" fillId="37" borderId="0" xfId="0" applyNumberFormat="1" applyFill="1" applyAlignment="1">
      <alignment horizontal="center"/>
    </xf>
    <xf numFmtId="170" fontId="19" fillId="40" borderId="10" xfId="0" applyNumberFormat="1" applyFont="1" applyFill="1" applyBorder="1" applyAlignment="1">
      <alignment horizontal="center"/>
    </xf>
    <xf numFmtId="171" fontId="0" fillId="37" borderId="0" xfId="0" applyNumberFormat="1" applyFill="1" applyAlignment="1">
      <alignment horizontal="center"/>
    </xf>
    <xf numFmtId="165" fontId="0" fillId="37" borderId="0" xfId="0" applyNumberForma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19" fillId="39" borderId="0" xfId="0" applyFont="1" applyFill="1" applyAlignment="1">
      <alignment horizontal="center"/>
    </xf>
    <xf numFmtId="172" fontId="23" fillId="44" borderId="20" xfId="0" applyNumberFormat="1" applyFont="1" applyFill="1" applyBorder="1" applyAlignment="1">
      <alignment horizontal="center"/>
    </xf>
    <xf numFmtId="171" fontId="19" fillId="37" borderId="0" xfId="0" applyNumberFormat="1" applyFont="1" applyFill="1" applyAlignment="1">
      <alignment horizontal="center"/>
    </xf>
    <xf numFmtId="172" fontId="0" fillId="37" borderId="0" xfId="0" applyNumberFormat="1" applyFill="1" applyAlignment="1">
      <alignment horizontal="center"/>
    </xf>
    <xf numFmtId="170" fontId="0" fillId="37" borderId="0" xfId="0" applyNumberFormat="1" applyFill="1" applyAlignment="1">
      <alignment horizontal="center"/>
    </xf>
    <xf numFmtId="176" fontId="0" fillId="37" borderId="0" xfId="42" applyNumberFormat="1" applyFont="1" applyFill="1" applyAlignment="1">
      <alignment horizontal="center"/>
    </xf>
    <xf numFmtId="169" fontId="19" fillId="40" borderId="0" xfId="0" applyNumberFormat="1" applyFont="1" applyFill="1" applyBorder="1" applyAlignment="1">
      <alignment horizontal="center"/>
    </xf>
    <xf numFmtId="171" fontId="16" fillId="37" borderId="0" xfId="0" applyNumberFormat="1" applyFont="1" applyFill="1" applyAlignment="1">
      <alignment horizontal="center"/>
    </xf>
    <xf numFmtId="0" fontId="14" fillId="39" borderId="0" xfId="0" applyFont="1" applyFill="1" applyAlignment="1">
      <alignment horizontal="left"/>
    </xf>
    <xf numFmtId="169" fontId="19" fillId="40" borderId="17" xfId="0" applyNumberFormat="1" applyFont="1" applyFill="1" applyBorder="1" applyAlignment="1">
      <alignment horizontal="center"/>
    </xf>
    <xf numFmtId="169" fontId="19" fillId="40" borderId="14" xfId="0" applyNumberFormat="1" applyFont="1" applyFill="1" applyBorder="1" applyAlignment="1">
      <alignment horizontal="center"/>
    </xf>
    <xf numFmtId="166" fontId="0" fillId="37" borderId="0" xfId="0" applyNumberFormat="1" applyFill="1" applyBorder="1" applyAlignment="1">
      <alignment horizontal="center"/>
    </xf>
    <xf numFmtId="169" fontId="14" fillId="37" borderId="0" xfId="0" applyNumberFormat="1" applyFon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66" fontId="0" fillId="34" borderId="0" xfId="0" applyNumberFormat="1" applyFill="1" applyBorder="1" applyAlignment="1">
      <alignment horizontal="center"/>
    </xf>
    <xf numFmtId="169" fontId="14" fillId="34" borderId="0" xfId="0" applyNumberFormat="1" applyFont="1" applyFill="1" applyBorder="1" applyAlignment="1">
      <alignment horizontal="center"/>
    </xf>
    <xf numFmtId="167" fontId="16" fillId="35" borderId="11" xfId="0" applyNumberFormat="1" applyFont="1" applyFill="1" applyBorder="1" applyAlignment="1">
      <alignment horizontal="center"/>
    </xf>
    <xf numFmtId="167" fontId="16" fillId="35" borderId="12" xfId="0" applyNumberFormat="1" applyFont="1" applyFill="1" applyBorder="1" applyAlignment="1">
      <alignment horizontal="center"/>
    </xf>
    <xf numFmtId="167" fontId="16" fillId="35" borderId="13" xfId="0" applyNumberFormat="1" applyFont="1" applyFill="1" applyBorder="1" applyAlignment="1">
      <alignment horizontal="center"/>
    </xf>
    <xf numFmtId="174" fontId="19" fillId="37" borderId="0" xfId="0" applyNumberFormat="1" applyFont="1" applyFill="1" applyAlignment="1">
      <alignment horizontal="center"/>
    </xf>
    <xf numFmtId="0" fontId="0" fillId="45" borderId="0" xfId="0" applyFill="1" applyAlignment="1">
      <alignment horizontal="center"/>
    </xf>
    <xf numFmtId="170" fontId="0" fillId="45" borderId="0" xfId="0" applyNumberFormat="1" applyFill="1" applyAlignment="1">
      <alignment horizontal="center"/>
    </xf>
    <xf numFmtId="0" fontId="0" fillId="37" borderId="21" xfId="0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0" fillId="37" borderId="21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  <color rgb="FFCCFFFF"/>
      <color rgb="FFFFFFCC"/>
      <color rgb="FFC0E3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127000</xdr:rowOff>
    </xdr:from>
    <xdr:to>
      <xdr:col>13</xdr:col>
      <xdr:colOff>609600</xdr:colOff>
      <xdr:row>8</xdr:row>
      <xdr:rowOff>41275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28300" y="127000"/>
          <a:ext cx="2019300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127000</xdr:colOff>
      <xdr:row>1</xdr:row>
      <xdr:rowOff>114300</xdr:rowOff>
    </xdr:from>
    <xdr:to>
      <xdr:col>10</xdr:col>
      <xdr:colOff>393700</xdr:colOff>
      <xdr:row>9</xdr:row>
      <xdr:rowOff>28575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4100" y="304800"/>
          <a:ext cx="2146300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4"/>
  <sheetViews>
    <sheetView zoomScale="75" zoomScaleNormal="75" workbookViewId="0"/>
  </sheetViews>
  <sheetFormatPr defaultRowHeight="15"/>
  <cols>
    <col min="1" max="1" width="15.85546875" style="14" bestFit="1" customWidth="1"/>
    <col min="2" max="2" width="43" style="14" bestFit="1" customWidth="1"/>
    <col min="3" max="4" width="39.7109375" style="14" bestFit="1" customWidth="1"/>
    <col min="5" max="5" width="39.85546875" style="14" bestFit="1" customWidth="1"/>
    <col min="6" max="6" width="39.7109375" style="14" bestFit="1" customWidth="1"/>
    <col min="7" max="7" width="28.140625" style="14" bestFit="1" customWidth="1"/>
    <col min="8" max="8" width="21.5703125" style="14" bestFit="1" customWidth="1"/>
    <col min="9" max="9" width="21.7109375" style="14" bestFit="1" customWidth="1"/>
    <col min="10" max="10" width="24.28515625" style="14" bestFit="1" customWidth="1"/>
    <col min="11" max="11" width="16.7109375" style="14" bestFit="1" customWidth="1"/>
    <col min="12" max="12" width="17.140625" style="14" bestFit="1" customWidth="1"/>
    <col min="13" max="13" width="21.7109375" style="14" bestFit="1" customWidth="1"/>
    <col min="14" max="14" width="19.28515625" style="14" bestFit="1" customWidth="1"/>
    <col min="15" max="15" width="14.85546875" style="14" bestFit="1" customWidth="1"/>
    <col min="16" max="16" width="13.42578125" style="14" bestFit="1" customWidth="1"/>
    <col min="17" max="17" width="12.42578125" style="14" bestFit="1" customWidth="1"/>
    <col min="18" max="18" width="13.42578125" style="14" bestFit="1" customWidth="1"/>
    <col min="19" max="19" width="9.85546875" style="14" bestFit="1" customWidth="1"/>
    <col min="20" max="20" width="14.85546875" style="14" bestFit="1" customWidth="1"/>
    <col min="21" max="21" width="13" style="14" bestFit="1" customWidth="1"/>
    <col min="22" max="16384" width="9.140625" style="14"/>
  </cols>
  <sheetData>
    <row r="1" spans="1:19">
      <c r="A1" s="1" t="s">
        <v>9</v>
      </c>
      <c r="B1" s="2">
        <v>41677</v>
      </c>
    </row>
    <row r="2" spans="1:19">
      <c r="A2" s="41" t="s">
        <v>0</v>
      </c>
      <c r="B2" s="41" t="s">
        <v>1</v>
      </c>
      <c r="C2" s="41" t="s">
        <v>2</v>
      </c>
      <c r="D2" s="101" t="s">
        <v>3</v>
      </c>
      <c r="E2" s="101"/>
      <c r="F2" s="41" t="s">
        <v>4</v>
      </c>
      <c r="G2" s="41" t="s">
        <v>5</v>
      </c>
      <c r="H2" s="41"/>
      <c r="I2" s="41" t="s">
        <v>6</v>
      </c>
      <c r="J2" s="41"/>
      <c r="K2" s="41" t="s">
        <v>7</v>
      </c>
      <c r="L2" s="41" t="s">
        <v>8</v>
      </c>
    </row>
    <row r="3" spans="1:19">
      <c r="A3" s="14" t="s">
        <v>59</v>
      </c>
      <c r="B3" s="15">
        <v>41681</v>
      </c>
      <c r="C3" s="14" t="s">
        <v>53</v>
      </c>
      <c r="D3" s="15">
        <v>41682</v>
      </c>
      <c r="E3" s="14" t="s">
        <v>46</v>
      </c>
      <c r="F3" s="64">
        <v>0.999722759599038</v>
      </c>
      <c r="G3" s="45">
        <v>2.0241355260606699</v>
      </c>
      <c r="H3" s="57"/>
      <c r="I3" s="16">
        <v>7.2</v>
      </c>
      <c r="J3" s="17"/>
      <c r="K3" s="14">
        <v>0</v>
      </c>
      <c r="L3" s="14" t="s">
        <v>10</v>
      </c>
    </row>
    <row r="4" spans="1:19">
      <c r="A4" s="14" t="s">
        <v>59</v>
      </c>
      <c r="B4" s="15">
        <v>41681</v>
      </c>
      <c r="C4" s="14" t="s">
        <v>53</v>
      </c>
      <c r="D4" s="15">
        <v>41709</v>
      </c>
      <c r="E4" s="14" t="s">
        <v>11</v>
      </c>
      <c r="F4" s="64">
        <v>0.997569235910026</v>
      </c>
      <c r="G4" s="64">
        <v>2.7759655172795998</v>
      </c>
      <c r="H4" s="57"/>
      <c r="I4" s="16">
        <v>290.25</v>
      </c>
      <c r="J4" s="17"/>
      <c r="K4" s="14">
        <v>0</v>
      </c>
      <c r="L4" s="14" t="s">
        <v>10</v>
      </c>
    </row>
    <row r="5" spans="1:19">
      <c r="A5" s="14" t="s">
        <v>59</v>
      </c>
      <c r="B5" s="15">
        <v>41681</v>
      </c>
      <c r="C5" s="14" t="s">
        <v>53</v>
      </c>
      <c r="D5" s="15">
        <v>41740</v>
      </c>
      <c r="E5" s="14" t="s">
        <v>12</v>
      </c>
      <c r="F5" s="64">
        <v>0.99564884251766606</v>
      </c>
      <c r="G5" s="64">
        <v>2.52640909665186</v>
      </c>
      <c r="H5" s="57"/>
      <c r="I5" s="16">
        <v>541</v>
      </c>
      <c r="J5" s="17"/>
      <c r="K5" s="14">
        <v>0</v>
      </c>
      <c r="L5" s="14" t="s">
        <v>10</v>
      </c>
    </row>
    <row r="6" spans="1:19">
      <c r="A6" s="14" t="s">
        <v>59</v>
      </c>
      <c r="B6" s="15">
        <v>41681</v>
      </c>
      <c r="C6" s="14" t="s">
        <v>53</v>
      </c>
      <c r="D6" s="15">
        <v>41771</v>
      </c>
      <c r="E6" s="14" t="s">
        <v>13</v>
      </c>
      <c r="F6" s="64">
        <v>0.99366518801414006</v>
      </c>
      <c r="G6" s="64">
        <v>2.4676182429346101</v>
      </c>
      <c r="H6" s="57"/>
      <c r="I6" s="16">
        <v>801.5</v>
      </c>
      <c r="J6" s="17"/>
      <c r="K6" s="14">
        <v>0</v>
      </c>
      <c r="L6" s="14" t="s">
        <v>10</v>
      </c>
    </row>
    <row r="7" spans="1:19">
      <c r="A7" s="14" t="s">
        <v>59</v>
      </c>
      <c r="B7" s="15">
        <v>41681</v>
      </c>
      <c r="C7" s="14" t="s">
        <v>53</v>
      </c>
      <c r="D7" s="15">
        <v>41862</v>
      </c>
      <c r="E7" s="14" t="s">
        <v>14</v>
      </c>
      <c r="F7" s="64">
        <v>0.987895513114041</v>
      </c>
      <c r="G7" s="64">
        <v>2.4027541168970901</v>
      </c>
      <c r="H7" s="57"/>
      <c r="I7" s="16">
        <v>1563.5</v>
      </c>
      <c r="J7" s="17"/>
      <c r="K7" s="14">
        <v>0</v>
      </c>
      <c r="L7" s="14" t="s">
        <v>10</v>
      </c>
    </row>
    <row r="8" spans="1:19">
      <c r="A8" s="14" t="s">
        <v>59</v>
      </c>
      <c r="B8" s="15">
        <v>41681</v>
      </c>
      <c r="C8" s="14" t="s">
        <v>53</v>
      </c>
      <c r="D8" s="15">
        <v>41955</v>
      </c>
      <c r="E8" s="14" t="s">
        <v>15</v>
      </c>
      <c r="F8" s="64">
        <v>0.98188975940790102</v>
      </c>
      <c r="G8" s="64">
        <v>2.3995780403142102</v>
      </c>
      <c r="H8" s="57"/>
      <c r="I8" s="16">
        <v>2364</v>
      </c>
      <c r="J8" s="17"/>
      <c r="K8" s="14">
        <v>0</v>
      </c>
      <c r="L8" s="14" t="s">
        <v>10</v>
      </c>
    </row>
    <row r="9" spans="1:19">
      <c r="A9" s="14" t="s">
        <v>59</v>
      </c>
      <c r="B9" s="15">
        <v>41681</v>
      </c>
      <c r="C9" s="14" t="s">
        <v>53</v>
      </c>
      <c r="D9" s="15">
        <v>42046</v>
      </c>
      <c r="E9" s="14" t="s">
        <v>54</v>
      </c>
      <c r="F9" s="64">
        <v>0.97556150409418496</v>
      </c>
      <c r="G9" s="64">
        <v>2.4473865373118802</v>
      </c>
      <c r="H9" s="57"/>
      <c r="I9" s="16">
        <v>3210.5</v>
      </c>
      <c r="J9" s="17"/>
      <c r="K9" s="14">
        <v>0</v>
      </c>
      <c r="L9" s="14" t="s">
        <v>10</v>
      </c>
    </row>
    <row r="10" spans="1:19">
      <c r="A10" s="14" t="s">
        <v>59</v>
      </c>
      <c r="B10" s="15">
        <v>41681</v>
      </c>
      <c r="C10" s="77" t="s">
        <v>53</v>
      </c>
      <c r="D10" s="89">
        <v>42227</v>
      </c>
      <c r="E10" s="77" t="s">
        <v>26</v>
      </c>
      <c r="F10" s="90">
        <v>0.96288925885810805</v>
      </c>
      <c r="G10" s="90">
        <v>2.5096649951688099</v>
      </c>
      <c r="H10" s="57"/>
      <c r="I10" s="16">
        <v>4878.2</v>
      </c>
      <c r="J10" s="17"/>
      <c r="K10" s="14">
        <v>0</v>
      </c>
      <c r="L10" s="14" t="s">
        <v>10</v>
      </c>
      <c r="O10" s="57" t="s">
        <v>112</v>
      </c>
      <c r="P10" s="82">
        <v>13.480180000000001</v>
      </c>
    </row>
    <row r="11" spans="1:19">
      <c r="A11" s="41" t="s">
        <v>16</v>
      </c>
      <c r="B11" s="6">
        <v>41681</v>
      </c>
      <c r="C11" s="91" t="s">
        <v>17</v>
      </c>
      <c r="D11" s="92">
        <v>42409</v>
      </c>
      <c r="E11" s="91" t="s">
        <v>18</v>
      </c>
      <c r="F11" s="93">
        <v>0.93441341904515196</v>
      </c>
      <c r="G11" s="84">
        <v>3.3825578964467677</v>
      </c>
      <c r="H11" s="3"/>
      <c r="I11" s="13">
        <v>0.87</v>
      </c>
      <c r="J11" s="4"/>
      <c r="K11" s="3">
        <v>0</v>
      </c>
      <c r="L11" s="3" t="s">
        <v>10</v>
      </c>
      <c r="O11" s="98" t="s">
        <v>113</v>
      </c>
      <c r="P11" s="99">
        <f>1/P28</f>
        <v>13.47464104616078</v>
      </c>
      <c r="Q11" s="82">
        <f>(Q15/Q14)*P11</f>
        <v>13.480180000000001</v>
      </c>
      <c r="R11" s="57" t="s">
        <v>102</v>
      </c>
      <c r="S11" s="82">
        <f>Q11-P10</f>
        <v>0</v>
      </c>
    </row>
    <row r="12" spans="1:19">
      <c r="A12" s="41" t="s">
        <v>16</v>
      </c>
      <c r="B12" s="6">
        <v>41681</v>
      </c>
      <c r="C12" s="3" t="s">
        <v>17</v>
      </c>
      <c r="D12" s="6">
        <v>42773</v>
      </c>
      <c r="E12" s="3" t="s">
        <v>19</v>
      </c>
      <c r="F12" s="46">
        <v>0.89338886599171197</v>
      </c>
      <c r="G12" s="46">
        <v>3.7543491257897599</v>
      </c>
      <c r="H12" s="3"/>
      <c r="I12" s="13">
        <v>0.875</v>
      </c>
      <c r="J12" s="4"/>
      <c r="K12" s="3">
        <v>0</v>
      </c>
      <c r="L12" s="3" t="s">
        <v>10</v>
      </c>
    </row>
    <row r="13" spans="1:19">
      <c r="A13" s="41" t="s">
        <v>16</v>
      </c>
      <c r="B13" s="6">
        <v>41681</v>
      </c>
      <c r="C13" s="3" t="s">
        <v>17</v>
      </c>
      <c r="D13" s="6">
        <v>43137</v>
      </c>
      <c r="E13" s="3" t="s">
        <v>20</v>
      </c>
      <c r="F13" s="46">
        <v>0.85018494056667704</v>
      </c>
      <c r="G13" s="46">
        <v>4.0575344006745002</v>
      </c>
      <c r="H13" s="3"/>
      <c r="I13" s="13">
        <v>0.90500000000000003</v>
      </c>
      <c r="J13" s="4"/>
      <c r="K13" s="3">
        <v>0</v>
      </c>
      <c r="L13" s="3" t="s">
        <v>10</v>
      </c>
      <c r="O13" s="100"/>
      <c r="P13" s="102" t="s">
        <v>116</v>
      </c>
      <c r="Q13" s="102"/>
      <c r="R13" s="100"/>
    </row>
    <row r="14" spans="1:19">
      <c r="A14" s="41" t="s">
        <v>16</v>
      </c>
      <c r="B14" s="6">
        <v>41681</v>
      </c>
      <c r="C14" s="3" t="s">
        <v>17</v>
      </c>
      <c r="D14" s="6">
        <v>43501</v>
      </c>
      <c r="E14" s="3" t="s">
        <v>21</v>
      </c>
      <c r="F14" s="46">
        <v>0.79944968678985195</v>
      </c>
      <c r="G14" s="46">
        <v>4.4790878853881004</v>
      </c>
      <c r="H14" s="3"/>
      <c r="I14" s="13">
        <v>0.90500000000000003</v>
      </c>
      <c r="J14" s="4"/>
      <c r="K14" s="3">
        <v>0</v>
      </c>
      <c r="L14" s="3" t="s">
        <v>10</v>
      </c>
      <c r="O14" s="100" t="s">
        <v>34</v>
      </c>
      <c r="P14" s="100">
        <v>0.99999048896238796</v>
      </c>
      <c r="Q14" s="100">
        <f>1/P14</f>
        <v>1.0000095111280727</v>
      </c>
      <c r="R14" s="100" t="s">
        <v>114</v>
      </c>
    </row>
    <row r="15" spans="1:19">
      <c r="A15" s="41" t="s">
        <v>16</v>
      </c>
      <c r="B15" s="6">
        <v>41681</v>
      </c>
      <c r="C15" s="3" t="s">
        <v>17</v>
      </c>
      <c r="D15" s="6">
        <v>44229</v>
      </c>
      <c r="E15" s="3" t="s">
        <v>22</v>
      </c>
      <c r="F15" s="46">
        <v>0.70176798260756901</v>
      </c>
      <c r="G15" s="46">
        <v>5.0652680298891699</v>
      </c>
      <c r="H15" s="3"/>
      <c r="I15" s="13">
        <v>0.995</v>
      </c>
      <c r="J15" s="4"/>
      <c r="K15" s="3">
        <v>0</v>
      </c>
      <c r="L15" s="3" t="s">
        <v>10</v>
      </c>
      <c r="O15" s="100" t="s">
        <v>28</v>
      </c>
      <c r="P15" s="100">
        <v>0.99957959673705998</v>
      </c>
      <c r="Q15" s="100">
        <f>1/P15</f>
        <v>1.0004205800761763</v>
      </c>
      <c r="R15" s="100" t="s">
        <v>115</v>
      </c>
    </row>
    <row r="16" spans="1:19">
      <c r="A16" s="41" t="s">
        <v>16</v>
      </c>
      <c r="B16" s="6">
        <v>41681</v>
      </c>
      <c r="C16" s="3" t="s">
        <v>17</v>
      </c>
      <c r="D16" s="6">
        <v>45321</v>
      </c>
      <c r="E16" s="3" t="s">
        <v>23</v>
      </c>
      <c r="F16" s="46">
        <v>0.57666760055965505</v>
      </c>
      <c r="G16" s="46">
        <v>5.51395664524218</v>
      </c>
      <c r="H16" s="3"/>
      <c r="I16" s="13">
        <v>1.0449999999999999</v>
      </c>
      <c r="J16" s="4"/>
      <c r="K16" s="3">
        <v>0</v>
      </c>
      <c r="L16" s="3" t="s">
        <v>10</v>
      </c>
      <c r="P16" s="57"/>
    </row>
    <row r="17" spans="1:21">
      <c r="A17" s="41" t="s">
        <v>16</v>
      </c>
      <c r="B17" s="6">
        <v>41681</v>
      </c>
      <c r="C17" s="3" t="s">
        <v>17</v>
      </c>
      <c r="D17" s="6">
        <v>47141</v>
      </c>
      <c r="E17" s="49" t="s">
        <v>24</v>
      </c>
      <c r="F17" s="46">
        <v>0.38756935286780703</v>
      </c>
      <c r="G17" s="46">
        <v>6.3317912140730899</v>
      </c>
      <c r="H17" s="3"/>
      <c r="I17" s="13">
        <v>1.0449999999999999</v>
      </c>
      <c r="J17" s="4"/>
      <c r="K17" s="3">
        <v>0</v>
      </c>
      <c r="L17" s="3" t="s">
        <v>10</v>
      </c>
    </row>
    <row r="18" spans="1:21">
      <c r="A18" s="41" t="s">
        <v>16</v>
      </c>
      <c r="B18" s="6">
        <v>41681</v>
      </c>
      <c r="C18" s="3" t="s">
        <v>17</v>
      </c>
      <c r="D18" s="6">
        <v>48961</v>
      </c>
      <c r="E18" s="3" t="s">
        <v>25</v>
      </c>
      <c r="F18" s="46">
        <v>0.142023559697813</v>
      </c>
      <c r="G18" s="46">
        <v>9.7802477683828197</v>
      </c>
      <c r="H18" s="3"/>
      <c r="I18" s="13">
        <v>9.6000000000000002E-2</v>
      </c>
      <c r="J18" s="4"/>
      <c r="K18" s="3">
        <v>0</v>
      </c>
      <c r="L18" s="3" t="s">
        <v>10</v>
      </c>
    </row>
    <row r="19" spans="1:21">
      <c r="A19" s="41" t="s">
        <v>16</v>
      </c>
      <c r="B19" s="6">
        <v>41681</v>
      </c>
      <c r="C19" s="3" t="s">
        <v>17</v>
      </c>
      <c r="D19" s="6">
        <v>52601</v>
      </c>
      <c r="E19" s="3" t="s">
        <v>48</v>
      </c>
      <c r="F19" s="46">
        <v>4.8306409041098203E-2</v>
      </c>
      <c r="G19" s="46">
        <v>10.1246771117624</v>
      </c>
      <c r="H19" s="3"/>
      <c r="I19" s="13">
        <v>9.7000000000000003E-2</v>
      </c>
      <c r="J19" s="4"/>
      <c r="K19" s="3">
        <v>0</v>
      </c>
      <c r="L19" s="3" t="s">
        <v>10</v>
      </c>
    </row>
    <row r="20" spans="1:21">
      <c r="B20" s="19"/>
      <c r="C20" s="19"/>
      <c r="D20" s="19"/>
      <c r="F20" s="19"/>
      <c r="G20" s="19"/>
      <c r="I20" s="19"/>
      <c r="K20" s="21"/>
    </row>
    <row r="21" spans="1:21">
      <c r="A21" s="19"/>
      <c r="B21" s="19"/>
      <c r="C21" s="42"/>
      <c r="D21" s="43"/>
      <c r="E21" s="19"/>
      <c r="F21" s="19"/>
      <c r="G21" s="44"/>
      <c r="H21" s="19"/>
      <c r="I21" s="19"/>
    </row>
    <row r="22" spans="1:21" ht="15.75" thickBot="1">
      <c r="O22" s="57"/>
      <c r="P22" s="57"/>
    </row>
    <row r="23" spans="1:21" ht="15.75" thickBot="1">
      <c r="A23" s="1" t="s">
        <v>9</v>
      </c>
      <c r="B23" s="7" t="s">
        <v>55</v>
      </c>
      <c r="C23" s="5"/>
      <c r="D23" s="12" t="s">
        <v>49</v>
      </c>
      <c r="E23" s="9" t="s">
        <v>52</v>
      </c>
      <c r="J23" s="20" t="s">
        <v>56</v>
      </c>
      <c r="O23" s="57"/>
      <c r="P23" s="57"/>
      <c r="Q23" s="57"/>
    </row>
    <row r="24" spans="1:21">
      <c r="A24" s="2">
        <v>41677</v>
      </c>
      <c r="B24" s="40"/>
      <c r="C24" s="10" t="s">
        <v>28</v>
      </c>
      <c r="D24" s="11">
        <v>13480180</v>
      </c>
      <c r="E24" s="8">
        <f>D25/D24</f>
        <v>7.4182985687134745E-2</v>
      </c>
      <c r="F24" s="57">
        <v>7.4182985687134703E-2</v>
      </c>
      <c r="J24" s="21">
        <v>1</v>
      </c>
      <c r="O24" s="25"/>
      <c r="P24" s="57"/>
    </row>
    <row r="25" spans="1:21" ht="15.75" thickBot="1">
      <c r="A25" s="59"/>
      <c r="B25" s="21" t="s">
        <v>58</v>
      </c>
      <c r="C25" s="22" t="s">
        <v>34</v>
      </c>
      <c r="D25" s="23">
        <v>1000000</v>
      </c>
      <c r="E25" s="24"/>
      <c r="F25" s="57"/>
      <c r="U25" s="57"/>
    </row>
    <row r="26" spans="1:21">
      <c r="A26" s="59"/>
      <c r="B26" s="26" t="s">
        <v>42</v>
      </c>
      <c r="C26" s="26" t="s">
        <v>50</v>
      </c>
      <c r="D26" s="26" t="s">
        <v>51</v>
      </c>
      <c r="E26" s="26" t="s">
        <v>31</v>
      </c>
      <c r="F26" s="26" t="s">
        <v>98</v>
      </c>
      <c r="G26" s="26" t="s">
        <v>98</v>
      </c>
      <c r="H26" s="26" t="s">
        <v>100</v>
      </c>
      <c r="I26" s="26" t="s">
        <v>100</v>
      </c>
      <c r="J26" s="26" t="s">
        <v>47</v>
      </c>
      <c r="K26" s="26" t="s">
        <v>30</v>
      </c>
      <c r="L26" s="26" t="s">
        <v>41</v>
      </c>
      <c r="M26" s="26" t="s">
        <v>36</v>
      </c>
      <c r="N26" s="26" t="s">
        <v>43</v>
      </c>
      <c r="O26" s="26" t="s">
        <v>32</v>
      </c>
      <c r="P26" s="26" t="s">
        <v>37</v>
      </c>
      <c r="Q26" s="26" t="s">
        <v>38</v>
      </c>
      <c r="R26" s="26" t="s">
        <v>39</v>
      </c>
      <c r="S26" s="26" t="s">
        <v>29</v>
      </c>
      <c r="T26" s="62" t="s">
        <v>101</v>
      </c>
      <c r="U26" s="62"/>
    </row>
    <row r="27" spans="1:21">
      <c r="B27" s="26" t="s">
        <v>33</v>
      </c>
      <c r="C27" s="26" t="s">
        <v>33</v>
      </c>
      <c r="D27" s="26" t="s">
        <v>33</v>
      </c>
      <c r="E27" s="26"/>
      <c r="F27" s="26" t="s">
        <v>50</v>
      </c>
      <c r="G27" s="26" t="s">
        <v>51</v>
      </c>
      <c r="H27" s="26" t="s">
        <v>50</v>
      </c>
      <c r="I27" s="26" t="s">
        <v>51</v>
      </c>
      <c r="J27" s="26"/>
      <c r="K27" s="26"/>
      <c r="L27" s="26" t="s">
        <v>44</v>
      </c>
      <c r="M27" s="26" t="s">
        <v>45</v>
      </c>
      <c r="N27" s="26" t="s">
        <v>30</v>
      </c>
      <c r="O27" s="26"/>
      <c r="P27" s="26" t="s">
        <v>27</v>
      </c>
      <c r="Q27" s="26"/>
      <c r="R27" s="26" t="s">
        <v>40</v>
      </c>
      <c r="S27" s="26" t="s">
        <v>32</v>
      </c>
      <c r="T27" s="62" t="s">
        <v>99</v>
      </c>
      <c r="U27" s="62" t="s">
        <v>102</v>
      </c>
    </row>
    <row r="28" spans="1:21">
      <c r="A28" s="21">
        <v>1</v>
      </c>
      <c r="B28" s="27">
        <v>41681</v>
      </c>
      <c r="C28" s="27">
        <v>41681</v>
      </c>
      <c r="D28" s="27">
        <v>41709</v>
      </c>
      <c r="E28" s="66">
        <v>3.7899999999999898</v>
      </c>
      <c r="F28" s="66"/>
      <c r="G28" s="66"/>
      <c r="H28" s="66"/>
      <c r="I28" s="66"/>
      <c r="J28" s="15"/>
      <c r="K28" s="25">
        <f t="shared" ref="K28:K53" si="0">-D$24*((E28+J28)*(D28-C28)/36000)</f>
        <v>-39736.57504444434</v>
      </c>
      <c r="L28" s="35">
        <f>(((D28-D$4)/(D$5-D$4))*G5+(1-((D28-D$4)/(D$5-D$4)))*G4)</f>
        <v>2.7759655172795998</v>
      </c>
      <c r="M28" s="29">
        <f t="shared" ref="M28:M55" si="1">EXP(-(L28)*((D28-A$24)/36500))</f>
        <v>0.99756923591002633</v>
      </c>
      <c r="N28" s="25">
        <f t="shared" ref="N28:N55" si="2">K28*M28</f>
        <v>-39639.984804767759</v>
      </c>
      <c r="O28" s="25" t="s">
        <v>28</v>
      </c>
      <c r="P28" s="58">
        <v>7.4213479718995695E-2</v>
      </c>
      <c r="Q28" s="14" t="s">
        <v>35</v>
      </c>
      <c r="R28" s="25">
        <f t="shared" ref="R28:R53" si="3">N28*P28</f>
        <v>-2941.8212083699295</v>
      </c>
      <c r="S28" s="14" t="s">
        <v>34</v>
      </c>
      <c r="T28" s="57">
        <v>0.997569235910026</v>
      </c>
      <c r="U28" s="29">
        <f>M28-T28</f>
        <v>0</v>
      </c>
    </row>
    <row r="29" spans="1:21" ht="15.75" thickBot="1">
      <c r="A29" s="21">
        <v>1</v>
      </c>
      <c r="B29" s="27">
        <v>41681</v>
      </c>
      <c r="C29" s="27">
        <v>41709</v>
      </c>
      <c r="D29" s="27">
        <v>41737</v>
      </c>
      <c r="E29" s="66">
        <v>3.7899999999999898</v>
      </c>
      <c r="F29" s="66"/>
      <c r="G29" s="66"/>
      <c r="H29" s="66"/>
      <c r="I29" s="66"/>
      <c r="J29" s="15"/>
      <c r="K29" s="25">
        <f t="shared" si="0"/>
        <v>-39736.57504444434</v>
      </c>
      <c r="L29" s="35">
        <f>(((D29-D$4)/(D$5-D$4))*G5+(1-((D29-D$4)/(D$5-D$4)))*G4)</f>
        <v>2.5505597180029316</v>
      </c>
      <c r="M29" s="29">
        <f t="shared" si="1"/>
        <v>0.99581607619326962</v>
      </c>
      <c r="N29" s="25">
        <f t="shared" si="2"/>
        <v>-39570.320242117959</v>
      </c>
      <c r="O29" s="25" t="s">
        <v>28</v>
      </c>
      <c r="P29" s="58">
        <v>7.4213479718995695E-2</v>
      </c>
      <c r="Q29" s="14" t="s">
        <v>35</v>
      </c>
      <c r="R29" s="25">
        <f t="shared" si="3"/>
        <v>-2936.651158762586</v>
      </c>
      <c r="S29" s="14" t="s">
        <v>34</v>
      </c>
      <c r="T29" s="57">
        <v>0.99581607619326995</v>
      </c>
      <c r="U29" s="29">
        <f t="shared" ref="U29:U55" si="4">M29-T29</f>
        <v>0</v>
      </c>
    </row>
    <row r="30" spans="1:21">
      <c r="A30" s="21">
        <v>1</v>
      </c>
      <c r="B30" s="27">
        <v>41681</v>
      </c>
      <c r="C30" s="27">
        <v>41737</v>
      </c>
      <c r="D30" s="27">
        <v>41765</v>
      </c>
      <c r="E30" s="94">
        <f>((H30/I30)-1)*(36000/28)</f>
        <v>3.7909586604664307</v>
      </c>
      <c r="F30" s="69">
        <f>'MXN TIIE'!G4</f>
        <v>3.8369863716452399</v>
      </c>
      <c r="G30" s="69">
        <f>((D30-'MXN TIIE'!D4)/('MXN TIIE'!D5-'MXN TIIE'!D4))*'MXN TIIE'!G5+(('MXN TIIE'!D5-D30)/('MXN TIIE'!D5-'MXN TIIE'!D4))*'MXN TIIE'!G4</f>
        <v>3.8372947274008635</v>
      </c>
      <c r="H30" s="69">
        <f t="shared" ref="H30:H46" si="5">EXP(-F30*((C30-A$24)/36500))</f>
        <v>0.99371247487613412</v>
      </c>
      <c r="I30" s="69">
        <f t="shared" ref="I30:I46" si="6">EXP(-G30*((D30-A$24)/36500))</f>
        <v>0.99079110411856752</v>
      </c>
      <c r="J30" s="15"/>
      <c r="K30" s="25">
        <f t="shared" si="0"/>
        <v>-39746.626201058287</v>
      </c>
      <c r="L30" s="35">
        <f>(((D30-D$5)/(D$6-D$5))*G6+(1-((D30-D$5)/(D$6-D$5)))*G5)</f>
        <v>2.4789971178476264</v>
      </c>
      <c r="M30" s="29">
        <f t="shared" si="1"/>
        <v>0.99404106512635859</v>
      </c>
      <c r="N30" s="25">
        <f t="shared" si="2"/>
        <v>-39509.778644079212</v>
      </c>
      <c r="O30" s="25" t="s">
        <v>28</v>
      </c>
      <c r="P30" s="58">
        <v>7.4213479718995695E-2</v>
      </c>
      <c r="Q30" s="14" t="s">
        <v>35</v>
      </c>
      <c r="R30" s="25">
        <f t="shared" si="3"/>
        <v>-2932.1581561043818</v>
      </c>
      <c r="S30" s="14" t="s">
        <v>34</v>
      </c>
      <c r="T30" s="57">
        <v>0.99404106512635904</v>
      </c>
      <c r="U30" s="29">
        <f t="shared" si="4"/>
        <v>0</v>
      </c>
    </row>
    <row r="31" spans="1:21">
      <c r="A31" s="21">
        <v>1</v>
      </c>
      <c r="B31" s="27">
        <v>41681</v>
      </c>
      <c r="C31" s="27">
        <v>41765</v>
      </c>
      <c r="D31" s="27">
        <v>41793</v>
      </c>
      <c r="E31" s="95">
        <f t="shared" ref="E31:E53" si="7">((H31/I31)-1)*(36000/28)</f>
        <v>3.8256887952310734</v>
      </c>
      <c r="F31" s="69">
        <f>((C31-'MXN TIIE'!D4)/('MXN TIIE'!D5-'MXN TIIE'!D4))*'MXN TIIE'!G5+(('MXN TIIE'!D5-C31)/('MXN TIIE'!D5-'MXN TIIE'!D4))*'MXN TIIE'!G4</f>
        <v>3.8372947274008635</v>
      </c>
      <c r="G31" s="69">
        <f>((D31-'MXN TIIE'!D4)/('MXN TIIE'!D5-'MXN TIIE'!D4))*'MXN TIIE'!G5+(('MXN TIIE'!D5-D31)/('MXN TIIE'!D5-'MXN TIIE'!D4))*'MXN TIIE'!G4</f>
        <v>3.8459286885583097</v>
      </c>
      <c r="H31" s="69">
        <f t="shared" si="5"/>
        <v>0.99079110411856752</v>
      </c>
      <c r="I31" s="69">
        <f t="shared" si="6"/>
        <v>0.98785171604191424</v>
      </c>
      <c r="J31" s="15"/>
      <c r="K31" s="25">
        <f t="shared" si="0"/>
        <v>-40110.757231765114</v>
      </c>
      <c r="L31" s="35">
        <f>(((D31-D$6)/(D$7-D$6))*G7+(1-((D31-D$6)/(D$7-D$6)))*G6)</f>
        <v>2.4519368058705941</v>
      </c>
      <c r="M31" s="29">
        <f t="shared" si="1"/>
        <v>0.99223782578322661</v>
      </c>
      <c r="N31" s="25">
        <f t="shared" si="2"/>
        <v>-39799.410546165447</v>
      </c>
      <c r="O31" s="25" t="s">
        <v>28</v>
      </c>
      <c r="P31" s="58">
        <v>7.4213479718995695E-2</v>
      </c>
      <c r="Q31" s="14" t="s">
        <v>35</v>
      </c>
      <c r="R31" s="25">
        <f t="shared" si="3"/>
        <v>-2953.6527473958326</v>
      </c>
      <c r="S31" s="14" t="s">
        <v>34</v>
      </c>
      <c r="T31" s="57">
        <v>0.99223782578322695</v>
      </c>
      <c r="U31" s="29">
        <f t="shared" si="4"/>
        <v>0</v>
      </c>
    </row>
    <row r="32" spans="1:21">
      <c r="A32" s="21">
        <v>1</v>
      </c>
      <c r="B32" s="27">
        <v>41681</v>
      </c>
      <c r="C32" s="27">
        <v>41793</v>
      </c>
      <c r="D32" s="27">
        <v>41821</v>
      </c>
      <c r="E32" s="95">
        <f t="shared" si="7"/>
        <v>3.8427709612713281</v>
      </c>
      <c r="F32" s="69">
        <f t="shared" ref="F32:F47" si="8">G31</f>
        <v>3.8459286885583097</v>
      </c>
      <c r="G32" s="69">
        <f>((D32-'MXN TIIE'!D4)/('MXN TIIE'!D5-'MXN TIIE'!D4))*'MXN TIIE'!G5+(('MXN TIIE'!D5-D32)/('MXN TIIE'!D5-'MXN TIIE'!D4))*'MXN TIIE'!G4</f>
        <v>3.8545626497157564</v>
      </c>
      <c r="H32" s="69">
        <f t="shared" si="5"/>
        <v>0.98785171604191424</v>
      </c>
      <c r="I32" s="69">
        <f t="shared" si="6"/>
        <v>0.98490800147822199</v>
      </c>
      <c r="J32" s="15"/>
      <c r="K32" s="25">
        <f t="shared" si="0"/>
        <v>-40289.856644108193</v>
      </c>
      <c r="L32" s="35">
        <f>(((D32-D$6)/(D$7-D$6))*G7+(1-((D32-D$6)/(D$7-D$6)))*G6)</f>
        <v>2.4319786132436647</v>
      </c>
      <c r="M32" s="29">
        <f t="shared" si="1"/>
        <v>0.99045122649734674</v>
      </c>
      <c r="N32" s="25">
        <f t="shared" si="2"/>
        <v>-39905.137928559234</v>
      </c>
      <c r="O32" s="25" t="s">
        <v>28</v>
      </c>
      <c r="P32" s="58">
        <v>7.4213479718995695E-2</v>
      </c>
      <c r="Q32" s="14" t="s">
        <v>35</v>
      </c>
      <c r="R32" s="25">
        <f t="shared" si="3"/>
        <v>-2961.4991443448566</v>
      </c>
      <c r="S32" s="14" t="s">
        <v>34</v>
      </c>
      <c r="T32" s="57">
        <v>0.99045122649734696</v>
      </c>
      <c r="U32" s="29">
        <f t="shared" si="4"/>
        <v>0</v>
      </c>
    </row>
    <row r="33" spans="1:21">
      <c r="A33" s="21">
        <v>1</v>
      </c>
      <c r="B33" s="27">
        <v>41681</v>
      </c>
      <c r="C33" s="27">
        <v>41821</v>
      </c>
      <c r="D33" s="27">
        <v>41849</v>
      </c>
      <c r="E33" s="95">
        <f t="shared" si="7"/>
        <v>3.8629306696111549</v>
      </c>
      <c r="F33" s="69">
        <f t="shared" si="8"/>
        <v>3.8545626497157564</v>
      </c>
      <c r="G33" s="69">
        <f>((D33-'MXN TIIE'!D5)/('MXN TIIE'!D6-'MXN TIIE'!D5))*'MXN TIIE'!G6+(('MXN TIIE'!D6-D33)/('MXN TIIE'!D6-'MXN TIIE'!D5))*'MXN TIIE'!G5</f>
        <v>3.8637030061908848</v>
      </c>
      <c r="H33" s="69">
        <f t="shared" si="5"/>
        <v>0.98490800147822199</v>
      </c>
      <c r="I33" s="69">
        <f t="shared" si="6"/>
        <v>0.98195770794223336</v>
      </c>
      <c r="J33" s="15"/>
      <c r="K33" s="25">
        <f t="shared" si="0"/>
        <v>-40501.222808572478</v>
      </c>
      <c r="L33" s="35">
        <f>(((D33-D$6)/(D$7-D$6))*G7+(1-((D33-D$6)/(D$7-D$6)))*G6)</f>
        <v>2.4120204206167357</v>
      </c>
      <c r="M33" s="29">
        <f t="shared" si="1"/>
        <v>0.98869811837131505</v>
      </c>
      <c r="N33" s="25">
        <f t="shared" si="2"/>
        <v>-40043.482782572995</v>
      </c>
      <c r="O33" s="25" t="s">
        <v>28</v>
      </c>
      <c r="P33" s="58">
        <v>7.4213479718995695E-2</v>
      </c>
      <c r="Q33" s="14" t="s">
        <v>35</v>
      </c>
      <c r="R33" s="25">
        <f t="shared" si="3"/>
        <v>-2971.7661973624345</v>
      </c>
      <c r="S33" s="14" t="s">
        <v>34</v>
      </c>
      <c r="T33" s="57">
        <v>0.98869811837131505</v>
      </c>
      <c r="U33" s="29">
        <f t="shared" si="4"/>
        <v>0</v>
      </c>
    </row>
    <row r="34" spans="1:21">
      <c r="A34" s="21">
        <v>1</v>
      </c>
      <c r="B34" s="27">
        <v>41681</v>
      </c>
      <c r="C34" s="27">
        <v>41849</v>
      </c>
      <c r="D34" s="27">
        <v>41877</v>
      </c>
      <c r="E34" s="95">
        <f t="shared" si="7"/>
        <v>3.97763375989167</v>
      </c>
      <c r="F34" s="69">
        <f t="shared" si="8"/>
        <v>3.8637030061908848</v>
      </c>
      <c r="G34" s="69">
        <f>((D34-'MXN TIIE'!D5)/('MXN TIIE'!D6-'MXN TIIE'!D5))*'MXN TIIE'!G6+(('MXN TIIE'!D6-D34)/('MXN TIIE'!D6-'MXN TIIE'!D5))*'MXN TIIE'!G5</f>
        <v>3.8865160362434112</v>
      </c>
      <c r="H34" s="69">
        <f t="shared" si="5"/>
        <v>0.98195770794223336</v>
      </c>
      <c r="I34" s="69">
        <f t="shared" si="6"/>
        <v>0.97892917991091144</v>
      </c>
      <c r="J34" s="15"/>
      <c r="K34" s="25">
        <f t="shared" si="0"/>
        <v>-41703.837044657266</v>
      </c>
      <c r="L34" s="35">
        <f>(((D34-D$7)/(D$8-D$7))*G8+(1-((D34-D$7)/(D$8-D$7)))*G7)</f>
        <v>2.4022418464804969</v>
      </c>
      <c r="M34" s="29">
        <f t="shared" si="1"/>
        <v>0.98692328399158158</v>
      </c>
      <c r="N34" s="25">
        <f t="shared" si="2"/>
        <v>-41158.487811162922</v>
      </c>
      <c r="O34" s="25" t="s">
        <v>28</v>
      </c>
      <c r="P34" s="58">
        <v>7.4213479718995695E-2</v>
      </c>
      <c r="Q34" s="14" t="s">
        <v>35</v>
      </c>
      <c r="R34" s="25">
        <f t="shared" si="3"/>
        <v>-3054.5146004382709</v>
      </c>
      <c r="S34" s="14" t="s">
        <v>34</v>
      </c>
      <c r="T34" s="57">
        <v>0.98692328399158202</v>
      </c>
      <c r="U34" s="29">
        <f t="shared" si="4"/>
        <v>0</v>
      </c>
    </row>
    <row r="35" spans="1:21">
      <c r="A35" s="21">
        <v>1</v>
      </c>
      <c r="B35" s="27">
        <v>41681</v>
      </c>
      <c r="C35" s="27">
        <v>41877</v>
      </c>
      <c r="D35" s="27">
        <v>41905</v>
      </c>
      <c r="E35" s="95">
        <f t="shared" si="7"/>
        <v>4.0227748158734311</v>
      </c>
      <c r="F35" s="69">
        <f t="shared" si="8"/>
        <v>3.8865160362434112</v>
      </c>
      <c r="G35" s="69">
        <f>((D35-'MXN TIIE'!D5)/('MXN TIIE'!D6-'MXN TIIE'!D5))*'MXN TIIE'!G6+(('MXN TIIE'!D6-D35)/('MXN TIIE'!D6-'MXN TIIE'!D5))*'MXN TIIE'!G5</f>
        <v>3.9093290662959381</v>
      </c>
      <c r="H35" s="69">
        <f t="shared" si="5"/>
        <v>0.97892917991091144</v>
      </c>
      <c r="I35" s="69">
        <f t="shared" si="6"/>
        <v>0.97587583534015809</v>
      </c>
      <c r="J35" s="15"/>
      <c r="K35" s="25">
        <f t="shared" si="0"/>
        <v>-42177.12225800944</v>
      </c>
      <c r="L35" s="35">
        <f>(((D35-D$7)/(D$8-D$7))*G8+(1-((D35-D$7)/(D$8-D$7)))*G7)</f>
        <v>2.4012856083695215</v>
      </c>
      <c r="M35" s="29">
        <f t="shared" si="1"/>
        <v>0.98511212532479697</v>
      </c>
      <c r="N35" s="25">
        <f t="shared" si="2"/>
        <v>-41549.194547671483</v>
      </c>
      <c r="O35" s="25" t="s">
        <v>28</v>
      </c>
      <c r="P35" s="58">
        <v>7.4213479718995695E-2</v>
      </c>
      <c r="Q35" s="14" t="s">
        <v>35</v>
      </c>
      <c r="R35" s="25">
        <f t="shared" si="3"/>
        <v>-3083.5103069042243</v>
      </c>
      <c r="S35" s="14" t="s">
        <v>34</v>
      </c>
      <c r="T35" s="57">
        <v>0.98511212532479697</v>
      </c>
      <c r="U35" s="29">
        <f t="shared" si="4"/>
        <v>0</v>
      </c>
    </row>
    <row r="36" spans="1:21">
      <c r="A36" s="21">
        <v>1</v>
      </c>
      <c r="B36" s="27">
        <v>41681</v>
      </c>
      <c r="C36" s="27">
        <v>41905</v>
      </c>
      <c r="D36" s="27">
        <v>41933</v>
      </c>
      <c r="E36" s="95">
        <f t="shared" si="7"/>
        <v>4.0675822331807909</v>
      </c>
      <c r="F36" s="69">
        <f t="shared" si="8"/>
        <v>3.9093290662959381</v>
      </c>
      <c r="G36" s="69">
        <f>((D36-'MXN TIIE'!D6)/('MXN TIIE'!D7-'MXN TIIE'!D6))*'MXN TIIE'!G7+(('MXN TIIE'!D7-D36)/('MXN TIIE'!D7-'MXN TIIE'!D6))*'MXN TIIE'!G6</f>
        <v>3.9321050398157258</v>
      </c>
      <c r="H36" s="69">
        <f t="shared" si="5"/>
        <v>0.97587583534015809</v>
      </c>
      <c r="I36" s="69">
        <f t="shared" si="6"/>
        <v>0.97279821786989784</v>
      </c>
      <c r="J36" s="15"/>
      <c r="K36" s="25">
        <f t="shared" si="0"/>
        <v>-42646.909408505911</v>
      </c>
      <c r="L36" s="35">
        <f>(((D36-D$7)/(D$8-D$7))*G8+(1-((D36-D$7)/(D$8-D$7)))*G7)</f>
        <v>2.4003293702585475</v>
      </c>
      <c r="M36" s="29">
        <f t="shared" si="1"/>
        <v>0.98330573302933399</v>
      </c>
      <c r="N36" s="25">
        <f t="shared" si="2"/>
        <v>-41934.950517366509</v>
      </c>
      <c r="O36" s="25" t="s">
        <v>28</v>
      </c>
      <c r="P36" s="58">
        <v>7.4213479718995695E-2</v>
      </c>
      <c r="Q36" s="14" t="s">
        <v>35</v>
      </c>
      <c r="R36" s="25">
        <f t="shared" si="3"/>
        <v>-3112.1385997376674</v>
      </c>
      <c r="S36" s="14" t="s">
        <v>34</v>
      </c>
      <c r="T36" s="57">
        <v>0.98330573302933399</v>
      </c>
      <c r="U36" s="29">
        <f t="shared" si="4"/>
        <v>0</v>
      </c>
    </row>
    <row r="37" spans="1:21">
      <c r="A37" s="21">
        <v>1</v>
      </c>
      <c r="B37" s="27">
        <v>41681</v>
      </c>
      <c r="C37" s="27">
        <v>41933</v>
      </c>
      <c r="D37" s="27">
        <v>41961</v>
      </c>
      <c r="E37" s="95">
        <f t="shared" si="7"/>
        <v>4.1026119484721049</v>
      </c>
      <c r="F37" s="70">
        <f t="shared" si="8"/>
        <v>3.9321050398157258</v>
      </c>
      <c r="G37" s="70">
        <f>((D37-'MXN TIIE'!D6)/('MXN TIIE'!D7-'MXN TIIE'!D6))*'MXN TIIE'!G7+(('MXN TIIE'!D7-D37)/('MXN TIIE'!D7-'MXN TIIE'!D6))*'MXN TIIE'!G6</f>
        <v>3.9538804869515713</v>
      </c>
      <c r="H37" s="69">
        <f t="shared" si="5"/>
        <v>0.97279821786989784</v>
      </c>
      <c r="I37" s="69">
        <f t="shared" si="6"/>
        <v>0.96970396968682826</v>
      </c>
      <c r="J37" s="15"/>
      <c r="K37" s="25">
        <f t="shared" si="0"/>
        <v>-43014.181416542538</v>
      </c>
      <c r="L37" s="36">
        <f>(((D37-D$8)/(D$9-D$8))*G9+(1-((D37-D$8)/(D$9-D$8)))*G8)</f>
        <v>2.4027302489074631</v>
      </c>
      <c r="M37" s="29">
        <f t="shared" si="1"/>
        <v>0.9814784554107806</v>
      </c>
      <c r="N37" s="25">
        <f t="shared" si="2"/>
        <v>-42217.492337467273</v>
      </c>
      <c r="O37" s="25" t="s">
        <v>28</v>
      </c>
      <c r="P37" s="58">
        <v>7.4213479718995695E-2</v>
      </c>
      <c r="Q37" s="14" t="s">
        <v>35</v>
      </c>
      <c r="R37" s="25">
        <f t="shared" si="3"/>
        <v>-3133.1070113734836</v>
      </c>
      <c r="S37" s="14" t="s">
        <v>34</v>
      </c>
      <c r="T37" s="57">
        <v>0.98147845541078105</v>
      </c>
      <c r="U37" s="29">
        <f t="shared" si="4"/>
        <v>0</v>
      </c>
    </row>
    <row r="38" spans="1:21">
      <c r="A38" s="21">
        <v>1</v>
      </c>
      <c r="B38" s="27">
        <v>41681</v>
      </c>
      <c r="C38" s="27">
        <v>41961</v>
      </c>
      <c r="D38" s="27">
        <v>41989</v>
      </c>
      <c r="E38" s="95">
        <f t="shared" si="7"/>
        <v>4.1457040387504751</v>
      </c>
      <c r="F38" s="70">
        <f t="shared" si="8"/>
        <v>3.9538804869515713</v>
      </c>
      <c r="G38" s="70">
        <f>((D38-'MXN TIIE'!D6)/('MXN TIIE'!D7-'MXN TIIE'!D6))*'MXN TIIE'!G7+(('MXN TIIE'!D7-D38)/('MXN TIIE'!D7-'MXN TIIE'!D6))*'MXN TIIE'!G6</f>
        <v>3.9756559340874156</v>
      </c>
      <c r="H38" s="69">
        <f t="shared" si="5"/>
        <v>0.96970396968682826</v>
      </c>
      <c r="I38" s="69">
        <f t="shared" si="6"/>
        <v>0.96658727043616555</v>
      </c>
      <c r="J38" s="15"/>
      <c r="K38" s="25">
        <f t="shared" si="0"/>
        <v>-43465.98407595374</v>
      </c>
      <c r="L38" s="36">
        <f>(((D38-D$8)/(D$9-D$8))*G9+(1-((D38-D$8)/(D$9-D$8)))*G8)</f>
        <v>2.4174405556759768</v>
      </c>
      <c r="M38" s="29">
        <f t="shared" si="1"/>
        <v>0.9795478910709623</v>
      </c>
      <c r="N38" s="25">
        <f t="shared" si="2"/>
        <v>-42577.013034924516</v>
      </c>
      <c r="O38" s="25" t="s">
        <v>28</v>
      </c>
      <c r="P38" s="58">
        <v>7.4213479718995695E-2</v>
      </c>
      <c r="Q38" s="14" t="s">
        <v>35</v>
      </c>
      <c r="R38" s="25">
        <f t="shared" si="3"/>
        <v>-3159.7882933627857</v>
      </c>
      <c r="S38" s="14" t="s">
        <v>34</v>
      </c>
      <c r="T38" s="57">
        <v>0.97954789107096196</v>
      </c>
      <c r="U38" s="29">
        <f t="shared" si="4"/>
        <v>0</v>
      </c>
    </row>
    <row r="39" spans="1:21">
      <c r="A39" s="21">
        <v>1</v>
      </c>
      <c r="B39" s="27">
        <v>41681</v>
      </c>
      <c r="C39" s="27">
        <v>41989</v>
      </c>
      <c r="D39" s="27">
        <v>42017</v>
      </c>
      <c r="E39" s="95">
        <f t="shared" si="7"/>
        <v>4.1887975687123609</v>
      </c>
      <c r="F39" s="70">
        <f t="shared" si="8"/>
        <v>3.9756559340874156</v>
      </c>
      <c r="G39" s="70">
        <f>((D39-'MXN TIIE'!D6)/('MXN TIIE'!D7-'MXN TIIE'!D6))*'MXN TIIE'!G7+(('MXN TIIE'!D7-D39)/('MXN TIIE'!D7-'MXN TIIE'!D6))*'MXN TIIE'!G6</f>
        <v>3.9974313812232607</v>
      </c>
      <c r="H39" s="69">
        <f t="shared" si="5"/>
        <v>0.96658727043616555</v>
      </c>
      <c r="I39" s="69">
        <f t="shared" si="6"/>
        <v>0.96344840019015732</v>
      </c>
      <c r="J39" s="15"/>
      <c r="K39" s="25">
        <f t="shared" si="0"/>
        <v>-43917.801829848329</v>
      </c>
      <c r="L39" s="36">
        <f>(((D39-D$8)/(D$9-D$8))*G9+(1-((D39-D$8)/(D$9-D$8)))*G8)</f>
        <v>2.432150862444491</v>
      </c>
      <c r="M39" s="29">
        <f t="shared" si="1"/>
        <v>0.97759906022913368</v>
      </c>
      <c r="N39" s="25">
        <f t="shared" si="2"/>
        <v>-42934.001796189055</v>
      </c>
      <c r="O39" s="25" t="s">
        <v>28</v>
      </c>
      <c r="P39" s="58">
        <v>7.4213479718995695E-2</v>
      </c>
      <c r="Q39" s="14" t="s">
        <v>35</v>
      </c>
      <c r="R39" s="25">
        <f t="shared" si="3"/>
        <v>-3186.281671556801</v>
      </c>
      <c r="S39" s="14" t="s">
        <v>34</v>
      </c>
      <c r="T39" s="57">
        <v>0.97759906022913401</v>
      </c>
      <c r="U39" s="29">
        <f t="shared" si="4"/>
        <v>0</v>
      </c>
    </row>
    <row r="40" spans="1:21">
      <c r="A40" s="21">
        <v>1</v>
      </c>
      <c r="B40" s="27">
        <v>41681</v>
      </c>
      <c r="C40" s="27">
        <v>42017</v>
      </c>
      <c r="D40" s="27">
        <v>42045</v>
      </c>
      <c r="E40" s="95">
        <f t="shared" si="7"/>
        <v>4.2357796195121429</v>
      </c>
      <c r="F40" s="70">
        <f t="shared" si="8"/>
        <v>3.9974313812232607</v>
      </c>
      <c r="G40" s="70">
        <f>((D40-'MXN TIIE'!D7)/('MXN TIIE'!D8-'MXN TIIE'!D7))*'MXN TIIE'!G8+(('MXN TIIE'!D8-D40)/('MXN TIIE'!D8-'MXN TIIE'!D7))*'MXN TIIE'!G7</f>
        <v>4.019505708048893</v>
      </c>
      <c r="H40" s="69">
        <f t="shared" si="5"/>
        <v>0.96344840019015732</v>
      </c>
      <c r="I40" s="69">
        <f t="shared" si="6"/>
        <v>0.96028474664445129</v>
      </c>
      <c r="J40" s="15"/>
      <c r="K40" s="25">
        <f t="shared" si="0"/>
        <v>-44410.38910883182</v>
      </c>
      <c r="L40" s="36">
        <f>(((D40-D$8)/(D$9-D$8))*G9+(1-((D40-D$8)/(D$9-D$8)))*G8)</f>
        <v>2.4468611692130047</v>
      </c>
      <c r="M40" s="29">
        <f t="shared" si="1"/>
        <v>0.97563208710563465</v>
      </c>
      <c r="N40" s="25">
        <f t="shared" si="2"/>
        <v>-43328.200615422931</v>
      </c>
      <c r="O40" s="25" t="s">
        <v>28</v>
      </c>
      <c r="P40" s="58">
        <v>7.4213479718995695E-2</v>
      </c>
      <c r="Q40" s="14" t="s">
        <v>35</v>
      </c>
      <c r="R40" s="25">
        <f t="shared" si="3"/>
        <v>-3215.5365376332666</v>
      </c>
      <c r="S40" s="14" t="s">
        <v>34</v>
      </c>
      <c r="T40" s="57">
        <v>0.97563208710563498</v>
      </c>
      <c r="U40" s="29">
        <f t="shared" si="4"/>
        <v>0</v>
      </c>
    </row>
    <row r="41" spans="1:21">
      <c r="A41" s="21">
        <v>1</v>
      </c>
      <c r="B41" s="27">
        <v>41681</v>
      </c>
      <c r="C41" s="27">
        <v>42045</v>
      </c>
      <c r="D41" s="27">
        <v>42073</v>
      </c>
      <c r="E41" s="95">
        <f t="shared" si="7"/>
        <v>4.3924132377621197</v>
      </c>
      <c r="F41" s="70">
        <f t="shared" si="8"/>
        <v>4.019505708048893</v>
      </c>
      <c r="G41" s="70">
        <f>((D41-'MXN TIIE'!D7)/('MXN TIIE'!D8-'MXN TIIE'!D7))*'MXN TIIE'!G8+(('MXN TIIE'!D8-D41)/('MXN TIIE'!D8-'MXN TIIE'!D7))*'MXN TIIE'!G7</f>
        <v>4.0496497864987901</v>
      </c>
      <c r="H41" s="69">
        <f t="shared" si="5"/>
        <v>0.96028474664445129</v>
      </c>
      <c r="I41" s="69">
        <f t="shared" si="6"/>
        <v>0.95701527487393157</v>
      </c>
      <c r="J41" s="15"/>
      <c r="K41" s="25">
        <f t="shared" si="0"/>
        <v>-46052.627506212571</v>
      </c>
      <c r="L41" s="36">
        <f>(((D41-D$9)/(D$10-D$9))*G10+(1-((D41-D$9)/(D$10-D$9)))*G9)</f>
        <v>2.4566766940087703</v>
      </c>
      <c r="M41" s="29">
        <f t="shared" si="1"/>
        <v>0.97369880383238894</v>
      </c>
      <c r="N41" s="25">
        <f t="shared" si="2"/>
        <v>-44841.388316137753</v>
      </c>
      <c r="O41" s="25" t="s">
        <v>28</v>
      </c>
      <c r="P41" s="58">
        <v>7.4213479718995695E-2</v>
      </c>
      <c r="Q41" s="14" t="s">
        <v>35</v>
      </c>
      <c r="R41" s="25">
        <f t="shared" si="3"/>
        <v>-3327.8354623712994</v>
      </c>
      <c r="S41" s="14" t="s">
        <v>34</v>
      </c>
      <c r="T41" s="57">
        <v>0.97369880383238905</v>
      </c>
      <c r="U41" s="29">
        <f t="shared" si="4"/>
        <v>0</v>
      </c>
    </row>
    <row r="42" spans="1:21">
      <c r="A42" s="21">
        <v>1</v>
      </c>
      <c r="B42" s="27">
        <v>41681</v>
      </c>
      <c r="C42" s="27">
        <v>42073</v>
      </c>
      <c r="D42" s="27">
        <v>42101</v>
      </c>
      <c r="E42" s="95">
        <f t="shared" si="7"/>
        <v>4.4520800515373313</v>
      </c>
      <c r="F42" s="70">
        <f t="shared" si="8"/>
        <v>4.0496497864987901</v>
      </c>
      <c r="G42" s="70">
        <f>((D42-'MXN TIIE'!D7)/('MXN TIIE'!D8-'MXN TIIE'!D7))*'MXN TIIE'!G8+(('MXN TIIE'!D8-D42)/('MXN TIIE'!D8-'MXN TIIE'!D7))*'MXN TIIE'!G7</f>
        <v>4.0797938649486882</v>
      </c>
      <c r="H42" s="69">
        <f t="shared" si="5"/>
        <v>0.95701527487393157</v>
      </c>
      <c r="I42" s="69">
        <f t="shared" si="6"/>
        <v>0.95371282588181761</v>
      </c>
      <c r="J42" s="15"/>
      <c r="K42" s="25">
        <f t="shared" si="0"/>
        <v>-46678.209253769724</v>
      </c>
      <c r="L42" s="36">
        <f>(((D42-D$9)/(D$10-D$9))*G10+(1-((D42-D$9)/(D$10-D$9)))*G9)</f>
        <v>2.4663109305833228</v>
      </c>
      <c r="M42" s="29">
        <f t="shared" si="1"/>
        <v>0.97175676375098718</v>
      </c>
      <c r="N42" s="25">
        <f t="shared" si="2"/>
        <v>-45359.865562134648</v>
      </c>
      <c r="O42" s="25" t="s">
        <v>28</v>
      </c>
      <c r="P42" s="58">
        <v>7.4213479718995695E-2</v>
      </c>
      <c r="Q42" s="14" t="s">
        <v>35</v>
      </c>
      <c r="R42" s="25">
        <f t="shared" si="3"/>
        <v>-3366.3134629518509</v>
      </c>
      <c r="S42" s="14" t="s">
        <v>34</v>
      </c>
      <c r="T42" s="57">
        <v>0.97175676375098696</v>
      </c>
      <c r="U42" s="29">
        <f t="shared" si="4"/>
        <v>0</v>
      </c>
    </row>
    <row r="43" spans="1:21">
      <c r="A43" s="21">
        <v>1</v>
      </c>
      <c r="B43" s="27">
        <v>41681</v>
      </c>
      <c r="C43" s="27">
        <v>42101</v>
      </c>
      <c r="D43" s="27">
        <v>42129</v>
      </c>
      <c r="E43" s="95">
        <f t="shared" si="7"/>
        <v>4.5117496248736941</v>
      </c>
      <c r="F43" s="70">
        <f t="shared" si="8"/>
        <v>4.0797938649486882</v>
      </c>
      <c r="G43" s="70">
        <f>((D43-'MXN TIIE'!D7)/('MXN TIIE'!D8-'MXN TIIE'!D7))*'MXN TIIE'!G8+(('MXN TIIE'!D8-D43)/('MXN TIIE'!D8-'MXN TIIE'!D7))*'MXN TIIE'!G7</f>
        <v>4.1099379433985863</v>
      </c>
      <c r="H43" s="69">
        <f t="shared" si="5"/>
        <v>0.95371282588181761</v>
      </c>
      <c r="I43" s="69">
        <f t="shared" si="6"/>
        <v>0.95037781839742863</v>
      </c>
      <c r="J43" s="15"/>
      <c r="K43" s="25">
        <f t="shared" si="0"/>
        <v>-47303.819934178791</v>
      </c>
      <c r="L43" s="36">
        <f>(((D43-D$9)/(D$10-D$9))*G10+(1-((D43-D$9)/(D$10-D$9)))*G9)</f>
        <v>2.4759451671578754</v>
      </c>
      <c r="M43" s="29">
        <f t="shared" si="1"/>
        <v>0.96980426199585368</v>
      </c>
      <c r="N43" s="25">
        <f t="shared" si="2"/>
        <v>-45875.446180851017</v>
      </c>
      <c r="O43" s="25" t="s">
        <v>28</v>
      </c>
      <c r="P43" s="58">
        <v>7.4213479718995695E-2</v>
      </c>
      <c r="Q43" s="14" t="s">
        <v>35</v>
      </c>
      <c r="R43" s="25">
        <f t="shared" si="3"/>
        <v>-3404.5764947424655</v>
      </c>
      <c r="S43" s="14" t="s">
        <v>34</v>
      </c>
      <c r="T43" s="57">
        <v>0.96980426199585401</v>
      </c>
      <c r="U43" s="76">
        <f t="shared" si="4"/>
        <v>0</v>
      </c>
    </row>
    <row r="44" spans="1:21">
      <c r="A44" s="21">
        <v>1</v>
      </c>
      <c r="B44" s="27">
        <v>41681</v>
      </c>
      <c r="C44" s="27">
        <v>42129</v>
      </c>
      <c r="D44" s="27">
        <v>42157</v>
      </c>
      <c r="E44" s="95">
        <f t="shared" si="7"/>
        <v>4.5714219578993909</v>
      </c>
      <c r="F44" s="70">
        <f t="shared" si="8"/>
        <v>4.1099379433985863</v>
      </c>
      <c r="G44" s="70">
        <f>((D44-'MXN TIIE'!D7)/('MXN TIIE'!D8-'MXN TIIE'!D7))*'MXN TIIE'!G8+(('MXN TIIE'!D8-D44)/('MXN TIIE'!D8-'MXN TIIE'!D7))*'MXN TIIE'!G7</f>
        <v>4.1400820218484835</v>
      </c>
      <c r="H44" s="69">
        <f t="shared" si="5"/>
        <v>0.95037781839742863</v>
      </c>
      <c r="I44" s="69">
        <f t="shared" si="6"/>
        <v>0.94701067420487572</v>
      </c>
      <c r="J44" s="15"/>
      <c r="K44" s="25">
        <f t="shared" si="0"/>
        <v>-47929.459548783721</v>
      </c>
      <c r="L44" s="36">
        <f>(((D44-D$9)/(D$10-D$9))*G10+(1-((D44-D$9)/(D$10-D$9)))*G9)</f>
        <v>2.4855794037324284</v>
      </c>
      <c r="M44" s="29">
        <f t="shared" si="1"/>
        <v>0.96784137724969321</v>
      </c>
      <c r="N44" s="25">
        <f t="shared" si="2"/>
        <v>-46388.114140528298</v>
      </c>
      <c r="O44" s="25" t="s">
        <v>28</v>
      </c>
      <c r="P44" s="58">
        <v>7.4213479718995695E-2</v>
      </c>
      <c r="Q44" s="14" t="s">
        <v>35</v>
      </c>
      <c r="R44" s="25">
        <f t="shared" si="3"/>
        <v>-3442.6233679705542</v>
      </c>
      <c r="S44" s="14" t="s">
        <v>34</v>
      </c>
      <c r="T44" s="57">
        <v>0.96784137724969299</v>
      </c>
      <c r="U44" s="76">
        <f t="shared" si="4"/>
        <v>0</v>
      </c>
    </row>
    <row r="45" spans="1:21">
      <c r="A45" s="21">
        <v>1</v>
      </c>
      <c r="B45" s="27">
        <v>41681</v>
      </c>
      <c r="C45" s="27">
        <v>42157</v>
      </c>
      <c r="D45" s="27">
        <v>42185</v>
      </c>
      <c r="E45" s="95">
        <f t="shared" si="7"/>
        <v>4.6310970507414639</v>
      </c>
      <c r="F45" s="70">
        <f t="shared" si="8"/>
        <v>4.1400820218484835</v>
      </c>
      <c r="G45" s="70">
        <f>((D45-'MXN TIIE'!D7)/('MXN TIIE'!D8-'MXN TIIE'!D7))*'MXN TIIE'!G8+(('MXN TIIE'!D8-D45)/('MXN TIIE'!D8-'MXN TIIE'!D7))*'MXN TIIE'!G7</f>
        <v>4.1702261002983807</v>
      </c>
      <c r="H45" s="69">
        <f t="shared" si="5"/>
        <v>0.94701067420487572</v>
      </c>
      <c r="I45" s="69">
        <f t="shared" si="6"/>
        <v>0.94361181805449135</v>
      </c>
      <c r="J45" s="15"/>
      <c r="K45" s="25">
        <f t="shared" si="0"/>
        <v>-48555.128098916488</v>
      </c>
      <c r="L45" s="36">
        <f>(((D45-D$9)/(D$10-D$9))*G10+(1-((D45-D$9)/(D$10-D$9)))*G9)</f>
        <v>2.4952136403069809</v>
      </c>
      <c r="M45" s="29">
        <f t="shared" si="1"/>
        <v>0.96586818849649181</v>
      </c>
      <c r="N45" s="25">
        <f t="shared" si="2"/>
        <v>-46897.85361911558</v>
      </c>
      <c r="O45" s="25" t="s">
        <v>28</v>
      </c>
      <c r="P45" s="58">
        <v>7.4213479718995695E-2</v>
      </c>
      <c r="Q45" s="14" t="s">
        <v>35</v>
      </c>
      <c r="R45" s="25">
        <f t="shared" si="3"/>
        <v>-3480.4529084266628</v>
      </c>
      <c r="S45" s="14" t="s">
        <v>34</v>
      </c>
      <c r="T45" s="57">
        <v>0.96586818849649203</v>
      </c>
      <c r="U45" s="76">
        <f t="shared" si="4"/>
        <v>0</v>
      </c>
    </row>
    <row r="46" spans="1:21" ht="15.75" thickBot="1">
      <c r="A46" s="21">
        <v>1</v>
      </c>
      <c r="B46" s="27">
        <v>41681</v>
      </c>
      <c r="C46" s="27">
        <v>42185</v>
      </c>
      <c r="D46" s="27">
        <v>42213</v>
      </c>
      <c r="E46" s="95">
        <f t="shared" si="7"/>
        <v>4.6907749035283803</v>
      </c>
      <c r="F46" s="70">
        <f t="shared" si="8"/>
        <v>4.1702261002983807</v>
      </c>
      <c r="G46" s="70">
        <f>((D46-'MXN TIIE'!D7)/('MXN TIIE'!D8-'MXN TIIE'!D7))*'MXN TIIE'!G8+(('MXN TIIE'!D8-D46)/('MXN TIIE'!D8-'MXN TIIE'!D7))*'MXN TIIE'!G7</f>
        <v>4.2003701787482779</v>
      </c>
      <c r="H46" s="69">
        <f t="shared" si="5"/>
        <v>0.94361181805449135</v>
      </c>
      <c r="I46" s="69">
        <f t="shared" si="6"/>
        <v>0.94018167757388638</v>
      </c>
      <c r="J46" s="15"/>
      <c r="K46" s="25">
        <f t="shared" si="0"/>
        <v>-49180.825585924045</v>
      </c>
      <c r="L46" s="36">
        <f>(((D46-D$9)/(D$10-D$9))*G10+(1-((D46-D$9)/(D$10-D$9)))*G9)</f>
        <v>2.5048478768815334</v>
      </c>
      <c r="M46" s="29">
        <f t="shared" si="1"/>
        <v>0.96388477501624104</v>
      </c>
      <c r="N46" s="25">
        <f t="shared" si="2"/>
        <v>-47404.649005001389</v>
      </c>
      <c r="O46" s="25" t="s">
        <v>28</v>
      </c>
      <c r="P46" s="58">
        <v>7.4213479718995695E-2</v>
      </c>
      <c r="Q46" s="14" t="s">
        <v>35</v>
      </c>
      <c r="R46" s="25">
        <f t="shared" si="3"/>
        <v>-3518.0639575187802</v>
      </c>
      <c r="S46" s="14" t="s">
        <v>34</v>
      </c>
      <c r="T46" s="57">
        <v>0.96388477501624104</v>
      </c>
      <c r="U46" s="76">
        <f t="shared" si="4"/>
        <v>0</v>
      </c>
    </row>
    <row r="47" spans="1:21">
      <c r="A47" s="21">
        <v>1</v>
      </c>
      <c r="B47" s="27">
        <v>41681</v>
      </c>
      <c r="C47" s="27">
        <v>42213</v>
      </c>
      <c r="D47" s="27">
        <v>42241</v>
      </c>
      <c r="E47" s="95">
        <f t="shared" si="7"/>
        <v>4.7504555163866113</v>
      </c>
      <c r="F47" s="70">
        <f t="shared" si="8"/>
        <v>4.2003701787482779</v>
      </c>
      <c r="G47" s="70">
        <f>((D47-'MXN TIIE'!D$7)/('MXN TIIE'!D$8-'MXN TIIE'!D$7))*'MXN TIIE'!G$8+(('MXN TIIE'!D$8-D47)/('MXN TIIE'!D$8-'MXN TIIE'!D$7))*'MXN TIIE'!G$7</f>
        <v>4.2305142571981751</v>
      </c>
      <c r="H47" s="69">
        <f t="shared" ref="H47:H52" si="9">EXP(-F47*((C47-A$24)/36500))</f>
        <v>0.94018167757388638</v>
      </c>
      <c r="I47" s="69">
        <f t="shared" ref="I47:I52" si="10">EXP(-G47*((D47-A$24)/36500))</f>
        <v>0.93672068317866009</v>
      </c>
      <c r="J47" s="15"/>
      <c r="K47" s="25">
        <f t="shared" si="0"/>
        <v>-49806.552011132371</v>
      </c>
      <c r="L47" s="37">
        <f>(((D47-D$10)/(D$11-D$10))*L55+(1-((D47-D$10)/(D$11-D$10)))*G10)</f>
        <v>2.576810602959422</v>
      </c>
      <c r="M47" s="29">
        <f t="shared" si="1"/>
        <v>0.96096526180387398</v>
      </c>
      <c r="N47" s="25">
        <f t="shared" si="2"/>
        <v>-47862.366292926083</v>
      </c>
      <c r="O47" s="25" t="s">
        <v>28</v>
      </c>
      <c r="P47" s="58">
        <v>7.4213479718995695E-2</v>
      </c>
      <c r="Q47" s="14" t="s">
        <v>35</v>
      </c>
      <c r="R47" s="25">
        <f t="shared" si="3"/>
        <v>-3552.032750183213</v>
      </c>
      <c r="S47" s="14" t="s">
        <v>34</v>
      </c>
      <c r="T47" s="57">
        <v>0.96096527306340396</v>
      </c>
      <c r="U47" s="76">
        <f t="shared" si="4"/>
        <v>-1.1259529975049531E-8</v>
      </c>
    </row>
    <row r="48" spans="1:21">
      <c r="A48" s="21">
        <v>1</v>
      </c>
      <c r="B48" s="27">
        <v>41681</v>
      </c>
      <c r="C48" s="27">
        <v>42241</v>
      </c>
      <c r="D48" s="27">
        <v>42269</v>
      </c>
      <c r="E48" s="95">
        <f t="shared" si="7"/>
        <v>4.81013888944491</v>
      </c>
      <c r="F48" s="70">
        <f t="shared" ref="F48:F53" si="11">G47</f>
        <v>4.2305142571981751</v>
      </c>
      <c r="G48" s="70">
        <f>((D48-'MXN TIIE'!D$7)/('MXN TIIE'!D$8-'MXN TIIE'!D$7))*'MXN TIIE'!G$8+(('MXN TIIE'!D$8-D48)/('MXN TIIE'!D$8-'MXN TIIE'!D$7))*'MXN TIIE'!G$7</f>
        <v>4.2606583356480732</v>
      </c>
      <c r="H48" s="69">
        <f t="shared" si="9"/>
        <v>0.93672068317866009</v>
      </c>
      <c r="I48" s="69">
        <f t="shared" si="10"/>
        <v>0.93322926798278838</v>
      </c>
      <c r="J48" s="15"/>
      <c r="K48" s="25">
        <f t="shared" si="0"/>
        <v>-50432.307375891382</v>
      </c>
      <c r="L48" s="38">
        <f>(((D48-D$10)/(D$11-D$10))*L55+(1-((D48-D$10)/(D$11-D$10)))*G10)</f>
        <v>2.7111018185406461</v>
      </c>
      <c r="M48" s="29">
        <f t="shared" si="1"/>
        <v>0.95698090261945046</v>
      </c>
      <c r="N48" s="25">
        <f t="shared" si="2"/>
        <v>-48262.7550337621</v>
      </c>
      <c r="O48" s="25" t="s">
        <v>28</v>
      </c>
      <c r="P48" s="58">
        <v>7.4213479718995695E-2</v>
      </c>
      <c r="Q48" s="14" t="s">
        <v>35</v>
      </c>
      <c r="R48" s="25">
        <f t="shared" si="3"/>
        <v>-3581.7469918809611</v>
      </c>
      <c r="S48" s="14" t="s">
        <v>34</v>
      </c>
      <c r="T48" s="57">
        <v>0.956980937927985</v>
      </c>
      <c r="U48" s="76">
        <f t="shared" si="4"/>
        <v>-3.5308534540590131E-8</v>
      </c>
    </row>
    <row r="49" spans="1:21">
      <c r="A49" s="21">
        <v>1</v>
      </c>
      <c r="B49" s="27">
        <v>41681</v>
      </c>
      <c r="C49" s="27">
        <v>42269</v>
      </c>
      <c r="D49" s="27">
        <v>42297</v>
      </c>
      <c r="E49" s="95">
        <f t="shared" si="7"/>
        <v>4.8698250228303195</v>
      </c>
      <c r="F49" s="70">
        <f t="shared" si="11"/>
        <v>4.2606583356480732</v>
      </c>
      <c r="G49" s="70">
        <f>((D49-'MXN TIIE'!D$7)/('MXN TIIE'!D$8-'MXN TIIE'!D$7))*'MXN TIIE'!G$8+(('MXN TIIE'!D$8-D49)/('MXN TIIE'!D$8-'MXN TIIE'!D$7))*'MXN TIIE'!G$7</f>
        <v>4.2908024140979713</v>
      </c>
      <c r="H49" s="69">
        <f t="shared" si="9"/>
        <v>0.93322926798278838</v>
      </c>
      <c r="I49" s="69">
        <f t="shared" si="10"/>
        <v>0.92970786770871827</v>
      </c>
      <c r="J49" s="15"/>
      <c r="K49" s="25">
        <f t="shared" si="0"/>
        <v>-51058.091681533078</v>
      </c>
      <c r="L49" s="38">
        <f>(((D49-D$10)/(D$11-D$10))*L55+(1-((D49-D$10)/(D$11-D$10)))*G10)</f>
        <v>2.8453930341218707</v>
      </c>
      <c r="M49" s="29">
        <f t="shared" si="1"/>
        <v>0.95281672878778634</v>
      </c>
      <c r="N49" s="25">
        <f t="shared" si="2"/>
        <v>-48649.003894145229</v>
      </c>
      <c r="O49" s="25" t="s">
        <v>28</v>
      </c>
      <c r="P49" s="58">
        <v>7.4213479718995695E-2</v>
      </c>
      <c r="Q49" s="14" t="s">
        <v>35</v>
      </c>
      <c r="R49" s="25">
        <f t="shared" si="3"/>
        <v>-3610.4118638474897</v>
      </c>
      <c r="S49" s="14" t="s">
        <v>34</v>
      </c>
      <c r="T49" s="57">
        <v>0.95281679015049703</v>
      </c>
      <c r="U49" s="76">
        <f t="shared" si="4"/>
        <v>-6.1362710690460176E-8</v>
      </c>
    </row>
    <row r="50" spans="1:21">
      <c r="A50" s="21">
        <v>1</v>
      </c>
      <c r="B50" s="27">
        <v>41681</v>
      </c>
      <c r="C50" s="27">
        <v>42297</v>
      </c>
      <c r="D50" s="27">
        <v>42325</v>
      </c>
      <c r="E50" s="95">
        <f t="shared" si="7"/>
        <v>4.9295139166707358</v>
      </c>
      <c r="F50" s="70">
        <f t="shared" si="11"/>
        <v>4.2908024140979713</v>
      </c>
      <c r="G50" s="70">
        <f>((D50-'MXN TIIE'!D$7)/('MXN TIIE'!D$8-'MXN TIIE'!D$7))*'MXN TIIE'!G$8+(('MXN TIIE'!D$8-D50)/('MXN TIIE'!D$8-'MXN TIIE'!D$7))*'MXN TIIE'!G$7</f>
        <v>4.3209464925478684</v>
      </c>
      <c r="H50" s="69">
        <f t="shared" si="9"/>
        <v>0.92970786770871827</v>
      </c>
      <c r="I50" s="69">
        <f t="shared" si="10"/>
        <v>0.92615692059719235</v>
      </c>
      <c r="J50" s="15"/>
      <c r="K50" s="25">
        <f t="shared" si="0"/>
        <v>-51683.904929398406</v>
      </c>
      <c r="L50" s="38">
        <f>(((D50-D$10)/(D$11-D$10))*L55+(1-((D50-D$10)/(D$11-D$10)))*G10)</f>
        <v>2.9796842497030949</v>
      </c>
      <c r="M50" s="29">
        <f t="shared" si="1"/>
        <v>0.94847523477653572</v>
      </c>
      <c r="N50" s="25">
        <f t="shared" si="2"/>
        <v>-49020.903862079307</v>
      </c>
      <c r="O50" s="25" t="s">
        <v>28</v>
      </c>
      <c r="P50" s="58">
        <v>7.4213479718995695E-2</v>
      </c>
      <c r="Q50" s="14" t="s">
        <v>35</v>
      </c>
      <c r="R50" s="25">
        <f t="shared" si="3"/>
        <v>-3638.0118545752603</v>
      </c>
      <c r="S50" s="14" t="s">
        <v>34</v>
      </c>
      <c r="T50" s="57">
        <v>0.94847532415492397</v>
      </c>
      <c r="U50" s="76">
        <f t="shared" si="4"/>
        <v>-8.9378388246075247E-8</v>
      </c>
    </row>
    <row r="51" spans="1:21">
      <c r="A51" s="21">
        <v>1</v>
      </c>
      <c r="B51" s="27">
        <v>41681</v>
      </c>
      <c r="C51" s="27">
        <v>42325</v>
      </c>
      <c r="D51" s="27">
        <v>42353</v>
      </c>
      <c r="E51" s="95">
        <f t="shared" si="7"/>
        <v>4.9892055710934864</v>
      </c>
      <c r="F51" s="70">
        <f t="shared" si="11"/>
        <v>4.3209464925478684</v>
      </c>
      <c r="G51" s="70">
        <f>((D51-'MXN TIIE'!D$7)/('MXN TIIE'!D$8-'MXN TIIE'!D$7))*'MXN TIIE'!G$8+(('MXN TIIE'!D$8-D51)/('MXN TIIE'!D$8-'MXN TIIE'!D$7))*'MXN TIIE'!G$7</f>
        <v>4.3510905709977656</v>
      </c>
      <c r="H51" s="69">
        <f t="shared" si="9"/>
        <v>0.92615692059719235</v>
      </c>
      <c r="I51" s="69">
        <f t="shared" si="10"/>
        <v>0.92257686731683075</v>
      </c>
      <c r="J51" s="15"/>
      <c r="K51" s="25">
        <f t="shared" si="0"/>
        <v>-52309.747120822329</v>
      </c>
      <c r="L51" s="38">
        <f>(((D51-D$10)/(D$11-D$10))*L55+(1-((D51-D$10)/(D$11-D$10)))*G10)</f>
        <v>3.113975465284319</v>
      </c>
      <c r="M51" s="29">
        <f t="shared" si="1"/>
        <v>0.94395901328928133</v>
      </c>
      <c r="N51" s="25">
        <f t="shared" si="2"/>
        <v>-49378.257277583274</v>
      </c>
      <c r="O51" s="25" t="s">
        <v>28</v>
      </c>
      <c r="P51" s="58">
        <v>7.4213479718995695E-2</v>
      </c>
      <c r="Q51" s="14" t="s">
        <v>35</v>
      </c>
      <c r="R51" s="25">
        <f t="shared" si="3"/>
        <v>-3664.532295029278</v>
      </c>
      <c r="S51" s="14" t="s">
        <v>34</v>
      </c>
      <c r="T51" s="57">
        <v>0.94395913259900199</v>
      </c>
      <c r="U51" s="76">
        <f t="shared" si="4"/>
        <v>-1.1930972065865575E-7</v>
      </c>
    </row>
    <row r="52" spans="1:21">
      <c r="A52" s="21">
        <v>1</v>
      </c>
      <c r="B52" s="27">
        <v>41681</v>
      </c>
      <c r="C52" s="27">
        <v>42353</v>
      </c>
      <c r="D52" s="27">
        <v>42381</v>
      </c>
      <c r="E52" s="95">
        <f t="shared" si="7"/>
        <v>5.0488999862270401</v>
      </c>
      <c r="F52" s="70">
        <f t="shared" si="11"/>
        <v>4.3510905709977656</v>
      </c>
      <c r="G52" s="70">
        <f>((D52-'MXN TIIE'!D$7)/('MXN TIIE'!D$8-'MXN TIIE'!D$7))*'MXN TIIE'!G$8+(('MXN TIIE'!D$8-D52)/('MXN TIIE'!D$8-'MXN TIIE'!D$7))*'MXN TIIE'!G$7</f>
        <v>4.3812346494476637</v>
      </c>
      <c r="H52" s="69">
        <f t="shared" si="9"/>
        <v>0.92257686731683075</v>
      </c>
      <c r="I52" s="69">
        <f t="shared" si="10"/>
        <v>0.91896815087349548</v>
      </c>
      <c r="J52" s="15"/>
      <c r="K52" s="25">
        <f t="shared" si="0"/>
        <v>-52935.618257151793</v>
      </c>
      <c r="L52" s="38">
        <f>(((D52-D$10)/(D$11-D$10))*L55+(1-((D52-D$10)/(D$11-D$10)))*G10)</f>
        <v>3.2482666808655436</v>
      </c>
      <c r="M52" s="29">
        <f t="shared" si="1"/>
        <v>0.93927075268639582</v>
      </c>
      <c r="N52" s="25">
        <f t="shared" si="2"/>
        <v>-49720.878004314683</v>
      </c>
      <c r="O52" s="25" t="s">
        <v>28</v>
      </c>
      <c r="P52" s="58">
        <v>7.4213479718995695E-2</v>
      </c>
      <c r="Q52" s="14" t="s">
        <v>35</v>
      </c>
      <c r="R52" s="25">
        <f t="shared" si="3"/>
        <v>-3689.9593713838667</v>
      </c>
      <c r="S52" s="14" t="s">
        <v>34</v>
      </c>
      <c r="T52" s="57">
        <v>0.93927090379515399</v>
      </c>
      <c r="U52" s="76">
        <f t="shared" si="4"/>
        <v>-1.5110875817292424E-7</v>
      </c>
    </row>
    <row r="53" spans="1:21" ht="15.75" thickBot="1">
      <c r="A53" s="21">
        <v>1</v>
      </c>
      <c r="B53" s="27">
        <v>41681</v>
      </c>
      <c r="C53" s="27">
        <v>42381</v>
      </c>
      <c r="D53" s="27">
        <v>42409</v>
      </c>
      <c r="E53" s="96">
        <f t="shared" si="7"/>
        <v>5.1110104496617321</v>
      </c>
      <c r="F53" s="70">
        <f t="shared" si="11"/>
        <v>4.3812346494476637</v>
      </c>
      <c r="G53" s="70">
        <f>((D53-'MXN TIIE'!D$8)/('MXN TIIE'!D$9-'MXN TIIE'!D$8))*'MXN TIIE'!G$9+(('MXN TIIE'!D$9-D53)/('MXN TIIE'!D$9-'MXN TIIE'!D$8))*'MXN TIIE'!G$8</f>
        <v>4.4114719510486307</v>
      </c>
      <c r="H53" s="69">
        <f t="shared" ref="H53" si="12">EXP(-F53*((C53-A$24)/36500))</f>
        <v>0.91896815087349548</v>
      </c>
      <c r="I53" s="69">
        <f t="shared" ref="I53" si="13">EXP(-G53*((D53-A$24)/36500))</f>
        <v>0.91532950524423895</v>
      </c>
      <c r="J53" s="15"/>
      <c r="K53" s="25">
        <f t="shared" si="0"/>
        <v>-53586.820655916395</v>
      </c>
      <c r="L53" s="39">
        <f>(((D53-D$10)/(D$11-D$10))*L55+(1-((D53-D$10)/(D$11-D$10)))*G10)</f>
        <v>3.3825578964467677</v>
      </c>
      <c r="M53" s="29">
        <f t="shared" si="1"/>
        <v>0.93441323431962375</v>
      </c>
      <c r="N53" s="25">
        <f t="shared" si="2"/>
        <v>-50072.234406000462</v>
      </c>
      <c r="O53" s="25" t="s">
        <v>28</v>
      </c>
      <c r="P53" s="58">
        <v>7.4213479718995695E-2</v>
      </c>
      <c r="Q53" s="14" t="s">
        <v>35</v>
      </c>
      <c r="R53" s="25">
        <f t="shared" si="3"/>
        <v>-3716.0347525745137</v>
      </c>
      <c r="S53" s="14" t="s">
        <v>34</v>
      </c>
      <c r="T53" s="57">
        <v>0.93441341904515196</v>
      </c>
      <c r="U53" s="76">
        <f t="shared" si="4"/>
        <v>-1.8472552820725241E-7</v>
      </c>
    </row>
    <row r="54" spans="1:21">
      <c r="A54" s="21">
        <v>1</v>
      </c>
      <c r="B54" s="27">
        <v>41681</v>
      </c>
      <c r="C54" s="27"/>
      <c r="D54" s="27">
        <v>41681</v>
      </c>
      <c r="E54" s="28"/>
      <c r="F54" s="28"/>
      <c r="G54" s="28"/>
      <c r="H54" s="28"/>
      <c r="I54" s="28"/>
      <c r="J54" s="15"/>
      <c r="K54" s="25">
        <f>D24</f>
        <v>13480180</v>
      </c>
      <c r="L54" s="35">
        <f>(((D54-B$3)/(D$3-B$3))*G3+(1-((D54-B$3)/(D$3-B$3)))*G3)</f>
        <v>2.0241355260606699</v>
      </c>
      <c r="M54" s="29">
        <f t="shared" si="1"/>
        <v>0.99977820152956931</v>
      </c>
      <c r="N54" s="25">
        <f t="shared" si="2"/>
        <v>13477190.116694869</v>
      </c>
      <c r="O54" s="25" t="s">
        <v>28</v>
      </c>
      <c r="P54" s="58">
        <v>7.4213479718995695E-2</v>
      </c>
      <c r="Q54" s="14" t="s">
        <v>35</v>
      </c>
      <c r="R54" s="25">
        <f>P54*N54</f>
        <v>1000189.175394384</v>
      </c>
      <c r="S54" s="14" t="s">
        <v>34</v>
      </c>
      <c r="T54" s="57">
        <v>0.99977820152956898</v>
      </c>
      <c r="U54" s="76">
        <f t="shared" si="4"/>
        <v>0</v>
      </c>
    </row>
    <row r="55" spans="1:21">
      <c r="A55" s="21">
        <v>1</v>
      </c>
      <c r="B55" s="27">
        <v>41681</v>
      </c>
      <c r="C55" s="27"/>
      <c r="D55" s="27">
        <v>42409</v>
      </c>
      <c r="E55" s="28"/>
      <c r="F55" s="28"/>
      <c r="G55" s="28"/>
      <c r="H55" s="28"/>
      <c r="I55" s="28"/>
      <c r="J55" s="15"/>
      <c r="K55" s="25">
        <f>-D24</f>
        <v>-13480180</v>
      </c>
      <c r="L55" s="47">
        <f>G11</f>
        <v>3.3825578964467677</v>
      </c>
      <c r="M55" s="29">
        <f t="shared" si="1"/>
        <v>0.93441323431962375</v>
      </c>
      <c r="N55" s="25">
        <f t="shared" si="2"/>
        <v>-12596058.593010705</v>
      </c>
      <c r="O55" s="25" t="s">
        <v>28</v>
      </c>
      <c r="P55" s="58">
        <v>7.4213479718995695E-2</v>
      </c>
      <c r="Q55" s="14" t="s">
        <v>35</v>
      </c>
      <c r="R55" s="25">
        <f>P55*N55</f>
        <v>-934797.33893168136</v>
      </c>
      <c r="S55" s="14" t="s">
        <v>34</v>
      </c>
      <c r="T55" s="57">
        <v>0.93441341904515196</v>
      </c>
      <c r="U55" s="76">
        <f t="shared" si="4"/>
        <v>-1.8472552820725241E-7</v>
      </c>
    </row>
    <row r="56" spans="1:21">
      <c r="A56" s="21"/>
      <c r="B56" s="27"/>
      <c r="C56" s="27"/>
      <c r="D56" s="27"/>
      <c r="E56" s="28"/>
      <c r="F56" s="28"/>
      <c r="G56" s="28"/>
      <c r="H56" s="28"/>
      <c r="I56" s="28"/>
      <c r="J56" s="15"/>
      <c r="K56" s="25"/>
      <c r="L56" s="30"/>
      <c r="M56" s="29"/>
      <c r="N56" s="25"/>
      <c r="O56" s="25"/>
      <c r="R56" s="25"/>
      <c r="U56" s="77"/>
    </row>
    <row r="57" spans="1:21">
      <c r="B57" s="21" t="s">
        <v>57</v>
      </c>
      <c r="C57" s="27"/>
      <c r="D57" s="27"/>
      <c r="E57" s="27"/>
      <c r="F57" s="27"/>
      <c r="G57" s="27"/>
      <c r="H57" s="27"/>
      <c r="I57" s="27"/>
      <c r="J57" s="28"/>
      <c r="K57" s="15"/>
      <c r="L57" s="65">
        <v>3.3825480388811702</v>
      </c>
      <c r="M57" s="97">
        <f>L57-L55</f>
        <v>-9.8575655975707832E-6</v>
      </c>
      <c r="N57" s="29"/>
      <c r="O57" s="25"/>
      <c r="P57" s="25"/>
      <c r="R57" s="61">
        <f>SUM(R28:R55)</f>
        <v>-20243.184704100131</v>
      </c>
      <c r="S57" s="25"/>
    </row>
    <row r="58" spans="1:21">
      <c r="B58" s="26" t="s">
        <v>42</v>
      </c>
      <c r="C58" s="26" t="s">
        <v>50</v>
      </c>
      <c r="D58" s="26" t="s">
        <v>51</v>
      </c>
      <c r="E58" s="26" t="s">
        <v>31</v>
      </c>
      <c r="F58" s="26" t="s">
        <v>47</v>
      </c>
      <c r="G58" s="26" t="s">
        <v>30</v>
      </c>
      <c r="H58" s="26" t="s">
        <v>41</v>
      </c>
      <c r="I58" s="26" t="s">
        <v>36</v>
      </c>
      <c r="J58" s="26" t="s">
        <v>43</v>
      </c>
      <c r="K58" s="26" t="s">
        <v>32</v>
      </c>
      <c r="L58" s="26" t="s">
        <v>37</v>
      </c>
      <c r="M58" s="26" t="s">
        <v>38</v>
      </c>
      <c r="N58" s="26" t="s">
        <v>39</v>
      </c>
      <c r="O58" s="26" t="s">
        <v>29</v>
      </c>
    </row>
    <row r="59" spans="1:21" ht="15.75" thickBot="1">
      <c r="B59" s="26" t="s">
        <v>33</v>
      </c>
      <c r="C59" s="26" t="s">
        <v>33</v>
      </c>
      <c r="D59" s="26" t="s">
        <v>33</v>
      </c>
      <c r="E59" s="26"/>
      <c r="F59" s="26"/>
      <c r="G59" s="26"/>
      <c r="H59" s="26" t="s">
        <v>44</v>
      </c>
      <c r="I59" s="26" t="s">
        <v>45</v>
      </c>
      <c r="J59" s="26" t="s">
        <v>30</v>
      </c>
      <c r="K59" s="26"/>
      <c r="L59" s="26" t="s">
        <v>27</v>
      </c>
      <c r="M59" s="26"/>
      <c r="N59" s="26" t="s">
        <v>40</v>
      </c>
      <c r="O59" s="26" t="s">
        <v>32</v>
      </c>
    </row>
    <row r="60" spans="1:21" ht="15.75" thickBot="1">
      <c r="A60" s="14">
        <v>2</v>
      </c>
      <c r="B60" s="27">
        <v>41681</v>
      </c>
      <c r="C60" s="27">
        <v>41681</v>
      </c>
      <c r="D60" s="27">
        <v>41708</v>
      </c>
      <c r="E60" s="34">
        <v>0.1555</v>
      </c>
      <c r="F60" s="31">
        <v>0.87</v>
      </c>
      <c r="G60" s="25">
        <f>D$25*((E60+F60)*(D60-C60)/36000)</f>
        <v>769.12500000000011</v>
      </c>
      <c r="H60" s="32"/>
      <c r="I60" s="33">
        <v>0.99993340993947599</v>
      </c>
      <c r="J60" s="61">
        <f t="shared" ref="J60:J85" si="14">I60*G60</f>
        <v>769.07378391969962</v>
      </c>
      <c r="K60" s="25" t="s">
        <v>34</v>
      </c>
      <c r="L60" s="25">
        <v>1</v>
      </c>
      <c r="M60" s="25" t="s">
        <v>35</v>
      </c>
      <c r="N60" s="25">
        <f>J60*L60</f>
        <v>769.07378391969962</v>
      </c>
      <c r="O60" s="14" t="s">
        <v>34</v>
      </c>
      <c r="Q60" s="67" t="s">
        <v>97</v>
      </c>
      <c r="R60" s="74">
        <f>R57+N87</f>
        <v>4.6822242438793182E-7</v>
      </c>
    </row>
    <row r="61" spans="1:21">
      <c r="A61" s="14">
        <v>2</v>
      </c>
      <c r="B61" s="27">
        <v>41681</v>
      </c>
      <c r="C61" s="27">
        <v>41708</v>
      </c>
      <c r="D61" s="27">
        <v>41738</v>
      </c>
      <c r="E61" s="34">
        <v>0.16455332712645801</v>
      </c>
      <c r="F61" s="31">
        <v>0.87</v>
      </c>
      <c r="G61" s="25">
        <f t="shared" ref="G61:G83" si="15">D$25*((E61+F61)*(D61-C61)/36000)</f>
        <v>862.12777260538167</v>
      </c>
      <c r="H61" s="32"/>
      <c r="I61" s="33">
        <v>0.99986352192128503</v>
      </c>
      <c r="J61" s="61">
        <f t="shared" si="14"/>
        <v>862.01011106336966</v>
      </c>
      <c r="K61" s="25" t="s">
        <v>34</v>
      </c>
      <c r="L61" s="25">
        <v>1</v>
      </c>
      <c r="M61" s="25" t="s">
        <v>35</v>
      </c>
      <c r="N61" s="25">
        <f t="shared" ref="N61:N85" si="16">J61*L61</f>
        <v>862.01011106336966</v>
      </c>
      <c r="O61" s="14" t="s">
        <v>34</v>
      </c>
    </row>
    <row r="62" spans="1:21">
      <c r="A62" s="14">
        <v>2</v>
      </c>
      <c r="B62" s="27">
        <v>41681</v>
      </c>
      <c r="C62" s="27">
        <v>41738</v>
      </c>
      <c r="D62" s="27">
        <v>41768</v>
      </c>
      <c r="E62" s="34">
        <v>0.174047188701554</v>
      </c>
      <c r="F62" s="31">
        <v>0.87</v>
      </c>
      <c r="G62" s="25">
        <f t="shared" si="15"/>
        <v>870.0393239179615</v>
      </c>
      <c r="H62" s="32"/>
      <c r="I62" s="33">
        <v>0.99979422982447697</v>
      </c>
      <c r="J62" s="61">
        <f t="shared" si="14"/>
        <v>869.86029577356692</v>
      </c>
      <c r="K62" s="25" t="s">
        <v>34</v>
      </c>
      <c r="L62" s="25">
        <v>1</v>
      </c>
      <c r="M62" s="25" t="s">
        <v>35</v>
      </c>
      <c r="N62" s="25">
        <f t="shared" si="16"/>
        <v>869.86029577356692</v>
      </c>
      <c r="O62" s="14" t="s">
        <v>34</v>
      </c>
    </row>
    <row r="63" spans="1:21">
      <c r="A63" s="14">
        <v>2</v>
      </c>
      <c r="B63" s="27">
        <v>41681</v>
      </c>
      <c r="C63" s="27">
        <v>41768</v>
      </c>
      <c r="D63" s="27">
        <v>41799</v>
      </c>
      <c r="E63" s="34">
        <v>0.173926452374287</v>
      </c>
      <c r="F63" s="31">
        <v>0.87</v>
      </c>
      <c r="G63" s="25">
        <f t="shared" si="15"/>
        <v>898.93666732230281</v>
      </c>
      <c r="H63" s="32"/>
      <c r="I63" s="33">
        <v>0.99972199558767305</v>
      </c>
      <c r="J63" s="61">
        <f t="shared" si="14"/>
        <v>898.68675896238472</v>
      </c>
      <c r="K63" s="25" t="s">
        <v>34</v>
      </c>
      <c r="L63" s="25">
        <v>1</v>
      </c>
      <c r="M63" s="25" t="s">
        <v>35</v>
      </c>
      <c r="N63" s="25">
        <f t="shared" si="16"/>
        <v>898.68675896238472</v>
      </c>
      <c r="O63" s="14" t="s">
        <v>34</v>
      </c>
    </row>
    <row r="64" spans="1:21">
      <c r="A64" s="14">
        <v>2</v>
      </c>
      <c r="B64" s="27">
        <v>41681</v>
      </c>
      <c r="C64" s="27">
        <v>41799</v>
      </c>
      <c r="D64" s="27">
        <v>41829</v>
      </c>
      <c r="E64" s="34">
        <v>0.17732529260054999</v>
      </c>
      <c r="F64" s="31">
        <v>0.87</v>
      </c>
      <c r="G64" s="25">
        <f t="shared" si="15"/>
        <v>872.7710771671251</v>
      </c>
      <c r="H64" s="32"/>
      <c r="I64" s="33">
        <v>0.99964934158978502</v>
      </c>
      <c r="J64" s="61">
        <f t="shared" si="14"/>
        <v>872.4650326487241</v>
      </c>
      <c r="K64" s="25" t="s">
        <v>34</v>
      </c>
      <c r="L64" s="25">
        <v>1</v>
      </c>
      <c r="M64" s="25" t="s">
        <v>35</v>
      </c>
      <c r="N64" s="25">
        <f t="shared" si="16"/>
        <v>872.4650326487241</v>
      </c>
      <c r="O64" s="14" t="s">
        <v>34</v>
      </c>
    </row>
    <row r="65" spans="1:15">
      <c r="A65" s="14">
        <v>2</v>
      </c>
      <c r="B65" s="27">
        <v>41681</v>
      </c>
      <c r="C65" s="27">
        <v>41829</v>
      </c>
      <c r="D65" s="27">
        <v>41862</v>
      </c>
      <c r="E65" s="34">
        <v>0.18163495637098401</v>
      </c>
      <c r="F65" s="31">
        <v>0.87</v>
      </c>
      <c r="G65" s="25">
        <f t="shared" si="15"/>
        <v>963.99871000673522</v>
      </c>
      <c r="H65" s="32"/>
      <c r="I65" s="33">
        <v>0.99956755877060599</v>
      </c>
      <c r="J65" s="61">
        <f t="shared" si="14"/>
        <v>963.58183721944567</v>
      </c>
      <c r="K65" s="25" t="s">
        <v>34</v>
      </c>
      <c r="L65" s="25">
        <v>1</v>
      </c>
      <c r="M65" s="25" t="s">
        <v>35</v>
      </c>
      <c r="N65" s="25">
        <f t="shared" si="16"/>
        <v>963.58183721944567</v>
      </c>
      <c r="O65" s="14" t="s">
        <v>34</v>
      </c>
    </row>
    <row r="66" spans="1:15">
      <c r="A66" s="14">
        <v>2</v>
      </c>
      <c r="B66" s="27">
        <v>41681</v>
      </c>
      <c r="C66" s="27">
        <v>41862</v>
      </c>
      <c r="D66" s="27">
        <v>41891</v>
      </c>
      <c r="E66" s="34">
        <v>0.193030672240735</v>
      </c>
      <c r="F66" s="31">
        <v>0.87</v>
      </c>
      <c r="G66" s="25">
        <f t="shared" si="15"/>
        <v>856.33026374948088</v>
      </c>
      <c r="H66" s="32"/>
      <c r="I66" s="33">
        <v>0.999496828375252</v>
      </c>
      <c r="J66" s="61">
        <f t="shared" si="14"/>
        <v>855.89938265934916</v>
      </c>
      <c r="K66" s="25" t="s">
        <v>34</v>
      </c>
      <c r="L66" s="25">
        <v>1</v>
      </c>
      <c r="M66" s="25" t="s">
        <v>35</v>
      </c>
      <c r="N66" s="25">
        <f t="shared" si="16"/>
        <v>855.89938265934916</v>
      </c>
      <c r="O66" s="14" t="s">
        <v>34</v>
      </c>
    </row>
    <row r="67" spans="1:15">
      <c r="A67" s="14">
        <v>2</v>
      </c>
      <c r="B67" s="27">
        <v>41681</v>
      </c>
      <c r="C67" s="27">
        <v>41891</v>
      </c>
      <c r="D67" s="27">
        <v>41921</v>
      </c>
      <c r="E67" s="34">
        <v>0.198780662873244</v>
      </c>
      <c r="F67" s="31">
        <v>0.87</v>
      </c>
      <c r="G67" s="25">
        <f t="shared" si="15"/>
        <v>890.65055239436992</v>
      </c>
      <c r="H67" s="32"/>
      <c r="I67" s="33">
        <v>0.99941740744292895</v>
      </c>
      <c r="J67" s="61">
        <f t="shared" si="14"/>
        <v>890.13166601159378</v>
      </c>
      <c r="K67" s="25" t="s">
        <v>34</v>
      </c>
      <c r="L67" s="25">
        <v>1</v>
      </c>
      <c r="M67" s="25" t="s">
        <v>35</v>
      </c>
      <c r="N67" s="25">
        <f t="shared" si="16"/>
        <v>890.13166601159378</v>
      </c>
      <c r="O67" s="14" t="s">
        <v>34</v>
      </c>
    </row>
    <row r="68" spans="1:15">
      <c r="A68" s="14">
        <v>2</v>
      </c>
      <c r="B68" s="27">
        <v>41681</v>
      </c>
      <c r="C68" s="27">
        <v>41921</v>
      </c>
      <c r="D68" s="27">
        <v>41953</v>
      </c>
      <c r="E68" s="34">
        <v>0.20503680051298101</v>
      </c>
      <c r="F68" s="31">
        <v>0.87</v>
      </c>
      <c r="G68" s="25">
        <f t="shared" si="15"/>
        <v>955.58826712264988</v>
      </c>
      <c r="H68" s="32"/>
      <c r="I68" s="33">
        <v>0.999328561268779</v>
      </c>
      <c r="J68" s="61">
        <f t="shared" si="14"/>
        <v>954.94664814900341</v>
      </c>
      <c r="K68" s="25" t="s">
        <v>34</v>
      </c>
      <c r="L68" s="25">
        <v>1</v>
      </c>
      <c r="M68" s="25" t="s">
        <v>35</v>
      </c>
      <c r="N68" s="25">
        <f t="shared" si="16"/>
        <v>954.94664814900341</v>
      </c>
      <c r="O68" s="14" t="s">
        <v>34</v>
      </c>
    </row>
    <row r="69" spans="1:15">
      <c r="A69" s="14">
        <v>2</v>
      </c>
      <c r="B69" s="27">
        <v>41681</v>
      </c>
      <c r="C69" s="27">
        <v>41953</v>
      </c>
      <c r="D69" s="27">
        <v>41982</v>
      </c>
      <c r="E69" s="34">
        <v>0.22635232036556399</v>
      </c>
      <c r="F69" s="31">
        <v>0.87</v>
      </c>
      <c r="G69" s="25">
        <f t="shared" si="15"/>
        <v>883.17270251670436</v>
      </c>
      <c r="H69" s="32"/>
      <c r="I69" s="33">
        <v>0.99923367216995396</v>
      </c>
      <c r="J69" s="61">
        <f t="shared" si="14"/>
        <v>882.49590269602879</v>
      </c>
      <c r="K69" s="25" t="s">
        <v>34</v>
      </c>
      <c r="L69" s="25">
        <v>1</v>
      </c>
      <c r="M69" s="25" t="s">
        <v>35</v>
      </c>
      <c r="N69" s="25">
        <f t="shared" si="16"/>
        <v>882.49590269602879</v>
      </c>
      <c r="O69" s="14" t="s">
        <v>34</v>
      </c>
    </row>
    <row r="70" spans="1:15">
      <c r="A70" s="14">
        <v>2</v>
      </c>
      <c r="B70" s="27">
        <v>41681</v>
      </c>
      <c r="C70" s="27">
        <v>41982</v>
      </c>
      <c r="D70" s="27">
        <v>42013</v>
      </c>
      <c r="E70" s="34">
        <v>0.23638743850465799</v>
      </c>
      <c r="F70" s="31">
        <v>0.87</v>
      </c>
      <c r="G70" s="25">
        <f t="shared" si="15"/>
        <v>952.72251649012219</v>
      </c>
      <c r="H70" s="32"/>
      <c r="I70" s="33">
        <v>0.99912867971522601</v>
      </c>
      <c r="J70" s="61">
        <f t="shared" si="14"/>
        <v>951.89239003574346</v>
      </c>
      <c r="K70" s="25" t="s">
        <v>34</v>
      </c>
      <c r="L70" s="25">
        <v>1</v>
      </c>
      <c r="M70" s="25" t="s">
        <v>35</v>
      </c>
      <c r="N70" s="25">
        <f t="shared" si="16"/>
        <v>951.89239003574346</v>
      </c>
      <c r="O70" s="14" t="s">
        <v>34</v>
      </c>
    </row>
    <row r="71" spans="1:15">
      <c r="A71" s="14">
        <v>2</v>
      </c>
      <c r="B71" s="27">
        <v>41681</v>
      </c>
      <c r="C71" s="27">
        <v>42013</v>
      </c>
      <c r="D71" s="27">
        <v>42044</v>
      </c>
      <c r="E71" s="34">
        <v>0.245912431098541</v>
      </c>
      <c r="F71" s="31">
        <v>0.87</v>
      </c>
      <c r="G71" s="25">
        <f t="shared" si="15"/>
        <v>960.92459344596591</v>
      </c>
      <c r="H71" s="32"/>
      <c r="I71" s="33">
        <v>0.99901711465335197</v>
      </c>
      <c r="J71" s="61">
        <f t="shared" si="14"/>
        <v>959.98011474383418</v>
      </c>
      <c r="K71" s="25" t="s">
        <v>34</v>
      </c>
      <c r="L71" s="25">
        <v>1</v>
      </c>
      <c r="M71" s="25" t="s">
        <v>35</v>
      </c>
      <c r="N71" s="25">
        <f t="shared" si="16"/>
        <v>959.98011474383418</v>
      </c>
      <c r="O71" s="14" t="s">
        <v>34</v>
      </c>
    </row>
    <row r="72" spans="1:15">
      <c r="A72" s="14">
        <v>2</v>
      </c>
      <c r="B72" s="27">
        <v>41681</v>
      </c>
      <c r="C72" s="27">
        <v>42044</v>
      </c>
      <c r="D72" s="27">
        <v>42072</v>
      </c>
      <c r="E72" s="34">
        <v>0.356989311255765</v>
      </c>
      <c r="F72" s="31">
        <v>0.87</v>
      </c>
      <c r="G72" s="25">
        <f t="shared" si="15"/>
        <v>954.32501986559498</v>
      </c>
      <c r="H72" s="32"/>
      <c r="I72" s="33">
        <v>0.99888046974925904</v>
      </c>
      <c r="J72" s="61">
        <f t="shared" si="14"/>
        <v>953.25662413681653</v>
      </c>
      <c r="K72" s="25" t="s">
        <v>34</v>
      </c>
      <c r="L72" s="25">
        <v>1</v>
      </c>
      <c r="M72" s="25" t="s">
        <v>35</v>
      </c>
      <c r="N72" s="25">
        <f t="shared" si="16"/>
        <v>953.25662413681653</v>
      </c>
      <c r="O72" s="14" t="s">
        <v>34</v>
      </c>
    </row>
    <row r="73" spans="1:15">
      <c r="A73" s="14">
        <v>2</v>
      </c>
      <c r="B73" s="27">
        <v>41681</v>
      </c>
      <c r="C73" s="27">
        <v>42072</v>
      </c>
      <c r="D73" s="27">
        <v>42103</v>
      </c>
      <c r="E73" s="34">
        <v>0.38976268922623503</v>
      </c>
      <c r="F73" s="31">
        <v>0.87</v>
      </c>
      <c r="G73" s="25">
        <f t="shared" si="15"/>
        <v>1084.7956490559245</v>
      </c>
      <c r="H73" s="32"/>
      <c r="I73" s="33">
        <v>0.99871614281714505</v>
      </c>
      <c r="J73" s="61">
        <f t="shared" si="14"/>
        <v>1083.4029263699542</v>
      </c>
      <c r="K73" s="25" t="s">
        <v>34</v>
      </c>
      <c r="L73" s="25">
        <v>1</v>
      </c>
      <c r="M73" s="25" t="s">
        <v>35</v>
      </c>
      <c r="N73" s="25">
        <f t="shared" si="16"/>
        <v>1083.4029263699542</v>
      </c>
      <c r="O73" s="14" t="s">
        <v>34</v>
      </c>
    </row>
    <row r="74" spans="1:15">
      <c r="A74" s="14">
        <v>2</v>
      </c>
      <c r="B74" s="27">
        <v>41681</v>
      </c>
      <c r="C74" s="27">
        <v>42103</v>
      </c>
      <c r="D74" s="27">
        <v>42135</v>
      </c>
      <c r="E74" s="34">
        <v>0.416969405854617</v>
      </c>
      <c r="F74" s="31">
        <v>0.87</v>
      </c>
      <c r="G74" s="25">
        <f t="shared" si="15"/>
        <v>1143.9728052041039</v>
      </c>
      <c r="H74" s="32"/>
      <c r="I74" s="33">
        <v>0.99853486477640996</v>
      </c>
      <c r="J74" s="61">
        <f t="shared" si="14"/>
        <v>1142.2967303523703</v>
      </c>
      <c r="K74" s="25" t="s">
        <v>34</v>
      </c>
      <c r="L74" s="25">
        <v>1</v>
      </c>
      <c r="M74" s="25" t="s">
        <v>35</v>
      </c>
      <c r="N74" s="25">
        <f t="shared" si="16"/>
        <v>1142.2967303523703</v>
      </c>
      <c r="O74" s="14" t="s">
        <v>34</v>
      </c>
    </row>
    <row r="75" spans="1:15">
      <c r="A75" s="14">
        <v>2</v>
      </c>
      <c r="B75" s="27">
        <v>41681</v>
      </c>
      <c r="C75" s="27">
        <v>42135</v>
      </c>
      <c r="D75" s="27">
        <v>42164</v>
      </c>
      <c r="E75" s="34">
        <v>0.444171930628877</v>
      </c>
      <c r="F75" s="31">
        <v>0.87</v>
      </c>
      <c r="G75" s="25">
        <f t="shared" si="15"/>
        <v>1058.638499673262</v>
      </c>
      <c r="H75" s="32"/>
      <c r="I75" s="33">
        <v>0.99836036403593797</v>
      </c>
      <c r="J75" s="61">
        <f t="shared" si="14"/>
        <v>1056.902717916257</v>
      </c>
      <c r="K75" s="25" t="s">
        <v>34</v>
      </c>
      <c r="L75" s="25">
        <v>1</v>
      </c>
      <c r="M75" s="25" t="s">
        <v>35</v>
      </c>
      <c r="N75" s="25">
        <f t="shared" si="16"/>
        <v>1056.902717916257</v>
      </c>
      <c r="O75" s="14" t="s">
        <v>34</v>
      </c>
    </row>
    <row r="76" spans="1:15">
      <c r="A76" s="14">
        <v>2</v>
      </c>
      <c r="B76" s="27">
        <v>41681</v>
      </c>
      <c r="C76" s="27">
        <v>42164</v>
      </c>
      <c r="D76" s="27">
        <v>42194</v>
      </c>
      <c r="E76" s="34">
        <v>0.46878342042679899</v>
      </c>
      <c r="F76" s="31">
        <v>0.87</v>
      </c>
      <c r="G76" s="25">
        <f t="shared" si="15"/>
        <v>1115.6528503556658</v>
      </c>
      <c r="H76" s="32"/>
      <c r="I76" s="33">
        <v>0.99816962834809198</v>
      </c>
      <c r="J76" s="61">
        <f t="shared" si="14"/>
        <v>1113.6107910050043</v>
      </c>
      <c r="K76" s="25" t="s">
        <v>34</v>
      </c>
      <c r="L76" s="25">
        <v>1</v>
      </c>
      <c r="M76" s="25" t="s">
        <v>35</v>
      </c>
      <c r="N76" s="25">
        <f t="shared" si="16"/>
        <v>1113.6107910050043</v>
      </c>
      <c r="O76" s="14" t="s">
        <v>34</v>
      </c>
    </row>
    <row r="77" spans="1:15">
      <c r="A77" s="14">
        <v>2</v>
      </c>
      <c r="B77" s="27">
        <v>41681</v>
      </c>
      <c r="C77" s="27">
        <v>42194</v>
      </c>
      <c r="D77" s="27">
        <v>42226</v>
      </c>
      <c r="E77" s="34">
        <v>0.49556418668486601</v>
      </c>
      <c r="F77" s="31">
        <v>0.87</v>
      </c>
      <c r="G77" s="25">
        <f t="shared" si="15"/>
        <v>1213.8348326087696</v>
      </c>
      <c r="H77" s="32"/>
      <c r="I77" s="33">
        <v>0.99795473056981798</v>
      </c>
      <c r="J77" s="61">
        <f t="shared" si="14"/>
        <v>1211.3522133323447</v>
      </c>
      <c r="K77" s="25" t="s">
        <v>34</v>
      </c>
      <c r="L77" s="25">
        <v>1</v>
      </c>
      <c r="M77" s="25" t="s">
        <v>35</v>
      </c>
      <c r="N77" s="25">
        <f t="shared" si="16"/>
        <v>1211.3522133323447</v>
      </c>
      <c r="O77" s="14" t="s">
        <v>34</v>
      </c>
    </row>
    <row r="78" spans="1:15">
      <c r="A78" s="14">
        <v>2</v>
      </c>
      <c r="B78" s="27">
        <v>41681</v>
      </c>
      <c r="C78" s="27">
        <v>42226</v>
      </c>
      <c r="D78" s="27">
        <v>42256</v>
      </c>
      <c r="E78" s="34">
        <v>0.52276755606617997</v>
      </c>
      <c r="F78" s="31">
        <v>0.87</v>
      </c>
      <c r="G78" s="25">
        <f t="shared" si="15"/>
        <v>1160.6396300551501</v>
      </c>
      <c r="H78" s="32"/>
      <c r="I78" s="33">
        <v>0.99762322533697401</v>
      </c>
      <c r="J78" s="61">
        <f t="shared" si="14"/>
        <v>1157.881051189531</v>
      </c>
      <c r="K78" s="25" t="s">
        <v>34</v>
      </c>
      <c r="L78" s="25">
        <v>1</v>
      </c>
      <c r="M78" s="25" t="s">
        <v>35</v>
      </c>
      <c r="N78" s="25">
        <f t="shared" si="16"/>
        <v>1157.881051189531</v>
      </c>
      <c r="O78" s="14" t="s">
        <v>34</v>
      </c>
    </row>
    <row r="79" spans="1:15">
      <c r="A79" s="14">
        <v>2</v>
      </c>
      <c r="B79" s="27">
        <v>41681</v>
      </c>
      <c r="C79" s="27">
        <v>42256</v>
      </c>
      <c r="D79" s="27">
        <v>42286</v>
      </c>
      <c r="E79" s="34">
        <v>0.54824332498641903</v>
      </c>
      <c r="F79" s="31">
        <v>0.87</v>
      </c>
      <c r="G79" s="25">
        <f t="shared" si="15"/>
        <v>1181.8694374886825</v>
      </c>
      <c r="H79" s="32"/>
      <c r="I79" s="33">
        <v>0.997264731229625</v>
      </c>
      <c r="J79" s="61">
        <f t="shared" si="14"/>
        <v>1178.6367069256589</v>
      </c>
      <c r="K79" s="25" t="s">
        <v>34</v>
      </c>
      <c r="L79" s="25">
        <v>1</v>
      </c>
      <c r="M79" s="25" t="s">
        <v>35</v>
      </c>
      <c r="N79" s="25">
        <f t="shared" si="16"/>
        <v>1178.6367069256589</v>
      </c>
      <c r="O79" s="14" t="s">
        <v>34</v>
      </c>
    </row>
    <row r="80" spans="1:15">
      <c r="A80" s="14">
        <v>2</v>
      </c>
      <c r="B80" s="27">
        <v>41681</v>
      </c>
      <c r="C80" s="27">
        <v>42286</v>
      </c>
      <c r="D80" s="27">
        <v>42317</v>
      </c>
      <c r="E80" s="34">
        <v>0.57459175628332504</v>
      </c>
      <c r="F80" s="31">
        <v>0.87</v>
      </c>
      <c r="G80" s="25">
        <f t="shared" si="15"/>
        <v>1243.9540123550855</v>
      </c>
      <c r="H80" s="32"/>
      <c r="I80" s="33">
        <v>0.99687006000330303</v>
      </c>
      <c r="J80" s="61">
        <f t="shared" si="14"/>
        <v>1240.0605109377636</v>
      </c>
      <c r="K80" s="25" t="s">
        <v>34</v>
      </c>
      <c r="L80" s="25">
        <v>1</v>
      </c>
      <c r="M80" s="25" t="s">
        <v>35</v>
      </c>
      <c r="N80" s="25">
        <f t="shared" si="16"/>
        <v>1240.0605109377636</v>
      </c>
      <c r="O80" s="14" t="s">
        <v>34</v>
      </c>
    </row>
    <row r="81" spans="1:17">
      <c r="A81" s="14">
        <v>2</v>
      </c>
      <c r="B81" s="27">
        <v>41681</v>
      </c>
      <c r="C81" s="27">
        <v>42317</v>
      </c>
      <c r="D81" s="27">
        <v>42347</v>
      </c>
      <c r="E81" s="34">
        <v>0.600931596218235</v>
      </c>
      <c r="F81" s="31">
        <v>0.87</v>
      </c>
      <c r="G81" s="25">
        <f t="shared" si="15"/>
        <v>1225.7763301818622</v>
      </c>
      <c r="H81" s="32"/>
      <c r="I81" s="33">
        <v>0.996464701660144</v>
      </c>
      <c r="J81" s="61">
        <f t="shared" si="14"/>
        <v>1221.4428451567355</v>
      </c>
      <c r="K81" s="25" t="s">
        <v>34</v>
      </c>
      <c r="L81" s="25">
        <v>1</v>
      </c>
      <c r="M81" s="25" t="s">
        <v>35</v>
      </c>
      <c r="N81" s="25">
        <f t="shared" si="16"/>
        <v>1221.4428451567355</v>
      </c>
      <c r="O81" s="14" t="s">
        <v>34</v>
      </c>
    </row>
    <row r="82" spans="1:17">
      <c r="A82" s="14">
        <v>2</v>
      </c>
      <c r="B82" s="27">
        <v>41681</v>
      </c>
      <c r="C82" s="27">
        <v>42347</v>
      </c>
      <c r="D82" s="27">
        <v>42380</v>
      </c>
      <c r="E82" s="34">
        <v>0.62815681675022395</v>
      </c>
      <c r="F82" s="31">
        <v>0.87</v>
      </c>
      <c r="G82" s="25">
        <f t="shared" si="15"/>
        <v>1373.310415354372</v>
      </c>
      <c r="H82" s="32"/>
      <c r="I82" s="33">
        <v>0.99599223666861803</v>
      </c>
      <c r="J82" s="61">
        <f t="shared" si="14"/>
        <v>1367.8065122291098</v>
      </c>
      <c r="K82" s="25" t="s">
        <v>34</v>
      </c>
      <c r="L82" s="25">
        <v>1</v>
      </c>
      <c r="M82" s="25" t="s">
        <v>35</v>
      </c>
      <c r="N82" s="25">
        <f t="shared" si="16"/>
        <v>1367.8065122291098</v>
      </c>
      <c r="O82" s="14" t="s">
        <v>34</v>
      </c>
    </row>
    <row r="83" spans="1:17">
      <c r="A83" s="14">
        <v>2</v>
      </c>
      <c r="B83" s="27">
        <v>41681</v>
      </c>
      <c r="C83" s="27">
        <v>42380</v>
      </c>
      <c r="D83" s="27">
        <v>42409</v>
      </c>
      <c r="E83" s="34">
        <v>0.65578765110418202</v>
      </c>
      <c r="F83" s="31">
        <v>0.87</v>
      </c>
      <c r="G83" s="25">
        <f t="shared" si="15"/>
        <v>1229.1067189450355</v>
      </c>
      <c r="H83" s="32"/>
      <c r="I83" s="33">
        <v>0.99555409119993998</v>
      </c>
      <c r="J83" s="61">
        <f t="shared" si="14"/>
        <v>1223.6422225670649</v>
      </c>
      <c r="K83" s="25" t="s">
        <v>34</v>
      </c>
      <c r="L83" s="25">
        <v>1</v>
      </c>
      <c r="M83" s="25" t="s">
        <v>35</v>
      </c>
      <c r="N83" s="25">
        <f t="shared" si="16"/>
        <v>1223.6422225670649</v>
      </c>
      <c r="O83" s="14" t="s">
        <v>34</v>
      </c>
    </row>
    <row r="84" spans="1:17">
      <c r="A84" s="14">
        <v>2</v>
      </c>
      <c r="B84" s="27">
        <v>41681</v>
      </c>
      <c r="C84" s="27"/>
      <c r="D84" s="27">
        <v>41681</v>
      </c>
      <c r="E84" s="31"/>
      <c r="F84" s="25"/>
      <c r="G84" s="25">
        <v>-1000000</v>
      </c>
      <c r="H84" s="18"/>
      <c r="I84" s="33">
        <v>0.99999222227137297</v>
      </c>
      <c r="J84" s="61">
        <f t="shared" si="14"/>
        <v>-999992.22227137291</v>
      </c>
      <c r="K84" s="25" t="s">
        <v>34</v>
      </c>
      <c r="L84" s="25">
        <v>1</v>
      </c>
      <c r="M84" s="25" t="s">
        <v>35</v>
      </c>
      <c r="N84" s="25">
        <f t="shared" si="16"/>
        <v>-999992.22227137291</v>
      </c>
      <c r="O84" s="14" t="s">
        <v>34</v>
      </c>
    </row>
    <row r="85" spans="1:17">
      <c r="A85" s="14">
        <v>2</v>
      </c>
      <c r="B85" s="27">
        <v>41681</v>
      </c>
      <c r="C85" s="27"/>
      <c r="D85" s="27">
        <v>42409</v>
      </c>
      <c r="E85" s="31"/>
      <c r="F85" s="25"/>
      <c r="G85" s="25">
        <v>1000000</v>
      </c>
      <c r="H85" s="18"/>
      <c r="I85" s="33">
        <v>0.99555409119993998</v>
      </c>
      <c r="J85" s="61">
        <f t="shared" si="14"/>
        <v>995554.09119993995</v>
      </c>
      <c r="K85" s="25" t="s">
        <v>34</v>
      </c>
      <c r="L85" s="25">
        <v>1</v>
      </c>
      <c r="M85" s="25" t="s">
        <v>35</v>
      </c>
      <c r="N85" s="25">
        <f t="shared" si="16"/>
        <v>995554.09119993995</v>
      </c>
      <c r="O85" s="14" t="s">
        <v>34</v>
      </c>
    </row>
    <row r="87" spans="1:17">
      <c r="N87" s="65">
        <f>SUM(N60:N85)</f>
        <v>20243.184704568353</v>
      </c>
      <c r="Q87" s="25"/>
    </row>
    <row r="259" spans="8:8">
      <c r="H259" s="57"/>
    </row>
    <row r="260" spans="8:8">
      <c r="H260" s="57"/>
    </row>
    <row r="261" spans="8:8">
      <c r="H261" s="57"/>
    </row>
    <row r="262" spans="8:8">
      <c r="H262" s="57"/>
    </row>
    <row r="263" spans="8:8">
      <c r="H263" s="57"/>
    </row>
    <row r="264" spans="8:8">
      <c r="H264" s="57"/>
    </row>
    <row r="265" spans="8:8">
      <c r="H265" s="57"/>
    </row>
    <row r="266" spans="8:8">
      <c r="H266" s="57"/>
    </row>
    <row r="267" spans="8:8">
      <c r="H267" s="57"/>
    </row>
    <row r="268" spans="8:8">
      <c r="H268" s="57"/>
    </row>
    <row r="269" spans="8:8">
      <c r="H269" s="57"/>
    </row>
    <row r="270" spans="8:8">
      <c r="H270" s="57"/>
    </row>
    <row r="271" spans="8:8">
      <c r="H271" s="57"/>
    </row>
    <row r="272" spans="8:8">
      <c r="H272" s="57"/>
    </row>
    <row r="273" spans="8:8">
      <c r="H273" s="57"/>
    </row>
    <row r="274" spans="8:8">
      <c r="H274" s="57"/>
    </row>
    <row r="275" spans="8:8">
      <c r="H275" s="57"/>
    </row>
    <row r="276" spans="8:8">
      <c r="H276" s="57"/>
    </row>
    <row r="277" spans="8:8">
      <c r="H277" s="57"/>
    </row>
    <row r="278" spans="8:8">
      <c r="H278" s="57"/>
    </row>
    <row r="279" spans="8:8">
      <c r="H279" s="57"/>
    </row>
    <row r="280" spans="8:8">
      <c r="H280" s="57"/>
    </row>
    <row r="281" spans="8:8">
      <c r="H281" s="57"/>
    </row>
    <row r="282" spans="8:8">
      <c r="H282" s="57"/>
    </row>
    <row r="283" spans="8:8">
      <c r="H283" s="57"/>
    </row>
    <row r="284" spans="8:8">
      <c r="H284" s="57"/>
    </row>
    <row r="285" spans="8:8">
      <c r="H285" s="57"/>
    </row>
    <row r="286" spans="8:8">
      <c r="H286" s="57"/>
    </row>
    <row r="287" spans="8:8">
      <c r="H287" s="57"/>
    </row>
    <row r="288" spans="8:8">
      <c r="H288" s="57"/>
    </row>
    <row r="289" spans="8:8">
      <c r="H289" s="57"/>
    </row>
    <row r="290" spans="8:8">
      <c r="H290" s="57"/>
    </row>
    <row r="291" spans="8:8">
      <c r="H291" s="57"/>
    </row>
    <row r="292" spans="8:8">
      <c r="H292" s="57"/>
    </row>
    <row r="293" spans="8:8">
      <c r="H293" s="57"/>
    </row>
    <row r="294" spans="8:8">
      <c r="H294" s="57"/>
    </row>
    <row r="295" spans="8:8">
      <c r="H295" s="57"/>
    </row>
    <row r="296" spans="8:8">
      <c r="H296" s="57"/>
    </row>
    <row r="297" spans="8:8">
      <c r="H297" s="57"/>
    </row>
    <row r="298" spans="8:8">
      <c r="H298" s="57"/>
    </row>
    <row r="299" spans="8:8">
      <c r="H299" s="57"/>
    </row>
    <row r="300" spans="8:8">
      <c r="H300" s="57"/>
    </row>
    <row r="301" spans="8:8">
      <c r="H301" s="57"/>
    </row>
    <row r="302" spans="8:8">
      <c r="H302" s="57"/>
    </row>
    <row r="303" spans="8:8">
      <c r="H303" s="57"/>
    </row>
    <row r="304" spans="8:8">
      <c r="H304" s="57"/>
    </row>
    <row r="305" spans="8:8">
      <c r="H305" s="57"/>
    </row>
    <row r="306" spans="8:8">
      <c r="H306" s="57"/>
    </row>
    <row r="307" spans="8:8">
      <c r="H307" s="57"/>
    </row>
    <row r="308" spans="8:8">
      <c r="H308" s="57"/>
    </row>
    <row r="309" spans="8:8">
      <c r="H309" s="57"/>
    </row>
    <row r="310" spans="8:8">
      <c r="H310" s="57"/>
    </row>
    <row r="311" spans="8:8">
      <c r="H311" s="57"/>
    </row>
    <row r="312" spans="8:8">
      <c r="H312" s="57"/>
    </row>
    <row r="313" spans="8:8">
      <c r="H313" s="57"/>
    </row>
    <row r="314" spans="8:8">
      <c r="H314" s="57"/>
    </row>
    <row r="315" spans="8:8">
      <c r="H315" s="57"/>
    </row>
    <row r="316" spans="8:8">
      <c r="H316" s="57"/>
    </row>
    <row r="317" spans="8:8">
      <c r="H317" s="57"/>
    </row>
    <row r="318" spans="8:8">
      <c r="H318" s="57"/>
    </row>
    <row r="319" spans="8:8">
      <c r="H319" s="57"/>
    </row>
    <row r="320" spans="8:8">
      <c r="H320" s="57"/>
    </row>
    <row r="321" spans="8:8">
      <c r="H321" s="57"/>
    </row>
    <row r="322" spans="8:8">
      <c r="H322" s="57"/>
    </row>
    <row r="323" spans="8:8">
      <c r="H323" s="57"/>
    </row>
    <row r="324" spans="8:8">
      <c r="H324" s="57"/>
    </row>
  </sheetData>
  <mergeCells count="2">
    <mergeCell ref="D2:E2"/>
    <mergeCell ref="P13:Q13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3"/>
  <sheetViews>
    <sheetView tabSelected="1" zoomScale="75" zoomScaleNormal="75" workbookViewId="0">
      <selection activeCell="K37" sqref="K37"/>
    </sheetView>
  </sheetViews>
  <sheetFormatPr defaultRowHeight="15"/>
  <cols>
    <col min="1" max="1" width="15.85546875" style="57" bestFit="1" customWidth="1"/>
    <col min="2" max="2" width="12" style="57" bestFit="1" customWidth="1"/>
    <col min="3" max="3" width="17.85546875" style="57" bestFit="1" customWidth="1"/>
    <col min="4" max="4" width="26.42578125" style="57" bestFit="1" customWidth="1"/>
    <col min="5" max="6" width="12" style="57" bestFit="1" customWidth="1"/>
    <col min="7" max="7" width="13.28515625" style="57" bestFit="1" customWidth="1"/>
    <col min="8" max="8" width="13.85546875" style="57" bestFit="1" customWidth="1"/>
    <col min="9" max="9" width="23.85546875" style="57" bestFit="1" customWidth="1"/>
    <col min="10" max="10" width="28.140625" style="57" customWidth="1"/>
    <col min="11" max="11" width="25.85546875" style="57" bestFit="1" customWidth="1"/>
    <col min="12" max="12" width="18.7109375" style="57" bestFit="1" customWidth="1"/>
    <col min="13" max="13" width="19" style="57" bestFit="1" customWidth="1"/>
    <col min="14" max="14" width="19.140625" style="57" bestFit="1" customWidth="1"/>
    <col min="15" max="15" width="27.5703125" style="57" bestFit="1" customWidth="1"/>
    <col min="16" max="16" width="19.140625" style="57" bestFit="1" customWidth="1"/>
    <col min="17" max="17" width="12" style="57" bestFit="1" customWidth="1"/>
    <col min="18" max="18" width="9.140625" style="57"/>
    <col min="19" max="19" width="10.5703125" style="57" bestFit="1" customWidth="1"/>
    <col min="20" max="20" width="17.7109375" style="57" bestFit="1" customWidth="1"/>
    <col min="21" max="21" width="10.5703125" style="57" bestFit="1" customWidth="1"/>
    <col min="22" max="16384" width="9.140625" style="57"/>
  </cols>
  <sheetData>
    <row r="1" spans="1:9">
      <c r="A1" s="50" t="s">
        <v>9</v>
      </c>
      <c r="B1" s="51">
        <v>41677</v>
      </c>
    </row>
    <row r="3" spans="1:9">
      <c r="A3" s="48" t="s">
        <v>0</v>
      </c>
      <c r="B3" s="48" t="s">
        <v>1</v>
      </c>
      <c r="C3" s="48" t="s">
        <v>2</v>
      </c>
      <c r="D3" s="101" t="s">
        <v>3</v>
      </c>
      <c r="E3" s="101"/>
      <c r="F3" s="48" t="s">
        <v>4</v>
      </c>
      <c r="G3" s="48" t="s">
        <v>5</v>
      </c>
      <c r="H3" s="48"/>
      <c r="I3" s="48" t="s">
        <v>6</v>
      </c>
    </row>
    <row r="4" spans="1:9">
      <c r="A4" s="57" t="s">
        <v>60</v>
      </c>
      <c r="B4" s="59">
        <v>41914</v>
      </c>
      <c r="C4" s="57" t="s">
        <v>61</v>
      </c>
      <c r="D4" s="15">
        <v>41764</v>
      </c>
      <c r="E4" s="57" t="s">
        <v>62</v>
      </c>
      <c r="F4" s="52">
        <v>0.99089600110617604</v>
      </c>
      <c r="G4" s="52">
        <v>3.8369863716452399</v>
      </c>
      <c r="I4" s="16">
        <v>3.79</v>
      </c>
    </row>
    <row r="5" spans="1:9">
      <c r="A5" s="57" t="s">
        <v>60</v>
      </c>
      <c r="B5" s="59">
        <v>41914</v>
      </c>
      <c r="C5" s="57" t="s">
        <v>61</v>
      </c>
      <c r="D5" s="15">
        <v>41848</v>
      </c>
      <c r="E5" s="57" t="s">
        <v>63</v>
      </c>
      <c r="F5" s="52">
        <v>0.98206540704477596</v>
      </c>
      <c r="G5" s="52">
        <v>3.8628882551175798</v>
      </c>
      <c r="I5" s="16">
        <v>3.8159999999999998</v>
      </c>
    </row>
    <row r="6" spans="1:9">
      <c r="A6" s="57" t="s">
        <v>60</v>
      </c>
      <c r="B6" s="59">
        <v>41914</v>
      </c>
      <c r="C6" s="57" t="s">
        <v>61</v>
      </c>
      <c r="D6" s="15">
        <v>41932</v>
      </c>
      <c r="E6" s="57" t="s">
        <v>64</v>
      </c>
      <c r="F6" s="52">
        <v>0.97290830800127004</v>
      </c>
      <c r="G6" s="52">
        <v>3.93132734527516</v>
      </c>
      <c r="I6" s="16">
        <v>3.8839999999999999</v>
      </c>
    </row>
    <row r="7" spans="1:9">
      <c r="A7" s="57" t="s">
        <v>60</v>
      </c>
      <c r="B7" s="59">
        <v>41914</v>
      </c>
      <c r="C7" s="57" t="s">
        <v>61</v>
      </c>
      <c r="D7" s="15">
        <v>42044</v>
      </c>
      <c r="E7" s="57" t="s">
        <v>65</v>
      </c>
      <c r="F7" s="52">
        <v>0.96040089835772502</v>
      </c>
      <c r="G7" s="52">
        <v>4.0184291338185396</v>
      </c>
      <c r="I7" s="16">
        <v>3.97</v>
      </c>
    </row>
    <row r="8" spans="1:9">
      <c r="A8" s="3" t="s">
        <v>60</v>
      </c>
      <c r="B8" s="53">
        <v>41914</v>
      </c>
      <c r="C8" s="3" t="s">
        <v>61</v>
      </c>
      <c r="D8" s="6">
        <v>42408</v>
      </c>
      <c r="E8" s="3" t="s">
        <v>18</v>
      </c>
      <c r="F8" s="54">
        <v>0.91546176734501805</v>
      </c>
      <c r="G8" s="47">
        <v>4.4103021536672076</v>
      </c>
      <c r="H8" s="3"/>
      <c r="I8" s="13">
        <v>4.3520000000000003</v>
      </c>
    </row>
    <row r="9" spans="1:9">
      <c r="A9" s="3" t="s">
        <v>60</v>
      </c>
      <c r="B9" s="53">
        <v>41914</v>
      </c>
      <c r="C9" s="3" t="s">
        <v>61</v>
      </c>
      <c r="D9" s="6">
        <v>42773</v>
      </c>
      <c r="E9" s="3" t="s">
        <v>19</v>
      </c>
      <c r="F9" s="54">
        <v>0.86480530863496796</v>
      </c>
      <c r="G9" s="54">
        <v>4.8372781978866604</v>
      </c>
      <c r="H9" s="3"/>
      <c r="I9" s="13">
        <v>4.7590000000000003</v>
      </c>
    </row>
    <row r="10" spans="1:9">
      <c r="A10" s="3" t="s">
        <v>60</v>
      </c>
      <c r="B10" s="53">
        <v>41914</v>
      </c>
      <c r="C10" s="3" t="s">
        <v>61</v>
      </c>
      <c r="D10" s="6">
        <v>43137</v>
      </c>
      <c r="E10" s="3" t="s">
        <v>20</v>
      </c>
      <c r="F10" s="54">
        <v>0.81159241892601797</v>
      </c>
      <c r="G10" s="54">
        <v>5.2189252993384798</v>
      </c>
      <c r="H10" s="3"/>
      <c r="I10" s="13">
        <v>5.117</v>
      </c>
    </row>
    <row r="11" spans="1:9">
      <c r="A11" s="3" t="s">
        <v>60</v>
      </c>
      <c r="B11" s="53">
        <v>41914</v>
      </c>
      <c r="C11" s="3" t="s">
        <v>61</v>
      </c>
      <c r="D11" s="6">
        <v>43501</v>
      </c>
      <c r="E11" s="3" t="s">
        <v>21</v>
      </c>
      <c r="F11" s="54">
        <v>0.752989964050089</v>
      </c>
      <c r="G11" s="54">
        <v>5.67717836718277</v>
      </c>
      <c r="H11" s="3"/>
      <c r="I11" s="13">
        <v>5.5350000000000001</v>
      </c>
    </row>
    <row r="12" spans="1:9">
      <c r="A12" s="3" t="s">
        <v>60</v>
      </c>
      <c r="B12" s="53">
        <v>41914</v>
      </c>
      <c r="C12" s="3" t="s">
        <v>61</v>
      </c>
      <c r="D12" s="6">
        <v>44229</v>
      </c>
      <c r="E12" s="3" t="s">
        <v>22</v>
      </c>
      <c r="F12" s="54">
        <v>0.63753115195147303</v>
      </c>
      <c r="G12" s="54">
        <v>6.4383044721036402</v>
      </c>
      <c r="H12" s="3"/>
      <c r="I12" s="13">
        <v>6.2050000000000001</v>
      </c>
    </row>
    <row r="13" spans="1:9">
      <c r="A13" s="3" t="s">
        <v>60</v>
      </c>
      <c r="B13" s="53">
        <v>41914</v>
      </c>
      <c r="C13" s="3" t="s">
        <v>61</v>
      </c>
      <c r="D13" s="6">
        <v>45320</v>
      </c>
      <c r="E13" s="3" t="s">
        <v>23</v>
      </c>
      <c r="F13" s="54">
        <v>0.49513804383781701</v>
      </c>
      <c r="G13" s="54">
        <v>7.0426933236634603</v>
      </c>
      <c r="H13" s="3"/>
      <c r="I13" s="13">
        <v>6.7190000000000003</v>
      </c>
    </row>
    <row r="14" spans="1:9">
      <c r="A14" s="3" t="s">
        <v>60</v>
      </c>
      <c r="B14" s="53">
        <v>41914</v>
      </c>
      <c r="C14" s="3" t="s">
        <v>61</v>
      </c>
      <c r="D14" s="6">
        <v>47140</v>
      </c>
      <c r="E14" s="3" t="s">
        <v>24</v>
      </c>
      <c r="F14" s="54">
        <v>0.30282563661241302</v>
      </c>
      <c r="G14" s="54">
        <v>7.9814809624790497</v>
      </c>
      <c r="H14" s="3"/>
      <c r="I14" s="13">
        <v>7.4071999999999996</v>
      </c>
    </row>
    <row r="15" spans="1:9">
      <c r="A15" s="3" t="s">
        <v>60</v>
      </c>
      <c r="B15" s="53">
        <v>41914</v>
      </c>
      <c r="C15" s="3" t="s">
        <v>61</v>
      </c>
      <c r="D15" s="6">
        <v>48960</v>
      </c>
      <c r="E15" s="3" t="s">
        <v>25</v>
      </c>
      <c r="F15" s="54">
        <v>0.17666064349668401</v>
      </c>
      <c r="G15" s="54">
        <v>8.6878552672195308</v>
      </c>
      <c r="H15" s="3"/>
      <c r="I15" s="13">
        <v>7.75</v>
      </c>
    </row>
    <row r="16" spans="1:9">
      <c r="A16" s="3" t="s">
        <v>60</v>
      </c>
      <c r="B16" s="53">
        <v>41914</v>
      </c>
      <c r="C16" s="3" t="s">
        <v>61</v>
      </c>
      <c r="D16" s="6">
        <v>52600</v>
      </c>
      <c r="E16" s="3" t="s">
        <v>48</v>
      </c>
      <c r="F16" s="54">
        <v>5.0655583714558902E-2</v>
      </c>
      <c r="G16" s="54">
        <v>9.96692869926488</v>
      </c>
      <c r="H16" s="3"/>
      <c r="I16" s="13">
        <v>8.06</v>
      </c>
    </row>
    <row r="18" spans="1:21">
      <c r="A18" s="55" t="s">
        <v>9</v>
      </c>
      <c r="B18" s="56">
        <v>41677</v>
      </c>
    </row>
    <row r="19" spans="1:21">
      <c r="A19" s="55" t="s">
        <v>9</v>
      </c>
      <c r="B19" s="56">
        <v>41677</v>
      </c>
    </row>
    <row r="20" spans="1:21">
      <c r="B20" s="59"/>
    </row>
    <row r="21" spans="1:21">
      <c r="A21" s="62" t="s">
        <v>74</v>
      </c>
      <c r="H21" s="62"/>
    </row>
    <row r="22" spans="1:21">
      <c r="A22" s="58" t="s">
        <v>66</v>
      </c>
      <c r="B22" s="58" t="s">
        <v>66</v>
      </c>
      <c r="C22" s="58" t="s">
        <v>103</v>
      </c>
      <c r="D22" s="58" t="s">
        <v>67</v>
      </c>
      <c r="E22" s="58" t="s">
        <v>78</v>
      </c>
      <c r="F22" s="58" t="s">
        <v>31</v>
      </c>
      <c r="G22" s="58" t="s">
        <v>68</v>
      </c>
      <c r="H22" s="58" t="s">
        <v>69</v>
      </c>
      <c r="I22" s="58" t="s">
        <v>70</v>
      </c>
      <c r="J22" s="58" t="s">
        <v>76</v>
      </c>
      <c r="K22" s="58" t="s">
        <v>70</v>
      </c>
      <c r="L22" s="58"/>
      <c r="M22" s="58" t="s">
        <v>75</v>
      </c>
      <c r="N22" s="58" t="s">
        <v>75</v>
      </c>
      <c r="O22" s="58" t="s">
        <v>71</v>
      </c>
      <c r="P22" s="58" t="s">
        <v>43</v>
      </c>
      <c r="Q22" s="58" t="s">
        <v>104</v>
      </c>
      <c r="R22" s="58" t="s">
        <v>101</v>
      </c>
      <c r="S22" s="58" t="s">
        <v>102</v>
      </c>
      <c r="T22" s="58" t="s">
        <v>101</v>
      </c>
      <c r="U22" s="58" t="s">
        <v>102</v>
      </c>
    </row>
    <row r="23" spans="1:21">
      <c r="A23" s="58" t="s">
        <v>1</v>
      </c>
      <c r="B23" s="58" t="s">
        <v>72</v>
      </c>
      <c r="C23" s="58" t="s">
        <v>106</v>
      </c>
      <c r="D23" s="58" t="s">
        <v>73</v>
      </c>
      <c r="E23" s="58"/>
      <c r="F23" s="58" t="s">
        <v>107</v>
      </c>
      <c r="G23" s="58" t="s">
        <v>33</v>
      </c>
      <c r="H23" s="58"/>
      <c r="I23" s="58" t="s">
        <v>31</v>
      </c>
      <c r="J23" s="58" t="s">
        <v>77</v>
      </c>
      <c r="K23" s="58" t="s">
        <v>31</v>
      </c>
      <c r="L23" s="58"/>
      <c r="M23" s="58" t="s">
        <v>77</v>
      </c>
      <c r="N23" s="58" t="s">
        <v>109</v>
      </c>
      <c r="O23" s="58" t="s">
        <v>79</v>
      </c>
      <c r="P23" s="58" t="s">
        <v>30</v>
      </c>
      <c r="Q23" s="58" t="s">
        <v>105</v>
      </c>
      <c r="R23" s="58" t="s">
        <v>108</v>
      </c>
      <c r="S23" s="58"/>
      <c r="T23" s="58" t="s">
        <v>99</v>
      </c>
      <c r="U23" s="58"/>
    </row>
    <row r="24" spans="1:21">
      <c r="A24" s="59">
        <v>41680</v>
      </c>
      <c r="B24" s="59">
        <f t="shared" ref="B24:B49" si="0">A24+Q24</f>
        <v>41708</v>
      </c>
      <c r="C24" s="59"/>
      <c r="D24" s="60">
        <v>1000000</v>
      </c>
      <c r="E24" s="59">
        <v>41680</v>
      </c>
      <c r="F24" s="63">
        <v>3.7899999999999898</v>
      </c>
      <c r="G24" s="59">
        <f>B24</f>
        <v>41708</v>
      </c>
      <c r="H24" s="61">
        <f t="shared" ref="H24:H49" si="1">D24*F24*((B24-A24)/36000)</f>
        <v>2947.7777777777696</v>
      </c>
      <c r="I24" s="52">
        <v>2.7481199620493499</v>
      </c>
      <c r="J24" s="57">
        <f>EXP(-(I24/100)*(B24-B$19)/365)</f>
        <v>0.99766870201225322</v>
      </c>
      <c r="K24" s="52">
        <v>3.83698637164489</v>
      </c>
      <c r="L24" s="52"/>
      <c r="M24" s="57">
        <f t="shared" ref="M24:M33" si="2">EXP(-(K24/100)*(B24-B$19)/365)</f>
        <v>0.99674649381607117</v>
      </c>
      <c r="O24" s="57">
        <f>M24</f>
        <v>0.99674649381607117</v>
      </c>
      <c r="P24" s="61">
        <f>H24*J24</f>
        <v>2940.9056293761118</v>
      </c>
      <c r="Q24" s="57">
        <v>28</v>
      </c>
      <c r="R24" s="57">
        <v>3.7899999999999898</v>
      </c>
      <c r="S24" s="75">
        <f t="shared" ref="S24:S49" si="3">F24-R24</f>
        <v>0</v>
      </c>
      <c r="T24" s="73">
        <v>0.99766870201225299</v>
      </c>
      <c r="U24" s="81">
        <f>J24-T24</f>
        <v>0</v>
      </c>
    </row>
    <row r="25" spans="1:21">
      <c r="A25" s="59">
        <f>B24</f>
        <v>41708</v>
      </c>
      <c r="B25" s="59">
        <f t="shared" si="0"/>
        <v>41736</v>
      </c>
      <c r="C25" s="59"/>
      <c r="D25" s="60">
        <v>1000000</v>
      </c>
      <c r="E25" s="59">
        <f>E24+28</f>
        <v>41708</v>
      </c>
      <c r="F25" s="63">
        <v>3.7899999999999898</v>
      </c>
      <c r="G25" s="59">
        <f t="shared" ref="G25:G49" si="4">B25</f>
        <v>41736</v>
      </c>
      <c r="H25" s="61">
        <f t="shared" si="1"/>
        <v>2947.7777777777696</v>
      </c>
      <c r="I25" s="52">
        <v>2.5586099251199799</v>
      </c>
      <c r="J25" s="57">
        <f t="shared" ref="J25:J49" si="5">EXP(-(I25/100)*(B25-B$18)/365)</f>
        <v>0.99587270556657503</v>
      </c>
      <c r="K25" s="52">
        <v>3.8369863716452</v>
      </c>
      <c r="L25" s="52"/>
      <c r="M25" s="57">
        <f t="shared" si="2"/>
        <v>0.99381694231832596</v>
      </c>
      <c r="O25" s="57">
        <f t="shared" ref="O25:O49" si="6">M25</f>
        <v>0.99381694231832596</v>
      </c>
      <c r="P25" s="61">
        <f t="shared" ref="P25:P49" si="7">H25*J25</f>
        <v>2935.6114309645736</v>
      </c>
      <c r="Q25" s="57">
        <v>28</v>
      </c>
      <c r="R25" s="57">
        <v>3.7899999999999898</v>
      </c>
      <c r="S25" s="75">
        <f t="shared" si="3"/>
        <v>0</v>
      </c>
      <c r="T25" s="73">
        <v>0.99587270556657503</v>
      </c>
      <c r="U25" s="81">
        <f t="shared" ref="U25:U49" si="8">J25-T25</f>
        <v>0</v>
      </c>
    </row>
    <row r="26" spans="1:21">
      <c r="A26" s="59">
        <f t="shared" ref="A26:A49" si="9">B25</f>
        <v>41736</v>
      </c>
      <c r="B26" s="59">
        <f t="shared" si="0"/>
        <v>41764</v>
      </c>
      <c r="C26" s="59"/>
      <c r="D26" s="60">
        <v>1000000</v>
      </c>
      <c r="E26" s="59">
        <f t="shared" ref="E26:E49" si="10">E25+28</f>
        <v>41736</v>
      </c>
      <c r="F26" s="63">
        <v>3.7899999999999898</v>
      </c>
      <c r="G26" s="59">
        <f t="shared" si="4"/>
        <v>41764</v>
      </c>
      <c r="H26" s="61">
        <f t="shared" si="1"/>
        <v>2947.7777777777696</v>
      </c>
      <c r="I26" s="52">
        <v>2.48089359699983</v>
      </c>
      <c r="J26" s="57">
        <f t="shared" si="5"/>
        <v>0.99410408669762318</v>
      </c>
      <c r="K26" s="52">
        <v>3.8369863716452302</v>
      </c>
      <c r="L26" s="52"/>
      <c r="M26" s="57">
        <f t="shared" si="2"/>
        <v>0.99089600110617626</v>
      </c>
      <c r="O26" s="57">
        <f t="shared" si="6"/>
        <v>0.99089600110617626</v>
      </c>
      <c r="P26" s="61">
        <f t="shared" si="7"/>
        <v>2930.3979355653191</v>
      </c>
      <c r="Q26" s="57">
        <v>28</v>
      </c>
      <c r="R26" s="57">
        <v>3.7899999999999898</v>
      </c>
      <c r="S26" s="75">
        <f t="shared" si="3"/>
        <v>0</v>
      </c>
      <c r="T26" s="73">
        <v>0.99410408669762296</v>
      </c>
      <c r="U26" s="81">
        <f t="shared" si="8"/>
        <v>0</v>
      </c>
    </row>
    <row r="27" spans="1:21">
      <c r="A27" s="59">
        <f t="shared" si="9"/>
        <v>41764</v>
      </c>
      <c r="B27" s="59">
        <f t="shared" si="0"/>
        <v>41792</v>
      </c>
      <c r="C27" s="59"/>
      <c r="D27" s="60">
        <v>1000000</v>
      </c>
      <c r="E27" s="59">
        <f t="shared" si="10"/>
        <v>41764</v>
      </c>
      <c r="F27" s="72">
        <f t="shared" ref="F27:F33" si="11">((O26/O27)-1)*(36000/(B27-A27))</f>
        <v>3.8250787220573801</v>
      </c>
      <c r="G27" s="59">
        <f t="shared" si="4"/>
        <v>41792</v>
      </c>
      <c r="H27" s="61">
        <f t="shared" si="1"/>
        <v>2975.0612282668512</v>
      </c>
      <c r="I27" s="52">
        <v>2.4519368058705999</v>
      </c>
      <c r="J27" s="57">
        <f t="shared" si="5"/>
        <v>0.99230448293840101</v>
      </c>
      <c r="K27" s="52">
        <v>3.8456203328026799</v>
      </c>
      <c r="L27" s="52"/>
      <c r="M27" s="57">
        <f t="shared" si="2"/>
        <v>0.98795676922684561</v>
      </c>
      <c r="O27" s="57">
        <f t="shared" si="6"/>
        <v>0.98795676922684561</v>
      </c>
      <c r="P27" s="61">
        <f t="shared" si="7"/>
        <v>2952.1665938254218</v>
      </c>
      <c r="Q27" s="57">
        <v>28</v>
      </c>
      <c r="R27" s="57">
        <v>3.8250787220573801</v>
      </c>
      <c r="S27" s="75">
        <f t="shared" si="3"/>
        <v>0</v>
      </c>
      <c r="T27" s="73">
        <v>0.99230225443849496</v>
      </c>
      <c r="U27" s="81">
        <f t="shared" si="8"/>
        <v>2.2284999060540045E-6</v>
      </c>
    </row>
    <row r="28" spans="1:21">
      <c r="A28" s="59">
        <f t="shared" si="9"/>
        <v>41792</v>
      </c>
      <c r="B28" s="59">
        <f t="shared" si="0"/>
        <v>41820</v>
      </c>
      <c r="C28" s="59"/>
      <c r="D28" s="60">
        <v>1000000</v>
      </c>
      <c r="E28" s="59">
        <f t="shared" si="10"/>
        <v>41792</v>
      </c>
      <c r="F28" s="71">
        <f t="shared" si="11"/>
        <v>3.8421608800163844</v>
      </c>
      <c r="G28" s="59">
        <f t="shared" si="4"/>
        <v>41820</v>
      </c>
      <c r="H28" s="61">
        <f t="shared" si="1"/>
        <v>2988.3473511238544</v>
      </c>
      <c r="I28" s="52">
        <v>2.43197861324367</v>
      </c>
      <c r="J28" s="57">
        <f t="shared" si="5"/>
        <v>0.99051722201650449</v>
      </c>
      <c r="K28" s="52">
        <v>3.8542542939601301</v>
      </c>
      <c r="L28" s="52"/>
      <c r="M28" s="57">
        <f t="shared" si="2"/>
        <v>0.98501320761704125</v>
      </c>
      <c r="O28" s="57">
        <f t="shared" si="6"/>
        <v>0.98501320761704125</v>
      </c>
      <c r="P28" s="61">
        <f t="shared" si="7"/>
        <v>2960.0095166555802</v>
      </c>
      <c r="Q28" s="57">
        <v>28</v>
      </c>
      <c r="R28" s="57">
        <v>3.84216088001638</v>
      </c>
      <c r="S28" s="75">
        <f t="shared" si="3"/>
        <v>4.4408920985006262E-15</v>
      </c>
      <c r="T28" s="73">
        <v>0.99051445591714504</v>
      </c>
      <c r="U28" s="81">
        <f t="shared" si="8"/>
        <v>2.7660993594524896E-6</v>
      </c>
    </row>
    <row r="29" spans="1:21">
      <c r="A29" s="59">
        <f t="shared" si="9"/>
        <v>41820</v>
      </c>
      <c r="B29" s="59">
        <f t="shared" si="0"/>
        <v>41848</v>
      </c>
      <c r="C29" s="59"/>
      <c r="D29" s="60">
        <v>1000000</v>
      </c>
      <c r="E29" s="59">
        <f t="shared" si="10"/>
        <v>41820</v>
      </c>
      <c r="F29" s="71">
        <f t="shared" si="11"/>
        <v>3.859243264257525</v>
      </c>
      <c r="G29" s="59">
        <f t="shared" si="4"/>
        <v>41848</v>
      </c>
      <c r="H29" s="61">
        <f t="shared" si="1"/>
        <v>3001.633649978075</v>
      </c>
      <c r="I29" s="52">
        <v>2.4120204206167299</v>
      </c>
      <c r="J29" s="57">
        <f t="shared" si="5"/>
        <v>0.98876345642196783</v>
      </c>
      <c r="K29" s="52">
        <v>3.8628882551175798</v>
      </c>
      <c r="L29" s="52"/>
      <c r="M29" s="57">
        <f t="shared" si="2"/>
        <v>0.98206540704477618</v>
      </c>
      <c r="O29" s="57">
        <f t="shared" si="6"/>
        <v>0.98206540704477618</v>
      </c>
      <c r="P29" s="61">
        <f t="shared" si="7"/>
        <v>2967.9056626648085</v>
      </c>
      <c r="Q29" s="57">
        <v>28</v>
      </c>
      <c r="R29" s="57">
        <v>3.8592432642575298</v>
      </c>
      <c r="S29" s="75">
        <f t="shared" si="3"/>
        <v>-4.8849813083506888E-15</v>
      </c>
      <c r="T29" s="73">
        <v>0.98876015456613997</v>
      </c>
      <c r="U29" s="81">
        <f t="shared" si="8"/>
        <v>3.3018558278641308E-6</v>
      </c>
    </row>
    <row r="30" spans="1:21">
      <c r="A30" s="59">
        <f t="shared" si="9"/>
        <v>41848</v>
      </c>
      <c r="B30" s="59">
        <f t="shared" si="0"/>
        <v>41876</v>
      </c>
      <c r="C30" s="59"/>
      <c r="D30" s="60">
        <v>1000000</v>
      </c>
      <c r="E30" s="59">
        <f t="shared" si="10"/>
        <v>41848</v>
      </c>
      <c r="F30" s="71">
        <f t="shared" si="11"/>
        <v>3.9760216085423954</v>
      </c>
      <c r="G30" s="59">
        <f t="shared" si="4"/>
        <v>41876</v>
      </c>
      <c r="H30" s="61">
        <f t="shared" si="1"/>
        <v>3092.4612510885295</v>
      </c>
      <c r="I30" s="52">
        <v>2.4022418464805102</v>
      </c>
      <c r="J30" s="57">
        <f t="shared" si="5"/>
        <v>0.98698824033217425</v>
      </c>
      <c r="K30" s="52">
        <v>3.88570128517012</v>
      </c>
      <c r="L30" s="52"/>
      <c r="M30" s="57">
        <f t="shared" si="2"/>
        <v>0.97903777067560982</v>
      </c>
      <c r="O30" s="57">
        <f t="shared" si="6"/>
        <v>0.97903777067560982</v>
      </c>
      <c r="P30" s="61">
        <f t="shared" si="7"/>
        <v>3052.2228885073018</v>
      </c>
      <c r="Q30" s="57">
        <v>28</v>
      </c>
      <c r="R30" s="57">
        <v>3.9760216085423998</v>
      </c>
      <c r="S30" s="75">
        <f t="shared" si="3"/>
        <v>-4.4408920985006262E-15</v>
      </c>
      <c r="T30" s="73">
        <v>0.98698805655982502</v>
      </c>
      <c r="U30" s="81">
        <f t="shared" si="8"/>
        <v>1.8377234922706265E-7</v>
      </c>
    </row>
    <row r="31" spans="1:21">
      <c r="A31" s="59">
        <f t="shared" si="9"/>
        <v>41876</v>
      </c>
      <c r="B31" s="59">
        <f t="shared" si="0"/>
        <v>41904</v>
      </c>
      <c r="C31" s="59"/>
      <c r="D31" s="60">
        <v>1000000</v>
      </c>
      <c r="E31" s="59">
        <f t="shared" si="10"/>
        <v>41876</v>
      </c>
      <c r="F31" s="71">
        <f t="shared" si="11"/>
        <v>4.0211626080961516</v>
      </c>
      <c r="G31" s="59">
        <f t="shared" si="4"/>
        <v>41904</v>
      </c>
      <c r="H31" s="61">
        <f t="shared" si="1"/>
        <v>3127.5709174081176</v>
      </c>
      <c r="I31" s="52">
        <v>2.40128560836953</v>
      </c>
      <c r="J31" s="57">
        <f t="shared" si="5"/>
        <v>0.9851769366503742</v>
      </c>
      <c r="K31" s="52">
        <v>3.9085143152226198</v>
      </c>
      <c r="L31" s="52"/>
      <c r="M31" s="57">
        <f t="shared" si="2"/>
        <v>0.97598530741232947</v>
      </c>
      <c r="O31" s="57">
        <f t="shared" si="6"/>
        <v>0.97598530741232947</v>
      </c>
      <c r="P31" s="61">
        <f t="shared" si="7"/>
        <v>3081.21073556893</v>
      </c>
      <c r="Q31" s="57">
        <v>28</v>
      </c>
      <c r="R31" s="57">
        <v>4.0211626080961498</v>
      </c>
      <c r="S31" s="75">
        <f t="shared" si="3"/>
        <v>0</v>
      </c>
      <c r="T31" s="73">
        <v>0.98517672740532103</v>
      </c>
      <c r="U31" s="81">
        <f t="shared" si="8"/>
        <v>2.0924505317321263E-7</v>
      </c>
    </row>
    <row r="32" spans="1:21">
      <c r="A32" s="59">
        <f t="shared" si="9"/>
        <v>41904</v>
      </c>
      <c r="B32" s="59">
        <f t="shared" si="0"/>
        <v>41932</v>
      </c>
      <c r="C32" s="59"/>
      <c r="D32" s="60">
        <v>1000000</v>
      </c>
      <c r="E32" s="59">
        <f t="shared" si="10"/>
        <v>41904</v>
      </c>
      <c r="F32" s="71">
        <f t="shared" si="11"/>
        <v>4.0663051876497533</v>
      </c>
      <c r="G32" s="59">
        <f t="shared" si="4"/>
        <v>41932</v>
      </c>
      <c r="H32" s="61">
        <f t="shared" si="1"/>
        <v>3162.6818126164749</v>
      </c>
      <c r="I32" s="52">
        <v>2.40032937025854</v>
      </c>
      <c r="J32" s="57">
        <f t="shared" si="5"/>
        <v>0.9833703997482599</v>
      </c>
      <c r="K32" s="52">
        <v>3.93132734527516</v>
      </c>
      <c r="L32" s="52"/>
      <c r="M32" s="57">
        <f t="shared" si="2"/>
        <v>0.97290830800127037</v>
      </c>
      <c r="O32" s="57">
        <f t="shared" si="6"/>
        <v>0.97290830800127037</v>
      </c>
      <c r="P32" s="61">
        <f t="shared" si="7"/>
        <v>3110.087678349214</v>
      </c>
      <c r="Q32" s="57">
        <v>28</v>
      </c>
      <c r="R32" s="57">
        <v>4.0663051876497498</v>
      </c>
      <c r="S32" s="75">
        <f t="shared" si="3"/>
        <v>0</v>
      </c>
      <c r="T32" s="73">
        <v>0.983370165124272</v>
      </c>
      <c r="U32" s="81">
        <f t="shared" si="8"/>
        <v>2.3462398790474737E-7</v>
      </c>
    </row>
    <row r="33" spans="1:21">
      <c r="A33" s="59">
        <f t="shared" si="9"/>
        <v>41932</v>
      </c>
      <c r="B33" s="59">
        <f t="shared" si="0"/>
        <v>41961</v>
      </c>
      <c r="C33" s="59"/>
      <c r="D33" s="60">
        <v>1000000</v>
      </c>
      <c r="E33" s="59">
        <f t="shared" si="10"/>
        <v>41932</v>
      </c>
      <c r="F33" s="71">
        <f t="shared" si="11"/>
        <v>4.1020759027915812</v>
      </c>
      <c r="G33" s="59">
        <f t="shared" si="4"/>
        <v>41961</v>
      </c>
      <c r="H33" s="61">
        <f t="shared" si="1"/>
        <v>3304.4500328043291</v>
      </c>
      <c r="I33" s="52">
        <v>2.40273024890746</v>
      </c>
      <c r="J33" s="57">
        <f t="shared" si="5"/>
        <v>0.9814784554107806</v>
      </c>
      <c r="K33" s="52">
        <v>3.9538804869515798</v>
      </c>
      <c r="L33" s="52"/>
      <c r="M33" s="57">
        <f t="shared" si="2"/>
        <v>0.96970396968682815</v>
      </c>
      <c r="O33" s="57">
        <f t="shared" si="6"/>
        <v>0.96970396968682815</v>
      </c>
      <c r="P33" s="61">
        <f t="shared" si="7"/>
        <v>3243.2465141788962</v>
      </c>
      <c r="Q33" s="57">
        <v>29</v>
      </c>
      <c r="R33" s="57">
        <v>4.1020759027918601</v>
      </c>
      <c r="S33" s="75">
        <f t="shared" si="3"/>
        <v>-2.7888802378583932E-13</v>
      </c>
      <c r="T33" s="73">
        <v>0.98147845541078105</v>
      </c>
      <c r="U33" s="81">
        <f t="shared" si="8"/>
        <v>0</v>
      </c>
    </row>
    <row r="34" spans="1:21">
      <c r="A34" s="59">
        <f t="shared" si="9"/>
        <v>41961</v>
      </c>
      <c r="B34" s="59">
        <f t="shared" si="0"/>
        <v>41988</v>
      </c>
      <c r="C34" s="59">
        <v>41989</v>
      </c>
      <c r="D34" s="60">
        <v>1000000</v>
      </c>
      <c r="E34" s="59">
        <f t="shared" si="10"/>
        <v>41960</v>
      </c>
      <c r="F34" s="71">
        <f>((O33/O34)-1)*(36000/(C34-A34))</f>
        <v>4.1457040387504751</v>
      </c>
      <c r="G34" s="59">
        <f t="shared" si="4"/>
        <v>41988</v>
      </c>
      <c r="H34" s="61">
        <f t="shared" si="1"/>
        <v>3109.2780290628566</v>
      </c>
      <c r="I34" s="52">
        <v>2.4169151875770898</v>
      </c>
      <c r="J34" s="57">
        <f t="shared" si="5"/>
        <v>0.97961715507084413</v>
      </c>
      <c r="K34" s="80">
        <v>3.9756559340874298</v>
      </c>
      <c r="L34" s="80">
        <v>3.9748782395468498</v>
      </c>
      <c r="M34" s="62">
        <f>EXP(-(K34/100)*(C34-B$19)/365)</f>
        <v>0.96658727043616544</v>
      </c>
      <c r="N34" s="62">
        <f>EXP(-(L34/100)*(B34-B$19)/365)</f>
        <v>0.96669896456351001</v>
      </c>
      <c r="O34" s="57">
        <f t="shared" si="6"/>
        <v>0.96658727043616544</v>
      </c>
      <c r="P34" s="61">
        <f t="shared" si="7"/>
        <v>3045.9020971548371</v>
      </c>
      <c r="Q34" s="57">
        <v>27</v>
      </c>
      <c r="R34" s="57">
        <v>4.1457040387504804</v>
      </c>
      <c r="S34" s="75">
        <f t="shared" si="3"/>
        <v>0</v>
      </c>
      <c r="T34" s="73">
        <v>0.97961715507084401</v>
      </c>
      <c r="U34" s="81">
        <f t="shared" si="8"/>
        <v>0</v>
      </c>
    </row>
    <row r="35" spans="1:21">
      <c r="A35" s="59">
        <f t="shared" si="9"/>
        <v>41988</v>
      </c>
      <c r="B35" s="59">
        <f t="shared" si="0"/>
        <v>42016</v>
      </c>
      <c r="C35" s="82"/>
      <c r="D35" s="60">
        <v>1000000</v>
      </c>
      <c r="E35" s="59">
        <f t="shared" si="10"/>
        <v>41988</v>
      </c>
      <c r="F35" s="71">
        <f>((N34/O35)-1)*(36000/(B35-B34))</f>
        <v>4.1872584892798903</v>
      </c>
      <c r="G35" s="59">
        <f t="shared" si="4"/>
        <v>42016</v>
      </c>
      <c r="H35" s="61">
        <f t="shared" si="1"/>
        <v>3256.7566027732478</v>
      </c>
      <c r="I35" s="52">
        <v>2.4316254943456102</v>
      </c>
      <c r="J35" s="57">
        <f t="shared" si="5"/>
        <v>0.97766897447094658</v>
      </c>
      <c r="K35" s="52">
        <v>3.9966536866826998</v>
      </c>
      <c r="L35" s="52"/>
      <c r="M35" s="57">
        <f t="shared" ref="M35:M46" si="12">EXP(-(K35/100)*(B35-B$19)/365)</f>
        <v>0.96356088130115836</v>
      </c>
      <c r="N35" s="29"/>
      <c r="O35" s="57">
        <f t="shared" si="6"/>
        <v>0.96356088130115836</v>
      </c>
      <c r="P35" s="61">
        <f t="shared" si="7"/>
        <v>3184.0298879348052</v>
      </c>
      <c r="Q35" s="57">
        <v>28</v>
      </c>
      <c r="R35" s="57">
        <v>4.1872584892798903</v>
      </c>
      <c r="S35" s="85">
        <f t="shared" si="3"/>
        <v>0</v>
      </c>
      <c r="T35" s="73">
        <v>0.97766897447094703</v>
      </c>
      <c r="U35" s="81">
        <f t="shared" si="8"/>
        <v>0</v>
      </c>
    </row>
    <row r="36" spans="1:21">
      <c r="A36" s="59">
        <f t="shared" si="9"/>
        <v>42016</v>
      </c>
      <c r="B36" s="59">
        <f t="shared" si="0"/>
        <v>42044</v>
      </c>
      <c r="C36" s="82"/>
      <c r="D36" s="60">
        <v>1000000</v>
      </c>
      <c r="E36" s="59">
        <f t="shared" si="10"/>
        <v>42016</v>
      </c>
      <c r="F36" s="71">
        <f t="shared" ref="F36:F46" si="13">((O35/O36)-1)*(36000/(B36-A36))</f>
        <v>4.2303534075538129</v>
      </c>
      <c r="G36" s="59">
        <f t="shared" si="4"/>
        <v>42044</v>
      </c>
      <c r="H36" s="61">
        <f t="shared" si="1"/>
        <v>3290.2748725418542</v>
      </c>
      <c r="I36" s="52">
        <v>2.4463358011141301</v>
      </c>
      <c r="J36" s="57">
        <f t="shared" si="5"/>
        <v>0.97570264713600863</v>
      </c>
      <c r="K36" s="52">
        <v>4.0184291338185503</v>
      </c>
      <c r="L36" s="52"/>
      <c r="M36" s="57">
        <f t="shared" si="12"/>
        <v>0.96040089835772535</v>
      </c>
      <c r="O36" s="57">
        <f t="shared" si="6"/>
        <v>0.96040089835772535</v>
      </c>
      <c r="P36" s="61">
        <f t="shared" si="7"/>
        <v>3210.3299029441805</v>
      </c>
      <c r="Q36" s="57">
        <v>28</v>
      </c>
      <c r="R36" s="57">
        <v>4.2303534075538103</v>
      </c>
      <c r="S36" s="75">
        <f t="shared" si="3"/>
        <v>0</v>
      </c>
      <c r="T36" s="73">
        <v>0.97570264713600896</v>
      </c>
      <c r="U36" s="81">
        <f t="shared" si="8"/>
        <v>0</v>
      </c>
    </row>
    <row r="37" spans="1:21">
      <c r="A37" s="59">
        <f t="shared" si="9"/>
        <v>42044</v>
      </c>
      <c r="B37" s="59">
        <f t="shared" si="0"/>
        <v>42072</v>
      </c>
      <c r="C37" s="83"/>
      <c r="D37" s="60">
        <v>1000000</v>
      </c>
      <c r="E37" s="59">
        <f t="shared" si="10"/>
        <v>42044</v>
      </c>
      <c r="F37" s="71">
        <f t="shared" si="13"/>
        <v>4.3902823311632311</v>
      </c>
      <c r="G37" s="59">
        <f t="shared" si="4"/>
        <v>42072</v>
      </c>
      <c r="H37" s="61">
        <f t="shared" si="1"/>
        <v>3414.6640353491798</v>
      </c>
      <c r="I37" s="52">
        <v>2.4563326141310999</v>
      </c>
      <c r="J37" s="57">
        <f t="shared" si="5"/>
        <v>0.9737679679345701</v>
      </c>
      <c r="K37" s="68">
        <f>((G37-D$7)/(D$8-D$7))*(G$8)+((D$8-G37)/(D$8-D$7))*G$7</f>
        <v>4.0485732122684377</v>
      </c>
      <c r="L37" s="68"/>
      <c r="M37" s="57">
        <f t="shared" si="12"/>
        <v>0.95713261205029732</v>
      </c>
      <c r="O37" s="57">
        <f t="shared" si="6"/>
        <v>0.95713261205029732</v>
      </c>
      <c r="P37" s="61">
        <f t="shared" si="7"/>
        <v>3325.09045888123</v>
      </c>
      <c r="Q37" s="57">
        <v>28</v>
      </c>
      <c r="R37" s="57">
        <v>4.3902718193167001</v>
      </c>
      <c r="S37" s="75">
        <f t="shared" si="3"/>
        <v>1.0511846531002789E-5</v>
      </c>
      <c r="T37" s="73">
        <v>0.97376796793456999</v>
      </c>
      <c r="U37" s="81">
        <f t="shared" si="8"/>
        <v>0</v>
      </c>
    </row>
    <row r="38" spans="1:21">
      <c r="A38" s="59">
        <f t="shared" si="9"/>
        <v>42072</v>
      </c>
      <c r="B38" s="59">
        <f t="shared" si="0"/>
        <v>42100</v>
      </c>
      <c r="C38" s="83"/>
      <c r="D38" s="60">
        <v>1000000</v>
      </c>
      <c r="E38" s="59">
        <f t="shared" si="10"/>
        <v>42072</v>
      </c>
      <c r="F38" s="71">
        <f t="shared" si="13"/>
        <v>4.4499490463852771</v>
      </c>
      <c r="G38" s="59">
        <f t="shared" si="4"/>
        <v>42100</v>
      </c>
      <c r="H38" s="61">
        <f t="shared" si="1"/>
        <v>3461.0714805218818</v>
      </c>
      <c r="I38" s="52">
        <v>2.46596685070566</v>
      </c>
      <c r="J38" s="57">
        <f t="shared" si="5"/>
        <v>0.97182630293577044</v>
      </c>
      <c r="K38" s="68">
        <f t="shared" ref="K37:K46" si="14">((G38-D$7)/(D$8-D$7))*(G$8)+((D$8-G38)/(D$8-D$7))*G$7</f>
        <v>4.0787172907183349</v>
      </c>
      <c r="L38" s="68"/>
      <c r="M38" s="57">
        <f t="shared" si="12"/>
        <v>0.95383133362426231</v>
      </c>
      <c r="O38" s="57">
        <f t="shared" si="6"/>
        <v>0.95383133362426231</v>
      </c>
      <c r="P38" s="61">
        <f t="shared" si="7"/>
        <v>3363.5603011120138</v>
      </c>
      <c r="Q38" s="57">
        <v>28</v>
      </c>
      <c r="R38" s="57">
        <v>4.4499370436958596</v>
      </c>
      <c r="S38" s="75">
        <f t="shared" si="3"/>
        <v>1.2002689417478507E-5</v>
      </c>
      <c r="T38" s="73">
        <v>0.97182630293576999</v>
      </c>
      <c r="U38" s="81">
        <f t="shared" si="8"/>
        <v>0</v>
      </c>
    </row>
    <row r="39" spans="1:21">
      <c r="A39" s="59">
        <f t="shared" si="9"/>
        <v>42100</v>
      </c>
      <c r="B39" s="59">
        <f t="shared" si="0"/>
        <v>42128</v>
      </c>
      <c r="C39" s="59"/>
      <c r="D39" s="60">
        <v>1000000</v>
      </c>
      <c r="E39" s="59">
        <f t="shared" si="10"/>
        <v>42100</v>
      </c>
      <c r="F39" s="71">
        <f t="shared" si="13"/>
        <v>4.5096185211639073</v>
      </c>
      <c r="G39" s="59">
        <f t="shared" si="4"/>
        <v>42128</v>
      </c>
      <c r="H39" s="61">
        <f t="shared" si="1"/>
        <v>3507.4810720163719</v>
      </c>
      <c r="I39" s="52">
        <v>2.4756010872802201</v>
      </c>
      <c r="J39" s="57">
        <f t="shared" si="5"/>
        <v>0.96987417345878046</v>
      </c>
      <c r="K39" s="68">
        <f t="shared" si="14"/>
        <v>4.108861369168233</v>
      </c>
      <c r="L39" s="68"/>
      <c r="M39" s="57">
        <f t="shared" si="12"/>
        <v>0.95049748169820669</v>
      </c>
      <c r="O39" s="57">
        <f t="shared" si="6"/>
        <v>0.95049748169820669</v>
      </c>
      <c r="P39" s="61">
        <f t="shared" si="7"/>
        <v>3401.8153056441961</v>
      </c>
      <c r="Q39" s="57">
        <v>28</v>
      </c>
      <c r="R39" s="57">
        <v>4.50960502749487</v>
      </c>
      <c r="S39" s="75">
        <f t="shared" si="3"/>
        <v>1.3493669037245581E-5</v>
      </c>
      <c r="T39" s="73">
        <v>0.96987417345878002</v>
      </c>
      <c r="U39" s="81">
        <f t="shared" si="8"/>
        <v>0</v>
      </c>
    </row>
    <row r="40" spans="1:21">
      <c r="A40" s="59">
        <f t="shared" si="9"/>
        <v>42128</v>
      </c>
      <c r="B40" s="59">
        <f t="shared" si="0"/>
        <v>42156</v>
      </c>
      <c r="C40" s="59"/>
      <c r="D40" s="60">
        <v>1000000</v>
      </c>
      <c r="E40" s="59">
        <f t="shared" si="10"/>
        <v>42128</v>
      </c>
      <c r="F40" s="71">
        <f t="shared" si="13"/>
        <v>4.5692907556267315</v>
      </c>
      <c r="G40" s="59">
        <f t="shared" si="4"/>
        <v>42156</v>
      </c>
      <c r="H40" s="61">
        <f t="shared" si="1"/>
        <v>3553.8928099319023</v>
      </c>
      <c r="I40" s="52">
        <v>2.4852353238547602</v>
      </c>
      <c r="J40" s="57">
        <f t="shared" si="5"/>
        <v>0.96791165817544811</v>
      </c>
      <c r="K40" s="68">
        <f t="shared" si="14"/>
        <v>4.1390054476181293</v>
      </c>
      <c r="L40" s="68"/>
      <c r="M40" s="57">
        <f t="shared" si="12"/>
        <v>0.9471314779486647</v>
      </c>
      <c r="O40" s="57">
        <f t="shared" si="6"/>
        <v>0.9471314779486647</v>
      </c>
      <c r="P40" s="61">
        <f t="shared" si="7"/>
        <v>3439.8542826389903</v>
      </c>
      <c r="Q40" s="57">
        <v>28</v>
      </c>
      <c r="R40" s="57">
        <v>4.5692757708396101</v>
      </c>
      <c r="S40" s="75">
        <f t="shared" si="3"/>
        <v>1.4984787121363752E-5</v>
      </c>
      <c r="T40" s="73">
        <v>0.967911658175448</v>
      </c>
      <c r="U40" s="81">
        <f t="shared" si="8"/>
        <v>0</v>
      </c>
    </row>
    <row r="41" spans="1:21">
      <c r="A41" s="59">
        <f t="shared" si="9"/>
        <v>42156</v>
      </c>
      <c r="B41" s="59">
        <f t="shared" si="0"/>
        <v>42184</v>
      </c>
      <c r="C41" s="59"/>
      <c r="D41" s="60">
        <v>1000000</v>
      </c>
      <c r="E41" s="59">
        <f t="shared" si="10"/>
        <v>42156</v>
      </c>
      <c r="F41" s="71">
        <f t="shared" si="13"/>
        <v>4.6289657499019352</v>
      </c>
      <c r="G41" s="59">
        <f t="shared" si="4"/>
        <v>42184</v>
      </c>
      <c r="H41" s="61">
        <f t="shared" si="1"/>
        <v>3600.306694368172</v>
      </c>
      <c r="I41" s="52">
        <v>2.4948695604293198</v>
      </c>
      <c r="J41" s="57">
        <f t="shared" si="5"/>
        <v>0.96593883605908937</v>
      </c>
      <c r="K41" s="68">
        <f t="shared" si="14"/>
        <v>4.1691495260680274</v>
      </c>
      <c r="L41" s="68"/>
      <c r="M41" s="57">
        <f t="shared" si="12"/>
        <v>0.94373374702156176</v>
      </c>
      <c r="O41" s="57">
        <f t="shared" si="6"/>
        <v>0.94373374702156176</v>
      </c>
      <c r="P41" s="61">
        <f t="shared" si="7"/>
        <v>3477.6760578137396</v>
      </c>
      <c r="Q41" s="57">
        <v>28</v>
      </c>
      <c r="R41" s="57">
        <v>4.6289492738591198</v>
      </c>
      <c r="S41" s="75">
        <f t="shared" si="3"/>
        <v>1.6476042815405378E-5</v>
      </c>
      <c r="T41" s="73">
        <v>0.96593883605908903</v>
      </c>
      <c r="U41" s="81">
        <f t="shared" si="8"/>
        <v>0</v>
      </c>
    </row>
    <row r="42" spans="1:21">
      <c r="A42" s="59">
        <f t="shared" si="9"/>
        <v>42184</v>
      </c>
      <c r="B42" s="59">
        <f t="shared" si="0"/>
        <v>42212</v>
      </c>
      <c r="C42" s="59"/>
      <c r="D42" s="60">
        <v>1000000</v>
      </c>
      <c r="E42" s="59">
        <f t="shared" si="10"/>
        <v>42184</v>
      </c>
      <c r="F42" s="71">
        <f t="shared" si="13"/>
        <v>4.6886435041168442</v>
      </c>
      <c r="G42" s="59">
        <f t="shared" si="4"/>
        <v>42212</v>
      </c>
      <c r="H42" s="61">
        <f t="shared" si="1"/>
        <v>3646.7227254242121</v>
      </c>
      <c r="I42" s="52">
        <v>2.5045037970038702</v>
      </c>
      <c r="J42" s="57">
        <f t="shared" si="5"/>
        <v>0.96395578637921575</v>
      </c>
      <c r="K42" s="68">
        <f t="shared" si="14"/>
        <v>4.1992936045179245</v>
      </c>
      <c r="L42" s="68"/>
      <c r="M42" s="57">
        <f t="shared" si="12"/>
        <v>0.94030471644328439</v>
      </c>
      <c r="O42" s="57">
        <f t="shared" si="6"/>
        <v>0.94030471644328439</v>
      </c>
      <c r="P42" s="61">
        <f t="shared" si="7"/>
        <v>3515.2794724932533</v>
      </c>
      <c r="Q42" s="57">
        <v>28</v>
      </c>
      <c r="R42" s="57">
        <v>4.6886255366801599</v>
      </c>
      <c r="S42" s="75">
        <f t="shared" si="3"/>
        <v>1.7967436684251936E-5</v>
      </c>
      <c r="T42" s="73">
        <v>0.96395578637921597</v>
      </c>
      <c r="U42" s="81">
        <f t="shared" si="8"/>
        <v>0</v>
      </c>
    </row>
    <row r="43" spans="1:21">
      <c r="A43" s="59">
        <f t="shared" si="9"/>
        <v>42212</v>
      </c>
      <c r="B43" s="59">
        <f t="shared" si="0"/>
        <v>42240</v>
      </c>
      <c r="C43" s="59"/>
      <c r="D43" s="60">
        <v>1000000</v>
      </c>
      <c r="E43" s="59">
        <f t="shared" si="10"/>
        <v>42212</v>
      </c>
      <c r="F43" s="71">
        <f t="shared" si="13"/>
        <v>4.748324018399356</v>
      </c>
      <c r="G43" s="59">
        <f t="shared" si="4"/>
        <v>42240</v>
      </c>
      <c r="H43" s="61">
        <f t="shared" si="1"/>
        <v>3693.140903199499</v>
      </c>
      <c r="I43" s="68">
        <f>((G43-'With Swap Points'!D$10)/('With Swap Points'!D$11-'With Swap Points'!D$10))*'With Swap Points'!G$11+(('With Swap Points'!D$11-G43)/('With Swap Points'!D$11-'With Swap Points'!D$10))*'With Swap Points'!G$10</f>
        <v>2.5720144881172353</v>
      </c>
      <c r="J43" s="57">
        <f t="shared" si="5"/>
        <v>0.9611042043416933</v>
      </c>
      <c r="K43" s="68">
        <f t="shared" si="14"/>
        <v>4.2294376829678217</v>
      </c>
      <c r="L43" s="68"/>
      <c r="M43" s="57">
        <f t="shared" si="12"/>
        <v>0.93684481653140184</v>
      </c>
      <c r="O43" s="57">
        <f t="shared" si="6"/>
        <v>0.93684481653140184</v>
      </c>
      <c r="P43" s="61">
        <f t="shared" si="7"/>
        <v>3549.4932492913172</v>
      </c>
      <c r="Q43" s="57">
        <v>28</v>
      </c>
      <c r="R43" s="57">
        <v>4.7483045594306299</v>
      </c>
      <c r="S43" s="75">
        <f t="shared" si="3"/>
        <v>1.9458968726127068E-5</v>
      </c>
      <c r="T43" s="73">
        <v>0.96110421477994201</v>
      </c>
      <c r="U43" s="81">
        <f t="shared" si="8"/>
        <v>-1.043824870983201E-8</v>
      </c>
    </row>
    <row r="44" spans="1:21">
      <c r="A44" s="59">
        <f t="shared" si="9"/>
        <v>42240</v>
      </c>
      <c r="B44" s="59">
        <f t="shared" si="0"/>
        <v>42268</v>
      </c>
      <c r="C44" s="59"/>
      <c r="D44" s="60">
        <v>1000000</v>
      </c>
      <c r="E44" s="59">
        <f t="shared" si="10"/>
        <v>42240</v>
      </c>
      <c r="F44" s="71">
        <f t="shared" si="13"/>
        <v>4.8080072928765123</v>
      </c>
      <c r="G44" s="59">
        <f t="shared" si="4"/>
        <v>42268</v>
      </c>
      <c r="H44" s="61">
        <f t="shared" si="1"/>
        <v>3739.5612277928431</v>
      </c>
      <c r="I44" s="68">
        <f>((G44-'With Swap Points'!D$10)/('With Swap Points'!D$11-'With Swap Points'!D$10))*'With Swap Points'!G$11+(('With Swap Points'!D$11-G44)/('With Swap Points'!D$11-'With Swap Points'!D$10))*'With Swap Points'!G$10</f>
        <v>2.7063057036984599</v>
      </c>
      <c r="J44" s="57">
        <f t="shared" si="5"/>
        <v>0.95712631198713127</v>
      </c>
      <c r="K44" s="68">
        <f t="shared" si="14"/>
        <v>4.2595817614177198</v>
      </c>
      <c r="L44" s="68"/>
      <c r="M44" s="57">
        <f t="shared" si="12"/>
        <v>0.93335448030506618</v>
      </c>
      <c r="O44" s="57">
        <f t="shared" si="6"/>
        <v>0.93335448030506618</v>
      </c>
      <c r="P44" s="61">
        <f t="shared" si="7"/>
        <v>3579.2324464074322</v>
      </c>
      <c r="Q44" s="57">
        <v>28</v>
      </c>
      <c r="R44" s="57">
        <v>4.8079863422384301</v>
      </c>
      <c r="S44" s="75">
        <f t="shared" si="3"/>
        <v>2.0950638082162243E-5</v>
      </c>
      <c r="T44" s="73">
        <v>0.95712634640199301</v>
      </c>
      <c r="U44" s="81">
        <f t="shared" si="8"/>
        <v>-3.4414861738163438E-8</v>
      </c>
    </row>
    <row r="45" spans="1:21">
      <c r="A45" s="59">
        <f t="shared" si="9"/>
        <v>42268</v>
      </c>
      <c r="B45" s="59">
        <f t="shared" si="0"/>
        <v>42296</v>
      </c>
      <c r="C45" s="59"/>
      <c r="D45" s="60">
        <v>1000000</v>
      </c>
      <c r="E45" s="59">
        <f t="shared" si="10"/>
        <v>42268</v>
      </c>
      <c r="F45" s="71">
        <f t="shared" si="13"/>
        <v>4.8676933276770669</v>
      </c>
      <c r="G45" s="59">
        <f t="shared" si="4"/>
        <v>42296</v>
      </c>
      <c r="H45" s="61">
        <f t="shared" si="1"/>
        <v>3785.9836993043846</v>
      </c>
      <c r="I45" s="68">
        <f>((G45-'With Swap Points'!D$10)/('With Swap Points'!D$11-'With Swap Points'!D$10))*'With Swap Points'!G$11+(('With Swap Points'!D$11-G45)/('With Swap Points'!D$11-'With Swap Points'!D$10))*'With Swap Points'!G$10</f>
        <v>2.8405969192796841</v>
      </c>
      <c r="J45" s="57">
        <f t="shared" si="5"/>
        <v>0.95296851774558045</v>
      </c>
      <c r="K45" s="68">
        <f t="shared" si="14"/>
        <v>4.289725839867617</v>
      </c>
      <c r="L45" s="68"/>
      <c r="M45" s="57">
        <f t="shared" si="12"/>
        <v>0.92983414339511572</v>
      </c>
      <c r="O45" s="57">
        <f t="shared" si="6"/>
        <v>0.92983414339511572</v>
      </c>
      <c r="P45" s="61">
        <f t="shared" si="7"/>
        <v>3607.9232741350288</v>
      </c>
      <c r="Q45" s="57">
        <v>28</v>
      </c>
      <c r="R45" s="57">
        <v>4.8676708852311696</v>
      </c>
      <c r="S45" s="75">
        <f t="shared" si="3"/>
        <v>2.2442445897219443E-5</v>
      </c>
      <c r="T45" s="73">
        <v>0.95296857814374303</v>
      </c>
      <c r="U45" s="81">
        <f t="shared" si="8"/>
        <v>-6.0398162582409043E-8</v>
      </c>
    </row>
    <row r="46" spans="1:21">
      <c r="A46" s="59">
        <f t="shared" si="9"/>
        <v>42296</v>
      </c>
      <c r="B46" s="59">
        <f t="shared" si="0"/>
        <v>42325</v>
      </c>
      <c r="C46" s="59"/>
      <c r="D46" s="60">
        <v>1000000</v>
      </c>
      <c r="E46" s="59">
        <f t="shared" si="10"/>
        <v>42296</v>
      </c>
      <c r="F46" s="71">
        <f t="shared" si="13"/>
        <v>4.9287849600336147</v>
      </c>
      <c r="G46" s="59">
        <f t="shared" si="4"/>
        <v>42325</v>
      </c>
      <c r="H46" s="61">
        <f t="shared" si="1"/>
        <v>3970.4101066937455</v>
      </c>
      <c r="I46" s="68">
        <f>((G46-'With Swap Points'!D$10)/('With Swap Points'!D$11-'With Swap Points'!D$10))*'With Swap Points'!G$11+(('With Swap Points'!D$11-G46)/('With Swap Points'!D$11-'With Swap Points'!D$10))*'With Swap Points'!G$10</f>
        <v>2.9796842497030949</v>
      </c>
      <c r="J46" s="57">
        <f t="shared" si="5"/>
        <v>0.94847523477653572</v>
      </c>
      <c r="K46" s="68">
        <f t="shared" si="14"/>
        <v>4.3209464925478684</v>
      </c>
      <c r="L46" s="68"/>
      <c r="M46" s="57">
        <f t="shared" si="12"/>
        <v>0.92615692059719235</v>
      </c>
      <c r="O46" s="57">
        <f t="shared" si="6"/>
        <v>0.92615692059719235</v>
      </c>
      <c r="P46" s="61">
        <f t="shared" si="7"/>
        <v>3765.8356581054804</v>
      </c>
      <c r="Q46" s="57">
        <v>29</v>
      </c>
      <c r="R46" s="57">
        <v>4.9287609957247298</v>
      </c>
      <c r="S46" s="75">
        <f t="shared" si="3"/>
        <v>2.3964308884849572E-5</v>
      </c>
      <c r="T46" s="73">
        <v>0.94847532415492397</v>
      </c>
      <c r="U46" s="81">
        <f t="shared" si="8"/>
        <v>-8.9378388246075247E-8</v>
      </c>
    </row>
    <row r="47" spans="1:21">
      <c r="A47" s="59">
        <f t="shared" si="9"/>
        <v>42325</v>
      </c>
      <c r="B47" s="59">
        <f t="shared" si="0"/>
        <v>42352</v>
      </c>
      <c r="C47" s="59">
        <v>42353</v>
      </c>
      <c r="D47" s="60">
        <v>1000000</v>
      </c>
      <c r="E47" s="59">
        <f t="shared" si="10"/>
        <v>42324</v>
      </c>
      <c r="F47" s="71">
        <f>((O46/O47)-1)*(36000/(C47-A47))</f>
        <v>4.9892055710934864</v>
      </c>
      <c r="G47" s="59">
        <f t="shared" si="4"/>
        <v>42352</v>
      </c>
      <c r="H47" s="61">
        <f t="shared" si="1"/>
        <v>3741.9041783201151</v>
      </c>
      <c r="I47" s="68">
        <f>((G47-'With Swap Points'!D$10)/('With Swap Points'!D$11-'With Swap Points'!D$10))*'With Swap Points'!G$11+(('With Swap Points'!D$11-G47)/('With Swap Points'!D$11-'With Swap Points'!D$10))*'With Swap Points'!G$10</f>
        <v>3.1091793504421328</v>
      </c>
      <c r="J47" s="57">
        <f t="shared" si="5"/>
        <v>0.94412328557849012</v>
      </c>
      <c r="K47" s="78">
        <f>((C47-D$7)/(D$8-D$7))*(G$8)+((D$8-C47)/(D$8-D$7))*G$7</f>
        <v>4.3510905709977656</v>
      </c>
      <c r="L47" s="78">
        <v>4.3500057146274402</v>
      </c>
      <c r="M47" s="62">
        <f>EXP(-(K47/100)*(C47-B$19)/365)</f>
        <v>0.92257686731683075</v>
      </c>
      <c r="N47" s="62">
        <f>EXP(-(L47/100)*(B47-B$19)/365)</f>
        <v>0.92270536388910174</v>
      </c>
      <c r="O47" s="57">
        <f t="shared" si="6"/>
        <v>0.92257686731683075</v>
      </c>
      <c r="P47" s="61">
        <f t="shared" si="7"/>
        <v>3532.8188671554676</v>
      </c>
      <c r="Q47" s="57">
        <v>27</v>
      </c>
      <c r="R47" s="57">
        <v>4.98918009132748</v>
      </c>
      <c r="S47" s="75">
        <f t="shared" si="3"/>
        <v>2.5479766006419879E-5</v>
      </c>
      <c r="T47" s="73">
        <v>0.94412340378678306</v>
      </c>
      <c r="U47" s="81">
        <f t="shared" si="8"/>
        <v>-1.1820829293185398E-7</v>
      </c>
    </row>
    <row r="48" spans="1:21" ht="15.75" thickBot="1">
      <c r="A48" s="59">
        <f t="shared" si="9"/>
        <v>42352</v>
      </c>
      <c r="B48" s="59">
        <f t="shared" si="0"/>
        <v>42380</v>
      </c>
      <c r="C48" s="59"/>
      <c r="D48" s="60">
        <v>1000000</v>
      </c>
      <c r="E48" s="59">
        <f t="shared" si="10"/>
        <v>42352</v>
      </c>
      <c r="F48" s="71">
        <f>((N47/O48)-1)*(36000/(B48-B47))</f>
        <v>5.0469656919631367</v>
      </c>
      <c r="G48" s="59">
        <f t="shared" si="4"/>
        <v>42380</v>
      </c>
      <c r="H48" s="61">
        <f t="shared" si="1"/>
        <v>3925.417760415773</v>
      </c>
      <c r="I48" s="68">
        <f>((G48-'With Swap Points'!D$10)/('With Swap Points'!D$11-'With Swap Points'!D$10))*'With Swap Points'!G$11+(('With Swap Points'!D$11-G48)/('With Swap Points'!D$11-'With Swap Points'!D$10))*'With Swap Points'!G$10</f>
        <v>3.2434705660233569</v>
      </c>
      <c r="J48" s="57">
        <f t="shared" si="5"/>
        <v>0.9394411218814479</v>
      </c>
      <c r="K48" s="68">
        <f>((G48-D$7)/(D$8-D$7))*(G$8)+((D$8-G48)/(D$8-D$7))*G$7</f>
        <v>4.3801580752173104</v>
      </c>
      <c r="L48" s="68"/>
      <c r="M48" s="57">
        <f>EXP(-(K48/100)*(B48-B$19)/365)</f>
        <v>0.91909752215209184</v>
      </c>
      <c r="O48" s="57">
        <f t="shared" si="6"/>
        <v>0.91909752215209184</v>
      </c>
      <c r="P48" s="61">
        <f t="shared" si="7"/>
        <v>3687.6988646983546</v>
      </c>
      <c r="Q48" s="57">
        <v>28</v>
      </c>
      <c r="R48" s="57">
        <v>5.0467410765936904</v>
      </c>
      <c r="S48" s="85">
        <f t="shared" si="3"/>
        <v>2.2461536944629046E-4</v>
      </c>
      <c r="T48" s="73">
        <v>0.93944127182292303</v>
      </c>
      <c r="U48" s="81">
        <f t="shared" si="8"/>
        <v>-1.4994147512492617E-7</v>
      </c>
    </row>
    <row r="49" spans="1:21" ht="15.75" thickBot="1">
      <c r="A49" s="59">
        <f t="shared" si="9"/>
        <v>42380</v>
      </c>
      <c r="B49" s="59">
        <f t="shared" si="0"/>
        <v>42408</v>
      </c>
      <c r="C49" s="59"/>
      <c r="D49" s="60">
        <v>1000000</v>
      </c>
      <c r="E49" s="59">
        <f t="shared" si="10"/>
        <v>42380</v>
      </c>
      <c r="F49" s="79">
        <f>((O48/O49)-1)*(36000/(B49-A49))</f>
        <v>5.1064650726578051</v>
      </c>
      <c r="G49" s="59">
        <f t="shared" si="4"/>
        <v>42408</v>
      </c>
      <c r="H49" s="61">
        <f t="shared" si="1"/>
        <v>3971.6950565116258</v>
      </c>
      <c r="I49" s="67">
        <f>'With Swap Points'!L55</f>
        <v>3.3825578964467677</v>
      </c>
      <c r="J49" s="57">
        <f t="shared" si="5"/>
        <v>0.93449983304084638</v>
      </c>
      <c r="K49" s="67">
        <f>G8</f>
        <v>4.4103021536672076</v>
      </c>
      <c r="L49" s="84"/>
      <c r="M49" s="57">
        <f>EXP(-(K49/100)*(B49-B$19)/365)</f>
        <v>0.91546158788904664</v>
      </c>
      <c r="O49" s="57">
        <f t="shared" si="6"/>
        <v>0.91546158788904664</v>
      </c>
      <c r="P49" s="61">
        <f t="shared" si="7"/>
        <v>3711.5483671992693</v>
      </c>
      <c r="Q49" s="57">
        <v>28</v>
      </c>
      <c r="R49" s="57">
        <v>5.1064366616022996</v>
      </c>
      <c r="S49" s="75">
        <f t="shared" si="3"/>
        <v>2.8411055505550564E-5</v>
      </c>
      <c r="T49" s="73">
        <v>0.93458978301022999</v>
      </c>
      <c r="U49" s="81">
        <f t="shared" si="8"/>
        <v>-8.9949969383606998E-5</v>
      </c>
    </row>
    <row r="51" spans="1:21" ht="15.75" thickBot="1">
      <c r="H51" s="61">
        <f>SUM(H24:H49)</f>
        <v>88164.100830847194</v>
      </c>
      <c r="I51" s="86" t="s">
        <v>110</v>
      </c>
      <c r="J51" s="86"/>
      <c r="K51" s="65">
        <v>4.4102923656835902</v>
      </c>
      <c r="L51" s="97">
        <f>K51-K49</f>
        <v>-9.7879836173930812E-6</v>
      </c>
      <c r="P51" s="61">
        <f>SUM(P24:P49)</f>
        <v>85571.85307926574</v>
      </c>
    </row>
    <row r="52" spans="1:21" ht="15.75" thickBot="1">
      <c r="H52" s="61"/>
      <c r="I52" s="87" t="s">
        <v>111</v>
      </c>
      <c r="J52" s="88"/>
      <c r="P52" s="61"/>
    </row>
    <row r="54" spans="1:21" ht="15.75" thickBot="1">
      <c r="A54" s="58" t="s">
        <v>30</v>
      </c>
      <c r="B54" s="58" t="s">
        <v>66</v>
      </c>
      <c r="C54" s="58" t="s">
        <v>66</v>
      </c>
      <c r="D54" s="58" t="s">
        <v>67</v>
      </c>
      <c r="E54" s="58" t="s">
        <v>31</v>
      </c>
      <c r="F54" s="58" t="s">
        <v>68</v>
      </c>
      <c r="G54" s="58" t="s">
        <v>69</v>
      </c>
      <c r="H54" s="58" t="s">
        <v>32</v>
      </c>
      <c r="I54" s="58" t="s">
        <v>95</v>
      </c>
      <c r="J54" s="58" t="s">
        <v>96</v>
      </c>
    </row>
    <row r="55" spans="1:21" ht="15.75" thickBot="1">
      <c r="A55" s="58" t="s">
        <v>0</v>
      </c>
      <c r="B55" s="58" t="s">
        <v>1</v>
      </c>
      <c r="C55" s="58" t="s">
        <v>72</v>
      </c>
      <c r="D55" s="58" t="s">
        <v>73</v>
      </c>
      <c r="E55" s="58"/>
      <c r="F55" s="58" t="s">
        <v>33</v>
      </c>
      <c r="G55" s="58"/>
      <c r="H55" s="58"/>
      <c r="I55" s="58" t="s">
        <v>77</v>
      </c>
      <c r="J55" s="58" t="s">
        <v>30</v>
      </c>
      <c r="M55" s="67" t="s">
        <v>97</v>
      </c>
      <c r="N55" s="74">
        <f>P51+J83</f>
        <v>-1.9145532860420644E-5</v>
      </c>
    </row>
    <row r="56" spans="1:21">
      <c r="A56" s="57" t="s">
        <v>80</v>
      </c>
      <c r="B56" s="59">
        <v>41914</v>
      </c>
      <c r="C56" s="59">
        <v>41915</v>
      </c>
      <c r="D56" s="60">
        <v>1000000</v>
      </c>
      <c r="E56" s="57">
        <v>4.3520000000000003</v>
      </c>
      <c r="F56" s="59">
        <v>41915</v>
      </c>
      <c r="G56" s="61">
        <v>-3384.8888888889901</v>
      </c>
      <c r="H56" s="57" t="s">
        <v>28</v>
      </c>
      <c r="I56" s="73">
        <f>T24</f>
        <v>0.99766870201225299</v>
      </c>
      <c r="J56" s="61">
        <f>G56*I56</f>
        <v>-3376.9977042335759</v>
      </c>
    </row>
    <row r="57" spans="1:21">
      <c r="A57" s="57" t="s">
        <v>80</v>
      </c>
      <c r="B57" s="59">
        <v>41915</v>
      </c>
      <c r="C57" s="59">
        <v>41824</v>
      </c>
      <c r="D57" s="60">
        <v>1000000</v>
      </c>
      <c r="E57" s="57">
        <v>4.3520000000000003</v>
      </c>
      <c r="F57" s="59">
        <v>41824</v>
      </c>
      <c r="G57" s="61">
        <v>-3384.8888888889901</v>
      </c>
      <c r="H57" s="57" t="s">
        <v>28</v>
      </c>
      <c r="I57" s="73">
        <f t="shared" ref="I57:I81" si="15">T25</f>
        <v>0.99587270556657503</v>
      </c>
      <c r="J57" s="61">
        <f t="shared" ref="J57:J81" si="16">G57*I57</f>
        <v>-3370.9184558201164</v>
      </c>
    </row>
    <row r="58" spans="1:21">
      <c r="A58" s="57" t="s">
        <v>80</v>
      </c>
      <c r="B58" s="59">
        <v>41824</v>
      </c>
      <c r="C58" s="59">
        <v>41764</v>
      </c>
      <c r="D58" s="60">
        <v>1000000</v>
      </c>
      <c r="E58" s="57">
        <v>4.3520000000000003</v>
      </c>
      <c r="F58" s="59">
        <v>41764</v>
      </c>
      <c r="G58" s="61">
        <v>-3384.8888888889901</v>
      </c>
      <c r="H58" s="57" t="s">
        <v>28</v>
      </c>
      <c r="I58" s="73">
        <f t="shared" si="15"/>
        <v>0.99410408669762296</v>
      </c>
      <c r="J58" s="61">
        <f t="shared" si="16"/>
        <v>-3364.9318774619214</v>
      </c>
    </row>
    <row r="59" spans="1:21">
      <c r="A59" s="57" t="s">
        <v>80</v>
      </c>
      <c r="B59" s="59">
        <v>41764</v>
      </c>
      <c r="C59" s="59">
        <v>41676</v>
      </c>
      <c r="D59" s="60">
        <v>1000000</v>
      </c>
      <c r="E59" s="57">
        <v>4.3520000000000003</v>
      </c>
      <c r="F59" s="59">
        <v>41676</v>
      </c>
      <c r="G59" s="61">
        <v>-3384.8888888889901</v>
      </c>
      <c r="H59" s="57" t="s">
        <v>28</v>
      </c>
      <c r="I59" s="73">
        <f t="shared" si="15"/>
        <v>0.99230225443849496</v>
      </c>
      <c r="J59" s="61">
        <f t="shared" si="16"/>
        <v>-3358.8328754683571</v>
      </c>
    </row>
    <row r="60" spans="1:21">
      <c r="A60" s="57" t="s">
        <v>80</v>
      </c>
      <c r="B60" s="59">
        <v>41676</v>
      </c>
      <c r="C60" s="57" t="s">
        <v>81</v>
      </c>
      <c r="D60" s="60">
        <v>1000000</v>
      </c>
      <c r="E60" s="57">
        <v>4.3520000000000003</v>
      </c>
      <c r="F60" s="57" t="s">
        <v>81</v>
      </c>
      <c r="G60" s="61">
        <v>-3384.8888888889901</v>
      </c>
      <c r="H60" s="57" t="s">
        <v>28</v>
      </c>
      <c r="I60" s="73">
        <f t="shared" si="15"/>
        <v>0.99051445591714504</v>
      </c>
      <c r="J60" s="61">
        <f t="shared" si="16"/>
        <v>-3352.7813761178677</v>
      </c>
    </row>
    <row r="61" spans="1:21">
      <c r="A61" s="57" t="s">
        <v>80</v>
      </c>
      <c r="B61" s="57" t="s">
        <v>81</v>
      </c>
      <c r="C61" s="57" t="s">
        <v>82</v>
      </c>
      <c r="D61" s="60">
        <v>1000000</v>
      </c>
      <c r="E61" s="57">
        <v>4.3520000000000003</v>
      </c>
      <c r="F61" s="57" t="s">
        <v>82</v>
      </c>
      <c r="G61" s="61">
        <v>-3384.8888888889901</v>
      </c>
      <c r="H61" s="57" t="s">
        <v>28</v>
      </c>
      <c r="I61" s="73">
        <f t="shared" si="15"/>
        <v>0.98876015456613997</v>
      </c>
      <c r="J61" s="61">
        <f t="shared" si="16"/>
        <v>-3346.8432609670876</v>
      </c>
    </row>
    <row r="62" spans="1:21">
      <c r="A62" s="57" t="s">
        <v>80</v>
      </c>
      <c r="B62" s="57" t="s">
        <v>82</v>
      </c>
      <c r="C62" s="57" t="s">
        <v>83</v>
      </c>
      <c r="D62" s="60">
        <v>1000000</v>
      </c>
      <c r="E62" s="57">
        <v>4.3520000000000003</v>
      </c>
      <c r="F62" s="57" t="s">
        <v>83</v>
      </c>
      <c r="G62" s="61">
        <v>-3384.8888888889901</v>
      </c>
      <c r="H62" s="57" t="s">
        <v>28</v>
      </c>
      <c r="I62" s="73">
        <f t="shared" si="15"/>
        <v>0.98698805655982502</v>
      </c>
      <c r="J62" s="61">
        <f t="shared" si="16"/>
        <v>-3340.8449061154897</v>
      </c>
    </row>
    <row r="63" spans="1:21">
      <c r="A63" s="57" t="s">
        <v>80</v>
      </c>
      <c r="B63" s="57" t="s">
        <v>83</v>
      </c>
      <c r="C63" s="57" t="s">
        <v>84</v>
      </c>
      <c r="D63" s="60">
        <v>1000000</v>
      </c>
      <c r="E63" s="57">
        <v>4.3520000000000003</v>
      </c>
      <c r="F63" s="57" t="s">
        <v>84</v>
      </c>
      <c r="G63" s="61">
        <v>-3384.8888888889901</v>
      </c>
      <c r="H63" s="57" t="s">
        <v>28</v>
      </c>
      <c r="I63" s="73">
        <f t="shared" si="15"/>
        <v>0.98517672740532103</v>
      </c>
      <c r="J63" s="61">
        <f t="shared" si="16"/>
        <v>-3334.7137581862885</v>
      </c>
    </row>
    <row r="64" spans="1:21">
      <c r="A64" s="57" t="s">
        <v>80</v>
      </c>
      <c r="B64" s="57" t="s">
        <v>84</v>
      </c>
      <c r="C64" s="57" t="s">
        <v>85</v>
      </c>
      <c r="D64" s="60">
        <v>1000000</v>
      </c>
      <c r="E64" s="57">
        <v>4.3520000000000003</v>
      </c>
      <c r="F64" s="57" t="s">
        <v>85</v>
      </c>
      <c r="G64" s="61">
        <v>-3384.8888888889901</v>
      </c>
      <c r="H64" s="57" t="s">
        <v>28</v>
      </c>
      <c r="I64" s="73">
        <f t="shared" si="15"/>
        <v>0.983370165124272</v>
      </c>
      <c r="J64" s="61">
        <f t="shared" si="16"/>
        <v>-3328.5987455940799</v>
      </c>
    </row>
    <row r="65" spans="1:10">
      <c r="A65" s="57" t="s">
        <v>80</v>
      </c>
      <c r="B65" s="57" t="s">
        <v>85</v>
      </c>
      <c r="C65" s="57" t="s">
        <v>86</v>
      </c>
      <c r="D65" s="60">
        <v>1000000</v>
      </c>
      <c r="E65" s="57">
        <v>4.3520000000000003</v>
      </c>
      <c r="F65" s="57" t="s">
        <v>86</v>
      </c>
      <c r="G65" s="61">
        <v>-3505.7777777778301</v>
      </c>
      <c r="H65" s="57" t="s">
        <v>28</v>
      </c>
      <c r="I65" s="73">
        <f t="shared" si="15"/>
        <v>0.98147845541078105</v>
      </c>
      <c r="J65" s="61">
        <f t="shared" si="16"/>
        <v>-3440.8453583468249</v>
      </c>
    </row>
    <row r="66" spans="1:10">
      <c r="A66" s="57" t="s">
        <v>80</v>
      </c>
      <c r="B66" s="57" t="s">
        <v>86</v>
      </c>
      <c r="C66" s="57" t="s">
        <v>87</v>
      </c>
      <c r="D66" s="60">
        <v>1000000</v>
      </c>
      <c r="E66" s="57">
        <v>4.3520000000000003</v>
      </c>
      <c r="F66" s="57" t="s">
        <v>87</v>
      </c>
      <c r="G66" s="61">
        <v>-3263.99999999993</v>
      </c>
      <c r="H66" s="57" t="s">
        <v>28</v>
      </c>
      <c r="I66" s="73">
        <f t="shared" si="15"/>
        <v>0.97961715507084401</v>
      </c>
      <c r="J66" s="61">
        <f t="shared" si="16"/>
        <v>-3197.4703941511661</v>
      </c>
    </row>
    <row r="67" spans="1:10">
      <c r="A67" s="57" t="s">
        <v>80</v>
      </c>
      <c r="B67" s="57" t="s">
        <v>87</v>
      </c>
      <c r="C67" s="59">
        <v>42339</v>
      </c>
      <c r="D67" s="60">
        <v>1000000</v>
      </c>
      <c r="E67" s="57">
        <v>4.3520000000000003</v>
      </c>
      <c r="F67" s="59">
        <v>42339</v>
      </c>
      <c r="G67" s="61">
        <v>-3384.8888888889901</v>
      </c>
      <c r="H67" s="57" t="s">
        <v>28</v>
      </c>
      <c r="I67" s="73">
        <f t="shared" si="15"/>
        <v>0.97766897447094703</v>
      </c>
      <c r="J67" s="61">
        <f t="shared" si="16"/>
        <v>-3309.3008486982021</v>
      </c>
    </row>
    <row r="68" spans="1:10">
      <c r="A68" s="57" t="s">
        <v>80</v>
      </c>
      <c r="B68" s="59">
        <v>42339</v>
      </c>
      <c r="C68" s="59">
        <v>42249</v>
      </c>
      <c r="D68" s="60">
        <v>1000000</v>
      </c>
      <c r="E68" s="57">
        <v>4.3520000000000003</v>
      </c>
      <c r="F68" s="59">
        <v>42249</v>
      </c>
      <c r="G68" s="61">
        <v>-3384.8888888889901</v>
      </c>
      <c r="H68" s="57" t="s">
        <v>28</v>
      </c>
      <c r="I68" s="73">
        <f t="shared" si="15"/>
        <v>0.97570264713600896</v>
      </c>
      <c r="J68" s="61">
        <f t="shared" si="16"/>
        <v>-3302.6450491502519</v>
      </c>
    </row>
    <row r="69" spans="1:10">
      <c r="A69" s="57" t="s">
        <v>80</v>
      </c>
      <c r="B69" s="59">
        <v>42249</v>
      </c>
      <c r="C69" s="59">
        <v>42250</v>
      </c>
      <c r="D69" s="60">
        <v>1000000</v>
      </c>
      <c r="E69" s="57">
        <v>4.3520000000000003</v>
      </c>
      <c r="F69" s="59">
        <v>42250</v>
      </c>
      <c r="G69" s="61">
        <v>-3384.8888888889901</v>
      </c>
      <c r="H69" s="57" t="s">
        <v>28</v>
      </c>
      <c r="I69" s="73">
        <f t="shared" si="15"/>
        <v>0.97376796793456999</v>
      </c>
      <c r="J69" s="61">
        <f t="shared" si="16"/>
        <v>-3296.0963750177361</v>
      </c>
    </row>
    <row r="70" spans="1:10">
      <c r="A70" s="57" t="s">
        <v>80</v>
      </c>
      <c r="B70" s="59">
        <v>42250</v>
      </c>
      <c r="C70" s="59">
        <v>42159</v>
      </c>
      <c r="D70" s="60">
        <v>1000000</v>
      </c>
      <c r="E70" s="57">
        <v>4.3520000000000003</v>
      </c>
      <c r="F70" s="59">
        <v>42159</v>
      </c>
      <c r="G70" s="61">
        <v>-3384.8888888889901</v>
      </c>
      <c r="H70" s="57" t="s">
        <v>28</v>
      </c>
      <c r="I70" s="73">
        <f t="shared" si="15"/>
        <v>0.97182630293576999</v>
      </c>
      <c r="J70" s="61">
        <f t="shared" si="16"/>
        <v>-3289.5240547373537</v>
      </c>
    </row>
    <row r="71" spans="1:10">
      <c r="A71" s="57" t="s">
        <v>80</v>
      </c>
      <c r="B71" s="59">
        <v>42159</v>
      </c>
      <c r="C71" s="59">
        <v>42099</v>
      </c>
      <c r="D71" s="60">
        <v>1000000</v>
      </c>
      <c r="E71" s="57">
        <v>4.3520000000000003</v>
      </c>
      <c r="F71" s="59">
        <v>42099</v>
      </c>
      <c r="G71" s="61">
        <v>-3384.8888888889901</v>
      </c>
      <c r="H71" s="57" t="s">
        <v>28</v>
      </c>
      <c r="I71" s="73">
        <f t="shared" si="15"/>
        <v>0.96987417345878002</v>
      </c>
      <c r="J71" s="61">
        <f t="shared" si="16"/>
        <v>-3282.9163133610177</v>
      </c>
    </row>
    <row r="72" spans="1:10">
      <c r="A72" s="57" t="s">
        <v>80</v>
      </c>
      <c r="B72" s="59">
        <v>42099</v>
      </c>
      <c r="C72" s="59">
        <v>42010</v>
      </c>
      <c r="D72" s="60">
        <v>1000000</v>
      </c>
      <c r="E72" s="57">
        <v>4.3520000000000003</v>
      </c>
      <c r="F72" s="59">
        <v>42010</v>
      </c>
      <c r="G72" s="61">
        <v>-3384.8888888889901</v>
      </c>
      <c r="H72" s="57" t="s">
        <v>28</v>
      </c>
      <c r="I72" s="73">
        <f t="shared" si="15"/>
        <v>0.967911658175448</v>
      </c>
      <c r="J72" s="61">
        <f t="shared" si="16"/>
        <v>-3276.2734171841921</v>
      </c>
    </row>
    <row r="73" spans="1:10">
      <c r="A73" s="57" t="s">
        <v>80</v>
      </c>
      <c r="B73" s="59">
        <v>42010</v>
      </c>
      <c r="C73" s="57" t="s">
        <v>88</v>
      </c>
      <c r="D73" s="60">
        <v>1000000</v>
      </c>
      <c r="E73" s="57">
        <v>4.3520000000000003</v>
      </c>
      <c r="F73" s="57" t="s">
        <v>88</v>
      </c>
      <c r="G73" s="61">
        <v>-3384.8888888889901</v>
      </c>
      <c r="H73" s="57" t="s">
        <v>28</v>
      </c>
      <c r="I73" s="73">
        <f t="shared" si="15"/>
        <v>0.96593883605908903</v>
      </c>
      <c r="J73" s="61">
        <f t="shared" si="16"/>
        <v>-3269.5956335227743</v>
      </c>
    </row>
    <row r="74" spans="1:10">
      <c r="A74" s="57" t="s">
        <v>80</v>
      </c>
      <c r="B74" s="57" t="s">
        <v>88</v>
      </c>
      <c r="C74" s="57" t="s">
        <v>89</v>
      </c>
      <c r="D74" s="60">
        <v>1000000</v>
      </c>
      <c r="E74" s="57">
        <v>4.3520000000000003</v>
      </c>
      <c r="F74" s="57" t="s">
        <v>89</v>
      </c>
      <c r="G74" s="61">
        <v>-3384.8888888889901</v>
      </c>
      <c r="H74" s="57" t="s">
        <v>28</v>
      </c>
      <c r="I74" s="73">
        <f t="shared" si="15"/>
        <v>0.96395578637921597</v>
      </c>
      <c r="J74" s="61">
        <f t="shared" si="16"/>
        <v>-3262.8832306952572</v>
      </c>
    </row>
    <row r="75" spans="1:10">
      <c r="A75" s="57" t="s">
        <v>80</v>
      </c>
      <c r="B75" s="57" t="s">
        <v>89</v>
      </c>
      <c r="C75" s="57" t="s">
        <v>90</v>
      </c>
      <c r="D75" s="60">
        <v>1000000</v>
      </c>
      <c r="E75" s="57">
        <v>4.3520000000000003</v>
      </c>
      <c r="F75" s="57" t="s">
        <v>90</v>
      </c>
      <c r="G75" s="61">
        <v>-3384.8888888889901</v>
      </c>
      <c r="H75" s="57" t="s">
        <v>28</v>
      </c>
      <c r="I75" s="73">
        <f t="shared" si="15"/>
        <v>0.96110421477994201</v>
      </c>
      <c r="J75" s="61">
        <f t="shared" si="16"/>
        <v>-3253.2309776730031</v>
      </c>
    </row>
    <row r="76" spans="1:10">
      <c r="A76" s="57" t="s">
        <v>80</v>
      </c>
      <c r="B76" s="57" t="s">
        <v>90</v>
      </c>
      <c r="C76" s="57" t="s">
        <v>91</v>
      </c>
      <c r="D76" s="60">
        <v>1000000</v>
      </c>
      <c r="E76" s="57">
        <v>4.3520000000000003</v>
      </c>
      <c r="F76" s="57" t="s">
        <v>91</v>
      </c>
      <c r="G76" s="61">
        <v>-3384.8888888889901</v>
      </c>
      <c r="H76" s="57" t="s">
        <v>28</v>
      </c>
      <c r="I76" s="73">
        <f t="shared" si="15"/>
        <v>0.95712634640199301</v>
      </c>
      <c r="J76" s="61">
        <f t="shared" si="16"/>
        <v>-3239.7663351990209</v>
      </c>
    </row>
    <row r="77" spans="1:10">
      <c r="A77" s="57" t="s">
        <v>80</v>
      </c>
      <c r="B77" s="57" t="s">
        <v>91</v>
      </c>
      <c r="C77" s="57" t="s">
        <v>92</v>
      </c>
      <c r="D77" s="60">
        <v>1000000</v>
      </c>
      <c r="E77" s="57">
        <v>4.3520000000000003</v>
      </c>
      <c r="F77" s="57" t="s">
        <v>92</v>
      </c>
      <c r="G77" s="61">
        <v>-3384.8888888889901</v>
      </c>
      <c r="H77" s="57" t="s">
        <v>28</v>
      </c>
      <c r="I77" s="73">
        <f t="shared" si="15"/>
        <v>0.95296857814374303</v>
      </c>
      <c r="J77" s="61">
        <f t="shared" si="16"/>
        <v>-3225.6927516190949</v>
      </c>
    </row>
    <row r="78" spans="1:10">
      <c r="A78" s="57" t="s">
        <v>80</v>
      </c>
      <c r="B78" s="57" t="s">
        <v>92</v>
      </c>
      <c r="C78" s="57" t="s">
        <v>93</v>
      </c>
      <c r="D78" s="60">
        <v>1000000</v>
      </c>
      <c r="E78" s="57">
        <v>4.3520000000000003</v>
      </c>
      <c r="F78" s="57" t="s">
        <v>93</v>
      </c>
      <c r="G78" s="61">
        <v>-3505.7777777778301</v>
      </c>
      <c r="H78" s="57" t="s">
        <v>28</v>
      </c>
      <c r="I78" s="73">
        <f t="shared" si="15"/>
        <v>0.94847532415492397</v>
      </c>
      <c r="J78" s="61">
        <f t="shared" si="16"/>
        <v>-3325.1437141929564</v>
      </c>
    </row>
    <row r="79" spans="1:10">
      <c r="A79" s="57" t="s">
        <v>80</v>
      </c>
      <c r="B79" s="57" t="s">
        <v>93</v>
      </c>
      <c r="C79" s="57" t="s">
        <v>94</v>
      </c>
      <c r="D79" s="60">
        <v>1000000</v>
      </c>
      <c r="E79" s="57">
        <v>4.3520000000000003</v>
      </c>
      <c r="F79" s="57" t="s">
        <v>94</v>
      </c>
      <c r="G79" s="61">
        <v>-3263.99999999993</v>
      </c>
      <c r="H79" s="57" t="s">
        <v>28</v>
      </c>
      <c r="I79" s="73">
        <f t="shared" si="15"/>
        <v>0.94412340378678306</v>
      </c>
      <c r="J79" s="61">
        <f t="shared" si="16"/>
        <v>-3081.6187899599936</v>
      </c>
    </row>
    <row r="80" spans="1:10">
      <c r="A80" s="57" t="s">
        <v>80</v>
      </c>
      <c r="B80" s="57" t="s">
        <v>94</v>
      </c>
      <c r="C80" s="59">
        <v>42675</v>
      </c>
      <c r="D80" s="60">
        <v>1000000</v>
      </c>
      <c r="E80" s="57">
        <v>4.3520000000000003</v>
      </c>
      <c r="F80" s="59">
        <v>42675</v>
      </c>
      <c r="G80" s="61">
        <v>-3384.8888888889901</v>
      </c>
      <c r="H80" s="57" t="s">
        <v>28</v>
      </c>
      <c r="I80" s="73">
        <f t="shared" si="15"/>
        <v>0.93944127182292303</v>
      </c>
      <c r="J80" s="61">
        <f t="shared" si="16"/>
        <v>-3179.9043227571537</v>
      </c>
    </row>
    <row r="81" spans="1:10">
      <c r="A81" s="57" t="s">
        <v>80</v>
      </c>
      <c r="B81" s="59">
        <v>42675</v>
      </c>
      <c r="C81" s="59">
        <v>42584</v>
      </c>
      <c r="D81" s="60">
        <v>1000000</v>
      </c>
      <c r="E81" s="57">
        <v>4.3520000000000003</v>
      </c>
      <c r="F81" s="59">
        <v>42584</v>
      </c>
      <c r="G81" s="61">
        <v>-3384.8888888889901</v>
      </c>
      <c r="H81" s="57" t="s">
        <v>28</v>
      </c>
      <c r="I81" s="73">
        <f t="shared" si="15"/>
        <v>0.93458978301022999</v>
      </c>
      <c r="J81" s="61">
        <f t="shared" si="16"/>
        <v>-3163.4825721804996</v>
      </c>
    </row>
    <row r="83" spans="1:10">
      <c r="G83" s="61"/>
      <c r="J83" s="61">
        <f>SUM(J56:J81)</f>
        <v>-85571.853098411273</v>
      </c>
    </row>
  </sheetData>
  <mergeCells count="1">
    <mergeCell ref="D3:E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Swap Points</vt:lpstr>
      <vt:lpstr>MXN TIIE</vt:lpstr>
    </vt:vector>
  </TitlesOfParts>
  <Company>LCH.Clearnet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Celhay</dc:creator>
  <cp:lastModifiedBy>Vishal Saxena</cp:lastModifiedBy>
  <dcterms:created xsi:type="dcterms:W3CDTF">2014-09-26T15:26:30Z</dcterms:created>
  <dcterms:modified xsi:type="dcterms:W3CDTF">2015-05-27T12:27:25Z</dcterms:modified>
</cp:coreProperties>
</file>