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42BE827E-4388-406F-978F-9C80FFF19E23}" xr6:coauthVersionLast="47" xr6:coauthVersionMax="47" xr10:uidLastSave="{00000000-0000-0000-0000-000000000000}"/>
  <bookViews>
    <workbookView xWindow="-120" yWindow="-120" windowWidth="29040" windowHeight="15720" firstSheet="2" activeTab="3" xr2:uid="{D4474E68-F28E-4427-A870-71E7A120B43B}"/>
  </bookViews>
  <sheets>
    <sheet name="Income Statement" sheetId="2" r:id="rId1"/>
    <sheet name="Balance Sheet" sheetId="3" r:id="rId2"/>
    <sheet name="Cash Flow" sheetId="4" r:id="rId3"/>
    <sheet name="RATIOS " sheetId="16" r:id="rId4"/>
    <sheet name="Peer ratio" sheetId="22" r:id="rId5"/>
    <sheet name="FORECAST" sheetId="19" r:id="rId6"/>
    <sheet name="DCF VALUATION" sheetId="20" r:id="rId7"/>
    <sheet name="MULTIPLES VALUATION" sheetId="21" r:id="rId8"/>
  </sheets>
  <definedNames>
    <definedName name="_xlnm.Print_Titles" localSheetId="1">'Balance Sheet'!$1:$3</definedName>
    <definedName name="_xlnm.Print_Titles" localSheetId="2">'Cash Flow'!$1:$3</definedName>
    <definedName name="_xlnm.Print_Titles" localSheetId="0">'Income Statement'!$1:$3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21" l="1"/>
  <c r="F65" i="21"/>
  <c r="D65" i="21"/>
  <c r="E65" i="21"/>
  <c r="C65" i="21"/>
  <c r="B65" i="21"/>
  <c r="B16" i="21"/>
  <c r="C16" i="21" s="1"/>
  <c r="D16" i="21" s="1"/>
  <c r="E16" i="21" s="1"/>
  <c r="F16" i="21" s="1"/>
  <c r="G16" i="21" s="1"/>
  <c r="B15" i="21"/>
  <c r="C15" i="21" s="1"/>
  <c r="D15" i="21" s="1"/>
  <c r="E15" i="21" s="1"/>
  <c r="F15" i="21" s="1"/>
  <c r="G15" i="21" s="1"/>
  <c r="B7" i="21"/>
  <c r="B39" i="20"/>
  <c r="B38" i="20"/>
  <c r="B37" i="20"/>
  <c r="B35" i="20"/>
  <c r="F34" i="20"/>
  <c r="E34" i="20"/>
  <c r="D34" i="20"/>
  <c r="C34" i="20"/>
  <c r="B34" i="20"/>
  <c r="B14" i="20"/>
  <c r="B18" i="20"/>
  <c r="B16" i="20"/>
  <c r="F14" i="20"/>
  <c r="E14" i="20"/>
  <c r="D14" i="20"/>
  <c r="C14" i="20"/>
  <c r="B9" i="20"/>
  <c r="C9" i="20" s="1"/>
  <c r="D9" i="20" s="1"/>
  <c r="E9" i="20" s="1"/>
  <c r="F9" i="20" s="1"/>
  <c r="F12" i="20"/>
  <c r="E12" i="20"/>
  <c r="D12" i="20"/>
  <c r="C12" i="20"/>
  <c r="B12" i="20"/>
  <c r="F11" i="20"/>
  <c r="E11" i="20"/>
  <c r="D11" i="20"/>
  <c r="C11" i="20"/>
  <c r="B11" i="20"/>
  <c r="F10" i="20"/>
  <c r="E10" i="20"/>
  <c r="D10" i="20"/>
  <c r="C10" i="20"/>
  <c r="B10" i="20"/>
  <c r="B6" i="19"/>
  <c r="F108" i="16"/>
  <c r="E108" i="16"/>
  <c r="D108" i="16"/>
  <c r="C108" i="16"/>
  <c r="B108" i="16"/>
  <c r="F104" i="16"/>
  <c r="E104" i="16"/>
  <c r="D104" i="16"/>
  <c r="C104" i="16"/>
  <c r="B104" i="16"/>
  <c r="F99" i="16"/>
  <c r="E99" i="16"/>
  <c r="D99" i="16"/>
  <c r="C99" i="16"/>
  <c r="B99" i="16"/>
  <c r="F94" i="16"/>
  <c r="E94" i="16"/>
  <c r="D94" i="16"/>
  <c r="C94" i="16"/>
  <c r="B94" i="16"/>
  <c r="F88" i="16"/>
  <c r="E88" i="16"/>
  <c r="D88" i="16"/>
  <c r="C88" i="16"/>
  <c r="B88" i="16"/>
  <c r="F83" i="16"/>
  <c r="E83" i="16"/>
  <c r="D83" i="16"/>
  <c r="C83" i="16"/>
  <c r="B83" i="16"/>
  <c r="B3" i="19" s="1"/>
  <c r="F78" i="16"/>
  <c r="E78" i="16"/>
  <c r="D78" i="16"/>
  <c r="C78" i="16"/>
  <c r="B78" i="16"/>
  <c r="B2" i="19" s="1"/>
  <c r="F72" i="16"/>
  <c r="E72" i="16"/>
  <c r="D72" i="16"/>
  <c r="C72" i="16"/>
  <c r="B72" i="16"/>
  <c r="F64" i="16"/>
  <c r="E64" i="16"/>
  <c r="D64" i="16"/>
  <c r="C64" i="16"/>
  <c r="B64" i="16"/>
  <c r="F52" i="16"/>
  <c r="E52" i="16"/>
  <c r="D52" i="16"/>
  <c r="C52" i="16"/>
  <c r="B52" i="16"/>
  <c r="B5" i="19" s="1"/>
  <c r="F47" i="16"/>
  <c r="E47" i="16"/>
  <c r="D47" i="16"/>
  <c r="C47" i="16"/>
  <c r="B47" i="16"/>
  <c r="B19" i="20" s="1"/>
  <c r="F42" i="16"/>
  <c r="E42" i="16"/>
  <c r="D42" i="16"/>
  <c r="C42" i="16"/>
  <c r="B42" i="16"/>
  <c r="B4" i="19" s="1"/>
  <c r="F35" i="16"/>
  <c r="E35" i="16"/>
  <c r="D35" i="16"/>
  <c r="C35" i="16"/>
  <c r="B35" i="16"/>
  <c r="B10" i="16"/>
  <c r="F31" i="16"/>
  <c r="E31" i="16"/>
  <c r="D31" i="16"/>
  <c r="C31" i="16"/>
  <c r="B31" i="16"/>
  <c r="F26" i="16"/>
  <c r="E26" i="16"/>
  <c r="D26" i="16"/>
  <c r="C26" i="16"/>
  <c r="B26" i="16"/>
  <c r="F22" i="16"/>
  <c r="E22" i="16"/>
  <c r="D22" i="16"/>
  <c r="C22" i="16"/>
  <c r="B22" i="16"/>
  <c r="F15" i="16"/>
  <c r="E15" i="16"/>
  <c r="D15" i="16"/>
  <c r="C15" i="16"/>
  <c r="B15" i="16"/>
  <c r="F10" i="16"/>
  <c r="E10" i="16"/>
  <c r="D10" i="16"/>
  <c r="C10" i="16"/>
  <c r="F5" i="16"/>
  <c r="E5" i="16"/>
  <c r="D5" i="16"/>
  <c r="C5" i="16"/>
  <c r="B5" i="16"/>
  <c r="B6" i="21" l="1"/>
  <c r="B20" i="20"/>
  <c r="B42" i="20"/>
  <c r="B43" i="20" s="1"/>
  <c r="B5" i="21" l="1"/>
  <c r="B10" i="21" s="1"/>
  <c r="B47" i="20"/>
  <c r="C25" i="20"/>
  <c r="B25" i="20"/>
  <c r="D25" i="20"/>
  <c r="F25" i="20"/>
  <c r="E25" i="20"/>
  <c r="G18" i="21" l="1"/>
  <c r="C18" i="21"/>
  <c r="D17" i="21"/>
  <c r="C17" i="21"/>
  <c r="F18" i="21"/>
  <c r="B18" i="21"/>
  <c r="B17" i="21"/>
  <c r="D18" i="21"/>
  <c r="G17" i="21"/>
  <c r="E18" i="21"/>
  <c r="F17" i="21"/>
  <c r="E17" i="21"/>
  <c r="F24" i="20"/>
  <c r="E24" i="20"/>
  <c r="D24" i="20"/>
  <c r="C24" i="20"/>
  <c r="B24" i="20"/>
  <c r="B33" i="3"/>
</calcChain>
</file>

<file path=xl/sharedStrings.xml><?xml version="1.0" encoding="utf-8"?>
<sst xmlns="http://schemas.openxmlformats.org/spreadsheetml/2006/main" count="785" uniqueCount="499">
  <si>
    <t> </t>
  </si>
  <si>
    <t>Historical</t>
  </si>
  <si>
    <t>Latest on Right</t>
  </si>
  <si>
    <t>S&amp;P Capital IQ (Default)</t>
  </si>
  <si>
    <t>Capital IQ (Default)</t>
  </si>
  <si>
    <t xml:space="preserve">For the Fiscal Period Ending
</t>
  </si>
  <si>
    <t>Currency</t>
  </si>
  <si>
    <t>GBP</t>
  </si>
  <si>
    <t>-</t>
  </si>
  <si>
    <t>EBITDA</t>
  </si>
  <si>
    <t>EBIT</t>
  </si>
  <si>
    <t>Net Income</t>
  </si>
  <si>
    <t>NM</t>
  </si>
  <si>
    <t xml:space="preserve"> </t>
  </si>
  <si>
    <t xml:space="preserve">
               </t>
  </si>
  <si>
    <t>Marks and Spencer Group plc (LSE:MKS) &gt; Financials &gt; Income Statement</t>
  </si>
  <si>
    <t>In Millions of the reported currency, except per share items.</t>
  </si>
  <si>
    <t>Template:</t>
  </si>
  <si>
    <t>Standard</t>
  </si>
  <si>
    <t>Restatement:</t>
  </si>
  <si>
    <t>Latest Filings</t>
  </si>
  <si>
    <t>Period Type:</t>
  </si>
  <si>
    <t>Annual</t>
  </si>
  <si>
    <t>Order:</t>
  </si>
  <si>
    <t>Currency:</t>
  </si>
  <si>
    <t>Reported Currency</t>
  </si>
  <si>
    <t>Conversion:</t>
  </si>
  <si>
    <t>Units:</t>
  </si>
  <si>
    <t>Decimals:</t>
  </si>
  <si>
    <t>Source:</t>
  </si>
  <si>
    <t>Capital IQ &amp; Proprietary Data</t>
  </si>
  <si>
    <t>Income Statement</t>
  </si>
  <si>
    <t>Reclassified
12 months
Mar-28-2020</t>
  </si>
  <si>
    <t>12 months
Apr-03-2021</t>
  </si>
  <si>
    <t>12 months
Apr-02-2022</t>
  </si>
  <si>
    <t>12 months
Apr-01-2023</t>
  </si>
  <si>
    <t>12 months
Mar-30-2024</t>
  </si>
  <si>
    <t>Revenue</t>
  </si>
  <si>
    <t>Other Revenue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</si>
  <si>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</si>
  <si>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</si>
  <si>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</si>
  <si>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</si>
  <si>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</si>
  <si>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</si>
  <si>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</si>
  <si>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</si>
  <si>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</si>
  <si>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</si>
  <si>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</si>
  <si>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</si>
  <si>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Income/(Loss) from Affiliates</t>
  </si>
  <si>
    <t>Other Non-Operating Inc. (Exp.)</t>
  </si>
  <si>
    <t xml:space="preserve">  EBT Excl. Unusual Items</t>
  </si>
  <si>
    <t>Restructuring Charges</t>
  </si>
  <si>
    <t>Merger &amp; Related Restruct. Charges</t>
  </si>
  <si>
    <t>Impairment of Goodwill</t>
  </si>
  <si>
    <t>Asset Writedown</t>
  </si>
  <si>
    <t>Legal Settlements</t>
  </si>
  <si>
    <t>Other Unusual Items</t>
  </si>
  <si>
    <t xml:space="preserve">  EBT Incl. Unusual Items</t>
  </si>
  <si>
    <t>Income Tax Expense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</si>
  <si>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</si>
  <si>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</si>
  <si>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</si>
  <si>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</si>
  <si>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</si>
  <si>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</si>
  <si>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</si>
  <si>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</si>
  <si>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</si>
  <si>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</si>
  <si>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</si>
  <si>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</si>
  <si>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</si>
  <si>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</si>
  <si>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</si>
  <si>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</si>
  <si>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</si>
  <si>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</si>
  <si>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</si>
  <si>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NA</t>
  </si>
  <si>
    <t>Payout Ratio %</t>
  </si>
  <si>
    <t>Shares per Depository Receipt</t>
  </si>
  <si>
    <t>Supplemental Items</t>
  </si>
  <si>
    <t>EBITA</t>
  </si>
  <si>
    <t>EBITDAR</t>
  </si>
  <si>
    <t>Effective Tax Rate %</t>
  </si>
  <si>
    <t>Current Domestic Taxes</t>
  </si>
  <si>
    <t>Current Foreign Taxes</t>
  </si>
  <si>
    <t>Total Current Taxes</t>
  </si>
  <si>
    <t>Total Deferred Taxes</t>
  </si>
  <si>
    <t>Normalized Net Income</t>
  </si>
  <si>
    <t>Interest on Long Term Debt</t>
  </si>
  <si>
    <t>Non-Cash Pension Expense</t>
  </si>
  <si>
    <t>Filing Date</t>
  </si>
  <si>
    <t>Restatement Type</t>
  </si>
  <si>
    <t>RC</t>
  </si>
  <si>
    <t>NC</t>
  </si>
  <si>
    <t>O</t>
  </si>
  <si>
    <t>Calculation Type</t>
  </si>
  <si>
    <t>REP</t>
  </si>
  <si>
    <t>LTM</t>
  </si>
  <si>
    <t>Supplemental Operating Expense Items</t>
  </si>
  <si>
    <t>Marketing Exp.</t>
  </si>
  <si>
    <t>Selling and Marketing Exp.</t>
  </si>
  <si>
    <t>General and Administrative Exp.</t>
  </si>
  <si>
    <t>Net Rental Exp.</t>
  </si>
  <si>
    <t>Imputed Oper. Lease Interest Exp.</t>
  </si>
  <si>
    <t>Imputed Oper. Lease Depreciation</t>
  </si>
  <si>
    <t>Maintenance &amp; Repair Exp.</t>
  </si>
  <si>
    <t>Stock-Based Comp., Unallocated</t>
  </si>
  <si>
    <t xml:space="preserve">  Stock-Based Comp., Total</t>
  </si>
  <si>
    <t>Note: For multiple class companies, per share items are primary class equivalent, and for foreign companies listed as primary ADRs, per share items are ADR-equivalent.</t>
  </si>
  <si>
    <t>Marks and Spencer Group plc (LSE:MKS) &gt; Financials &gt; Balance Sheet</t>
  </si>
  <si>
    <t>In Millions of the reported currency, except per share items.</t>
  </si>
  <si>
    <t>Restatement:</t>
  </si>
  <si>
    <t>Order:</t>
  </si>
  <si>
    <t>Conversion:</t>
  </si>
  <si>
    <t>Decimals:</t>
  </si>
  <si>
    <t>Balance Sheet</t>
  </si>
  <si>
    <t xml:space="preserve">Balance Sheet as of:
</t>
  </si>
  <si>
    <t>Restated
Mar-28-2020</t>
  </si>
  <si>
    <t>Restated
Apr-01-2023</t>
  </si>
  <si>
    <t>ASSETS</t>
  </si>
  <si>
    <t>Cash And Equivalents</t>
  </si>
  <si>
    <t>Short Term Investments</t>
  </si>
  <si>
    <t xml:space="preserve">  Total Cash &amp; ST Investments</t>
  </si>
  <si>
    <t>Accounts Receivable</t>
  </si>
  <si>
    <t>Other Receivables</t>
  </si>
  <si>
    <t xml:space="preserve">  Total Receivables</t>
  </si>
  <si>
    <t>Inventory</t>
  </si>
  <si>
    <t>Prepaid Exp.</t>
  </si>
  <si>
    <t>Other Current Assets</t>
  </si>
  <si>
    <t xml:space="preserve">  Total Current Assets</t>
  </si>
  <si>
    <t>Gross Property, Plant &amp; Equipment</t>
  </si>
  <si>
    <t>Accumulated Depreciation</t>
  </si>
  <si>
    <t xml:space="preserve">  Net Property, Plant &amp; Equipment</t>
  </si>
  <si>
    <t>Long-term Investments</t>
  </si>
  <si>
    <t>Goodwill</t>
  </si>
  <si>
    <t>Other Intangibles</t>
  </si>
  <si>
    <t>Accounts Receivable Long-Term</t>
  </si>
  <si>
    <t>Loans Receivable Long-Term</t>
  </si>
  <si>
    <t>Deferred Tax Assets, LT</t>
  </si>
  <si>
    <t>Other Long-Term Assets</t>
  </si>
  <si>
    <t>Total Assets</t>
  </si>
  <si>
    <t>LIABILITIES</t>
  </si>
  <si>
    <t>Accounts Payable</t>
  </si>
  <si>
    <t>Accrued Exp.</t>
  </si>
  <si>
    <t>Curr. Port. of LT Debt</t>
  </si>
  <si>
    <t>Curr. Port. of Leases</t>
  </si>
  <si>
    <t>Curr. Income Taxes Payable</t>
  </si>
  <si>
    <t>Unearned Revenue, Current</t>
  </si>
  <si>
    <t>Other Current Liabilities</t>
  </si>
  <si>
    <t xml:space="preserve">  Total Current Liabilities</t>
  </si>
  <si>
    <t>Long-Term Debt</t>
  </si>
  <si>
    <t>Long-Term Leases</t>
  </si>
  <si>
    <t>Unearned Revenue, Non-Current</t>
  </si>
  <si>
    <t>Pension &amp; Other Post-Retire. Benefits</t>
  </si>
  <si>
    <t>Def. Tax Liability, Non-Curr.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</si>
  <si>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</si>
  <si>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</si>
  <si>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</si>
  <si>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</si>
  <si>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</si>
  <si>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</si>
  <si>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Inc. and Other</t>
  </si>
  <si>
    <t xml:space="preserve">  Total Common Equity</t>
  </si>
  <si>
    <t>Minority Interest</t>
  </si>
  <si>
    <t>Total Equity</t>
  </si>
  <si>
    <t>Total Liabilities And Equity</t>
  </si>
  <si>
    <t>Total Shares Out. on Filing Date</t>
  </si>
  <si>
    <t>Total Shares Out. on Balance Sheet Date</t>
  </si>
  <si>
    <t>Book Value/Share</t>
  </si>
  <si>
    <t>Tangible Book Value</t>
  </si>
  <si>
    <t>Tangible Book Value/Share</t>
  </si>
  <si>
    <t>Total Debt</t>
  </si>
  <si>
    <t>Net Debt</t>
  </si>
  <si>
    <t>Debt Equiv. of Unfunded Proj. Benefit Obligation</t>
  </si>
  <si>
    <t>Debt Equivalent Oper. Leases</t>
  </si>
  <si>
    <t>Total Minority Interest</t>
  </si>
  <si>
    <t>Equity Method Investments</t>
  </si>
  <si>
    <t>Inventory Method</t>
  </si>
  <si>
    <t>Avg Cost</t>
  </si>
  <si>
    <t>Finished Goods Inventory</t>
  </si>
  <si>
    <t>Land</t>
  </si>
  <si>
    <t>Machinery</t>
  </si>
  <si>
    <t>Construction in Progress</t>
  </si>
  <si>
    <t>Full Time Employees</t>
  </si>
  <si>
    <t>Accum. Allowance for Doubtful Accts</t>
  </si>
  <si>
    <t>RS</t>
  </si>
  <si>
    <t>Note: For multiple class companies, total share counts are primary class equivalent, and for foreign companies listed as primary ADRs, total share counts are ADR-equivalent.</t>
  </si>
  <si>
    <t>Marks and Spencer Group plc (LSE:MKS) &gt; Financials &gt; Cash Flow</t>
  </si>
  <si>
    <t>In Millions of the reported currency, except per share items.</t>
  </si>
  <si>
    <t>Template:</t>
  </si>
  <si>
    <t>Restatement:</t>
  </si>
  <si>
    <t>Period Type:</t>
  </si>
  <si>
    <t>Order:</t>
  </si>
  <si>
    <t>Currency:</t>
  </si>
  <si>
    <t>Conversion:</t>
  </si>
  <si>
    <t>Units:</t>
  </si>
  <si>
    <t>Decimals:</t>
  </si>
  <si>
    <t>Source:</t>
  </si>
  <si>
    <t>Cash Flow</t>
  </si>
  <si>
    <t>Restated
12 months
Mar-28-2020</t>
  </si>
  <si>
    <t>Amort. of Goodwill and Intangibles</t>
  </si>
  <si>
    <t>Depreciation &amp; Amort., Total</t>
  </si>
  <si>
    <t>Other Amortization</t>
  </si>
  <si>
    <t>(Gain) Loss From Sale Of Assets</t>
  </si>
  <si>
    <t>Asset Writedown &amp; Restructuring Costs</t>
  </si>
  <si>
    <t>(Income) Loss on Equity Invest.</t>
  </si>
  <si>
    <t>Stock-Based Compensation</t>
  </si>
  <si>
    <t>Other Operating Activities</t>
  </si>
  <si>
    <t>Change in Acc. Receivable</t>
  </si>
  <si>
    <t>Change In Inventories</t>
  </si>
  <si>
    <t>Change in Acc. Payable</t>
  </si>
  <si>
    <t>Change in Other Net Operating Assets</t>
  </si>
  <si>
    <t xml:space="preserve">  Cash from Ops.</t>
  </si>
  <si>
    <t>Capital Expenditure</t>
  </si>
  <si>
    <t>Sale of Property, Plant, and Equipment</t>
  </si>
  <si>
    <t>Cash Acquisitions</t>
  </si>
  <si>
    <t>Divestitures</t>
  </si>
  <si>
    <t>Sale (Purchase) of Intangible assets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</si>
  <si>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</si>
  <si>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</si>
  <si>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</si>
  <si>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</si>
  <si>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</si>
  <si>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</si>
  <si>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</si>
  <si>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</si>
  <si>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</si>
  <si>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</si>
  <si>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Issuance of Common Stock</t>
  </si>
  <si>
    <t>Repurchase of Common Stock</t>
  </si>
  <si>
    <t>Common Dividends Paid</t>
  </si>
  <si>
    <t>Total Dividends Paid</t>
  </si>
  <si>
    <t>Special Dividend Paid</t>
  </si>
  <si>
    <t>Other Financing Activities</t>
  </si>
  <si>
    <t xml:space="preserve">  Cash from Financing</t>
  </si>
  <si>
    <t>Foreign Exchange Rate Adj.</t>
  </si>
  <si>
    <t xml:space="preserve">  Net Change in Cash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</si>
  <si>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</si>
  <si>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</si>
  <si>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</si>
  <si>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</si>
  <si>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</si>
  <si>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</si>
  <si>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>Assumptions:</t>
  </si>
  <si>
    <t>Operating cash percentage</t>
  </si>
  <si>
    <t>Effective tax rate</t>
  </si>
  <si>
    <t>CONDENSED STATEMENTS OF EARNINGS</t>
  </si>
  <si>
    <t>Net operating profit after tax</t>
  </si>
  <si>
    <t>Profit or loss</t>
  </si>
  <si>
    <t>– Investment profit after tax</t>
  </si>
  <si>
    <t>+ Interest expense after tax</t>
  </si>
  <si>
    <t xml:space="preserve"> = Net operating profit after tax</t>
  </si>
  <si>
    <t>of which: Net non-recurring expense after tax</t>
  </si>
  <si>
    <t xml:space="preserve"> = Net non-recurring expense (income)</t>
  </si>
  <si>
    <t>x (1 – Tax rate)</t>
  </si>
  <si>
    <t xml:space="preserve"> = Net non-recurring expense after tax</t>
  </si>
  <si>
    <t>+ Net investment profit after tax</t>
  </si>
  <si>
    <t xml:space="preserve"> = Investment and interest income</t>
  </si>
  <si>
    <t xml:space="preserve"> = Net investment profit after tax</t>
  </si>
  <si>
    <t>– Interest expense after tax</t>
  </si>
  <si>
    <t xml:space="preserve"> = Interest expense</t>
  </si>
  <si>
    <t xml:space="preserve"> = Interest expense after tax</t>
  </si>
  <si>
    <t xml:space="preserve"> = Profit or loss</t>
  </si>
  <si>
    <t>CONDENSED BALANCE SHEET</t>
  </si>
  <si>
    <t>Ending operating working capital</t>
  </si>
  <si>
    <t xml:space="preserve">              Operating cash</t>
  </si>
  <si>
    <t xml:space="preserve">              + Trade receivables</t>
  </si>
  <si>
    <t xml:space="preserve">              + Inventories</t>
  </si>
  <si>
    <t xml:space="preserve">              + Other current assets</t>
  </si>
  <si>
    <t xml:space="preserve">              – Trade payables</t>
  </si>
  <si>
    <t xml:space="preserve">             – Other current liabilities</t>
  </si>
  <si>
    <t>        = Ending operating working capital</t>
  </si>
  <si>
    <t>Ending net non-current operating assets</t>
  </si>
  <si>
    <t xml:space="preserve">             Non current tangible assets</t>
  </si>
  <si>
    <t xml:space="preserve">            +Non current intangible assets</t>
  </si>
  <si>
    <t xml:space="preserve">           +Derivatives (asset net of liability)</t>
  </si>
  <si>
    <t xml:space="preserve">           -Deferred tax liability (net of asset)</t>
  </si>
  <si>
    <t xml:space="preserve">           -Other non-current liabilities (non-interest-bearing)</t>
  </si>
  <si>
    <t xml:space="preserve">       =Ending net non-current operating assets</t>
  </si>
  <si>
    <t xml:space="preserve">     + Ending non-operating investments</t>
  </si>
  <si>
    <t xml:space="preserve">       Excess cash</t>
  </si>
  <si>
    <t xml:space="preserve">      Minority equity investments</t>
  </si>
  <si>
    <t xml:space="preserve">      + Other Non-Operating investments</t>
  </si>
  <si>
    <t xml:space="preserve">     = Ending non-operating investments</t>
  </si>
  <si>
    <t xml:space="preserve">     =Total business assets</t>
  </si>
  <si>
    <t>Ending debt</t>
  </si>
  <si>
    <t xml:space="preserve">         Current debt</t>
  </si>
  <si>
    <t xml:space="preserve">        +Non-current debt</t>
  </si>
  <si>
    <t xml:space="preserve">       +Preference shares</t>
  </si>
  <si>
    <t xml:space="preserve">     = Ending debt</t>
  </si>
  <si>
    <t xml:space="preserve">  +Ending group equity</t>
  </si>
  <si>
    <t xml:space="preserve">      Ordinary shareholders' equity</t>
  </si>
  <si>
    <t xml:space="preserve">      + Minority interests</t>
  </si>
  <si>
    <t xml:space="preserve">      - Net assets held for sale</t>
  </si>
  <si>
    <t xml:space="preserve">        = Ending group equity</t>
  </si>
  <si>
    <t xml:space="preserve">     =Total invested capital</t>
  </si>
  <si>
    <t>Ratio</t>
  </si>
  <si>
    <t>Return on equity</t>
  </si>
  <si>
    <t>Net profit margin (ROS)</t>
  </si>
  <si>
    <t>× Asset turnover</t>
  </si>
  <si>
    <t xml:space="preserve"> = Return on assets (ROA)</t>
  </si>
  <si>
    <t>× Financial leverage</t>
  </si>
  <si>
    <t xml:space="preserve"> = Return on equity (ROE)</t>
  </si>
  <si>
    <t>Net Operating Profit Margin</t>
  </si>
  <si>
    <t>× Net Operating Asset Turnover</t>
  </si>
  <si>
    <t xml:space="preserve"> = Return on Net Operating Assets</t>
  </si>
  <si>
    <t>Return on Net Operating Assets</t>
  </si>
  <si>
    <t>x (Net Operating Assets/Invested Capital)</t>
  </si>
  <si>
    <t>+ Return on Non-Operating Investments</t>
  </si>
  <si>
    <t>x (Non-Operating Investments/Invested Capital)</t>
  </si>
  <si>
    <t>= Return on Invested Capital</t>
  </si>
  <si>
    <t>Spread</t>
  </si>
  <si>
    <t>× Financial Leverage</t>
  </si>
  <si>
    <t xml:space="preserve"> = Financial Leverage Gain</t>
  </si>
  <si>
    <t>ROE = Return on Invested Capital + Financial Leverage Gain</t>
  </si>
  <si>
    <t>NOPAT Margin</t>
  </si>
  <si>
    <t xml:space="preserve"> = Return on Net Operating Assets (RONOA)</t>
  </si>
  <si>
    <t>Return on Net Operating Assets RONOA)</t>
  </si>
  <si>
    <t>+ Return on Non-Operating Investments (RONOI)</t>
  </si>
  <si>
    <t>= Return on Invested Capital (ROIC)</t>
  </si>
  <si>
    <t>ROE</t>
  </si>
  <si>
    <t>Dividend payout ratio</t>
  </si>
  <si>
    <t>Sustainable growth rate</t>
  </si>
  <si>
    <t xml:space="preserve">ACTIVITY RATIOS </t>
  </si>
  <si>
    <t>1. Days of sales outstanding -</t>
  </si>
  <si>
    <t>Net Credit Sales</t>
  </si>
  <si>
    <t>x Number of days</t>
  </si>
  <si>
    <t>2.Days of Inventory on Hand-</t>
  </si>
  <si>
    <t>Average Inventory</t>
  </si>
  <si>
    <t>Cost of Goods Sold</t>
  </si>
  <si>
    <t xml:space="preserve">3.days payable outstanding </t>
  </si>
  <si>
    <t> Accounts Payable</t>
  </si>
  <si>
    <t xml:space="preserve">LIQUIDITY RATIOS </t>
  </si>
  <si>
    <t>1.current ratio</t>
  </si>
  <si>
    <t>Current assets</t>
  </si>
  <si>
    <t>Current liabilities </t>
  </si>
  <si>
    <t>2.Quick ratio</t>
  </si>
  <si>
    <t>inventory </t>
  </si>
  <si>
    <t>3.cash  ratio</t>
  </si>
  <si>
    <t>cash</t>
  </si>
  <si>
    <t xml:space="preserve">4.cash conversion cycle </t>
  </si>
  <si>
    <t>DHO</t>
  </si>
  <si>
    <t>DSO</t>
  </si>
  <si>
    <t>DPO</t>
  </si>
  <si>
    <t>SOLVENCY RATIO</t>
  </si>
  <si>
    <t>1.Net Debt to EBITDA</t>
  </si>
  <si>
    <t>Total Debt</t>
  </si>
  <si>
    <t xml:space="preserve"> EBITDA</t>
  </si>
  <si>
    <t xml:space="preserve">2.Net Debt to capital </t>
  </si>
  <si>
    <t>Total equity</t>
  </si>
  <si>
    <t xml:space="preserve">3.Debt to asset </t>
  </si>
  <si>
    <t>4.debt to capital (at book )</t>
  </si>
  <si>
    <t>5.debt to capital (at market )</t>
  </si>
  <si>
    <t xml:space="preserve">6.financial leverage </t>
  </si>
  <si>
    <t xml:space="preserve">average total assets </t>
  </si>
  <si>
    <t>average total equity</t>
  </si>
  <si>
    <t xml:space="preserve">7.Cash Flow to Debt </t>
  </si>
  <si>
    <t>Operating Cash Flow</t>
  </si>
  <si>
    <t>8.interst coverage ratio</t>
  </si>
  <si>
    <t>interst expense</t>
  </si>
  <si>
    <t>PROFITABILITY RATIO</t>
  </si>
  <si>
    <t>1.Gross Profit Margin</t>
  </si>
  <si>
    <t xml:space="preserve">Gross Profit </t>
  </si>
  <si>
    <t xml:space="preserve">Revnue </t>
  </si>
  <si>
    <t>*100</t>
  </si>
  <si>
    <t xml:space="preserve">2.Operting profit Margin </t>
  </si>
  <si>
    <t>Operating Profit</t>
  </si>
  <si>
    <t xml:space="preserve">3.Return On Capital Employed </t>
  </si>
  <si>
    <t>Total current liabilities</t>
  </si>
  <si>
    <t xml:space="preserve">4.Pretax profit margin </t>
  </si>
  <si>
    <t>EAI</t>
  </si>
  <si>
    <t xml:space="preserve">5.Net Profit Margin </t>
  </si>
  <si>
    <t xml:space="preserve">Net Profit </t>
  </si>
  <si>
    <t xml:space="preserve">6.RETURN on assets  </t>
  </si>
  <si>
    <t>7.return on equity</t>
  </si>
  <si>
    <t>Investment assets/Revenue</t>
  </si>
  <si>
    <t>ASSUMPATIONS</t>
  </si>
  <si>
    <t xml:space="preserve">Growth Rate </t>
  </si>
  <si>
    <t xml:space="preserve">Outstanding Shares </t>
  </si>
  <si>
    <t xml:space="preserve">Cash And Cash equivalents </t>
  </si>
  <si>
    <t xml:space="preserve">DISCOUNTED CASH FLOW </t>
  </si>
  <si>
    <t xml:space="preserve">OPERATING PROFIT </t>
  </si>
  <si>
    <t>DEPRICATION AND AMORTIZATION</t>
  </si>
  <si>
    <t>CAPITAL EXPENDITURE</t>
  </si>
  <si>
    <t>CHANGES IN NET WORKING CAPITAL</t>
  </si>
  <si>
    <t>FCFF</t>
  </si>
  <si>
    <t>VALUE OF EQUITY AS OF DEC 2023</t>
  </si>
  <si>
    <t xml:space="preserve">NUMBER OF SHARES </t>
  </si>
  <si>
    <t xml:space="preserve">MARKET CAPITALISATION </t>
  </si>
  <si>
    <t xml:space="preserve">MARKET VALUE OF DEBT </t>
  </si>
  <si>
    <t>VALUE OF BUSINESS</t>
  </si>
  <si>
    <t>WEIGHTED AVERAGE COST OF CAPITAL</t>
  </si>
  <si>
    <t>DEBT/(DEBT+EQUITY)</t>
  </si>
  <si>
    <t>EQUITY/(DEBT+EQUITY)</t>
  </si>
  <si>
    <t>RATE OF EQUITY</t>
  </si>
  <si>
    <t>RATE OF DEBT</t>
  </si>
  <si>
    <t>WACC</t>
  </si>
  <si>
    <t>FREE CASH FLOW</t>
  </si>
  <si>
    <t>PV FACTOR</t>
  </si>
  <si>
    <t>PV OF FREE CASH FLOW</t>
  </si>
  <si>
    <t>SUM OF PV OF FCF</t>
  </si>
  <si>
    <t xml:space="preserve">TERMINAL VALUE </t>
  </si>
  <si>
    <t>PV OF TERMINAL VALUE</t>
  </si>
  <si>
    <t>ENTERPRISE VALUE</t>
  </si>
  <si>
    <t>ADD:CASH</t>
  </si>
  <si>
    <t>LESS : CURRENT NET DEBT</t>
  </si>
  <si>
    <t xml:space="preserve">EQUITY VALUE </t>
  </si>
  <si>
    <t xml:space="preserve">/ OUTSTANDING SHAERS </t>
  </si>
  <si>
    <t xml:space="preserve">INTRINSIC VALUE PER SHARE </t>
  </si>
  <si>
    <t xml:space="preserve">ENTERPRISE VALUE </t>
  </si>
  <si>
    <t xml:space="preserve">SHARE PRICE </t>
  </si>
  <si>
    <t xml:space="preserve">DILUTED SHARES </t>
  </si>
  <si>
    <t xml:space="preserve">TOTAL DEBT </t>
  </si>
  <si>
    <t xml:space="preserve">CASH AND CASH EQUIVALENTS </t>
  </si>
  <si>
    <t>ENTERPRISE VALUE MULTIPLES</t>
  </si>
  <si>
    <t xml:space="preserve">LTM REVENUE </t>
  </si>
  <si>
    <t>LTM EBITDA</t>
  </si>
  <si>
    <t>EV/LTM REVENUE</t>
  </si>
  <si>
    <t>EV/LTM EBITDA</t>
  </si>
  <si>
    <t>COMPANY</t>
  </si>
  <si>
    <t>EPS</t>
  </si>
  <si>
    <t>NEXT PLC</t>
  </si>
  <si>
    <t>J SAINSBURY</t>
  </si>
  <si>
    <t>TESCO PLC</t>
  </si>
  <si>
    <t>MARK AND SPENCER PLC</t>
  </si>
  <si>
    <t>MARKET VALUE</t>
  </si>
  <si>
    <t>EV/ REVENUE</t>
  </si>
  <si>
    <t>EV/EBITDA</t>
  </si>
  <si>
    <t>2.31x</t>
  </si>
  <si>
    <t>0.35x</t>
  </si>
  <si>
    <t>0.45x</t>
  </si>
  <si>
    <t>0.68x</t>
  </si>
  <si>
    <t>4.71x</t>
  </si>
  <si>
    <t>5.2x</t>
  </si>
  <si>
    <t>6.66x</t>
  </si>
  <si>
    <t>Mark &amp; Spencer Plc</t>
  </si>
  <si>
    <t>Tesco Plc</t>
  </si>
  <si>
    <t>MKS_Gross_Margin (%)</t>
  </si>
  <si>
    <t>TSCO_Gross_Margin (%)</t>
  </si>
  <si>
    <t>MKS_Operating_Margin (%)</t>
  </si>
  <si>
    <t>TSCO_Operating_Margin (%)</t>
  </si>
  <si>
    <t>MKS_Net_Profit_Margin (%)</t>
  </si>
  <si>
    <t>TSCO_Net_Profit_Margin (%)</t>
  </si>
  <si>
    <t>MKS_ROA (%)</t>
  </si>
  <si>
    <t>TSCO_ROA (%)</t>
  </si>
  <si>
    <t>MKS_ROE (%)</t>
  </si>
  <si>
    <t>TSCO_ROE (%)</t>
  </si>
  <si>
    <t>MKS_Current_Ratio</t>
  </si>
  <si>
    <t>TSCO_Current_Ratio</t>
  </si>
  <si>
    <t>MKS_Quick_Ratio</t>
  </si>
  <si>
    <t>TSCO_Quick_Ratio</t>
  </si>
  <si>
    <t>MKS_Inventory_Turnover</t>
  </si>
  <si>
    <t>TSCO_Inventory_Turnover</t>
  </si>
  <si>
    <t>MKS_Asset_Turnover</t>
  </si>
  <si>
    <t>TSCO_Asset_Turnover</t>
  </si>
  <si>
    <t>MKS_Receivables_Turnover</t>
  </si>
  <si>
    <t>TSCO_Receivables_Turnover</t>
  </si>
  <si>
    <t>MKS_Debt_to_Equity (%)</t>
  </si>
  <si>
    <t>TSCO_Debt_to_Equity (%)</t>
  </si>
  <si>
    <t>MKS_Debt_to_Capital (%)</t>
  </si>
  <si>
    <t>TSCO_Debt_to_Capital (%)</t>
  </si>
  <si>
    <t>NEXT Plc</t>
  </si>
  <si>
    <t>Sainsbury's Plc</t>
  </si>
  <si>
    <t>NEXT_Gross_Margin (%)</t>
  </si>
  <si>
    <t>SBRY_Gross_Margin (%)</t>
  </si>
  <si>
    <t>NEXT_Operating_Margin (%)</t>
  </si>
  <si>
    <t>SBRY_Operating_Margin (%)</t>
  </si>
  <si>
    <t>NEXT_Net_Profit_Margin (%)</t>
  </si>
  <si>
    <t>SBRY_Net_Profit_Margin (%)</t>
  </si>
  <si>
    <t>NEXT_ROA (%)</t>
  </si>
  <si>
    <t>SBRY_ROA (%)</t>
  </si>
  <si>
    <t>NEXT_ROE (%)</t>
  </si>
  <si>
    <t>SBRY_ROE (%)</t>
  </si>
  <si>
    <t>NEXT_Current_Ratio</t>
  </si>
  <si>
    <t>SBRY_Current_Ratio</t>
  </si>
  <si>
    <t>NEXT_Quick_Ratio</t>
  </si>
  <si>
    <t>SBRY_Quick_Ratio</t>
  </si>
  <si>
    <t>NEXT_Inventory_Turnover</t>
  </si>
  <si>
    <t>SBRY_Inventory_Turnover</t>
  </si>
  <si>
    <t>NEXT_Asset_Turnover</t>
  </si>
  <si>
    <t>SBRY_Asset_Turnover</t>
  </si>
  <si>
    <t>NEXT_Receivables_Turnover</t>
  </si>
  <si>
    <t>SBRY_Receivables_Turnover</t>
  </si>
  <si>
    <t>NEXT_Debt_to_Equity (%)</t>
  </si>
  <si>
    <t>SBRY_Debt_to_Equity (%)</t>
  </si>
  <si>
    <t>NEXT_Debt_to_Capital (%)</t>
  </si>
  <si>
    <t>SBRY_Debt_to_Capital (%)</t>
  </si>
  <si>
    <t>Ratios</t>
  </si>
  <si>
    <t xml:space="preserve"> operating and financing components in ROE decomposition (after excluding net non-recurring income or expense after tax)</t>
  </si>
  <si>
    <r>
      <rPr>
        <b/>
        <i/>
        <sz val="11"/>
        <color rgb="FF000000"/>
        <rFont val="Aptos Narrow"/>
        <family val="2"/>
        <scheme val="minor"/>
      </rPr>
      <t xml:space="preserve"> </t>
    </r>
    <r>
      <rPr>
        <i/>
        <sz val="11"/>
        <color rgb="FF000000"/>
        <rFont val="Aptos Narrow"/>
        <family val="2"/>
        <scheme val="minor"/>
      </rPr>
      <t>Traditional decomposition of ROE (after excluding net non-recurring income or expense after tax)</t>
    </r>
  </si>
  <si>
    <t xml:space="preserve"> Return on equity (after excluding net non-recurring income or expense after tax)</t>
  </si>
  <si>
    <t>Distinguishing operating and financing components in ROE decomposition</t>
  </si>
  <si>
    <r>
      <t xml:space="preserve"> </t>
    </r>
    <r>
      <rPr>
        <i/>
        <sz val="11"/>
        <color rgb="FF000000"/>
        <rFont val="Aptos Narrow"/>
        <family val="2"/>
        <scheme val="minor"/>
      </rPr>
      <t>Traditional decomposition of ROE</t>
    </r>
  </si>
  <si>
    <r>
      <t xml:space="preserve"> </t>
    </r>
    <r>
      <rPr>
        <i/>
        <sz val="11"/>
        <color rgb="FF000000"/>
        <rFont val="Aptos Narrow"/>
        <family val="2"/>
        <scheme val="minor"/>
      </rPr>
      <t>Return on equity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</si>
</sst>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_);_(* \(#,##0.0\)_)\ ;_(* 0_)"/>
    <numFmt numFmtId="165" formatCode="mmm\-dd\-yyyy"/>
    <numFmt numFmtId="166" formatCode="_ * #,##0.00_ ;_ * \-#,##0.00_ ;_ * &quot;-&quot;??_ ;_ @_ "/>
    <numFmt numFmtId="167" formatCode="_-* #,##0_-;\-* #,##0_-;_-* &quot;-&quot;??_-;_-@_-"/>
  </numFmts>
  <fonts count="38" x14ac:knownFonts="1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color indexed="8"/>
      <name val="Arial"/>
      <family val="2"/>
    </font>
    <font>
      <b/>
      <u val="double"/>
      <sz val="8"/>
      <color indexed="8"/>
      <name val="Arial"/>
      <family val="2"/>
    </font>
    <font>
      <b/>
      <u/>
      <sz val="8"/>
      <color indexed="8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i/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name val="Calibri"/>
      <family val="2"/>
    </font>
    <font>
      <b/>
      <i/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1">
    <xf numFmtId="0" fontId="0" fillId="0" borderId="0"/>
    <xf numFmtId="0" fontId="4" fillId="0" borderId="0" applyAlignment="0"/>
    <xf numFmtId="0" fontId="5" fillId="0" borderId="0" applyAlignment="0"/>
    <xf numFmtId="0" fontId="6" fillId="2" borderId="0" applyAlignment="0"/>
    <xf numFmtId="0" fontId="7" fillId="3" borderId="0" applyAlignment="0"/>
    <xf numFmtId="0" fontId="8" fillId="4" borderId="0" applyAlignment="0"/>
    <xf numFmtId="0" fontId="9" fillId="5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3" fillId="0" borderId="0" applyAlignment="0">
      <alignment wrapText="1"/>
    </xf>
    <xf numFmtId="0" fontId="15" fillId="0" borderId="0" applyAlignment="0"/>
    <xf numFmtId="0" fontId="16" fillId="0" borderId="0" applyAlignment="0"/>
    <xf numFmtId="0" fontId="17" fillId="0" borderId="0" applyAlignment="0"/>
    <xf numFmtId="9" fontId="3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5" fillId="0" borderId="0"/>
  </cellStyleXfs>
  <cellXfs count="94">
    <xf numFmtId="0" fontId="3" fillId="0" borderId="0" xfId="0" applyFont="1"/>
    <xf numFmtId="0" fontId="4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10" fillId="0" borderId="0" xfId="0" applyFont="1" applyAlignment="1">
      <alignment horizontal="left" vertical="top"/>
    </xf>
    <xf numFmtId="49" fontId="3" fillId="0" borderId="0" xfId="0" applyNumberFormat="1" applyFont="1"/>
    <xf numFmtId="0" fontId="8" fillId="4" borderId="0" xfId="0" applyFont="1" applyFill="1"/>
    <xf numFmtId="0" fontId="13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13" fillId="5" borderId="0" xfId="0" applyFont="1" applyFill="1" applyAlignment="1">
      <alignment horizontal="right" wrapText="1"/>
    </xf>
    <xf numFmtId="0" fontId="20" fillId="5" borderId="0" xfId="0" applyFont="1" applyFill="1" applyAlignment="1">
      <alignment horizontal="right" wrapText="1"/>
    </xf>
    <xf numFmtId="49" fontId="10" fillId="0" borderId="0" xfId="0" applyNumberFormat="1" applyFont="1" applyAlignment="1">
      <alignment horizontal="right" vertical="top" wrapText="1"/>
    </xf>
    <xf numFmtId="164" fontId="10" fillId="0" borderId="0" xfId="0" applyNumberFormat="1" applyFont="1" applyAlignment="1">
      <alignment horizontal="right" vertical="top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5" fontId="10" fillId="0" borderId="0" xfId="0" applyNumberFormat="1" applyFont="1" applyAlignment="1">
      <alignment horizontal="right" vertical="top" wrapText="1"/>
    </xf>
    <xf numFmtId="165" fontId="13" fillId="5" borderId="0" xfId="0" applyNumberFormat="1" applyFont="1" applyFill="1" applyAlignment="1">
      <alignment horizontal="right" wrapText="1"/>
    </xf>
    <xf numFmtId="0" fontId="15" fillId="0" borderId="0" xfId="13" applyAlignment="1"/>
    <xf numFmtId="0" fontId="24" fillId="0" borderId="0" xfId="0" applyFont="1"/>
    <xf numFmtId="0" fontId="0" fillId="0" borderId="0" xfId="0"/>
    <xf numFmtId="2" fontId="0" fillId="0" borderId="0" xfId="0" applyNumberFormat="1"/>
    <xf numFmtId="0" fontId="25" fillId="0" borderId="0" xfId="0" applyFont="1"/>
    <xf numFmtId="0" fontId="27" fillId="0" borderId="0" xfId="0" applyFont="1"/>
    <xf numFmtId="0" fontId="27" fillId="0" borderId="2" xfId="0" applyFont="1" applyBorder="1"/>
    <xf numFmtId="10" fontId="0" fillId="0" borderId="2" xfId="0" applyNumberFormat="1" applyBorder="1"/>
    <xf numFmtId="0" fontId="27" fillId="0" borderId="3" xfId="0" applyFont="1" applyBorder="1"/>
    <xf numFmtId="10" fontId="0" fillId="0" borderId="3" xfId="0" applyNumberFormat="1" applyBorder="1"/>
    <xf numFmtId="2" fontId="0" fillId="0" borderId="3" xfId="0" applyNumberFormat="1" applyBorder="1"/>
    <xf numFmtId="2" fontId="23" fillId="0" borderId="3" xfId="0" applyNumberFormat="1" applyFont="1" applyBorder="1"/>
    <xf numFmtId="0" fontId="28" fillId="0" borderId="0" xfId="0" applyFont="1"/>
    <xf numFmtId="0" fontId="27" fillId="0" borderId="4" xfId="0" applyFont="1" applyBorder="1"/>
    <xf numFmtId="10" fontId="0" fillId="0" borderId="4" xfId="0" applyNumberFormat="1" applyBorder="1"/>
    <xf numFmtId="0" fontId="27" fillId="0" borderId="5" xfId="0" applyFont="1" applyBorder="1"/>
    <xf numFmtId="10" fontId="0" fillId="0" borderId="5" xfId="0" applyNumberFormat="1" applyBorder="1"/>
    <xf numFmtId="10" fontId="0" fillId="0" borderId="0" xfId="0" applyNumberFormat="1"/>
    <xf numFmtId="0" fontId="29" fillId="0" borderId="4" xfId="0" applyFont="1" applyBorder="1"/>
    <xf numFmtId="10" fontId="23" fillId="0" borderId="4" xfId="0" applyNumberFormat="1" applyFont="1" applyBorder="1"/>
    <xf numFmtId="0" fontId="23" fillId="0" borderId="4" xfId="0" applyFont="1" applyBorder="1"/>
    <xf numFmtId="0" fontId="27" fillId="0" borderId="5" xfId="0" applyFont="1" applyBorder="1" applyAlignment="1">
      <alignment wrapText="1"/>
    </xf>
    <xf numFmtId="0" fontId="27" fillId="0" borderId="6" xfId="0" applyFont="1" applyBorder="1"/>
    <xf numFmtId="10" fontId="0" fillId="0" borderId="6" xfId="0" applyNumberFormat="1" applyBorder="1"/>
    <xf numFmtId="0" fontId="27" fillId="0" borderId="0" xfId="0" applyFont="1" applyAlignment="1">
      <alignment wrapText="1"/>
    </xf>
    <xf numFmtId="0" fontId="24" fillId="0" borderId="4" xfId="0" applyFont="1" applyBorder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1" fillId="0" borderId="5" xfId="0" applyFont="1" applyBorder="1"/>
    <xf numFmtId="2" fontId="0" fillId="0" borderId="5" xfId="0" applyNumberFormat="1" applyBorder="1"/>
    <xf numFmtId="2" fontId="0" fillId="0" borderId="4" xfId="0" applyNumberFormat="1" applyBorder="1"/>
    <xf numFmtId="0" fontId="33" fillId="0" borderId="0" xfId="0" applyFont="1"/>
    <xf numFmtId="0" fontId="33" fillId="0" borderId="0" xfId="0" applyFont="1" applyAlignment="1">
      <alignment vertical="center" wrapText="1"/>
    </xf>
    <xf numFmtId="43" fontId="3" fillId="0" borderId="0" xfId="0" applyNumberFormat="1" applyFont="1"/>
    <xf numFmtId="2" fontId="3" fillId="0" borderId="0" xfId="0" applyNumberFormat="1" applyFont="1"/>
    <xf numFmtId="0" fontId="3" fillId="7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167" fontId="3" fillId="0" borderId="0" xfId="0" applyNumberFormat="1" applyFont="1"/>
    <xf numFmtId="0" fontId="33" fillId="0" borderId="0" xfId="0" applyFont="1" applyAlignment="1">
      <alignment horizontal="center" vertical="center" wrapText="1"/>
    </xf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4" fontId="10" fillId="0" borderId="0" xfId="0" applyNumberFormat="1" applyFont="1" applyAlignment="1">
      <alignment horizontal="right" vertical="top" wrapText="1"/>
    </xf>
    <xf numFmtId="44" fontId="13" fillId="0" borderId="1" xfId="0" applyNumberFormat="1" applyFont="1" applyBorder="1" applyAlignment="1">
      <alignment horizontal="right" vertical="top" wrapText="1"/>
    </xf>
    <xf numFmtId="44" fontId="10" fillId="0" borderId="0" xfId="0" applyNumberFormat="1" applyFont="1" applyAlignment="1">
      <alignment horizontal="left" vertical="top"/>
    </xf>
    <xf numFmtId="44" fontId="13" fillId="0" borderId="0" xfId="0" applyNumberFormat="1" applyFont="1" applyAlignment="1">
      <alignment horizontal="right" vertical="top" wrapText="1"/>
    </xf>
    <xf numFmtId="44" fontId="21" fillId="0" borderId="1" xfId="0" applyNumberFormat="1" applyFont="1" applyBorder="1" applyAlignment="1">
      <alignment horizontal="right" vertical="top" wrapText="1"/>
    </xf>
    <xf numFmtId="44" fontId="3" fillId="0" borderId="0" xfId="0" applyNumberFormat="1" applyFont="1"/>
    <xf numFmtId="44" fontId="22" fillId="0" borderId="0" xfId="0" applyNumberFormat="1" applyFont="1" applyAlignment="1">
      <alignment horizontal="right" vertical="top" wrapText="1"/>
    </xf>
    <xf numFmtId="44" fontId="21" fillId="0" borderId="0" xfId="0" applyNumberFormat="1" applyFont="1" applyAlignment="1">
      <alignment horizontal="right" vertical="top" wrapText="1"/>
    </xf>
    <xf numFmtId="0" fontId="37" fillId="0" borderId="0" xfId="0" applyFont="1" applyAlignment="1">
      <alignment horizontal="center"/>
    </xf>
    <xf numFmtId="44" fontId="4" fillId="0" borderId="0" xfId="0" applyNumberFormat="1" applyFont="1"/>
    <xf numFmtId="44" fontId="18" fillId="0" borderId="0" xfId="0" applyNumberFormat="1" applyFont="1" applyAlignment="1">
      <alignment wrapText="1"/>
    </xf>
    <xf numFmtId="44" fontId="19" fillId="0" borderId="0" xfId="0" applyNumberFormat="1" applyFont="1"/>
    <xf numFmtId="44" fontId="10" fillId="0" borderId="0" xfId="0" applyNumberFormat="1" applyFont="1" applyAlignment="1">
      <alignment horizontal="left" vertical="center"/>
    </xf>
    <xf numFmtId="44" fontId="8" fillId="4" borderId="0" xfId="0" applyNumberFormat="1" applyFont="1" applyFill="1"/>
    <xf numFmtId="44" fontId="15" fillId="0" borderId="0" xfId="13" applyNumberFormat="1" applyAlignment="1"/>
    <xf numFmtId="44" fontId="13" fillId="5" borderId="0" xfId="0" applyNumberFormat="1" applyFont="1" applyFill="1" applyAlignment="1">
      <alignment wrapText="1"/>
    </xf>
    <xf numFmtId="44" fontId="13" fillId="5" borderId="0" xfId="0" applyNumberFormat="1" applyFont="1" applyFill="1" applyAlignment="1">
      <alignment horizontal="right" wrapText="1"/>
    </xf>
    <xf numFmtId="44" fontId="20" fillId="5" borderId="0" xfId="0" applyNumberFormat="1" applyFont="1" applyFill="1" applyAlignment="1">
      <alignment wrapText="1"/>
    </xf>
    <xf numFmtId="44" fontId="20" fillId="5" borderId="0" xfId="0" applyNumberFormat="1" applyFont="1" applyFill="1" applyAlignment="1">
      <alignment horizontal="right" wrapText="1"/>
    </xf>
    <xf numFmtId="44" fontId="13" fillId="0" borderId="0" xfId="0" applyNumberFormat="1" applyFont="1" applyAlignment="1">
      <alignment horizontal="left" vertical="top"/>
    </xf>
    <xf numFmtId="44" fontId="10" fillId="0" borderId="0" xfId="0" applyNumberFormat="1" applyFont="1" applyAlignment="1">
      <alignment horizontal="center" vertical="center" wrapText="1"/>
    </xf>
    <xf numFmtId="44" fontId="3" fillId="0" borderId="0" xfId="0" applyNumberFormat="1" applyFont="1" applyAlignment="1">
      <alignment vertical="top" wrapText="1"/>
    </xf>
    <xf numFmtId="44" fontId="0" fillId="0" borderId="0" xfId="0" applyNumberFormat="1"/>
    <xf numFmtId="44" fontId="3" fillId="0" borderId="0" xfId="16" applyNumberFormat="1" applyFont="1"/>
    <xf numFmtId="0" fontId="10" fillId="0" borderId="0" xfId="0" applyFont="1" applyAlignment="1">
      <alignment horizontal="right" vertical="top" wrapText="1"/>
    </xf>
    <xf numFmtId="0" fontId="26" fillId="0" borderId="0" xfId="0" applyFont="1"/>
  </cellXfs>
  <cellStyles count="24">
    <cellStyle name="ChartingText" xfId="14" xr:uid="{4E0320FC-29CD-446E-89A4-07CC022D6613}"/>
    <cellStyle name="CHPAboveAverage" xfId="15" xr:uid="{7BA72C52-FCE3-4E29-A569-234D1C59E976}"/>
    <cellStyle name="CHPBelowAverage" xfId="15" xr:uid="{CD42917A-A1E2-4C08-A306-A2587A8CD75C}"/>
    <cellStyle name="CHPBottom" xfId="15" xr:uid="{909BC4D5-8C45-4CC3-977A-423D1CA62E0E}"/>
    <cellStyle name="CHPTop" xfId="15" xr:uid="{861E80FB-2E43-4B2C-A9A5-B4608252A84C}"/>
    <cellStyle name="ColumnHeaderNormal" xfId="6" xr:uid="{F4544115-A37A-4F6B-97F2-D6C5DEE05EF4}"/>
    <cellStyle name="Comma 2" xfId="19" xr:uid="{38D86891-8C83-47D1-B394-8ECFAF643B44}"/>
    <cellStyle name="Invisible" xfId="13" xr:uid="{F4A5FAF1-2800-4FDE-A7F7-DF9A22AEE11D}"/>
    <cellStyle name="NewColumnHeaderNormal" xfId="4" xr:uid="{B85FF561-AD21-4972-BF35-0EF40C57DC9C}"/>
    <cellStyle name="NewSectionHeaderNormal" xfId="3" xr:uid="{5660B708-AEBD-44C3-852F-0E2E5982B674}"/>
    <cellStyle name="NewTitleNormal" xfId="2" xr:uid="{F059A820-1ED0-47A0-8CD5-7F3D9D63AAB3}"/>
    <cellStyle name="Normal" xfId="0" builtinId="0"/>
    <cellStyle name="Normal 2" xfId="20" xr:uid="{6A1E602A-9079-49B5-97A8-F50A8009B448}"/>
    <cellStyle name="Normal 3" xfId="17" xr:uid="{EE0854AB-35B9-491D-B2C8-B0CBCB4D85D4}"/>
    <cellStyle name="Percent" xfId="16" builtinId="5"/>
    <cellStyle name="Percent 2" xfId="18" xr:uid="{93821A9D-DE2F-4DD7-BD54-545BCFCF6C18}"/>
    <cellStyle name="SectionHeaderNormal" xfId="5" xr:uid="{0C27E58C-B7E6-430C-8CF1-C38E8DC499F1}"/>
    <cellStyle name="SubScript" xfId="9" xr:uid="{0B7F09E9-F08A-4535-B1C5-ADE105A54D25}"/>
    <cellStyle name="SuperScript" xfId="8" xr:uid="{F8405665-7633-4027-A111-DD36B50D09A0}"/>
    <cellStyle name="TextBold" xfId="10" xr:uid="{EEF62A9A-D544-4B44-8A0C-030BF8517DD3}"/>
    <cellStyle name="TextItalic" xfId="11" xr:uid="{7449D262-85C1-42B6-9826-61A14AFD411F}"/>
    <cellStyle name="TextNormal" xfId="7" xr:uid="{A7F06051-D2FA-4D91-A666-682DBE573C5F}"/>
    <cellStyle name="TitleNormal" xfId="1" xr:uid="{B6F36781-E75E-4F7B-97CB-1DC00BC5A372}"/>
    <cellStyle name="Total" xfId="12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FAB0-92D9-4330-870B-6E2365DDD75D}">
  <sheetPr>
    <outlinePr summaryBelow="0" summaryRight="0"/>
    <pageSetUpPr autoPageBreaks="0"/>
  </sheetPr>
  <dimension ref="A5:IT114"/>
  <sheetViews>
    <sheetView zoomScale="113" workbookViewId="0">
      <selection activeCell="B18" sqref="B18:F110"/>
    </sheetView>
  </sheetViews>
  <sheetFormatPr defaultRowHeight="11.25" x14ac:dyDescent="0.2"/>
  <cols>
    <col min="1" max="1" width="45.7109375" customWidth="1"/>
    <col min="2" max="6" width="14.7109375" customWidth="1"/>
  </cols>
  <sheetData>
    <row r="5" spans="1:254" ht="15.75" x14ac:dyDescent="0.2">
      <c r="A5" s="1" t="s">
        <v>15</v>
      </c>
    </row>
    <row r="7" spans="1:254" x14ac:dyDescent="0.2">
      <c r="A7" s="2" t="s">
        <v>16</v>
      </c>
      <c r="B7" s="3" t="s">
        <v>17</v>
      </c>
      <c r="C7" t="s">
        <v>18</v>
      </c>
      <c r="D7" s="4" t="s">
        <v>0</v>
      </c>
      <c r="E7" s="3" t="s">
        <v>19</v>
      </c>
      <c r="F7" t="s">
        <v>20</v>
      </c>
    </row>
    <row r="8" spans="1:254" x14ac:dyDescent="0.2">
      <c r="A8" s="4"/>
      <c r="B8" s="3" t="s">
        <v>21</v>
      </c>
      <c r="C8" t="s">
        <v>22</v>
      </c>
      <c r="D8" s="4" t="s">
        <v>0</v>
      </c>
      <c r="E8" s="3" t="s">
        <v>23</v>
      </c>
      <c r="F8" t="s">
        <v>2</v>
      </c>
    </row>
    <row r="9" spans="1:254" x14ac:dyDescent="0.2">
      <c r="A9" s="4"/>
      <c r="B9" s="3" t="s">
        <v>24</v>
      </c>
      <c r="C9" t="s">
        <v>25</v>
      </c>
      <c r="D9" s="4" t="s">
        <v>0</v>
      </c>
      <c r="E9" s="3" t="s">
        <v>26</v>
      </c>
      <c r="F9" t="s">
        <v>1</v>
      </c>
    </row>
    <row r="10" spans="1:254" x14ac:dyDescent="0.2">
      <c r="A10" s="4"/>
      <c r="B10" s="3" t="s">
        <v>27</v>
      </c>
      <c r="C10" t="s">
        <v>3</v>
      </c>
      <c r="D10" s="4" t="s">
        <v>0</v>
      </c>
      <c r="E10" s="3" t="s">
        <v>28</v>
      </c>
      <c r="F10" s="5" t="s">
        <v>4</v>
      </c>
    </row>
    <row r="11" spans="1:254" x14ac:dyDescent="0.2">
      <c r="A11" s="4"/>
      <c r="B11" s="3" t="s">
        <v>29</v>
      </c>
      <c r="C11" t="s">
        <v>30</v>
      </c>
      <c r="D11" s="4" t="s">
        <v>0</v>
      </c>
      <c r="E11" s="16"/>
      <c r="F11" s="16"/>
    </row>
    <row r="14" spans="1:254" x14ac:dyDescent="0.2">
      <c r="A14" s="6" t="s">
        <v>31</v>
      </c>
      <c r="B14" s="6"/>
      <c r="C14" s="6"/>
      <c r="D14" s="6"/>
      <c r="E14" s="6"/>
      <c r="F14" s="6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33.75" x14ac:dyDescent="0.2">
      <c r="A15" s="7" t="s">
        <v>5</v>
      </c>
      <c r="B15" s="11" t="s">
        <v>36</v>
      </c>
      <c r="C15" s="11" t="s">
        <v>35</v>
      </c>
      <c r="D15" s="11" t="s">
        <v>34</v>
      </c>
      <c r="E15" s="11" t="s">
        <v>33</v>
      </c>
      <c r="F15" s="11" t="s">
        <v>32</v>
      </c>
    </row>
    <row r="16" spans="1:254" x14ac:dyDescent="0.2">
      <c r="A16" s="8" t="s">
        <v>6</v>
      </c>
      <c r="B16" s="12" t="s">
        <v>7</v>
      </c>
      <c r="C16" s="12" t="s">
        <v>7</v>
      </c>
      <c r="D16" s="12" t="s">
        <v>7</v>
      </c>
      <c r="E16" s="12" t="s">
        <v>7</v>
      </c>
      <c r="F16" s="12" t="s">
        <v>7</v>
      </c>
    </row>
    <row r="17" spans="1:6" x14ac:dyDescent="0.2">
      <c r="A17" s="9" t="s">
        <v>13</v>
      </c>
      <c r="B17" s="4"/>
      <c r="C17" s="4"/>
      <c r="D17" s="4"/>
      <c r="E17" s="4"/>
      <c r="F17" s="4"/>
    </row>
    <row r="18" spans="1:6" x14ac:dyDescent="0.2">
      <c r="A18" s="4" t="s">
        <v>37</v>
      </c>
      <c r="B18" s="68">
        <v>13040.1</v>
      </c>
      <c r="C18" s="68">
        <v>11931.3</v>
      </c>
      <c r="D18" s="68">
        <v>10885.1</v>
      </c>
      <c r="E18" s="68">
        <v>9155.7000000000007</v>
      </c>
      <c r="F18" s="68">
        <v>10181.9</v>
      </c>
    </row>
    <row r="19" spans="1:6" x14ac:dyDescent="0.2">
      <c r="A19" s="4" t="s">
        <v>38</v>
      </c>
      <c r="B19" s="68" t="s">
        <v>8</v>
      </c>
      <c r="C19" s="68" t="s">
        <v>8</v>
      </c>
      <c r="D19" s="68" t="s">
        <v>8</v>
      </c>
      <c r="E19" s="68" t="s">
        <v>8</v>
      </c>
      <c r="F19" s="68" t="s">
        <v>8</v>
      </c>
    </row>
    <row r="20" spans="1:6" x14ac:dyDescent="0.2">
      <c r="A20" s="9" t="s">
        <v>39</v>
      </c>
      <c r="B20" s="69">
        <v>13040.1</v>
      </c>
      <c r="C20" s="69">
        <v>11931.3</v>
      </c>
      <c r="D20" s="69">
        <v>10885.1</v>
      </c>
      <c r="E20" s="69">
        <v>9155.7000000000007</v>
      </c>
      <c r="F20" s="69">
        <v>10181.9</v>
      </c>
    </row>
    <row r="21" spans="1:6" x14ac:dyDescent="0.2">
      <c r="A21" s="4"/>
      <c r="B21" s="70"/>
      <c r="C21" s="70"/>
      <c r="D21" s="70"/>
      <c r="E21" s="70"/>
      <c r="F21" s="70"/>
    </row>
    <row r="22" spans="1:6" x14ac:dyDescent="0.2">
      <c r="A22" s="4" t="s">
        <v>40</v>
      </c>
      <c r="B22" s="68">
        <v>8581.7000000000007</v>
      </c>
      <c r="C22" s="68">
        <v>7897.9</v>
      </c>
      <c r="D22" s="68">
        <v>7269.5</v>
      </c>
      <c r="E22" s="68">
        <v>6426.2</v>
      </c>
      <c r="F22" s="68">
        <v>6670.5</v>
      </c>
    </row>
    <row r="23" spans="1:6" x14ac:dyDescent="0.2">
      <c r="A23" s="9" t="s">
        <v>41</v>
      </c>
      <c r="B23" s="69">
        <v>4458.3999999999996</v>
      </c>
      <c r="C23" s="69">
        <v>4033.4</v>
      </c>
      <c r="D23" s="69">
        <v>3615.6</v>
      </c>
      <c r="E23" s="69">
        <v>2729.5</v>
      </c>
      <c r="F23" s="69">
        <v>3511.4</v>
      </c>
    </row>
    <row r="24" spans="1:6" x14ac:dyDescent="0.2">
      <c r="A24" s="4"/>
      <c r="B24" s="70"/>
      <c r="C24" s="70"/>
      <c r="D24" s="70"/>
      <c r="E24" s="70"/>
      <c r="F24" s="70"/>
    </row>
    <row r="25" spans="1:6" x14ac:dyDescent="0.2">
      <c r="A25" s="4" t="s">
        <v>42</v>
      </c>
      <c r="B25" s="68">
        <v>2979</v>
      </c>
      <c r="C25" s="68">
        <v>2798</v>
      </c>
      <c r="D25" s="68">
        <v>2370.8000000000002</v>
      </c>
      <c r="E25" s="68">
        <v>1775.3</v>
      </c>
      <c r="F25" s="68">
        <v>2166.3000000000002</v>
      </c>
    </row>
    <row r="26" spans="1:6" x14ac:dyDescent="0.2">
      <c r="A26" s="4" t="s">
        <v>43</v>
      </c>
      <c r="B26" s="68" t="s">
        <v>8</v>
      </c>
      <c r="C26" s="68" t="s">
        <v>8</v>
      </c>
      <c r="D26" s="68" t="s">
        <v>8</v>
      </c>
      <c r="E26" s="68" t="s">
        <v>8</v>
      </c>
      <c r="F26" s="68" t="s">
        <v>8</v>
      </c>
    </row>
    <row r="27" spans="1:6" x14ac:dyDescent="0.2">
      <c r="A27" s="4" t="s">
        <v>44</v>
      </c>
      <c r="B27" s="68">
        <v>607.20000000000005</v>
      </c>
      <c r="C27" s="68">
        <v>571.79999999999995</v>
      </c>
      <c r="D27" s="68">
        <v>586.4</v>
      </c>
      <c r="E27" s="68">
        <v>791.7</v>
      </c>
      <c r="F27" s="68">
        <v>772.4</v>
      </c>
    </row>
    <row r="28" spans="1:6" x14ac:dyDescent="0.2">
      <c r="A28" s="4" t="s">
        <v>45</v>
      </c>
      <c r="B28" s="68">
        <v>-23.6</v>
      </c>
      <c r="C28" s="68">
        <v>-16.899999999999999</v>
      </c>
      <c r="D28" s="68">
        <v>-45.5</v>
      </c>
      <c r="E28" s="68">
        <v>-12.4</v>
      </c>
      <c r="F28" s="68">
        <v>-85.5</v>
      </c>
    </row>
    <row r="29" spans="1:6" x14ac:dyDescent="0.2">
      <c r="A29" s="4"/>
      <c r="B29" s="70"/>
      <c r="C29" s="70"/>
      <c r="D29" s="70"/>
      <c r="E29" s="70"/>
      <c r="F29" s="70"/>
    </row>
    <row r="30" spans="1:6" x14ac:dyDescent="0.2">
      <c r="A30" s="9" t="s">
        <v>46</v>
      </c>
      <c r="B30" s="69">
        <v>3562.6</v>
      </c>
      <c r="C30" s="69">
        <v>3352.9</v>
      </c>
      <c r="D30" s="69">
        <v>2911.7</v>
      </c>
      <c r="E30" s="69">
        <v>2554.6</v>
      </c>
      <c r="F30" s="69">
        <v>2853.2</v>
      </c>
    </row>
    <row r="31" spans="1:6" x14ac:dyDescent="0.2">
      <c r="A31" s="4"/>
      <c r="B31" s="70"/>
      <c r="C31" s="70"/>
      <c r="D31" s="70"/>
      <c r="E31" s="70"/>
      <c r="F31" s="70"/>
    </row>
    <row r="32" spans="1:6" x14ac:dyDescent="0.2">
      <c r="A32" s="9" t="s">
        <v>47</v>
      </c>
      <c r="B32" s="71">
        <v>895.8</v>
      </c>
      <c r="C32" s="71">
        <v>680.5</v>
      </c>
      <c r="D32" s="71">
        <v>703.9</v>
      </c>
      <c r="E32" s="71">
        <v>174.9</v>
      </c>
      <c r="F32" s="71">
        <v>658.2</v>
      </c>
    </row>
    <row r="33" spans="1:6" x14ac:dyDescent="0.2">
      <c r="A33" s="4"/>
      <c r="B33" s="70"/>
      <c r="C33" s="70"/>
      <c r="D33" s="70"/>
      <c r="E33" s="70"/>
      <c r="F33" s="70"/>
    </row>
    <row r="34" spans="1:6" x14ac:dyDescent="0.2">
      <c r="A34" s="4" t="s">
        <v>48</v>
      </c>
      <c r="B34" s="68">
        <v>-163.19999999999999</v>
      </c>
      <c r="C34" s="68">
        <v>-186.6</v>
      </c>
      <c r="D34" s="68">
        <v>-205.4</v>
      </c>
      <c r="E34" s="68">
        <v>-221.1</v>
      </c>
      <c r="F34" s="68">
        <v>-219.8</v>
      </c>
    </row>
    <row r="35" spans="1:6" x14ac:dyDescent="0.2">
      <c r="A35" s="4" t="s">
        <v>49</v>
      </c>
      <c r="B35" s="68">
        <v>58</v>
      </c>
      <c r="C35" s="68">
        <v>28.5</v>
      </c>
      <c r="D35" s="68">
        <v>9.1999999999999993</v>
      </c>
      <c r="E35" s="68">
        <v>8.4</v>
      </c>
      <c r="F35" s="68">
        <v>14.5</v>
      </c>
    </row>
    <row r="36" spans="1:6" x14ac:dyDescent="0.2">
      <c r="A36" s="9" t="s">
        <v>50</v>
      </c>
      <c r="B36" s="69">
        <v>-105.2</v>
      </c>
      <c r="C36" s="69">
        <v>-158.1</v>
      </c>
      <c r="D36" s="69">
        <v>-196.2</v>
      </c>
      <c r="E36" s="69">
        <v>-212.7</v>
      </c>
      <c r="F36" s="69">
        <v>-205.3</v>
      </c>
    </row>
    <row r="37" spans="1:6" x14ac:dyDescent="0.2">
      <c r="A37" s="4"/>
      <c r="B37" s="70"/>
      <c r="C37" s="70"/>
      <c r="D37" s="70"/>
      <c r="E37" s="70"/>
      <c r="F37" s="70"/>
    </row>
    <row r="38" spans="1:6" x14ac:dyDescent="0.2">
      <c r="A38" s="4" t="s">
        <v>51</v>
      </c>
      <c r="B38" s="68">
        <v>-79.900000000000006</v>
      </c>
      <c r="C38" s="68">
        <v>-43.5</v>
      </c>
      <c r="D38" s="68">
        <v>-18.600000000000001</v>
      </c>
      <c r="E38" s="68">
        <v>64.2</v>
      </c>
      <c r="F38" s="68">
        <v>-14.2</v>
      </c>
    </row>
    <row r="39" spans="1:6" x14ac:dyDescent="0.2">
      <c r="A39" s="4" t="s">
        <v>52</v>
      </c>
      <c r="B39" s="68">
        <v>-12.9</v>
      </c>
      <c r="C39" s="68">
        <v>-10.9</v>
      </c>
      <c r="D39" s="68">
        <v>1.3</v>
      </c>
      <c r="E39" s="68">
        <v>-1.5</v>
      </c>
      <c r="F39" s="68">
        <v>1</v>
      </c>
    </row>
    <row r="40" spans="1:6" x14ac:dyDescent="0.2">
      <c r="A40" s="9" t="s">
        <v>53</v>
      </c>
      <c r="B40" s="69">
        <v>697.8</v>
      </c>
      <c r="C40" s="69">
        <v>468</v>
      </c>
      <c r="D40" s="69">
        <v>490.4</v>
      </c>
      <c r="E40" s="69">
        <v>24.9</v>
      </c>
      <c r="F40" s="69">
        <v>439.7</v>
      </c>
    </row>
    <row r="41" spans="1:6" x14ac:dyDescent="0.2">
      <c r="A41" s="4"/>
      <c r="B41" s="70"/>
      <c r="C41" s="70"/>
      <c r="D41" s="70"/>
      <c r="E41" s="70"/>
      <c r="F41" s="70"/>
    </row>
    <row r="42" spans="1:6" x14ac:dyDescent="0.2">
      <c r="A42" s="4" t="s">
        <v>54</v>
      </c>
      <c r="B42" s="68" t="s">
        <v>8</v>
      </c>
      <c r="C42" s="68" t="s">
        <v>8</v>
      </c>
      <c r="D42" s="68" t="s">
        <v>8</v>
      </c>
      <c r="E42" s="68" t="s">
        <v>8</v>
      </c>
      <c r="F42" s="68" t="s">
        <v>8</v>
      </c>
    </row>
    <row r="43" spans="1:6" x14ac:dyDescent="0.2">
      <c r="A43" s="4" t="s">
        <v>55</v>
      </c>
      <c r="B43" s="68" t="s">
        <v>8</v>
      </c>
      <c r="C43" s="68" t="s">
        <v>8</v>
      </c>
      <c r="D43" s="68" t="s">
        <v>8</v>
      </c>
      <c r="E43" s="68" t="s">
        <v>8</v>
      </c>
      <c r="F43" s="68" t="s">
        <v>8</v>
      </c>
    </row>
    <row r="44" spans="1:6" x14ac:dyDescent="0.2">
      <c r="A44" s="4" t="s">
        <v>56</v>
      </c>
      <c r="B44" s="68" t="s">
        <v>8</v>
      </c>
      <c r="C44" s="68" t="s">
        <v>8</v>
      </c>
      <c r="D44" s="68" t="s">
        <v>8</v>
      </c>
      <c r="E44" s="68" t="s">
        <v>8</v>
      </c>
      <c r="F44" s="68" t="s">
        <v>8</v>
      </c>
    </row>
    <row r="45" spans="1:6" x14ac:dyDescent="0.2">
      <c r="A45" s="4" t="s">
        <v>57</v>
      </c>
      <c r="B45" s="68" t="s">
        <v>8</v>
      </c>
      <c r="C45" s="68">
        <v>-2.9</v>
      </c>
      <c r="D45" s="68" t="s">
        <v>8</v>
      </c>
      <c r="E45" s="68" t="s">
        <v>8</v>
      </c>
      <c r="F45" s="68" t="s">
        <v>8</v>
      </c>
    </row>
    <row r="46" spans="1:6" x14ac:dyDescent="0.2">
      <c r="A46" s="4" t="s">
        <v>58</v>
      </c>
      <c r="B46" s="68" t="s">
        <v>8</v>
      </c>
      <c r="C46" s="68" t="s">
        <v>8</v>
      </c>
      <c r="D46" s="68" t="s">
        <v>8</v>
      </c>
      <c r="E46" s="68" t="s">
        <v>8</v>
      </c>
      <c r="F46" s="68" t="s">
        <v>8</v>
      </c>
    </row>
    <row r="47" spans="1:6" x14ac:dyDescent="0.2">
      <c r="A47" s="4" t="s">
        <v>59</v>
      </c>
      <c r="B47" s="68">
        <v>-25.3</v>
      </c>
      <c r="C47" s="68">
        <v>10.6</v>
      </c>
      <c r="D47" s="68">
        <v>-98.7</v>
      </c>
      <c r="E47" s="68">
        <v>-234.3</v>
      </c>
      <c r="F47" s="68">
        <v>-372.5</v>
      </c>
    </row>
    <row r="48" spans="1:6" x14ac:dyDescent="0.2">
      <c r="A48" s="9" t="s">
        <v>60</v>
      </c>
      <c r="B48" s="69">
        <v>672.5</v>
      </c>
      <c r="C48" s="69">
        <v>475.7</v>
      </c>
      <c r="D48" s="69">
        <v>391.7</v>
      </c>
      <c r="E48" s="69">
        <v>-209.4</v>
      </c>
      <c r="F48" s="69">
        <v>67.2</v>
      </c>
    </row>
    <row r="49" spans="1:6" x14ac:dyDescent="0.2">
      <c r="A49" s="4"/>
      <c r="B49" s="70"/>
      <c r="C49" s="70"/>
      <c r="D49" s="70"/>
      <c r="E49" s="70"/>
      <c r="F49" s="70"/>
    </row>
    <row r="50" spans="1:6" x14ac:dyDescent="0.2">
      <c r="A50" s="4" t="s">
        <v>61</v>
      </c>
      <c r="B50" s="68">
        <v>247.3</v>
      </c>
      <c r="C50" s="68">
        <v>111.2</v>
      </c>
      <c r="D50" s="68">
        <v>82.7</v>
      </c>
      <c r="E50" s="68">
        <v>-8.1999999999999993</v>
      </c>
      <c r="F50" s="68">
        <v>39.799999999999997</v>
      </c>
    </row>
    <row r="51" spans="1:6" x14ac:dyDescent="0.2">
      <c r="A51" s="9" t="s">
        <v>62</v>
      </c>
      <c r="B51" s="69">
        <v>425.2</v>
      </c>
      <c r="C51" s="69">
        <v>364.5</v>
      </c>
      <c r="D51" s="69">
        <v>309</v>
      </c>
      <c r="E51" s="69">
        <v>-201.2</v>
      </c>
      <c r="F51" s="69">
        <v>27.4</v>
      </c>
    </row>
    <row r="52" spans="1:6" x14ac:dyDescent="0.2">
      <c r="A52" s="4"/>
      <c r="B52" s="70"/>
      <c r="C52" s="70"/>
      <c r="D52" s="70"/>
      <c r="E52" s="70"/>
      <c r="F52" s="70"/>
    </row>
    <row r="53" spans="1:6" x14ac:dyDescent="0.2">
      <c r="A53" s="4" t="s">
        <v>63</v>
      </c>
      <c r="B53" s="68" t="s">
        <v>8</v>
      </c>
      <c r="C53" s="68" t="s">
        <v>8</v>
      </c>
      <c r="D53" s="68" t="s">
        <v>8</v>
      </c>
      <c r="E53" s="68" t="s">
        <v>8</v>
      </c>
      <c r="F53" s="68" t="s">
        <v>8</v>
      </c>
    </row>
    <row r="54" spans="1:6" x14ac:dyDescent="0.2">
      <c r="A54" s="4" t="s">
        <v>64</v>
      </c>
      <c r="B54" s="68" t="s">
        <v>8</v>
      </c>
      <c r="C54" s="68" t="s">
        <v>8</v>
      </c>
      <c r="D54" s="68" t="s">
        <v>8</v>
      </c>
      <c r="E54" s="68" t="s">
        <v>8</v>
      </c>
      <c r="F54" s="68" t="s">
        <v>8</v>
      </c>
    </row>
    <row r="55" spans="1:6" x14ac:dyDescent="0.2">
      <c r="A55" s="9" t="s">
        <v>65</v>
      </c>
      <c r="B55" s="69">
        <v>425.2</v>
      </c>
      <c r="C55" s="69">
        <v>364.5</v>
      </c>
      <c r="D55" s="69">
        <v>309</v>
      </c>
      <c r="E55" s="69">
        <v>-201.2</v>
      </c>
      <c r="F55" s="69">
        <v>27.4</v>
      </c>
    </row>
    <row r="56" spans="1:6" x14ac:dyDescent="0.2">
      <c r="A56" s="4"/>
      <c r="B56" s="70"/>
      <c r="C56" s="70"/>
      <c r="D56" s="70"/>
      <c r="E56" s="70"/>
      <c r="F56" s="70"/>
    </row>
    <row r="57" spans="1:6" x14ac:dyDescent="0.2">
      <c r="A57" s="4" t="s">
        <v>66</v>
      </c>
      <c r="B57" s="68">
        <v>6</v>
      </c>
      <c r="C57" s="68">
        <v>-1.1000000000000001</v>
      </c>
      <c r="D57" s="68">
        <v>-2.4</v>
      </c>
      <c r="E57" s="68">
        <v>3.2</v>
      </c>
      <c r="F57" s="68">
        <v>-3.7</v>
      </c>
    </row>
    <row r="58" spans="1:6" x14ac:dyDescent="0.2">
      <c r="A58" s="9" t="s">
        <v>67</v>
      </c>
      <c r="B58" s="72">
        <v>431.2</v>
      </c>
      <c r="C58" s="72">
        <v>363.4</v>
      </c>
      <c r="D58" s="72">
        <v>306.60000000000002</v>
      </c>
      <c r="E58" s="72">
        <v>-198</v>
      </c>
      <c r="F58" s="72">
        <v>23.7</v>
      </c>
    </row>
    <row r="59" spans="1:6" x14ac:dyDescent="0.2">
      <c r="A59" s="4"/>
      <c r="B59" s="70"/>
      <c r="C59" s="70"/>
      <c r="D59" s="70"/>
      <c r="E59" s="70"/>
      <c r="F59" s="70"/>
    </row>
    <row r="60" spans="1:6" x14ac:dyDescent="0.2">
      <c r="A60" s="4" t="s">
        <v>68</v>
      </c>
      <c r="B60" s="68" t="s">
        <v>8</v>
      </c>
      <c r="C60" s="68" t="s">
        <v>8</v>
      </c>
      <c r="D60" s="68" t="s">
        <v>8</v>
      </c>
      <c r="E60" s="68" t="s">
        <v>8</v>
      </c>
      <c r="F60" s="68" t="s">
        <v>8</v>
      </c>
    </row>
    <row r="61" spans="1:6" x14ac:dyDescent="0.2">
      <c r="A61" s="4"/>
      <c r="B61" s="70"/>
      <c r="C61" s="70"/>
      <c r="D61" s="70"/>
      <c r="E61" s="70"/>
      <c r="F61" s="70"/>
    </row>
    <row r="62" spans="1:6" x14ac:dyDescent="0.2">
      <c r="A62" s="9" t="s">
        <v>69</v>
      </c>
      <c r="B62" s="71">
        <v>431.2</v>
      </c>
      <c r="C62" s="71">
        <v>363.4</v>
      </c>
      <c r="D62" s="71">
        <v>306.60000000000002</v>
      </c>
      <c r="E62" s="71">
        <v>-198</v>
      </c>
      <c r="F62" s="71">
        <v>23.7</v>
      </c>
    </row>
    <row r="63" spans="1:6" x14ac:dyDescent="0.2">
      <c r="A63" s="9" t="s">
        <v>70</v>
      </c>
      <c r="B63" s="71">
        <v>431.2</v>
      </c>
      <c r="C63" s="71">
        <v>363.4</v>
      </c>
      <c r="D63" s="71">
        <v>306.60000000000002</v>
      </c>
      <c r="E63" s="71">
        <v>-198</v>
      </c>
      <c r="F63" s="71">
        <v>23.7</v>
      </c>
    </row>
    <row r="64" spans="1:6" x14ac:dyDescent="0.2">
      <c r="A64" s="4"/>
      <c r="B64" s="70"/>
      <c r="C64" s="70"/>
      <c r="D64" s="70"/>
      <c r="E64" s="70"/>
      <c r="F64" s="70"/>
    </row>
    <row r="65" spans="1:6" x14ac:dyDescent="0.2">
      <c r="A65" s="9" t="s">
        <v>71</v>
      </c>
      <c r="B65" s="70"/>
      <c r="C65" s="70"/>
      <c r="D65" s="70"/>
      <c r="E65" s="70"/>
      <c r="F65" s="70"/>
    </row>
    <row r="66" spans="1:6" x14ac:dyDescent="0.2">
      <c r="A66" s="4" t="s">
        <v>72</v>
      </c>
      <c r="B66" s="68">
        <v>0.218528</v>
      </c>
      <c r="C66" s="68">
        <v>0.18507699999999999</v>
      </c>
      <c r="D66" s="68">
        <v>0.15658</v>
      </c>
      <c r="E66" s="68">
        <v>-0.1</v>
      </c>
      <c r="F66" s="68">
        <v>1.2507000000000001E-2</v>
      </c>
    </row>
    <row r="67" spans="1:6" x14ac:dyDescent="0.2">
      <c r="A67" s="4" t="s">
        <v>73</v>
      </c>
      <c r="B67" s="68">
        <v>0.218528</v>
      </c>
      <c r="C67" s="68">
        <v>0.18507699999999999</v>
      </c>
      <c r="D67" s="68">
        <v>0.15658</v>
      </c>
      <c r="E67" s="68">
        <v>-0.1</v>
      </c>
      <c r="F67" s="68">
        <v>1.2507000000000001E-2</v>
      </c>
    </row>
    <row r="68" spans="1:6" x14ac:dyDescent="0.2">
      <c r="A68" s="4" t="s">
        <v>74</v>
      </c>
      <c r="B68" s="68">
        <v>1973.2</v>
      </c>
      <c r="C68" s="68">
        <v>1963.5</v>
      </c>
      <c r="D68" s="68">
        <v>1958.1</v>
      </c>
      <c r="E68" s="68">
        <v>1953.5</v>
      </c>
      <c r="F68" s="68">
        <v>1894.9</v>
      </c>
    </row>
    <row r="69" spans="1:6" x14ac:dyDescent="0.2">
      <c r="A69" s="4"/>
      <c r="B69" s="70"/>
      <c r="C69" s="70"/>
      <c r="D69" s="70"/>
      <c r="E69" s="70"/>
      <c r="F69" s="70"/>
    </row>
    <row r="70" spans="1:6" x14ac:dyDescent="0.2">
      <c r="A70" s="4" t="s">
        <v>75</v>
      </c>
      <c r="B70" s="68">
        <v>0.20799999999999999</v>
      </c>
      <c r="C70" s="68">
        <v>0.17899999999999999</v>
      </c>
      <c r="D70" s="68">
        <v>0.151</v>
      </c>
      <c r="E70" s="68">
        <v>-0.1</v>
      </c>
      <c r="F70" s="68">
        <v>1.2E-2</v>
      </c>
    </row>
    <row r="71" spans="1:6" x14ac:dyDescent="0.2">
      <c r="A71" s="4" t="s">
        <v>76</v>
      </c>
      <c r="B71" s="68">
        <v>0.20799999999999999</v>
      </c>
      <c r="C71" s="68">
        <v>0.17899999999999999</v>
      </c>
      <c r="D71" s="68">
        <v>0.151</v>
      </c>
      <c r="E71" s="68">
        <v>-0.1</v>
      </c>
      <c r="F71" s="68">
        <v>1.2E-2</v>
      </c>
    </row>
    <row r="72" spans="1:6" x14ac:dyDescent="0.2">
      <c r="A72" s="4" t="s">
        <v>77</v>
      </c>
      <c r="B72" s="68">
        <v>2075.9</v>
      </c>
      <c r="C72" s="68">
        <v>2033.9</v>
      </c>
      <c r="D72" s="68">
        <v>2031.1</v>
      </c>
      <c r="E72" s="68">
        <v>1968.5</v>
      </c>
      <c r="F72" s="68">
        <v>1905.6</v>
      </c>
    </row>
    <row r="73" spans="1:6" x14ac:dyDescent="0.2">
      <c r="A73" s="4"/>
      <c r="B73" s="70"/>
      <c r="C73" s="70"/>
      <c r="D73" s="70"/>
      <c r="E73" s="70"/>
      <c r="F73" s="70"/>
    </row>
    <row r="74" spans="1:6" x14ac:dyDescent="0.2">
      <c r="A74" s="4" t="s">
        <v>78</v>
      </c>
      <c r="B74" s="68">
        <v>0.22406400000000001</v>
      </c>
      <c r="C74" s="68">
        <v>0.14840800000000001</v>
      </c>
      <c r="D74" s="68">
        <v>0.155303</v>
      </c>
      <c r="E74" s="68">
        <v>9.6039999999999997E-3</v>
      </c>
      <c r="F74" s="68">
        <v>0.14307400000000001</v>
      </c>
    </row>
    <row r="75" spans="1:6" x14ac:dyDescent="0.2">
      <c r="A75" s="4" t="s">
        <v>79</v>
      </c>
      <c r="B75" s="68">
        <v>0.212979</v>
      </c>
      <c r="C75" s="68">
        <v>0.14327100000000001</v>
      </c>
      <c r="D75" s="68">
        <v>0.14972099999999999</v>
      </c>
      <c r="E75" s="68">
        <v>9.5309999999999995E-3</v>
      </c>
      <c r="F75" s="68">
        <v>0.14227100000000001</v>
      </c>
    </row>
    <row r="76" spans="1:6" x14ac:dyDescent="0.2">
      <c r="A76" s="4"/>
      <c r="B76" s="70"/>
      <c r="C76" s="70"/>
      <c r="D76" s="70"/>
      <c r="E76" s="70"/>
      <c r="F76" s="70"/>
    </row>
    <row r="77" spans="1:6" x14ac:dyDescent="0.2">
      <c r="A77" s="4" t="s">
        <v>80</v>
      </c>
      <c r="B77" s="68">
        <v>0.03</v>
      </c>
      <c r="C77" s="68" t="s">
        <v>81</v>
      </c>
      <c r="D77" s="68" t="s">
        <v>81</v>
      </c>
      <c r="E77" s="68" t="s">
        <v>81</v>
      </c>
      <c r="F77" s="68">
        <v>3.9E-2</v>
      </c>
    </row>
    <row r="78" spans="1:6" x14ac:dyDescent="0.2">
      <c r="A78" s="4" t="s">
        <v>82</v>
      </c>
      <c r="B78" s="68">
        <v>4.5454000000000001E-2</v>
      </c>
      <c r="C78" s="68" t="s">
        <v>81</v>
      </c>
      <c r="D78" s="68" t="s">
        <v>81</v>
      </c>
      <c r="E78" s="68" t="s">
        <v>81</v>
      </c>
      <c r="F78" s="68">
        <v>8.0632909999999995</v>
      </c>
    </row>
    <row r="79" spans="1:6" x14ac:dyDescent="0.2">
      <c r="A79" s="4"/>
      <c r="B79" s="70"/>
      <c r="C79" s="70"/>
      <c r="D79" s="70"/>
      <c r="E79" s="70"/>
      <c r="F79" s="70"/>
    </row>
    <row r="80" spans="1:6" x14ac:dyDescent="0.2">
      <c r="A80" s="4" t="s">
        <v>83</v>
      </c>
      <c r="B80" s="68">
        <v>2</v>
      </c>
      <c r="C80" s="68">
        <v>2</v>
      </c>
      <c r="D80" s="68">
        <v>2</v>
      </c>
      <c r="E80" s="68">
        <v>2</v>
      </c>
      <c r="F80" s="68">
        <v>2</v>
      </c>
    </row>
    <row r="81" spans="1:6" x14ac:dyDescent="0.2">
      <c r="A81" s="4"/>
      <c r="B81" s="70"/>
      <c r="C81" s="70"/>
      <c r="D81" s="70"/>
      <c r="E81" s="70"/>
      <c r="F81" s="70"/>
    </row>
    <row r="82" spans="1:6" x14ac:dyDescent="0.2">
      <c r="A82" s="9" t="s">
        <v>84</v>
      </c>
      <c r="B82" s="70"/>
      <c r="C82" s="70"/>
      <c r="D82" s="70"/>
      <c r="E82" s="70"/>
      <c r="F82" s="70"/>
    </row>
    <row r="83" spans="1:6" x14ac:dyDescent="0.2">
      <c r="A83" s="4" t="s">
        <v>9</v>
      </c>
      <c r="B83" s="68">
        <v>1171.5</v>
      </c>
      <c r="C83" s="68">
        <v>991.6</v>
      </c>
      <c r="D83" s="68">
        <v>995</v>
      </c>
      <c r="E83" s="68">
        <v>487.2</v>
      </c>
      <c r="F83" s="68">
        <v>990.2</v>
      </c>
    </row>
    <row r="84" spans="1:6" x14ac:dyDescent="0.2">
      <c r="A84" s="4" t="s">
        <v>85</v>
      </c>
      <c r="B84" s="68">
        <v>896.5</v>
      </c>
      <c r="C84" s="68">
        <v>681.1</v>
      </c>
      <c r="D84" s="68">
        <v>704.5</v>
      </c>
      <c r="E84" s="68">
        <v>175.1</v>
      </c>
      <c r="F84" s="68">
        <v>661</v>
      </c>
    </row>
    <row r="85" spans="1:6" x14ac:dyDescent="0.2">
      <c r="A85" s="4" t="s">
        <v>10</v>
      </c>
      <c r="B85" s="68">
        <v>895.8</v>
      </c>
      <c r="C85" s="68">
        <v>680.5</v>
      </c>
      <c r="D85" s="68">
        <v>703.9</v>
      </c>
      <c r="E85" s="68">
        <v>174.9</v>
      </c>
      <c r="F85" s="68">
        <v>658.2</v>
      </c>
    </row>
    <row r="86" spans="1:6" x14ac:dyDescent="0.2">
      <c r="A86" s="4" t="s">
        <v>86</v>
      </c>
      <c r="B86" s="68">
        <v>1665.3</v>
      </c>
      <c r="C86" s="68">
        <v>1455.5</v>
      </c>
      <c r="D86" s="68">
        <v>1339.3</v>
      </c>
      <c r="E86" s="68">
        <v>711.1</v>
      </c>
      <c r="F86" s="68">
        <v>1342.7</v>
      </c>
    </row>
    <row r="87" spans="1:6" x14ac:dyDescent="0.2">
      <c r="A87" s="4" t="s">
        <v>87</v>
      </c>
      <c r="B87" s="68">
        <v>0.367732</v>
      </c>
      <c r="C87" s="68">
        <v>0.23376</v>
      </c>
      <c r="D87" s="68">
        <v>0.21113000000000001</v>
      </c>
      <c r="E87" s="68" t="s">
        <v>12</v>
      </c>
      <c r="F87" s="68">
        <v>0.59226100000000004</v>
      </c>
    </row>
    <row r="88" spans="1:6" x14ac:dyDescent="0.2">
      <c r="A88" s="4" t="s">
        <v>88</v>
      </c>
      <c r="B88" s="68">
        <v>143.4</v>
      </c>
      <c r="C88" s="68">
        <v>63.8</v>
      </c>
      <c r="D88" s="68">
        <v>65.8</v>
      </c>
      <c r="E88" s="68">
        <v>-8.4</v>
      </c>
      <c r="F88" s="68">
        <v>38.700000000000003</v>
      </c>
    </row>
    <row r="89" spans="1:6" x14ac:dyDescent="0.2">
      <c r="A89" s="4" t="s">
        <v>89</v>
      </c>
      <c r="B89" s="68">
        <v>6.7</v>
      </c>
      <c r="C89" s="68">
        <v>6.3</v>
      </c>
      <c r="D89" s="68">
        <v>11.8</v>
      </c>
      <c r="E89" s="68">
        <v>0</v>
      </c>
      <c r="F89" s="68">
        <v>8.6999999999999993</v>
      </c>
    </row>
    <row r="90" spans="1:6" x14ac:dyDescent="0.2">
      <c r="A90" s="4" t="s">
        <v>90</v>
      </c>
      <c r="B90" s="68">
        <v>150.1</v>
      </c>
      <c r="C90" s="68">
        <v>70.099999999999994</v>
      </c>
      <c r="D90" s="68">
        <v>77.599999999999994</v>
      </c>
      <c r="E90" s="68">
        <v>-8.4</v>
      </c>
      <c r="F90" s="68">
        <v>47.4</v>
      </c>
    </row>
    <row r="91" spans="1:6" x14ac:dyDescent="0.2">
      <c r="A91" s="4" t="s">
        <v>91</v>
      </c>
      <c r="B91" s="68">
        <v>97.2</v>
      </c>
      <c r="C91" s="68">
        <v>41.1</v>
      </c>
      <c r="D91" s="68">
        <v>5.0999999999999996</v>
      </c>
      <c r="E91" s="68">
        <v>0.2</v>
      </c>
      <c r="F91" s="68">
        <v>-7.6</v>
      </c>
    </row>
    <row r="92" spans="1:6" x14ac:dyDescent="0.2">
      <c r="A92" s="4"/>
      <c r="B92" s="70"/>
      <c r="C92" s="70"/>
      <c r="D92" s="70"/>
      <c r="E92" s="70"/>
      <c r="F92" s="70"/>
    </row>
    <row r="93" spans="1:6" x14ac:dyDescent="0.2">
      <c r="A93" s="4" t="s">
        <v>92</v>
      </c>
      <c r="B93" s="68">
        <v>442.125</v>
      </c>
      <c r="C93" s="68">
        <v>291.39999999999998</v>
      </c>
      <c r="D93" s="68">
        <v>304.10000000000002</v>
      </c>
      <c r="E93" s="68">
        <v>18.762499999999999</v>
      </c>
      <c r="F93" s="68">
        <v>271.11250000000001</v>
      </c>
    </row>
    <row r="94" spans="1:6" x14ac:dyDescent="0.2">
      <c r="A94" s="4" t="s">
        <v>93</v>
      </c>
      <c r="B94" s="68">
        <v>173.3</v>
      </c>
      <c r="C94" s="68">
        <v>197.3</v>
      </c>
      <c r="D94" s="68">
        <v>209.2</v>
      </c>
      <c r="E94" s="68">
        <v>220.2</v>
      </c>
      <c r="F94" s="68">
        <v>217.5</v>
      </c>
    </row>
    <row r="95" spans="1:6" x14ac:dyDescent="0.2">
      <c r="A95" s="4" t="s">
        <v>94</v>
      </c>
      <c r="B95" s="68">
        <v>-18.8</v>
      </c>
      <c r="C95" s="68">
        <v>-23.9</v>
      </c>
      <c r="D95" s="68">
        <v>-8.4</v>
      </c>
      <c r="E95" s="68">
        <v>-41.7</v>
      </c>
      <c r="F95" s="68">
        <v>-19.100000000000001</v>
      </c>
    </row>
    <row r="96" spans="1:6" x14ac:dyDescent="0.2">
      <c r="A96" s="4" t="s">
        <v>95</v>
      </c>
      <c r="B96" s="68">
        <v>45446</v>
      </c>
      <c r="C96" s="68">
        <v>45446</v>
      </c>
      <c r="D96" s="68">
        <v>45083</v>
      </c>
      <c r="E96" s="68">
        <v>44719</v>
      </c>
      <c r="F96" s="68">
        <v>44349</v>
      </c>
    </row>
    <row r="97" spans="1:6" x14ac:dyDescent="0.2">
      <c r="A97" s="4" t="s">
        <v>96</v>
      </c>
      <c r="B97" s="68" t="s">
        <v>99</v>
      </c>
      <c r="C97" s="68" t="s">
        <v>98</v>
      </c>
      <c r="D97" s="68" t="s">
        <v>98</v>
      </c>
      <c r="E97" s="68" t="s">
        <v>98</v>
      </c>
      <c r="F97" s="68" t="s">
        <v>97</v>
      </c>
    </row>
    <row r="98" spans="1:6" x14ac:dyDescent="0.2">
      <c r="A98" s="4" t="s">
        <v>100</v>
      </c>
      <c r="B98" s="68" t="s">
        <v>101</v>
      </c>
      <c r="C98" s="68" t="s">
        <v>101</v>
      </c>
      <c r="D98" s="68" t="s">
        <v>101</v>
      </c>
      <c r="E98" s="68" t="s">
        <v>101</v>
      </c>
      <c r="F98" s="68" t="s">
        <v>101</v>
      </c>
    </row>
    <row r="99" spans="1:6" x14ac:dyDescent="0.2">
      <c r="A99" s="4"/>
      <c r="B99" s="70"/>
      <c r="C99" s="70"/>
      <c r="D99" s="70"/>
      <c r="E99" s="70"/>
      <c r="F99" s="70"/>
    </row>
    <row r="100" spans="1:6" x14ac:dyDescent="0.2">
      <c r="A100" s="9" t="s">
        <v>103</v>
      </c>
      <c r="B100" s="70"/>
      <c r="C100" s="70"/>
      <c r="D100" s="70"/>
      <c r="E100" s="70"/>
      <c r="F100" s="70"/>
    </row>
    <row r="101" spans="1:6" x14ac:dyDescent="0.2">
      <c r="A101" s="4" t="s">
        <v>104</v>
      </c>
      <c r="B101" s="68">
        <v>249.4</v>
      </c>
      <c r="C101" s="68">
        <v>220.2</v>
      </c>
      <c r="D101" s="68">
        <v>209.4</v>
      </c>
      <c r="E101" s="68" t="s">
        <v>81</v>
      </c>
      <c r="F101" s="68" t="s">
        <v>81</v>
      </c>
    </row>
    <row r="102" spans="1:6" x14ac:dyDescent="0.2">
      <c r="A102" s="4" t="s">
        <v>105</v>
      </c>
      <c r="B102" s="68">
        <v>249.4</v>
      </c>
      <c r="C102" s="68">
        <v>220.2</v>
      </c>
      <c r="D102" s="68">
        <v>209.4</v>
      </c>
      <c r="E102" s="68" t="s">
        <v>81</v>
      </c>
      <c r="F102" s="68" t="s">
        <v>81</v>
      </c>
    </row>
    <row r="103" spans="1:6" x14ac:dyDescent="0.2">
      <c r="A103" s="4" t="s">
        <v>106</v>
      </c>
      <c r="B103" s="68">
        <v>229.9</v>
      </c>
      <c r="C103" s="68">
        <v>228.6</v>
      </c>
      <c r="D103" s="68">
        <v>212.1</v>
      </c>
      <c r="E103" s="68" t="s">
        <v>81</v>
      </c>
      <c r="F103" s="68" t="s">
        <v>81</v>
      </c>
    </row>
    <row r="104" spans="1:6" x14ac:dyDescent="0.2">
      <c r="A104" s="4" t="s">
        <v>107</v>
      </c>
      <c r="B104" s="68">
        <v>493.8</v>
      </c>
      <c r="C104" s="68">
        <v>463.9</v>
      </c>
      <c r="D104" s="68">
        <v>344.3</v>
      </c>
      <c r="E104" s="68">
        <v>223.9</v>
      </c>
      <c r="F104" s="68">
        <v>352.5</v>
      </c>
    </row>
    <row r="105" spans="1:6" x14ac:dyDescent="0.2">
      <c r="A105" s="4" t="s">
        <v>108</v>
      </c>
      <c r="B105" s="68">
        <v>190.70555999999999</v>
      </c>
      <c r="C105" s="68">
        <v>186.250283</v>
      </c>
      <c r="D105" s="68">
        <v>143.21227400000001</v>
      </c>
      <c r="E105" s="68">
        <v>96.517021</v>
      </c>
      <c r="F105" s="68">
        <v>146.93892</v>
      </c>
    </row>
    <row r="106" spans="1:6" x14ac:dyDescent="0.2">
      <c r="A106" s="4" t="s">
        <v>109</v>
      </c>
      <c r="B106" s="68">
        <v>303.09444000000002</v>
      </c>
      <c r="C106" s="68">
        <v>277.64971700000001</v>
      </c>
      <c r="D106" s="68">
        <v>201.087726</v>
      </c>
      <c r="E106" s="68">
        <v>127.38297900000001</v>
      </c>
      <c r="F106" s="68">
        <v>205.56108</v>
      </c>
    </row>
    <row r="107" spans="1:6" x14ac:dyDescent="0.2">
      <c r="A107" s="4" t="s">
        <v>110</v>
      </c>
      <c r="B107" s="68">
        <v>134.5</v>
      </c>
      <c r="C107" s="68">
        <v>111.2</v>
      </c>
      <c r="D107" s="68">
        <v>122.2</v>
      </c>
      <c r="E107" s="68">
        <v>95.8</v>
      </c>
      <c r="F107" s="68">
        <v>81</v>
      </c>
    </row>
    <row r="108" spans="1:6" x14ac:dyDescent="0.2">
      <c r="A108" s="4"/>
      <c r="B108" s="70"/>
      <c r="C108" s="70"/>
      <c r="D108" s="70"/>
      <c r="E108" s="70"/>
      <c r="F108" s="70"/>
    </row>
    <row r="109" spans="1:6" x14ac:dyDescent="0.2">
      <c r="A109" s="4" t="s">
        <v>111</v>
      </c>
      <c r="B109" s="68">
        <v>48.3</v>
      </c>
      <c r="C109" s="68">
        <v>38</v>
      </c>
      <c r="D109" s="68">
        <v>38.799999999999997</v>
      </c>
      <c r="E109" s="68">
        <v>19.3</v>
      </c>
      <c r="F109" s="68">
        <v>18.5</v>
      </c>
    </row>
    <row r="110" spans="1:6" x14ac:dyDescent="0.2">
      <c r="A110" s="9" t="s">
        <v>112</v>
      </c>
      <c r="B110" s="71">
        <v>48.3</v>
      </c>
      <c r="C110" s="71">
        <v>38</v>
      </c>
      <c r="D110" s="71">
        <v>38.799999999999997</v>
      </c>
      <c r="E110" s="71">
        <v>19.3</v>
      </c>
      <c r="F110" s="71">
        <v>18.5</v>
      </c>
    </row>
    <row r="111" spans="1:6" x14ac:dyDescent="0.2">
      <c r="A111" s="4"/>
      <c r="B111" s="10"/>
      <c r="C111" s="10"/>
      <c r="D111" s="10"/>
      <c r="E111" s="10"/>
      <c r="F111" s="10"/>
    </row>
    <row r="112" spans="1:6" x14ac:dyDescent="0.2">
      <c r="A112" s="10"/>
    </row>
    <row r="113" spans="1:1" x14ac:dyDescent="0.2">
      <c r="A113" t="s">
        <v>113</v>
      </c>
    </row>
    <row r="114" spans="1:1" x14ac:dyDescent="0.2">
      <c r="A114" s="15" t="s">
        <v>14</v>
      </c>
    </row>
  </sheetData>
  <phoneticPr fontId="0" type="noConversion"/>
  <pageMargins left="0.2" right="0.2" top="0.5" bottom="0.5" header="0.5" footer="0.5"/>
  <pageSetup fitToWidth="0" fitToHeight="0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EE96-B6E2-4539-B44D-1C10B82D0EEE}">
  <sheetPr>
    <outlinePr summaryBelow="0" summaryRight="0"/>
    <pageSetUpPr autoPageBreaks="0"/>
  </sheetPr>
  <dimension ref="A5:IT100"/>
  <sheetViews>
    <sheetView zoomScale="117" workbookViewId="0">
      <selection activeCell="B18" sqref="B18:F93"/>
    </sheetView>
  </sheetViews>
  <sheetFormatPr defaultRowHeight="11.25" x14ac:dyDescent="0.2"/>
  <cols>
    <col min="1" max="1" width="124.42578125" bestFit="1" customWidth="1"/>
    <col min="2" max="6" width="14.7109375" customWidth="1"/>
  </cols>
  <sheetData>
    <row r="5" spans="1:254" ht="15.75" x14ac:dyDescent="0.2">
      <c r="A5" s="1" t="s">
        <v>114</v>
      </c>
    </row>
    <row r="7" spans="1:254" x14ac:dyDescent="0.2">
      <c r="A7" s="2" t="s">
        <v>115</v>
      </c>
      <c r="B7" t="s">
        <v>18</v>
      </c>
      <c r="C7" s="4" t="s">
        <v>0</v>
      </c>
      <c r="D7" s="3" t="s">
        <v>116</v>
      </c>
      <c r="E7" t="s">
        <v>20</v>
      </c>
    </row>
    <row r="8" spans="1:254" x14ac:dyDescent="0.2">
      <c r="A8" s="4"/>
      <c r="B8" t="s">
        <v>22</v>
      </c>
      <c r="C8" s="4" t="s">
        <v>0</v>
      </c>
      <c r="D8" s="3" t="s">
        <v>117</v>
      </c>
      <c r="E8" t="s">
        <v>2</v>
      </c>
    </row>
    <row r="9" spans="1:254" x14ac:dyDescent="0.2">
      <c r="A9" s="4"/>
      <c r="B9" t="s">
        <v>25</v>
      </c>
      <c r="C9" s="4" t="s">
        <v>0</v>
      </c>
      <c r="D9" s="3" t="s">
        <v>118</v>
      </c>
      <c r="E9" t="s">
        <v>1</v>
      </c>
    </row>
    <row r="10" spans="1:254" x14ac:dyDescent="0.2">
      <c r="A10" s="4"/>
      <c r="B10" t="s">
        <v>3</v>
      </c>
      <c r="C10" s="4" t="s">
        <v>0</v>
      </c>
      <c r="D10" s="3" t="s">
        <v>119</v>
      </c>
      <c r="E10" s="5" t="s">
        <v>4</v>
      </c>
    </row>
    <row r="11" spans="1:254" x14ac:dyDescent="0.2">
      <c r="A11" s="4"/>
      <c r="B11" t="s">
        <v>30</v>
      </c>
      <c r="C11" s="4" t="s">
        <v>0</v>
      </c>
      <c r="D11" s="16"/>
      <c r="E11" s="16"/>
    </row>
    <row r="14" spans="1:254" x14ac:dyDescent="0.2">
      <c r="A14" s="6" t="s">
        <v>120</v>
      </c>
      <c r="B14" s="6"/>
      <c r="C14" s="6"/>
      <c r="D14" s="6"/>
      <c r="E14" s="6"/>
      <c r="F14" s="6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22.5" x14ac:dyDescent="0.2">
      <c r="A15" s="7" t="s">
        <v>121</v>
      </c>
      <c r="B15" s="18">
        <v>45381</v>
      </c>
      <c r="C15" s="11" t="s">
        <v>123</v>
      </c>
      <c r="D15" s="18">
        <v>44653</v>
      </c>
      <c r="E15" s="18">
        <v>44289</v>
      </c>
      <c r="F15" s="11" t="s">
        <v>122</v>
      </c>
    </row>
    <row r="16" spans="1:254" x14ac:dyDescent="0.2">
      <c r="A16" s="8" t="s">
        <v>6</v>
      </c>
      <c r="B16" s="12" t="s">
        <v>7</v>
      </c>
      <c r="C16" s="12" t="s">
        <v>7</v>
      </c>
      <c r="D16" s="12" t="s">
        <v>7</v>
      </c>
      <c r="E16" s="12" t="s">
        <v>7</v>
      </c>
      <c r="F16" s="12" t="s">
        <v>7</v>
      </c>
    </row>
    <row r="17" spans="1:6" x14ac:dyDescent="0.2">
      <c r="A17" s="9" t="s">
        <v>124</v>
      </c>
      <c r="B17" s="4"/>
      <c r="C17" s="4"/>
      <c r="D17" s="4"/>
      <c r="E17" s="4"/>
      <c r="F17" s="4"/>
    </row>
    <row r="18" spans="1:6" x14ac:dyDescent="0.2">
      <c r="A18" s="4" t="s">
        <v>125</v>
      </c>
      <c r="B18" s="68">
        <v>1022.4</v>
      </c>
      <c r="C18" s="68">
        <v>1067.9000000000001</v>
      </c>
      <c r="D18" s="68">
        <v>1197.9000000000001</v>
      </c>
      <c r="E18" s="68">
        <v>674.4</v>
      </c>
      <c r="F18" s="68">
        <v>254.2</v>
      </c>
    </row>
    <row r="19" spans="1:6" x14ac:dyDescent="0.2">
      <c r="A19" s="4" t="s">
        <v>126</v>
      </c>
      <c r="B19" s="68">
        <v>7.6</v>
      </c>
      <c r="C19" s="68">
        <v>7.4</v>
      </c>
      <c r="D19" s="68">
        <v>8.8000000000000007</v>
      </c>
      <c r="E19" s="68">
        <v>9.1999999999999993</v>
      </c>
      <c r="F19" s="68">
        <v>5.9</v>
      </c>
    </row>
    <row r="20" spans="1:6" x14ac:dyDescent="0.2">
      <c r="A20" s="9" t="s">
        <v>127</v>
      </c>
      <c r="B20" s="69">
        <v>1030</v>
      </c>
      <c r="C20" s="69">
        <v>1075.3</v>
      </c>
      <c r="D20" s="69">
        <v>1206.7</v>
      </c>
      <c r="E20" s="69">
        <v>683.6</v>
      </c>
      <c r="F20" s="69">
        <v>260.10000000000002</v>
      </c>
    </row>
    <row r="21" spans="1:6" x14ac:dyDescent="0.2">
      <c r="A21" s="4"/>
      <c r="B21" s="70"/>
      <c r="C21" s="70"/>
      <c r="D21" s="70"/>
      <c r="E21" s="70"/>
      <c r="F21" s="70"/>
    </row>
    <row r="22" spans="1:6" x14ac:dyDescent="0.2">
      <c r="A22" s="4" t="s">
        <v>128</v>
      </c>
      <c r="B22" s="68">
        <v>136.9</v>
      </c>
      <c r="C22" s="68">
        <v>123.8</v>
      </c>
      <c r="D22" s="68">
        <v>99</v>
      </c>
      <c r="E22" s="68">
        <v>106.1</v>
      </c>
      <c r="F22" s="68">
        <v>146.9</v>
      </c>
    </row>
    <row r="23" spans="1:6" x14ac:dyDescent="0.2">
      <c r="A23" s="4" t="s">
        <v>129</v>
      </c>
      <c r="B23" s="68">
        <v>89</v>
      </c>
      <c r="C23" s="68">
        <v>66.3</v>
      </c>
      <c r="D23" s="68">
        <v>41.3</v>
      </c>
      <c r="E23" s="68">
        <v>85</v>
      </c>
      <c r="F23" s="68">
        <v>85.6</v>
      </c>
    </row>
    <row r="24" spans="1:6" x14ac:dyDescent="0.2">
      <c r="A24" s="9" t="s">
        <v>130</v>
      </c>
      <c r="B24" s="69">
        <v>225.9</v>
      </c>
      <c r="C24" s="69">
        <v>190.1</v>
      </c>
      <c r="D24" s="69">
        <v>140.30000000000001</v>
      </c>
      <c r="E24" s="69">
        <v>191.1</v>
      </c>
      <c r="F24" s="69">
        <v>232.5</v>
      </c>
    </row>
    <row r="25" spans="1:6" x14ac:dyDescent="0.2">
      <c r="A25" s="4"/>
      <c r="B25" s="70"/>
      <c r="C25" s="70"/>
      <c r="D25" s="70"/>
      <c r="E25" s="70"/>
      <c r="F25" s="70"/>
    </row>
    <row r="26" spans="1:6" x14ac:dyDescent="0.2">
      <c r="A26" s="4" t="s">
        <v>131</v>
      </c>
      <c r="B26" s="68">
        <v>776.9</v>
      </c>
      <c r="C26" s="68">
        <v>764.4</v>
      </c>
      <c r="D26" s="68">
        <v>706.1</v>
      </c>
      <c r="E26" s="68">
        <v>624.6</v>
      </c>
      <c r="F26" s="68">
        <v>564.1</v>
      </c>
    </row>
    <row r="27" spans="1:6" x14ac:dyDescent="0.2">
      <c r="A27" s="4" t="s">
        <v>132</v>
      </c>
      <c r="B27" s="68">
        <v>109</v>
      </c>
      <c r="C27" s="68">
        <v>97</v>
      </c>
      <c r="D27" s="68">
        <v>76.8</v>
      </c>
      <c r="E27" s="68">
        <v>53.9</v>
      </c>
      <c r="F27" s="68">
        <v>84.8</v>
      </c>
    </row>
    <row r="28" spans="1:6" x14ac:dyDescent="0.2">
      <c r="A28" s="4" t="s">
        <v>133</v>
      </c>
      <c r="B28" s="68">
        <v>11.5</v>
      </c>
      <c r="C28" s="68">
        <v>28.2</v>
      </c>
      <c r="D28" s="68">
        <v>52.4</v>
      </c>
      <c r="E28" s="68">
        <v>42</v>
      </c>
      <c r="F28" s="68">
        <v>79.3</v>
      </c>
    </row>
    <row r="29" spans="1:6" x14ac:dyDescent="0.2">
      <c r="A29" s="9" t="s">
        <v>134</v>
      </c>
      <c r="B29" s="69">
        <v>2153.3000000000002</v>
      </c>
      <c r="C29" s="69">
        <v>2155</v>
      </c>
      <c r="D29" s="69">
        <v>2182.3000000000002</v>
      </c>
      <c r="E29" s="69">
        <v>1595.2</v>
      </c>
      <c r="F29" s="69">
        <v>1220.8</v>
      </c>
    </row>
    <row r="30" spans="1:6" x14ac:dyDescent="0.2">
      <c r="A30" s="4"/>
      <c r="B30" s="70"/>
      <c r="C30" s="70"/>
      <c r="D30" s="70"/>
      <c r="E30" s="70"/>
      <c r="F30" s="70"/>
    </row>
    <row r="31" spans="1:6" x14ac:dyDescent="0.2">
      <c r="A31" s="4" t="s">
        <v>135</v>
      </c>
      <c r="B31" s="68">
        <v>10140.299999999999</v>
      </c>
      <c r="C31" s="68">
        <v>10060.299999999999</v>
      </c>
      <c r="D31" s="68">
        <v>9597.5</v>
      </c>
      <c r="E31" s="68">
        <v>9823.6</v>
      </c>
      <c r="F31" s="68">
        <v>10112.9</v>
      </c>
    </row>
    <row r="32" spans="1:6" x14ac:dyDescent="0.2">
      <c r="A32" s="4" t="s">
        <v>136</v>
      </c>
      <c r="B32" s="68">
        <v>-4950.2</v>
      </c>
      <c r="C32" s="68">
        <v>-4856.6000000000004</v>
      </c>
      <c r="D32" s="68">
        <v>-4695.2</v>
      </c>
      <c r="E32" s="68">
        <v>-4765</v>
      </c>
      <c r="F32" s="68">
        <v>-4618.7</v>
      </c>
    </row>
    <row r="33" spans="1:6" x14ac:dyDescent="0.2">
      <c r="A33" s="9" t="s">
        <v>137</v>
      </c>
      <c r="B33" s="69">
        <f>SUM(B31:B32)</f>
        <v>5190.0999999999995</v>
      </c>
      <c r="C33" s="69">
        <v>5203.7</v>
      </c>
      <c r="D33" s="69">
        <v>4902.3</v>
      </c>
      <c r="E33" s="69">
        <v>5058.6000000000004</v>
      </c>
      <c r="F33" s="69">
        <v>5494.2</v>
      </c>
    </row>
    <row r="34" spans="1:6" x14ac:dyDescent="0.2">
      <c r="A34" s="4"/>
      <c r="B34" s="70"/>
      <c r="C34" s="70"/>
      <c r="D34" s="70"/>
      <c r="E34" s="70"/>
      <c r="F34" s="70"/>
    </row>
    <row r="35" spans="1:6" x14ac:dyDescent="0.2">
      <c r="A35" s="4" t="s">
        <v>138</v>
      </c>
      <c r="B35" s="68">
        <v>696.8</v>
      </c>
      <c r="C35" s="68">
        <v>775.8</v>
      </c>
      <c r="D35" s="68">
        <v>815.4</v>
      </c>
      <c r="E35" s="68">
        <v>835.5</v>
      </c>
      <c r="F35" s="68">
        <v>788.5</v>
      </c>
    </row>
    <row r="36" spans="1:6" x14ac:dyDescent="0.2">
      <c r="A36" s="4" t="s">
        <v>139</v>
      </c>
      <c r="B36" s="68">
        <v>28.4</v>
      </c>
      <c r="C36" s="68">
        <v>28.4</v>
      </c>
      <c r="D36" s="68">
        <v>28.6</v>
      </c>
      <c r="E36" s="68">
        <v>23.7</v>
      </c>
      <c r="F36" s="68">
        <v>64</v>
      </c>
    </row>
    <row r="37" spans="1:6" x14ac:dyDescent="0.2">
      <c r="A37" s="4" t="s">
        <v>140</v>
      </c>
      <c r="B37" s="68">
        <v>151.1</v>
      </c>
      <c r="C37" s="68">
        <v>134.69999999999999</v>
      </c>
      <c r="D37" s="68">
        <v>163.9</v>
      </c>
      <c r="E37" s="68">
        <v>208.3</v>
      </c>
      <c r="F37" s="68">
        <v>335.1</v>
      </c>
    </row>
    <row r="38" spans="1:6" x14ac:dyDescent="0.2">
      <c r="A38" s="4" t="s">
        <v>141</v>
      </c>
      <c r="B38" s="68">
        <v>62</v>
      </c>
      <c r="C38" s="68">
        <v>64.599999999999994</v>
      </c>
      <c r="D38" s="68">
        <v>74.8</v>
      </c>
      <c r="E38" s="68">
        <v>62.9</v>
      </c>
      <c r="F38" s="68">
        <v>69.400000000000006</v>
      </c>
    </row>
    <row r="39" spans="1:6" x14ac:dyDescent="0.2">
      <c r="A39" s="4" t="s">
        <v>142</v>
      </c>
      <c r="B39" s="68">
        <v>92.2</v>
      </c>
      <c r="C39" s="68">
        <v>30</v>
      </c>
      <c r="D39" s="68" t="s">
        <v>8</v>
      </c>
      <c r="E39" s="68" t="s">
        <v>8</v>
      </c>
      <c r="F39" s="68" t="s">
        <v>8</v>
      </c>
    </row>
    <row r="40" spans="1:6" x14ac:dyDescent="0.2">
      <c r="A40" s="4" t="s">
        <v>143</v>
      </c>
      <c r="B40" s="68">
        <v>11.7</v>
      </c>
      <c r="C40" s="68">
        <v>7.6</v>
      </c>
      <c r="D40" s="68" t="s">
        <v>8</v>
      </c>
      <c r="E40" s="68" t="s">
        <v>8</v>
      </c>
      <c r="F40" s="68" t="s">
        <v>8</v>
      </c>
    </row>
    <row r="41" spans="1:6" x14ac:dyDescent="0.2">
      <c r="A41" s="4" t="s">
        <v>144</v>
      </c>
      <c r="B41" s="68">
        <v>296.60000000000002</v>
      </c>
      <c r="C41" s="68">
        <v>698</v>
      </c>
      <c r="D41" s="68">
        <v>1276.0999999999999</v>
      </c>
      <c r="E41" s="68">
        <v>853.2</v>
      </c>
      <c r="F41" s="68">
        <v>2217.6999999999998</v>
      </c>
    </row>
    <row r="42" spans="1:6" x14ac:dyDescent="0.2">
      <c r="A42" s="9" t="s">
        <v>145</v>
      </c>
      <c r="B42" s="72">
        <v>8682.2000000000007</v>
      </c>
      <c r="C42" s="72">
        <v>9097.7999999999993</v>
      </c>
      <c r="D42" s="72">
        <v>9443.4</v>
      </c>
      <c r="E42" s="72">
        <v>8637.4</v>
      </c>
      <c r="F42" s="72">
        <v>10189.700000000001</v>
      </c>
    </row>
    <row r="43" spans="1:6" x14ac:dyDescent="0.2">
      <c r="A43" s="4"/>
      <c r="B43" s="70"/>
      <c r="C43" s="70"/>
      <c r="D43" s="70"/>
      <c r="E43" s="70"/>
      <c r="F43" s="70"/>
    </row>
    <row r="44" spans="1:6" x14ac:dyDescent="0.2">
      <c r="A44" s="9" t="s">
        <v>146</v>
      </c>
      <c r="B44" s="70"/>
      <c r="C44" s="70"/>
      <c r="D44" s="70"/>
      <c r="E44" s="70"/>
      <c r="F44" s="70"/>
    </row>
    <row r="45" spans="1:6" x14ac:dyDescent="0.2">
      <c r="A45" s="4" t="s">
        <v>147</v>
      </c>
      <c r="B45" s="68">
        <v>762.3</v>
      </c>
      <c r="C45" s="68">
        <v>801.7</v>
      </c>
      <c r="D45" s="68">
        <v>1066.7</v>
      </c>
      <c r="E45" s="68">
        <v>863.5</v>
      </c>
      <c r="F45" s="68">
        <v>837</v>
      </c>
    </row>
    <row r="46" spans="1:6" x14ac:dyDescent="0.2">
      <c r="A46" s="4" t="s">
        <v>148</v>
      </c>
      <c r="B46" s="68">
        <v>817.8</v>
      </c>
      <c r="C46" s="68">
        <v>712.8</v>
      </c>
      <c r="D46" s="68">
        <v>726.2</v>
      </c>
      <c r="E46" s="68">
        <v>579.20000000000005</v>
      </c>
      <c r="F46" s="68">
        <v>515.6</v>
      </c>
    </row>
    <row r="47" spans="1:6" x14ac:dyDescent="0.2">
      <c r="A47" s="4" t="s">
        <v>149</v>
      </c>
      <c r="B47" s="68">
        <v>30.1</v>
      </c>
      <c r="C47" s="68">
        <v>227.3</v>
      </c>
      <c r="D47" s="68">
        <v>47</v>
      </c>
      <c r="E47" s="68">
        <v>213.4</v>
      </c>
      <c r="F47" s="68">
        <v>50.6</v>
      </c>
    </row>
    <row r="48" spans="1:6" x14ac:dyDescent="0.2">
      <c r="A48" s="4" t="s">
        <v>150</v>
      </c>
      <c r="B48" s="68">
        <v>220.3</v>
      </c>
      <c r="C48" s="68">
        <v>216.7</v>
      </c>
      <c r="D48" s="68">
        <v>200.2</v>
      </c>
      <c r="E48" s="68">
        <v>219.4</v>
      </c>
      <c r="F48" s="68">
        <v>197.2</v>
      </c>
    </row>
    <row r="49" spans="1:6" x14ac:dyDescent="0.2">
      <c r="A49" s="4" t="s">
        <v>151</v>
      </c>
      <c r="B49" s="68">
        <v>1.5</v>
      </c>
      <c r="C49" s="68">
        <v>38.5</v>
      </c>
      <c r="D49" s="68">
        <v>34</v>
      </c>
      <c r="E49" s="68" t="s">
        <v>8</v>
      </c>
      <c r="F49" s="68" t="s">
        <v>8</v>
      </c>
    </row>
    <row r="50" spans="1:6" x14ac:dyDescent="0.2">
      <c r="A50" s="4" t="s">
        <v>152</v>
      </c>
      <c r="B50" s="68">
        <v>253.1</v>
      </c>
      <c r="C50" s="68">
        <v>236.5</v>
      </c>
      <c r="D50" s="68">
        <v>239.9</v>
      </c>
      <c r="E50" s="68">
        <v>247.6</v>
      </c>
      <c r="F50" s="68">
        <v>220.3</v>
      </c>
    </row>
    <row r="51" spans="1:6" x14ac:dyDescent="0.2">
      <c r="A51" s="4" t="s">
        <v>153</v>
      </c>
      <c r="B51" s="68">
        <v>431.1</v>
      </c>
      <c r="C51" s="68">
        <v>472.9</v>
      </c>
      <c r="D51" s="68">
        <v>56.8</v>
      </c>
      <c r="E51" s="68">
        <v>172.7</v>
      </c>
      <c r="F51" s="68">
        <v>34.5</v>
      </c>
    </row>
    <row r="52" spans="1:6" x14ac:dyDescent="0.2">
      <c r="A52" s="9" t="s">
        <v>154</v>
      </c>
      <c r="B52" s="69">
        <v>2516.1999999999998</v>
      </c>
      <c r="C52" s="69">
        <v>2706.4</v>
      </c>
      <c r="D52" s="69">
        <v>2370.8000000000002</v>
      </c>
      <c r="E52" s="69">
        <v>2295.8000000000002</v>
      </c>
      <c r="F52" s="69">
        <v>1855.2</v>
      </c>
    </row>
    <row r="53" spans="1:6" x14ac:dyDescent="0.2">
      <c r="A53" s="4"/>
      <c r="B53" s="70"/>
      <c r="C53" s="70"/>
      <c r="D53" s="70"/>
      <c r="E53" s="70"/>
      <c r="F53" s="70"/>
    </row>
    <row r="54" spans="1:6" x14ac:dyDescent="0.2">
      <c r="A54" s="4" t="s">
        <v>155</v>
      </c>
      <c r="B54" s="68">
        <v>891.6</v>
      </c>
      <c r="C54" s="68">
        <v>1119.0999999999999</v>
      </c>
      <c r="D54" s="68">
        <v>1482.5</v>
      </c>
      <c r="E54" s="68">
        <v>1473.4</v>
      </c>
      <c r="F54" s="68">
        <v>1501.1</v>
      </c>
    </row>
    <row r="55" spans="1:6" x14ac:dyDescent="0.2">
      <c r="A55" s="4" t="s">
        <v>156</v>
      </c>
      <c r="B55" s="68">
        <v>1991.2</v>
      </c>
      <c r="C55" s="68">
        <v>2064.9</v>
      </c>
      <c r="D55" s="68">
        <v>2078.5</v>
      </c>
      <c r="E55" s="68">
        <v>2186.5</v>
      </c>
      <c r="F55" s="68">
        <v>2364.8000000000002</v>
      </c>
    </row>
    <row r="56" spans="1:6" x14ac:dyDescent="0.2">
      <c r="A56" s="4" t="s">
        <v>157</v>
      </c>
      <c r="B56" s="68">
        <v>13.1</v>
      </c>
      <c r="C56" s="68">
        <v>14.7</v>
      </c>
      <c r="D56" s="68">
        <v>13.8</v>
      </c>
      <c r="E56" s="68">
        <v>13.1</v>
      </c>
      <c r="F56" s="68">
        <v>16</v>
      </c>
    </row>
    <row r="57" spans="1:6" x14ac:dyDescent="0.2">
      <c r="A57" s="4" t="s">
        <v>158</v>
      </c>
      <c r="B57" s="68">
        <v>4.5999999999999996</v>
      </c>
      <c r="C57" s="68">
        <v>56.4</v>
      </c>
      <c r="D57" s="68">
        <v>126.1</v>
      </c>
      <c r="E57" s="68">
        <v>76.400000000000006</v>
      </c>
      <c r="F57" s="68">
        <v>147.9</v>
      </c>
    </row>
    <row r="58" spans="1:6" x14ac:dyDescent="0.2">
      <c r="A58" s="4" t="s">
        <v>159</v>
      </c>
      <c r="B58" s="68">
        <v>205.8</v>
      </c>
      <c r="C58" s="68">
        <v>206.4</v>
      </c>
      <c r="D58" s="68">
        <v>187.2</v>
      </c>
      <c r="E58" s="68">
        <v>42.3</v>
      </c>
      <c r="F58" s="68">
        <v>332.4</v>
      </c>
    </row>
    <row r="59" spans="1:6" x14ac:dyDescent="0.2">
      <c r="A59" s="4" t="s">
        <v>160</v>
      </c>
      <c r="B59" s="68">
        <v>229.6</v>
      </c>
      <c r="C59" s="68">
        <v>249.1</v>
      </c>
      <c r="D59" s="68">
        <v>266.60000000000002</v>
      </c>
      <c r="E59" s="68">
        <v>264.10000000000002</v>
      </c>
      <c r="F59" s="68">
        <v>263.8</v>
      </c>
    </row>
    <row r="60" spans="1:6" x14ac:dyDescent="0.2">
      <c r="A60" s="9" t="s">
        <v>161</v>
      </c>
      <c r="B60" s="69">
        <v>5852.1</v>
      </c>
      <c r="C60" s="69">
        <v>6417</v>
      </c>
      <c r="D60" s="69">
        <v>6525.5</v>
      </c>
      <c r="E60" s="69">
        <v>6351.6</v>
      </c>
      <c r="F60" s="69">
        <v>6481.2</v>
      </c>
    </row>
    <row r="61" spans="1:6" x14ac:dyDescent="0.2">
      <c r="A61" s="4"/>
      <c r="B61" s="70"/>
      <c r="C61" s="70"/>
      <c r="D61" s="70"/>
      <c r="E61" s="70"/>
      <c r="F61" s="70"/>
    </row>
    <row r="62" spans="1:6" x14ac:dyDescent="0.2">
      <c r="A62" s="4" t="s">
        <v>162</v>
      </c>
      <c r="B62" s="68">
        <v>20.5</v>
      </c>
      <c r="C62" s="68">
        <v>19.8</v>
      </c>
      <c r="D62" s="68">
        <v>19.7</v>
      </c>
      <c r="E62" s="68">
        <v>489.2</v>
      </c>
      <c r="F62" s="68">
        <v>487.6</v>
      </c>
    </row>
    <row r="63" spans="1:6" x14ac:dyDescent="0.2">
      <c r="A63" s="4" t="s">
        <v>163</v>
      </c>
      <c r="B63" s="68">
        <v>967</v>
      </c>
      <c r="C63" s="68">
        <v>910.7</v>
      </c>
      <c r="D63" s="68">
        <v>910.6</v>
      </c>
      <c r="E63" s="68">
        <v>910.4</v>
      </c>
      <c r="F63" s="68">
        <v>910.4</v>
      </c>
    </row>
    <row r="64" spans="1:6" x14ac:dyDescent="0.2">
      <c r="A64" s="4" t="s">
        <v>164</v>
      </c>
      <c r="B64" s="68">
        <v>5789.6</v>
      </c>
      <c r="C64" s="68">
        <v>5705</v>
      </c>
      <c r="D64" s="68">
        <v>5897.9</v>
      </c>
      <c r="E64" s="68">
        <v>5325.2</v>
      </c>
      <c r="F64" s="68">
        <v>6597.8</v>
      </c>
    </row>
    <row r="65" spans="1:6" x14ac:dyDescent="0.2">
      <c r="A65" s="4" t="s">
        <v>165</v>
      </c>
      <c r="B65" s="68" t="s">
        <v>8</v>
      </c>
      <c r="C65" s="68" t="s">
        <v>8</v>
      </c>
      <c r="D65" s="68" t="s">
        <v>8</v>
      </c>
      <c r="E65" s="68" t="s">
        <v>8</v>
      </c>
      <c r="F65" s="68" t="s">
        <v>8</v>
      </c>
    </row>
    <row r="66" spans="1:6" x14ac:dyDescent="0.2">
      <c r="A66" s="4" t="s">
        <v>166</v>
      </c>
      <c r="B66" s="68">
        <v>-3945.9</v>
      </c>
      <c r="C66" s="68">
        <v>-3959.1</v>
      </c>
      <c r="D66" s="68">
        <v>-3914.5</v>
      </c>
      <c r="E66" s="68">
        <v>-4441.8</v>
      </c>
      <c r="F66" s="68">
        <v>-4293.3</v>
      </c>
    </row>
    <row r="67" spans="1:6" x14ac:dyDescent="0.2">
      <c r="A67" s="9" t="s">
        <v>167</v>
      </c>
      <c r="B67" s="69">
        <v>2831.2</v>
      </c>
      <c r="C67" s="69">
        <v>2676.4</v>
      </c>
      <c r="D67" s="69">
        <v>2913.7</v>
      </c>
      <c r="E67" s="69">
        <v>2283</v>
      </c>
      <c r="F67" s="69">
        <v>3702.5</v>
      </c>
    </row>
    <row r="68" spans="1:6" x14ac:dyDescent="0.2">
      <c r="A68" s="4"/>
      <c r="B68" s="70"/>
      <c r="C68" s="70"/>
      <c r="D68" s="70"/>
      <c r="E68" s="70"/>
      <c r="F68" s="70"/>
    </row>
    <row r="69" spans="1:6" x14ac:dyDescent="0.2">
      <c r="A69" s="4" t="s">
        <v>168</v>
      </c>
      <c r="B69" s="68">
        <v>-1.1000000000000001</v>
      </c>
      <c r="C69" s="68">
        <v>4.4000000000000004</v>
      </c>
      <c r="D69" s="68">
        <v>4.2</v>
      </c>
      <c r="E69" s="68">
        <v>2.8</v>
      </c>
      <c r="F69" s="68">
        <v>6</v>
      </c>
    </row>
    <row r="70" spans="1:6" x14ac:dyDescent="0.2">
      <c r="A70" s="4"/>
      <c r="B70" s="70"/>
      <c r="C70" s="70"/>
      <c r="D70" s="70"/>
      <c r="E70" s="70"/>
      <c r="F70" s="70"/>
    </row>
    <row r="71" spans="1:6" x14ac:dyDescent="0.2">
      <c r="A71" s="9" t="s">
        <v>169</v>
      </c>
      <c r="B71" s="74">
        <v>2830.1</v>
      </c>
      <c r="C71" s="74">
        <v>2680.8</v>
      </c>
      <c r="D71" s="74">
        <v>2917.9</v>
      </c>
      <c r="E71" s="74">
        <v>2285.8000000000002</v>
      </c>
      <c r="F71" s="74">
        <v>3708.5</v>
      </c>
    </row>
    <row r="72" spans="1:6" x14ac:dyDescent="0.2">
      <c r="A72" s="4"/>
      <c r="B72" s="70"/>
      <c r="C72" s="70"/>
      <c r="D72" s="70"/>
      <c r="E72" s="70"/>
      <c r="F72" s="70"/>
    </row>
    <row r="73" spans="1:6" x14ac:dyDescent="0.2">
      <c r="A73" s="9" t="s">
        <v>170</v>
      </c>
      <c r="B73" s="75">
        <v>8682.2000000000007</v>
      </c>
      <c r="C73" s="75">
        <v>9097.7999999999993</v>
      </c>
      <c r="D73" s="75">
        <v>9443.4</v>
      </c>
      <c r="E73" s="75">
        <v>8637.4</v>
      </c>
      <c r="F73" s="75">
        <v>10189.700000000001</v>
      </c>
    </row>
    <row r="74" spans="1:6" x14ac:dyDescent="0.2">
      <c r="A74" s="4"/>
      <c r="B74" s="70"/>
      <c r="C74" s="70"/>
      <c r="D74" s="70"/>
      <c r="E74" s="70"/>
      <c r="F74" s="70"/>
    </row>
    <row r="75" spans="1:6" x14ac:dyDescent="0.2">
      <c r="A75" s="9" t="s">
        <v>84</v>
      </c>
      <c r="B75" s="70"/>
      <c r="C75" s="70"/>
      <c r="D75" s="70"/>
      <c r="E75" s="70"/>
      <c r="F75" s="70"/>
    </row>
    <row r="76" spans="1:6" x14ac:dyDescent="0.2">
      <c r="A76" s="4" t="s">
        <v>171</v>
      </c>
      <c r="B76" s="68">
        <v>2015.0779889999999</v>
      </c>
      <c r="C76" s="68">
        <v>1965.099817</v>
      </c>
      <c r="D76" s="68">
        <v>1958.699807</v>
      </c>
      <c r="E76" s="68">
        <v>1956.000477</v>
      </c>
      <c r="F76" s="68">
        <v>1948.501812</v>
      </c>
    </row>
    <row r="77" spans="1:6" x14ac:dyDescent="0.2">
      <c r="A77" s="4" t="s">
        <v>172</v>
      </c>
      <c r="B77" s="68">
        <v>2008.51531</v>
      </c>
      <c r="C77" s="68">
        <v>1964.7678739999999</v>
      </c>
      <c r="D77" s="68">
        <v>1958.6405649999999</v>
      </c>
      <c r="E77" s="68">
        <v>1955.9864749999999</v>
      </c>
      <c r="F77" s="68">
        <v>1948.501812</v>
      </c>
    </row>
    <row r="78" spans="1:6" x14ac:dyDescent="0.2">
      <c r="A78" s="4" t="s">
        <v>173</v>
      </c>
      <c r="B78" s="68">
        <v>1.4095979999999999</v>
      </c>
      <c r="C78" s="68">
        <v>1.362196</v>
      </c>
      <c r="D78" s="68">
        <v>1.4876130000000001</v>
      </c>
      <c r="E78" s="68">
        <v>1.1671849999999999</v>
      </c>
      <c r="F78" s="68">
        <v>1.900177</v>
      </c>
    </row>
    <row r="79" spans="1:6" x14ac:dyDescent="0.2">
      <c r="A79" s="4" t="s">
        <v>174</v>
      </c>
      <c r="B79" s="68">
        <v>2651.7</v>
      </c>
      <c r="C79" s="68">
        <v>2513.3000000000002</v>
      </c>
      <c r="D79" s="68">
        <v>2721.2</v>
      </c>
      <c r="E79" s="68">
        <v>2051</v>
      </c>
      <c r="F79" s="68">
        <v>3303.4</v>
      </c>
    </row>
    <row r="80" spans="1:6" x14ac:dyDescent="0.2">
      <c r="A80" s="4" t="s">
        <v>175</v>
      </c>
      <c r="B80" s="68">
        <v>1.320228</v>
      </c>
      <c r="C80" s="68">
        <v>1.2791840000000001</v>
      </c>
      <c r="D80" s="68">
        <v>1.38933</v>
      </c>
      <c r="E80" s="68">
        <v>1.048575</v>
      </c>
      <c r="F80" s="68">
        <v>1.6953530000000001</v>
      </c>
    </row>
    <row r="81" spans="1:6" x14ac:dyDescent="0.2">
      <c r="A81" s="4" t="s">
        <v>176</v>
      </c>
      <c r="B81" s="68">
        <v>3133.2</v>
      </c>
      <c r="C81" s="68">
        <v>3628</v>
      </c>
      <c r="D81" s="68">
        <v>3808.2</v>
      </c>
      <c r="E81" s="68">
        <v>4092.7</v>
      </c>
      <c r="F81" s="68">
        <v>4113.7</v>
      </c>
    </row>
    <row r="82" spans="1:6" x14ac:dyDescent="0.2">
      <c r="A82" s="4" t="s">
        <v>177</v>
      </c>
      <c r="B82" s="68">
        <v>2103.1999999999998</v>
      </c>
      <c r="C82" s="68">
        <v>2552.6999999999998</v>
      </c>
      <c r="D82" s="68">
        <v>2601.5</v>
      </c>
      <c r="E82" s="68">
        <v>3409.1</v>
      </c>
      <c r="F82" s="68">
        <v>3853.6</v>
      </c>
    </row>
    <row r="83" spans="1:6" x14ac:dyDescent="0.2">
      <c r="A83" s="4" t="s">
        <v>178</v>
      </c>
      <c r="B83" s="68">
        <v>-79.599999999999994</v>
      </c>
      <c r="C83" s="68">
        <v>-479.8</v>
      </c>
      <c r="D83" s="68">
        <v>-1041.3</v>
      </c>
      <c r="E83" s="68">
        <v>-635.4</v>
      </c>
      <c r="F83" s="68">
        <v>-1906.6</v>
      </c>
    </row>
    <row r="84" spans="1:6" x14ac:dyDescent="0.2">
      <c r="A84" s="4" t="s">
        <v>179</v>
      </c>
      <c r="B84" s="68">
        <v>3950.4</v>
      </c>
      <c r="C84" s="68">
        <v>3711.2</v>
      </c>
      <c r="D84" s="68">
        <v>2754.4</v>
      </c>
      <c r="E84" s="68">
        <v>1791.2</v>
      </c>
      <c r="F84" s="68">
        <v>2820</v>
      </c>
    </row>
    <row r="85" spans="1:6" x14ac:dyDescent="0.2">
      <c r="A85" s="4" t="s">
        <v>180</v>
      </c>
      <c r="B85" s="68">
        <v>-1.1000000000000001</v>
      </c>
      <c r="C85" s="68">
        <v>4.4000000000000004</v>
      </c>
      <c r="D85" s="68">
        <v>4.2</v>
      </c>
      <c r="E85" s="68">
        <v>2.8</v>
      </c>
      <c r="F85" s="68">
        <v>6</v>
      </c>
    </row>
    <row r="86" spans="1:6" x14ac:dyDescent="0.2">
      <c r="A86" s="4" t="s">
        <v>181</v>
      </c>
      <c r="B86" s="68">
        <v>684.2</v>
      </c>
      <c r="C86" s="68">
        <v>767.9</v>
      </c>
      <c r="D86" s="68">
        <v>810.9</v>
      </c>
      <c r="E86" s="68">
        <v>825.8</v>
      </c>
      <c r="F86" s="68">
        <v>760.4</v>
      </c>
    </row>
    <row r="87" spans="1:6" x14ac:dyDescent="0.2">
      <c r="A87" s="4" t="s">
        <v>182</v>
      </c>
      <c r="B87" s="68" t="s">
        <v>183</v>
      </c>
      <c r="C87" s="68" t="s">
        <v>183</v>
      </c>
      <c r="D87" s="68" t="s">
        <v>183</v>
      </c>
      <c r="E87" s="68" t="s">
        <v>183</v>
      </c>
      <c r="F87" s="68" t="s">
        <v>183</v>
      </c>
    </row>
    <row r="88" spans="1:6" x14ac:dyDescent="0.2">
      <c r="A88" s="4" t="s">
        <v>184</v>
      </c>
      <c r="B88" s="68" t="s">
        <v>81</v>
      </c>
      <c r="C88" s="68" t="s">
        <v>81</v>
      </c>
      <c r="D88" s="68" t="s">
        <v>81</v>
      </c>
      <c r="E88" s="68" t="s">
        <v>81</v>
      </c>
      <c r="F88" s="68">
        <v>768.9</v>
      </c>
    </row>
    <row r="89" spans="1:6" x14ac:dyDescent="0.2">
      <c r="A89" s="4" t="s">
        <v>185</v>
      </c>
      <c r="B89" s="68">
        <v>2852.7</v>
      </c>
      <c r="C89" s="68">
        <v>2911.4</v>
      </c>
      <c r="D89" s="68">
        <v>2764.8</v>
      </c>
      <c r="E89" s="68">
        <v>2809.9</v>
      </c>
      <c r="F89" s="68">
        <v>2887.5</v>
      </c>
    </row>
    <row r="90" spans="1:6" x14ac:dyDescent="0.2">
      <c r="A90" s="4" t="s">
        <v>186</v>
      </c>
      <c r="B90" s="68">
        <v>5709.5</v>
      </c>
      <c r="C90" s="68">
        <v>5532.3</v>
      </c>
      <c r="D90" s="68">
        <v>5275.7</v>
      </c>
      <c r="E90" s="68">
        <v>5450.2</v>
      </c>
      <c r="F90" s="68">
        <v>5457.1</v>
      </c>
    </row>
    <row r="91" spans="1:6" x14ac:dyDescent="0.2">
      <c r="A91" s="4" t="s">
        <v>187</v>
      </c>
      <c r="B91" s="68">
        <v>148.80000000000001</v>
      </c>
      <c r="C91" s="68">
        <v>160.6</v>
      </c>
      <c r="D91" s="68">
        <v>141.19999999999999</v>
      </c>
      <c r="E91" s="68">
        <v>67.5</v>
      </c>
      <c r="F91" s="68">
        <v>138</v>
      </c>
    </row>
    <row r="92" spans="1:6" x14ac:dyDescent="0.2">
      <c r="A92" s="4" t="s">
        <v>188</v>
      </c>
      <c r="B92" s="68">
        <v>64000</v>
      </c>
      <c r="C92" s="68">
        <v>64000</v>
      </c>
      <c r="D92" s="68">
        <v>65000</v>
      </c>
      <c r="E92" s="68">
        <v>69577</v>
      </c>
      <c r="F92" s="68">
        <v>75505</v>
      </c>
    </row>
    <row r="93" spans="1:6" x14ac:dyDescent="0.2">
      <c r="A93" s="4" t="s">
        <v>189</v>
      </c>
      <c r="B93" s="68">
        <v>1.3</v>
      </c>
      <c r="C93" s="68">
        <v>5.4</v>
      </c>
      <c r="D93" s="68">
        <v>4.8</v>
      </c>
      <c r="E93" s="68">
        <v>3.7</v>
      </c>
      <c r="F93" s="68">
        <v>4</v>
      </c>
    </row>
    <row r="94" spans="1:6" x14ac:dyDescent="0.2">
      <c r="A94" s="4" t="s">
        <v>95</v>
      </c>
      <c r="B94" s="17">
        <v>45446</v>
      </c>
      <c r="C94" s="17">
        <v>45446</v>
      </c>
      <c r="D94" s="17">
        <v>45083</v>
      </c>
      <c r="E94" s="17">
        <v>44719</v>
      </c>
      <c r="F94" s="17">
        <v>44349</v>
      </c>
    </row>
    <row r="95" spans="1:6" x14ac:dyDescent="0.2">
      <c r="A95" s="4" t="s">
        <v>96</v>
      </c>
      <c r="B95" s="13" t="s">
        <v>99</v>
      </c>
      <c r="C95" s="13" t="s">
        <v>190</v>
      </c>
      <c r="D95" s="13" t="s">
        <v>98</v>
      </c>
      <c r="E95" s="13" t="s">
        <v>98</v>
      </c>
      <c r="F95" s="13" t="s">
        <v>190</v>
      </c>
    </row>
    <row r="96" spans="1:6" x14ac:dyDescent="0.2">
      <c r="A96" s="4" t="s">
        <v>100</v>
      </c>
      <c r="B96" s="13" t="s">
        <v>101</v>
      </c>
      <c r="C96" s="13" t="s">
        <v>101</v>
      </c>
      <c r="D96" s="13" t="s">
        <v>101</v>
      </c>
      <c r="E96" s="13" t="s">
        <v>101</v>
      </c>
      <c r="F96" s="13" t="s">
        <v>101</v>
      </c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10"/>
      <c r="B98" s="10"/>
      <c r="C98" s="10"/>
      <c r="D98" s="10"/>
      <c r="E98" s="10"/>
      <c r="F98" s="10"/>
    </row>
    <row r="99" spans="1:6" x14ac:dyDescent="0.2">
      <c r="A99" t="s">
        <v>191</v>
      </c>
    </row>
    <row r="100" spans="1:6" x14ac:dyDescent="0.2">
      <c r="A100" s="15" t="s">
        <v>14</v>
      </c>
    </row>
  </sheetData>
  <phoneticPr fontId="0" type="noConversion"/>
  <pageMargins left="0.2" right="0.2" top="0.5" bottom="0.5" header="0.5" footer="0.5"/>
  <pageSetup fitToWidth="0" fitToHeight="0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8CB5-8A80-4437-A123-12BC5EE109CA}">
  <sheetPr>
    <outlinePr summaryBelow="0" summaryRight="0"/>
    <pageSetUpPr autoPageBreaks="0"/>
  </sheetPr>
  <dimension ref="A5:IT76"/>
  <sheetViews>
    <sheetView workbookViewId="0">
      <selection activeCell="H41" sqref="A1:XFD1048576"/>
    </sheetView>
  </sheetViews>
  <sheetFormatPr defaultRowHeight="11.25" x14ac:dyDescent="0.2"/>
  <cols>
    <col min="1" max="1" width="45.7109375" style="73" customWidth="1"/>
    <col min="2" max="6" width="14.7109375" style="73" customWidth="1"/>
    <col min="7" max="16384" width="9.140625" style="73"/>
  </cols>
  <sheetData>
    <row r="5" spans="1:254" ht="15.75" x14ac:dyDescent="0.2">
      <c r="A5" s="77" t="s">
        <v>192</v>
      </c>
    </row>
    <row r="7" spans="1:254" x14ac:dyDescent="0.2">
      <c r="A7" s="78" t="s">
        <v>193</v>
      </c>
      <c r="B7" s="79" t="s">
        <v>194</v>
      </c>
      <c r="C7" s="73" t="s">
        <v>18</v>
      </c>
      <c r="D7" s="70" t="s">
        <v>0</v>
      </c>
      <c r="E7" s="79" t="s">
        <v>195</v>
      </c>
      <c r="F7" s="73" t="s">
        <v>20</v>
      </c>
    </row>
    <row r="8" spans="1:254" x14ac:dyDescent="0.2">
      <c r="A8" s="70"/>
      <c r="B8" s="79" t="s">
        <v>196</v>
      </c>
      <c r="C8" s="73" t="s">
        <v>22</v>
      </c>
      <c r="D8" s="70" t="s">
        <v>0</v>
      </c>
      <c r="E8" s="79" t="s">
        <v>197</v>
      </c>
      <c r="F8" s="73" t="s">
        <v>2</v>
      </c>
    </row>
    <row r="9" spans="1:254" x14ac:dyDescent="0.2">
      <c r="A9" s="70"/>
      <c r="B9" s="79" t="s">
        <v>198</v>
      </c>
      <c r="C9" s="73" t="s">
        <v>25</v>
      </c>
      <c r="D9" s="70" t="s">
        <v>0</v>
      </c>
      <c r="E9" s="79" t="s">
        <v>199</v>
      </c>
      <c r="F9" s="73" t="s">
        <v>1</v>
      </c>
    </row>
    <row r="10" spans="1:254" x14ac:dyDescent="0.2">
      <c r="A10" s="70"/>
      <c r="B10" s="79" t="s">
        <v>200</v>
      </c>
      <c r="C10" s="73" t="s">
        <v>3</v>
      </c>
      <c r="D10" s="70" t="s">
        <v>0</v>
      </c>
      <c r="E10" s="79" t="s">
        <v>201</v>
      </c>
      <c r="F10" s="73" t="s">
        <v>4</v>
      </c>
    </row>
    <row r="11" spans="1:254" x14ac:dyDescent="0.2">
      <c r="A11" s="70"/>
      <c r="B11" s="79" t="s">
        <v>202</v>
      </c>
      <c r="C11" s="73" t="s">
        <v>30</v>
      </c>
      <c r="D11" s="70" t="s">
        <v>0</v>
      </c>
      <c r="E11" s="80"/>
      <c r="F11" s="80"/>
    </row>
    <row r="14" spans="1:254" x14ac:dyDescent="0.2">
      <c r="A14" s="81" t="s">
        <v>203</v>
      </c>
      <c r="B14" s="81"/>
      <c r="C14" s="81"/>
      <c r="D14" s="81"/>
      <c r="E14" s="81"/>
      <c r="F14" s="81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2"/>
      <c r="HA14" s="82"/>
      <c r="HB14" s="82"/>
      <c r="HC14" s="82"/>
      <c r="HD14" s="82"/>
      <c r="HE14" s="82"/>
      <c r="HF14" s="82"/>
      <c r="HG14" s="82"/>
      <c r="HH14" s="82"/>
      <c r="HI14" s="82"/>
      <c r="HJ14" s="82"/>
      <c r="HK14" s="82"/>
      <c r="HL14" s="82"/>
      <c r="HM14" s="82"/>
      <c r="HN14" s="82"/>
      <c r="HO14" s="82"/>
      <c r="HP14" s="82"/>
      <c r="HQ14" s="82"/>
      <c r="HR14" s="82"/>
      <c r="HS14" s="82"/>
      <c r="HT14" s="82"/>
      <c r="HU14" s="82"/>
      <c r="HV14" s="82"/>
      <c r="HW14" s="82"/>
      <c r="HX14" s="82"/>
      <c r="HY14" s="82"/>
      <c r="HZ14" s="82"/>
      <c r="IA14" s="82"/>
      <c r="IB14" s="82"/>
      <c r="IC14" s="82"/>
      <c r="ID14" s="82"/>
      <c r="IE14" s="82"/>
      <c r="IF14" s="82"/>
      <c r="IG14" s="82"/>
      <c r="IH14" s="82"/>
      <c r="II14" s="82"/>
      <c r="IJ14" s="82"/>
      <c r="IK14" s="82"/>
      <c r="IL14" s="82"/>
      <c r="IM14" s="82"/>
      <c r="IN14" s="82"/>
      <c r="IO14" s="82"/>
      <c r="IP14" s="82"/>
      <c r="IQ14" s="82"/>
      <c r="IR14" s="82"/>
      <c r="IS14" s="82"/>
      <c r="IT14" s="82"/>
    </row>
    <row r="15" spans="1:254" ht="33.75" x14ac:dyDescent="0.2">
      <c r="A15" s="83" t="s">
        <v>5</v>
      </c>
      <c r="B15" s="84" t="s">
        <v>204</v>
      </c>
      <c r="C15" s="84" t="s">
        <v>33</v>
      </c>
      <c r="D15" s="84" t="s">
        <v>34</v>
      </c>
      <c r="E15" s="84" t="s">
        <v>35</v>
      </c>
      <c r="F15" s="84" t="s">
        <v>36</v>
      </c>
    </row>
    <row r="16" spans="1:254" x14ac:dyDescent="0.2">
      <c r="A16" s="85" t="s">
        <v>6</v>
      </c>
      <c r="B16" s="86" t="s">
        <v>7</v>
      </c>
      <c r="C16" s="86" t="s">
        <v>7</v>
      </c>
      <c r="D16" s="86" t="s">
        <v>7</v>
      </c>
      <c r="E16" s="86" t="s">
        <v>7</v>
      </c>
      <c r="F16" s="86" t="s">
        <v>7</v>
      </c>
    </row>
    <row r="17" spans="1:6" x14ac:dyDescent="0.2">
      <c r="A17" s="87" t="s">
        <v>13</v>
      </c>
      <c r="B17" s="70"/>
      <c r="C17" s="70"/>
      <c r="D17" s="70"/>
      <c r="E17" s="70"/>
      <c r="F17" s="70"/>
    </row>
    <row r="18" spans="1:6" x14ac:dyDescent="0.2">
      <c r="A18" s="87" t="s">
        <v>11</v>
      </c>
      <c r="B18" s="71">
        <v>23.7</v>
      </c>
      <c r="C18" s="71">
        <v>-198</v>
      </c>
      <c r="D18" s="71">
        <v>306.60000000000002</v>
      </c>
      <c r="E18" s="71">
        <v>363.4</v>
      </c>
      <c r="F18" s="71">
        <v>431.2</v>
      </c>
    </row>
    <row r="19" spans="1:6" x14ac:dyDescent="0.2">
      <c r="A19" s="70" t="s">
        <v>44</v>
      </c>
      <c r="B19" s="68">
        <v>503.8</v>
      </c>
      <c r="C19" s="68">
        <v>465.2</v>
      </c>
      <c r="D19" s="68">
        <v>458.3</v>
      </c>
      <c r="E19" s="68">
        <v>491.4</v>
      </c>
      <c r="F19" s="68">
        <v>447.1</v>
      </c>
    </row>
    <row r="20" spans="1:6" x14ac:dyDescent="0.2">
      <c r="A20" s="70" t="s">
        <v>205</v>
      </c>
      <c r="B20" s="68">
        <v>2.8</v>
      </c>
      <c r="C20" s="68">
        <v>0.2</v>
      </c>
      <c r="D20" s="68">
        <v>0.6</v>
      </c>
      <c r="E20" s="68">
        <v>0.6</v>
      </c>
      <c r="F20" s="68">
        <v>0.7</v>
      </c>
    </row>
    <row r="21" spans="1:6" x14ac:dyDescent="0.2">
      <c r="A21" s="87" t="s">
        <v>206</v>
      </c>
      <c r="B21" s="69">
        <v>506.6</v>
      </c>
      <c r="C21" s="69">
        <v>465.4</v>
      </c>
      <c r="D21" s="69">
        <v>458.9</v>
      </c>
      <c r="E21" s="69">
        <v>492</v>
      </c>
      <c r="F21" s="69">
        <v>447.8</v>
      </c>
    </row>
    <row r="22" spans="1:6" x14ac:dyDescent="0.2">
      <c r="A22" s="70"/>
      <c r="B22" s="70"/>
      <c r="C22" s="70"/>
      <c r="D22" s="70"/>
      <c r="E22" s="70"/>
      <c r="F22" s="70"/>
    </row>
    <row r="23" spans="1:6" x14ac:dyDescent="0.2">
      <c r="A23" s="70" t="s">
        <v>207</v>
      </c>
      <c r="B23" s="68">
        <v>162</v>
      </c>
      <c r="C23" s="68">
        <v>131.4</v>
      </c>
      <c r="D23" s="68">
        <v>93</v>
      </c>
      <c r="E23" s="68">
        <v>86.4</v>
      </c>
      <c r="F23" s="68">
        <v>54</v>
      </c>
    </row>
    <row r="24" spans="1:6" x14ac:dyDescent="0.2">
      <c r="A24" s="70" t="s">
        <v>208</v>
      </c>
      <c r="B24" s="68" t="s">
        <v>8</v>
      </c>
      <c r="C24" s="68" t="s">
        <v>8</v>
      </c>
      <c r="D24" s="68" t="s">
        <v>8</v>
      </c>
      <c r="E24" s="68">
        <v>-55.2</v>
      </c>
      <c r="F24" s="68">
        <v>24.5</v>
      </c>
    </row>
    <row r="25" spans="1:6" x14ac:dyDescent="0.2">
      <c r="A25" s="70" t="s">
        <v>209</v>
      </c>
      <c r="B25" s="68">
        <v>-36.1</v>
      </c>
      <c r="C25" s="68">
        <v>6.3</v>
      </c>
      <c r="D25" s="68">
        <v>-41.2</v>
      </c>
      <c r="E25" s="68" t="s">
        <v>8</v>
      </c>
      <c r="F25" s="68" t="s">
        <v>8</v>
      </c>
    </row>
    <row r="26" spans="1:6" x14ac:dyDescent="0.2">
      <c r="A26" s="70" t="s">
        <v>210</v>
      </c>
      <c r="B26" s="68">
        <v>-2.6</v>
      </c>
      <c r="C26" s="68">
        <v>-78.400000000000006</v>
      </c>
      <c r="D26" s="68">
        <v>-13.9</v>
      </c>
      <c r="E26" s="68">
        <v>29.5</v>
      </c>
      <c r="F26" s="68">
        <v>37.6</v>
      </c>
    </row>
    <row r="27" spans="1:6" x14ac:dyDescent="0.2">
      <c r="A27" s="70" t="s">
        <v>211</v>
      </c>
      <c r="B27" s="68">
        <v>18.5</v>
      </c>
      <c r="C27" s="68">
        <v>19.3</v>
      </c>
      <c r="D27" s="68">
        <v>38.799999999999997</v>
      </c>
      <c r="E27" s="68">
        <v>38</v>
      </c>
      <c r="F27" s="68">
        <v>48.3</v>
      </c>
    </row>
    <row r="28" spans="1:6" x14ac:dyDescent="0.2">
      <c r="A28" s="70" t="s">
        <v>212</v>
      </c>
      <c r="B28" s="68">
        <v>349.5</v>
      </c>
      <c r="C28" s="68">
        <v>256.8</v>
      </c>
      <c r="D28" s="68">
        <v>296.10000000000002</v>
      </c>
      <c r="E28" s="68">
        <v>85.9</v>
      </c>
      <c r="F28" s="68">
        <v>181.1</v>
      </c>
    </row>
    <row r="29" spans="1:6" x14ac:dyDescent="0.2">
      <c r="A29" s="70" t="s">
        <v>213</v>
      </c>
      <c r="B29" s="68">
        <v>-9.1999999999999993</v>
      </c>
      <c r="C29" s="68">
        <v>67.400000000000006</v>
      </c>
      <c r="D29" s="68">
        <v>-2.9</v>
      </c>
      <c r="E29" s="68">
        <v>-33.700000000000003</v>
      </c>
      <c r="F29" s="68">
        <v>-17.5</v>
      </c>
    </row>
    <row r="30" spans="1:6" x14ac:dyDescent="0.2">
      <c r="A30" s="70" t="s">
        <v>214</v>
      </c>
      <c r="B30" s="68">
        <v>-29.3</v>
      </c>
      <c r="C30" s="68">
        <v>41.2</v>
      </c>
      <c r="D30" s="68">
        <v>-46.5</v>
      </c>
      <c r="E30" s="68">
        <v>-58.5</v>
      </c>
      <c r="F30" s="68">
        <v>-31.3</v>
      </c>
    </row>
    <row r="31" spans="1:6" x14ac:dyDescent="0.2">
      <c r="A31" s="70" t="s">
        <v>215</v>
      </c>
      <c r="B31" s="68">
        <v>-29.3</v>
      </c>
      <c r="C31" s="68">
        <v>159.5</v>
      </c>
      <c r="D31" s="68">
        <v>289.10000000000002</v>
      </c>
      <c r="E31" s="68">
        <v>82.1</v>
      </c>
      <c r="F31" s="68">
        <v>126</v>
      </c>
    </row>
    <row r="32" spans="1:6" x14ac:dyDescent="0.2">
      <c r="A32" s="70" t="s">
        <v>216</v>
      </c>
      <c r="B32" s="68" t="s">
        <v>8</v>
      </c>
      <c r="C32" s="68" t="s">
        <v>8</v>
      </c>
      <c r="D32" s="68" t="s">
        <v>8</v>
      </c>
      <c r="E32" s="68" t="s">
        <v>8</v>
      </c>
      <c r="F32" s="68" t="s">
        <v>8</v>
      </c>
    </row>
    <row r="33" spans="1:6" x14ac:dyDescent="0.2">
      <c r="A33" s="87" t="s">
        <v>217</v>
      </c>
      <c r="B33" s="69">
        <v>953.8</v>
      </c>
      <c r="C33" s="69">
        <v>870.9</v>
      </c>
      <c r="D33" s="69">
        <v>1378</v>
      </c>
      <c r="E33" s="69">
        <v>1029.9000000000001</v>
      </c>
      <c r="F33" s="69">
        <v>1301.7</v>
      </c>
    </row>
    <row r="34" spans="1:6" x14ac:dyDescent="0.2">
      <c r="A34" s="70"/>
      <c r="B34" s="70"/>
      <c r="C34" s="70"/>
      <c r="D34" s="70"/>
      <c r="E34" s="70"/>
      <c r="F34" s="70"/>
    </row>
    <row r="35" spans="1:6" x14ac:dyDescent="0.2">
      <c r="A35" s="70" t="s">
        <v>218</v>
      </c>
      <c r="B35" s="68">
        <v>-251</v>
      </c>
      <c r="C35" s="68">
        <v>-158.9</v>
      </c>
      <c r="D35" s="68">
        <v>-192.8</v>
      </c>
      <c r="E35" s="68">
        <v>-325.8</v>
      </c>
      <c r="F35" s="68">
        <v>-359.5</v>
      </c>
    </row>
    <row r="36" spans="1:6" x14ac:dyDescent="0.2">
      <c r="A36" s="70" t="s">
        <v>219</v>
      </c>
      <c r="B36" s="68">
        <v>2.7</v>
      </c>
      <c r="C36" s="68">
        <v>2.9</v>
      </c>
      <c r="D36" s="68">
        <v>43.9</v>
      </c>
      <c r="E36" s="68">
        <v>1.1000000000000001</v>
      </c>
      <c r="F36" s="68">
        <v>6.1</v>
      </c>
    </row>
    <row r="37" spans="1:6" x14ac:dyDescent="0.2">
      <c r="A37" s="70" t="s">
        <v>220</v>
      </c>
      <c r="B37" s="68" t="s">
        <v>8</v>
      </c>
      <c r="C37" s="68" t="s">
        <v>8</v>
      </c>
      <c r="D37" s="68">
        <v>-4.5</v>
      </c>
      <c r="E37" s="68">
        <v>-102.8</v>
      </c>
      <c r="F37" s="68" t="s">
        <v>8</v>
      </c>
    </row>
    <row r="38" spans="1:6" x14ac:dyDescent="0.2">
      <c r="A38" s="70" t="s">
        <v>221</v>
      </c>
      <c r="B38" s="68" t="s">
        <v>8</v>
      </c>
      <c r="C38" s="68" t="s">
        <v>8</v>
      </c>
      <c r="D38" s="68" t="s">
        <v>8</v>
      </c>
      <c r="E38" s="68" t="s">
        <v>8</v>
      </c>
      <c r="F38" s="68" t="s">
        <v>8</v>
      </c>
    </row>
    <row r="39" spans="1:6" x14ac:dyDescent="0.2">
      <c r="A39" s="70" t="s">
        <v>222</v>
      </c>
      <c r="B39" s="68">
        <v>-77.599999999999994</v>
      </c>
      <c r="C39" s="68">
        <v>-47.8</v>
      </c>
      <c r="D39" s="68">
        <v>-64.599999999999994</v>
      </c>
      <c r="E39" s="68">
        <v>-84.5</v>
      </c>
      <c r="F39" s="68">
        <v>-69.8</v>
      </c>
    </row>
    <row r="40" spans="1:6" x14ac:dyDescent="0.2">
      <c r="A40" s="70" t="s">
        <v>223</v>
      </c>
      <c r="B40" s="68">
        <v>-450.2</v>
      </c>
      <c r="C40" s="68">
        <v>2</v>
      </c>
      <c r="D40" s="68">
        <v>-35.1</v>
      </c>
      <c r="E40" s="68">
        <v>1.3</v>
      </c>
      <c r="F40" s="68">
        <v>-1.9</v>
      </c>
    </row>
    <row r="41" spans="1:6" x14ac:dyDescent="0.2">
      <c r="A41" s="70" t="s">
        <v>224</v>
      </c>
      <c r="B41" s="68" t="s">
        <v>8</v>
      </c>
      <c r="C41" s="68" t="s">
        <v>8</v>
      </c>
      <c r="D41" s="68" t="s">
        <v>8</v>
      </c>
      <c r="E41" s="68" t="s">
        <v>8</v>
      </c>
      <c r="F41" s="68" t="s">
        <v>8</v>
      </c>
    </row>
    <row r="42" spans="1:6" x14ac:dyDescent="0.2">
      <c r="A42" s="70" t="s">
        <v>225</v>
      </c>
      <c r="B42" s="68">
        <v>10.4</v>
      </c>
      <c r="C42" s="68">
        <v>9.1999999999999993</v>
      </c>
      <c r="D42" s="68">
        <v>7.4</v>
      </c>
      <c r="E42" s="68">
        <v>-5.9</v>
      </c>
      <c r="F42" s="68">
        <v>-10.199999999999999</v>
      </c>
    </row>
    <row r="43" spans="1:6" x14ac:dyDescent="0.2">
      <c r="A43" s="87" t="s">
        <v>226</v>
      </c>
      <c r="B43" s="69">
        <v>-765.7</v>
      </c>
      <c r="C43" s="69">
        <v>-192.6</v>
      </c>
      <c r="D43" s="69">
        <v>-245.7</v>
      </c>
      <c r="E43" s="69">
        <v>-516.6</v>
      </c>
      <c r="F43" s="69">
        <v>-435.3</v>
      </c>
    </row>
    <row r="44" spans="1:6" x14ac:dyDescent="0.2">
      <c r="A44" s="70"/>
      <c r="B44" s="70"/>
      <c r="C44" s="70"/>
      <c r="D44" s="70"/>
      <c r="E44" s="70"/>
      <c r="F44" s="70"/>
    </row>
    <row r="45" spans="1:6" x14ac:dyDescent="0.2">
      <c r="A45" s="70" t="s">
        <v>227</v>
      </c>
      <c r="B45" s="68" t="s">
        <v>8</v>
      </c>
      <c r="C45" s="68" t="s">
        <v>8</v>
      </c>
      <c r="D45" s="68" t="s">
        <v>8</v>
      </c>
      <c r="E45" s="68" t="s">
        <v>8</v>
      </c>
      <c r="F45" s="68" t="s">
        <v>8</v>
      </c>
    </row>
    <row r="46" spans="1:6" x14ac:dyDescent="0.2">
      <c r="A46" s="70" t="s">
        <v>228</v>
      </c>
      <c r="B46" s="68">
        <v>250</v>
      </c>
      <c r="C46" s="68">
        <v>300</v>
      </c>
      <c r="D46" s="68" t="s">
        <v>8</v>
      </c>
      <c r="E46" s="68" t="s">
        <v>8</v>
      </c>
      <c r="F46" s="68" t="s">
        <v>8</v>
      </c>
    </row>
    <row r="47" spans="1:6" x14ac:dyDescent="0.2">
      <c r="A47" s="87" t="s">
        <v>229</v>
      </c>
      <c r="B47" s="69">
        <v>250</v>
      </c>
      <c r="C47" s="69">
        <v>300</v>
      </c>
      <c r="D47" s="69" t="s">
        <v>8</v>
      </c>
      <c r="E47" s="69" t="s">
        <v>8</v>
      </c>
      <c r="F47" s="69" t="s">
        <v>8</v>
      </c>
    </row>
    <row r="48" spans="1:6" x14ac:dyDescent="0.2">
      <c r="A48" s="70" t="s">
        <v>230</v>
      </c>
      <c r="B48" s="68" t="s">
        <v>8</v>
      </c>
      <c r="C48" s="68" t="s">
        <v>8</v>
      </c>
      <c r="D48" s="68" t="s">
        <v>8</v>
      </c>
      <c r="E48" s="68" t="s">
        <v>8</v>
      </c>
      <c r="F48" s="68" t="s">
        <v>8</v>
      </c>
    </row>
    <row r="49" spans="1:6" x14ac:dyDescent="0.2">
      <c r="A49" s="70" t="s">
        <v>231</v>
      </c>
      <c r="B49" s="68">
        <v>-601.4</v>
      </c>
      <c r="C49" s="68">
        <v>-320.7</v>
      </c>
      <c r="D49" s="68">
        <v>-379.6</v>
      </c>
      <c r="E49" s="68">
        <v>-421.7</v>
      </c>
      <c r="F49" s="68">
        <v>-639.1</v>
      </c>
    </row>
    <row r="50" spans="1:6" x14ac:dyDescent="0.2">
      <c r="A50" s="87" t="s">
        <v>232</v>
      </c>
      <c r="B50" s="69">
        <v>-601.4</v>
      </c>
      <c r="C50" s="69">
        <v>-320.7</v>
      </c>
      <c r="D50" s="69">
        <v>-379.6</v>
      </c>
      <c r="E50" s="69">
        <v>-421.7</v>
      </c>
      <c r="F50" s="69">
        <v>-639.1</v>
      </c>
    </row>
    <row r="51" spans="1:6" x14ac:dyDescent="0.2">
      <c r="A51" s="70"/>
      <c r="B51" s="70"/>
      <c r="C51" s="70"/>
      <c r="D51" s="70"/>
      <c r="E51" s="70"/>
      <c r="F51" s="70"/>
    </row>
    <row r="52" spans="1:6" x14ac:dyDescent="0.2">
      <c r="A52" s="70" t="s">
        <v>233</v>
      </c>
      <c r="B52" s="68">
        <v>601.1</v>
      </c>
      <c r="C52" s="68" t="s">
        <v>8</v>
      </c>
      <c r="D52" s="68">
        <v>0.3</v>
      </c>
      <c r="E52" s="68" t="s">
        <v>8</v>
      </c>
      <c r="F52" s="68">
        <v>57</v>
      </c>
    </row>
    <row r="53" spans="1:6" x14ac:dyDescent="0.2">
      <c r="A53" s="70" t="s">
        <v>234</v>
      </c>
      <c r="B53" s="68">
        <v>-8.9</v>
      </c>
      <c r="C53" s="68">
        <v>-0.8</v>
      </c>
      <c r="D53" s="68" t="s">
        <v>8</v>
      </c>
      <c r="E53" s="68">
        <v>-0.1</v>
      </c>
      <c r="F53" s="68">
        <v>-83.1</v>
      </c>
    </row>
    <row r="54" spans="1:6" x14ac:dyDescent="0.2">
      <c r="A54" s="70"/>
      <c r="B54" s="70"/>
      <c r="C54" s="70"/>
      <c r="D54" s="70"/>
      <c r="E54" s="70"/>
      <c r="F54" s="70"/>
    </row>
    <row r="55" spans="1:6" x14ac:dyDescent="0.2">
      <c r="A55" s="70" t="s">
        <v>235</v>
      </c>
      <c r="B55" s="68">
        <v>-191.1</v>
      </c>
      <c r="C55" s="68" t="s">
        <v>8</v>
      </c>
      <c r="D55" s="68" t="s">
        <v>8</v>
      </c>
      <c r="E55" s="68" t="s">
        <v>8</v>
      </c>
      <c r="F55" s="68">
        <v>-19.600000000000001</v>
      </c>
    </row>
    <row r="56" spans="1:6" x14ac:dyDescent="0.2">
      <c r="A56" s="87" t="s">
        <v>236</v>
      </c>
      <c r="B56" s="69">
        <v>-191.1</v>
      </c>
      <c r="C56" s="69" t="s">
        <v>8</v>
      </c>
      <c r="D56" s="69" t="s">
        <v>8</v>
      </c>
      <c r="E56" s="69" t="s">
        <v>8</v>
      </c>
      <c r="F56" s="69">
        <v>-19.600000000000001</v>
      </c>
    </row>
    <row r="57" spans="1:6" x14ac:dyDescent="0.2">
      <c r="A57" s="70"/>
      <c r="B57" s="70"/>
      <c r="C57" s="70"/>
      <c r="D57" s="70"/>
      <c r="E57" s="70"/>
      <c r="F57" s="70"/>
    </row>
    <row r="58" spans="1:6" x14ac:dyDescent="0.2">
      <c r="A58" s="70" t="s">
        <v>237</v>
      </c>
      <c r="B58" s="68" t="s">
        <v>8</v>
      </c>
      <c r="C58" s="68" t="s">
        <v>8</v>
      </c>
      <c r="D58" s="68" t="s">
        <v>8</v>
      </c>
      <c r="E58" s="68" t="s">
        <v>8</v>
      </c>
      <c r="F58" s="68" t="s">
        <v>8</v>
      </c>
    </row>
    <row r="59" spans="1:6" x14ac:dyDescent="0.2">
      <c r="A59" s="70" t="s">
        <v>238</v>
      </c>
      <c r="B59" s="68">
        <v>-306.60000000000002</v>
      </c>
      <c r="C59" s="68">
        <v>-222.5</v>
      </c>
      <c r="D59" s="68">
        <v>-216.6</v>
      </c>
      <c r="E59" s="68">
        <v>-222</v>
      </c>
      <c r="F59" s="68">
        <v>-225</v>
      </c>
    </row>
    <row r="60" spans="1:6" x14ac:dyDescent="0.2">
      <c r="A60" s="87" t="s">
        <v>239</v>
      </c>
      <c r="B60" s="69">
        <v>-256.89999999999998</v>
      </c>
      <c r="C60" s="69">
        <v>-244</v>
      </c>
      <c r="D60" s="69">
        <v>-595.9</v>
      </c>
      <c r="E60" s="69">
        <v>-643.79999999999995</v>
      </c>
      <c r="F60" s="69">
        <v>-909.8</v>
      </c>
    </row>
    <row r="61" spans="1:6" x14ac:dyDescent="0.2">
      <c r="A61" s="70"/>
      <c r="B61" s="70"/>
      <c r="C61" s="70"/>
      <c r="D61" s="70"/>
      <c r="E61" s="70"/>
      <c r="F61" s="70"/>
    </row>
    <row r="62" spans="1:6" x14ac:dyDescent="0.2">
      <c r="A62" s="70" t="s">
        <v>240</v>
      </c>
      <c r="B62" s="68">
        <v>0.5</v>
      </c>
      <c r="C62" s="68">
        <v>-3.3</v>
      </c>
      <c r="D62" s="68">
        <v>-8.1999999999999993</v>
      </c>
      <c r="E62" s="68">
        <v>0.5</v>
      </c>
      <c r="F62" s="68">
        <v>-2.1</v>
      </c>
    </row>
    <row r="63" spans="1:6" x14ac:dyDescent="0.2">
      <c r="A63" s="87" t="s">
        <v>241</v>
      </c>
      <c r="B63" s="72">
        <v>-68.3</v>
      </c>
      <c r="C63" s="72">
        <v>431</v>
      </c>
      <c r="D63" s="72">
        <v>528.20000000000005</v>
      </c>
      <c r="E63" s="72">
        <v>-130</v>
      </c>
      <c r="F63" s="72">
        <v>-45.5</v>
      </c>
    </row>
    <row r="64" spans="1:6" x14ac:dyDescent="0.2">
      <c r="A64" s="70"/>
      <c r="B64" s="70"/>
      <c r="C64" s="70"/>
      <c r="D64" s="70"/>
      <c r="E64" s="70"/>
      <c r="F64" s="70"/>
    </row>
    <row r="65" spans="1:6" x14ac:dyDescent="0.2">
      <c r="A65" s="87" t="s">
        <v>84</v>
      </c>
      <c r="B65" s="70"/>
      <c r="C65" s="70"/>
      <c r="D65" s="70"/>
      <c r="E65" s="70"/>
      <c r="F65" s="70"/>
    </row>
    <row r="66" spans="1:6" x14ac:dyDescent="0.2">
      <c r="A66" s="70" t="s">
        <v>242</v>
      </c>
      <c r="B66" s="68">
        <v>224.2</v>
      </c>
      <c r="C66" s="68">
        <v>219.3</v>
      </c>
      <c r="D66" s="68">
        <v>216.6</v>
      </c>
      <c r="E66" s="68">
        <v>212.5</v>
      </c>
      <c r="F66" s="68">
        <v>185</v>
      </c>
    </row>
    <row r="67" spans="1:6" x14ac:dyDescent="0.2">
      <c r="A67" s="70" t="s">
        <v>243</v>
      </c>
      <c r="B67" s="68">
        <v>91.6</v>
      </c>
      <c r="C67" s="68">
        <v>5.8</v>
      </c>
      <c r="D67" s="68">
        <v>7.7</v>
      </c>
      <c r="E67" s="68">
        <v>70.599999999999994</v>
      </c>
      <c r="F67" s="68">
        <v>191.2</v>
      </c>
    </row>
    <row r="68" spans="1:6" x14ac:dyDescent="0.2">
      <c r="A68" s="70" t="s">
        <v>244</v>
      </c>
      <c r="B68" s="68">
        <v>655.6</v>
      </c>
      <c r="C68" s="68">
        <v>685.22500000000002</v>
      </c>
      <c r="D68" s="68">
        <v>841.46249999999998</v>
      </c>
      <c r="E68" s="68">
        <v>549.48749999999995</v>
      </c>
      <c r="F68" s="68">
        <v>538.47500000000002</v>
      </c>
    </row>
    <row r="69" spans="1:6" x14ac:dyDescent="0.2">
      <c r="A69" s="70" t="s">
        <v>245</v>
      </c>
      <c r="B69" s="68">
        <v>792.97500000000002</v>
      </c>
      <c r="C69" s="68">
        <v>823.41250000000002</v>
      </c>
      <c r="D69" s="68">
        <v>969.83749999999998</v>
      </c>
      <c r="E69" s="68">
        <v>666.11249999999995</v>
      </c>
      <c r="F69" s="68">
        <v>640.47500000000002</v>
      </c>
    </row>
    <row r="70" spans="1:6" x14ac:dyDescent="0.2">
      <c r="A70" s="70" t="s">
        <v>246</v>
      </c>
      <c r="B70" s="68">
        <v>-23.1</v>
      </c>
      <c r="C70" s="68">
        <v>-304.7</v>
      </c>
      <c r="D70" s="68">
        <v>-196.6</v>
      </c>
      <c r="E70" s="68">
        <v>-34.700000000000003</v>
      </c>
      <c r="F70" s="68">
        <v>40.200000000000003</v>
      </c>
    </row>
    <row r="71" spans="1:6" x14ac:dyDescent="0.2">
      <c r="A71" s="70" t="s">
        <v>247</v>
      </c>
      <c r="B71" s="68">
        <v>-351.4</v>
      </c>
      <c r="C71" s="68">
        <v>-20.7</v>
      </c>
      <c r="D71" s="68">
        <v>-379.6</v>
      </c>
      <c r="E71" s="68">
        <v>-421.7</v>
      </c>
      <c r="F71" s="68">
        <v>-639.1</v>
      </c>
    </row>
    <row r="72" spans="1:6" x14ac:dyDescent="0.2">
      <c r="A72" s="70" t="s">
        <v>95</v>
      </c>
      <c r="B72" s="68">
        <v>44349</v>
      </c>
      <c r="C72" s="68">
        <v>44719</v>
      </c>
      <c r="D72" s="68">
        <v>45083</v>
      </c>
      <c r="E72" s="68">
        <v>45446</v>
      </c>
      <c r="F72" s="68">
        <v>45446</v>
      </c>
    </row>
    <row r="73" spans="1:6" x14ac:dyDescent="0.2">
      <c r="A73" s="70" t="s">
        <v>96</v>
      </c>
      <c r="B73" s="68" t="s">
        <v>190</v>
      </c>
      <c r="C73" s="68" t="s">
        <v>98</v>
      </c>
      <c r="D73" s="68" t="s">
        <v>98</v>
      </c>
      <c r="E73" s="68" t="s">
        <v>98</v>
      </c>
      <c r="F73" s="68" t="s">
        <v>99</v>
      </c>
    </row>
    <row r="74" spans="1:6" x14ac:dyDescent="0.2">
      <c r="A74" s="70" t="s">
        <v>100</v>
      </c>
      <c r="B74" s="68" t="s">
        <v>101</v>
      </c>
      <c r="C74" s="68" t="s">
        <v>101</v>
      </c>
      <c r="D74" s="68" t="s">
        <v>101</v>
      </c>
      <c r="E74" s="68" t="s">
        <v>101</v>
      </c>
      <c r="F74" s="68" t="s">
        <v>101</v>
      </c>
    </row>
    <row r="75" spans="1:6" x14ac:dyDescent="0.2">
      <c r="A75" s="70"/>
      <c r="B75" s="70"/>
      <c r="C75" s="70"/>
      <c r="D75" s="70"/>
      <c r="E75" s="70"/>
      <c r="F75" s="70"/>
    </row>
    <row r="76" spans="1:6" ht="67.5" x14ac:dyDescent="0.2">
      <c r="A76" s="88" t="s">
        <v>14</v>
      </c>
      <c r="B76" s="89"/>
      <c r="C76" s="89"/>
      <c r="D76" s="89"/>
      <c r="E76" s="89"/>
      <c r="F76" s="89"/>
    </row>
  </sheetData>
  <phoneticPr fontId="0" type="noConversion"/>
  <pageMargins left="0.2" right="0.2" top="0.5" bottom="0.5" header="0.5" footer="0.5"/>
  <pageSetup fitToWidth="0" fitToHeight="0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879C-6F36-42C0-AF44-9BCF31A39F51}">
  <dimension ref="A2:F231"/>
  <sheetViews>
    <sheetView tabSelected="1" topLeftCell="A219" zoomScale="115" zoomScaleNormal="151" workbookViewId="0">
      <selection activeCell="A111" sqref="A111"/>
    </sheetView>
  </sheetViews>
  <sheetFormatPr defaultRowHeight="11.25" x14ac:dyDescent="0.2"/>
  <cols>
    <col min="1" max="1" width="47.5703125" bestFit="1" customWidth="1"/>
    <col min="2" max="2" width="19.85546875" customWidth="1"/>
    <col min="3" max="3" width="20.42578125" customWidth="1"/>
    <col min="4" max="4" width="21.28515625" customWidth="1"/>
    <col min="5" max="5" width="19.42578125" customWidth="1"/>
    <col min="6" max="6" width="22.7109375" customWidth="1"/>
  </cols>
  <sheetData>
    <row r="2" spans="1:6" ht="26.25" x14ac:dyDescent="0.4">
      <c r="A2" s="76" t="s">
        <v>492</v>
      </c>
      <c r="B2" s="57"/>
      <c r="C2" s="57"/>
      <c r="D2" s="57"/>
      <c r="E2" s="57"/>
      <c r="F2" s="57"/>
    </row>
    <row r="3" spans="1:6" x14ac:dyDescent="0.2">
      <c r="A3" t="s">
        <v>328</v>
      </c>
      <c r="B3">
        <v>2024</v>
      </c>
      <c r="C3">
        <v>2023</v>
      </c>
      <c r="D3">
        <v>2021</v>
      </c>
      <c r="E3">
        <v>2020</v>
      </c>
      <c r="F3">
        <v>2019</v>
      </c>
    </row>
    <row r="5" spans="1:6" x14ac:dyDescent="0.2">
      <c r="A5" t="s">
        <v>329</v>
      </c>
      <c r="B5">
        <f>(B6/B7)*B8</f>
        <v>1.7354161394467833</v>
      </c>
      <c r="C5">
        <f t="shared" ref="C5:F5" si="0">(C6/C7)*C8</f>
        <v>1.9762305867759589</v>
      </c>
      <c r="D5">
        <f t="shared" si="0"/>
        <v>2.508199281586756</v>
      </c>
      <c r="E5">
        <f t="shared" si="0"/>
        <v>2.5075635942636825</v>
      </c>
      <c r="F5">
        <f t="shared" si="0"/>
        <v>2.4878460798082878</v>
      </c>
    </row>
    <row r="6" spans="1:6" x14ac:dyDescent="0.2">
      <c r="A6" t="s">
        <v>128</v>
      </c>
      <c r="B6" s="92">
        <v>62</v>
      </c>
      <c r="C6" s="92">
        <v>64.599999999999994</v>
      </c>
      <c r="D6" s="92">
        <v>74.8</v>
      </c>
      <c r="E6" s="92">
        <v>62.9</v>
      </c>
      <c r="F6" s="92">
        <v>69.400000000000006</v>
      </c>
    </row>
    <row r="7" spans="1:6" x14ac:dyDescent="0.2">
      <c r="A7" t="s">
        <v>330</v>
      </c>
      <c r="B7" s="92">
        <v>13040.1</v>
      </c>
      <c r="C7" s="92">
        <v>11931.3</v>
      </c>
      <c r="D7" s="92">
        <v>10885.1</v>
      </c>
      <c r="E7" s="92">
        <v>9155.7000000000007</v>
      </c>
      <c r="F7" s="92">
        <v>10181.9</v>
      </c>
    </row>
    <row r="8" spans="1:6" ht="12.75" x14ac:dyDescent="0.2">
      <c r="A8" t="s">
        <v>331</v>
      </c>
      <c r="B8" s="52">
        <v>365</v>
      </c>
      <c r="C8" s="52">
        <v>365</v>
      </c>
      <c r="D8" s="52">
        <v>365</v>
      </c>
      <c r="E8" s="52">
        <v>365</v>
      </c>
      <c r="F8" s="52">
        <v>365</v>
      </c>
    </row>
    <row r="10" spans="1:6" x14ac:dyDescent="0.2">
      <c r="A10" t="s">
        <v>332</v>
      </c>
      <c r="B10">
        <f>(B11/B12)*B13</f>
        <v>26.765296534719226</v>
      </c>
      <c r="C10">
        <f t="shared" ref="C10:F10" si="1">(C11/C12)*C13</f>
        <v>27.498671704187192</v>
      </c>
      <c r="D10">
        <f t="shared" si="1"/>
        <v>33.486238531879778</v>
      </c>
      <c r="E10">
        <f t="shared" si="1"/>
        <v>41.924363665074225</v>
      </c>
      <c r="F10">
        <f t="shared" si="1"/>
        <v>42.304330413986953</v>
      </c>
    </row>
    <row r="11" spans="1:6" x14ac:dyDescent="0.2">
      <c r="A11" t="s">
        <v>333</v>
      </c>
      <c r="B11">
        <v>629.29245279999998</v>
      </c>
      <c r="C11">
        <v>595.01851850000003</v>
      </c>
      <c r="D11">
        <v>666.92660550000005</v>
      </c>
      <c r="E11">
        <v>738.12149529999999</v>
      </c>
      <c r="F11">
        <v>773.12612609999996</v>
      </c>
    </row>
    <row r="12" spans="1:6" x14ac:dyDescent="0.2">
      <c r="A12" t="s">
        <v>334</v>
      </c>
      <c r="B12" s="92">
        <v>8581.7000000000007</v>
      </c>
      <c r="C12" s="92">
        <v>7897.9</v>
      </c>
      <c r="D12" s="92">
        <v>7269.5</v>
      </c>
      <c r="E12" s="92">
        <v>6426.2</v>
      </c>
      <c r="F12" s="92">
        <v>6670.5</v>
      </c>
    </row>
    <row r="13" spans="1:6" x14ac:dyDescent="0.2">
      <c r="A13" t="s">
        <v>331</v>
      </c>
      <c r="B13">
        <v>365</v>
      </c>
      <c r="C13">
        <v>365</v>
      </c>
      <c r="D13">
        <v>365</v>
      </c>
      <c r="E13">
        <v>365</v>
      </c>
      <c r="F13">
        <v>365</v>
      </c>
    </row>
    <row r="15" spans="1:6" x14ac:dyDescent="0.2">
      <c r="A15" t="s">
        <v>335</v>
      </c>
      <c r="B15">
        <f>B16/B17*B18</f>
        <v>35.599589824859876</v>
      </c>
      <c r="C15">
        <f t="shared" ref="C15:F15" si="2">C16/C17*C18</f>
        <v>39.906494131351373</v>
      </c>
      <c r="D15">
        <f t="shared" si="2"/>
        <v>53.558772955499002</v>
      </c>
      <c r="E15">
        <f t="shared" si="2"/>
        <v>45.535541999937763</v>
      </c>
      <c r="F15">
        <f t="shared" si="2"/>
        <v>41.711940634135374</v>
      </c>
    </row>
    <row r="16" spans="1:6" x14ac:dyDescent="0.2">
      <c r="A16" t="s">
        <v>336</v>
      </c>
      <c r="B16">
        <v>837</v>
      </c>
      <c r="C16">
        <v>863.5</v>
      </c>
      <c r="D16">
        <v>1066.7</v>
      </c>
      <c r="E16">
        <v>801.7</v>
      </c>
      <c r="F16">
        <v>762.3</v>
      </c>
    </row>
    <row r="17" spans="1:6" x14ac:dyDescent="0.2">
      <c r="A17" t="s">
        <v>334</v>
      </c>
      <c r="B17" s="92">
        <v>8581.7000000000007</v>
      </c>
      <c r="C17" s="92">
        <v>7897.9</v>
      </c>
      <c r="D17" s="92">
        <v>7269.5</v>
      </c>
      <c r="E17" s="92">
        <v>6426.2</v>
      </c>
      <c r="F17" s="92">
        <v>6670.5</v>
      </c>
    </row>
    <row r="18" spans="1:6" x14ac:dyDescent="0.2">
      <c r="A18" t="s">
        <v>331</v>
      </c>
      <c r="B18">
        <v>365</v>
      </c>
      <c r="C18">
        <v>365</v>
      </c>
      <c r="D18">
        <v>365</v>
      </c>
      <c r="E18">
        <v>365</v>
      </c>
      <c r="F18">
        <v>365</v>
      </c>
    </row>
    <row r="20" spans="1:6" x14ac:dyDescent="0.2">
      <c r="A20" t="s">
        <v>337</v>
      </c>
    </row>
    <row r="22" spans="1:6" x14ac:dyDescent="0.2">
      <c r="A22" t="s">
        <v>338</v>
      </c>
      <c r="B22">
        <f>B23/B24</f>
        <v>0.85577458071695423</v>
      </c>
      <c r="C22">
        <f t="shared" ref="C22:F22" si="3">C23/C24</f>
        <v>0.79626071534141296</v>
      </c>
      <c r="D22">
        <f t="shared" si="3"/>
        <v>0.92049097351105114</v>
      </c>
      <c r="E22">
        <f t="shared" si="3"/>
        <v>0.69483404477741961</v>
      </c>
      <c r="F22">
        <f t="shared" si="3"/>
        <v>0.65804225959465279</v>
      </c>
    </row>
    <row r="23" spans="1:6" x14ac:dyDescent="0.2">
      <c r="A23" t="s">
        <v>339</v>
      </c>
      <c r="B23" s="92">
        <v>2153.3000000000002</v>
      </c>
      <c r="C23" s="92">
        <v>2155</v>
      </c>
      <c r="D23" s="92">
        <v>2182.3000000000002</v>
      </c>
      <c r="E23" s="92">
        <v>1595.2</v>
      </c>
      <c r="F23" s="92">
        <v>1220.8</v>
      </c>
    </row>
    <row r="24" spans="1:6" x14ac:dyDescent="0.2">
      <c r="A24" t="s">
        <v>340</v>
      </c>
      <c r="B24" s="92">
        <v>2516.1999999999998</v>
      </c>
      <c r="C24" s="92">
        <v>2706.4</v>
      </c>
      <c r="D24" s="92">
        <v>2370.8000000000002</v>
      </c>
      <c r="E24" s="92">
        <v>2295.8000000000002</v>
      </c>
      <c r="F24" s="92">
        <v>1855.2</v>
      </c>
    </row>
    <row r="26" spans="1:6" x14ac:dyDescent="0.2">
      <c r="A26" t="s">
        <v>341</v>
      </c>
      <c r="B26">
        <f>(B27-B28)/B29</f>
        <v>0.63158731420395853</v>
      </c>
      <c r="C26">
        <f t="shared" ref="C26:F26" si="4">(C27-C28)/C29</f>
        <v>0.56547443097842154</v>
      </c>
      <c r="D26">
        <f t="shared" si="4"/>
        <v>0.62265901805297796</v>
      </c>
      <c r="E26">
        <f t="shared" si="4"/>
        <v>0.36187821238783868</v>
      </c>
      <c r="F26">
        <f t="shared" si="4"/>
        <v>0.23927339370418282</v>
      </c>
    </row>
    <row r="27" spans="1:6" x14ac:dyDescent="0.2">
      <c r="A27" t="s">
        <v>339</v>
      </c>
      <c r="B27" s="92">
        <v>2153.3000000000002</v>
      </c>
      <c r="C27" s="92">
        <v>2155</v>
      </c>
      <c r="D27" s="92">
        <v>2182.3000000000002</v>
      </c>
      <c r="E27" s="92">
        <v>1595.2</v>
      </c>
      <c r="F27" s="92">
        <v>1220.8</v>
      </c>
    </row>
    <row r="28" spans="1:6" x14ac:dyDescent="0.2">
      <c r="A28" t="s">
        <v>342</v>
      </c>
      <c r="B28">
        <v>564.1</v>
      </c>
      <c r="C28">
        <v>624.6</v>
      </c>
      <c r="D28">
        <v>706.1</v>
      </c>
      <c r="E28">
        <v>764.4</v>
      </c>
      <c r="F28">
        <v>776.9</v>
      </c>
    </row>
    <row r="29" spans="1:6" x14ac:dyDescent="0.2">
      <c r="A29" t="s">
        <v>340</v>
      </c>
      <c r="B29" s="92">
        <v>2516.1999999999998</v>
      </c>
      <c r="C29" s="92">
        <v>2706.4</v>
      </c>
      <c r="D29" s="92">
        <v>2370.8000000000002</v>
      </c>
      <c r="E29" s="92">
        <v>2295.8000000000002</v>
      </c>
      <c r="F29" s="92">
        <v>1855.2</v>
      </c>
    </row>
    <row r="31" spans="1:6" x14ac:dyDescent="0.2">
      <c r="A31" t="s">
        <v>343</v>
      </c>
      <c r="B31">
        <f>B32/B33</f>
        <v>1.3702026735661923E-2</v>
      </c>
      <c r="C31">
        <f t="shared" ref="C31:F31" si="5">C32/C33</f>
        <v>0.29375381130760514</v>
      </c>
      <c r="D31">
        <f t="shared" si="5"/>
        <v>8.3473932849670987E-2</v>
      </c>
      <c r="E31">
        <f t="shared" si="5"/>
        <v>0.39458321016848952</v>
      </c>
      <c r="F31">
        <f t="shared" si="5"/>
        <v>0.40632700103330421</v>
      </c>
    </row>
    <row r="32" spans="1:6" x14ac:dyDescent="0.2">
      <c r="A32" t="s">
        <v>344</v>
      </c>
      <c r="B32">
        <v>254.2</v>
      </c>
      <c r="C32">
        <v>674.4</v>
      </c>
      <c r="D32">
        <v>197.9</v>
      </c>
      <c r="E32">
        <v>1067.9000000000001</v>
      </c>
      <c r="F32">
        <v>1022.4</v>
      </c>
    </row>
    <row r="33" spans="1:6" x14ac:dyDescent="0.2">
      <c r="A33" t="s">
        <v>340</v>
      </c>
      <c r="B33">
        <v>18552</v>
      </c>
      <c r="C33">
        <v>2295.8000000000002</v>
      </c>
      <c r="D33">
        <v>2370.8000000000002</v>
      </c>
      <c r="E33">
        <v>2706.4</v>
      </c>
      <c r="F33">
        <v>2516.1999999999998</v>
      </c>
    </row>
    <row r="35" spans="1:6" x14ac:dyDescent="0.2">
      <c r="A35" t="s">
        <v>345</v>
      </c>
      <c r="B35">
        <f>B36+B37-B38</f>
        <v>-7.0900000000000034</v>
      </c>
      <c r="C35">
        <f t="shared" ref="C35:F35" si="6">C36+C37-C38</f>
        <v>-10.429999999999996</v>
      </c>
      <c r="D35">
        <f t="shared" si="6"/>
        <v>-17.560000000000002</v>
      </c>
      <c r="E35">
        <f t="shared" si="6"/>
        <v>-1.1099999999999994</v>
      </c>
      <c r="F35">
        <f t="shared" si="6"/>
        <v>3.0799999999999983</v>
      </c>
    </row>
    <row r="36" spans="1:6" x14ac:dyDescent="0.2">
      <c r="A36" t="s">
        <v>346</v>
      </c>
      <c r="B36">
        <v>26.77</v>
      </c>
      <c r="C36">
        <v>27.5</v>
      </c>
      <c r="D36">
        <v>33.49</v>
      </c>
      <c r="E36">
        <v>41.92</v>
      </c>
      <c r="F36">
        <v>42.3</v>
      </c>
    </row>
    <row r="37" spans="1:6" x14ac:dyDescent="0.2">
      <c r="A37" t="s">
        <v>347</v>
      </c>
      <c r="B37">
        <v>1.74</v>
      </c>
      <c r="C37">
        <v>1.98</v>
      </c>
      <c r="D37">
        <v>2.5099999999999998</v>
      </c>
      <c r="E37">
        <v>2.5099999999999998</v>
      </c>
      <c r="F37">
        <v>2.4900000000000002</v>
      </c>
    </row>
    <row r="38" spans="1:6" x14ac:dyDescent="0.2">
      <c r="A38" t="s">
        <v>348</v>
      </c>
      <c r="B38">
        <v>35.6</v>
      </c>
      <c r="C38">
        <v>39.909999999999997</v>
      </c>
      <c r="D38">
        <v>53.56</v>
      </c>
      <c r="E38">
        <v>45.54</v>
      </c>
      <c r="F38">
        <v>41.71</v>
      </c>
    </row>
    <row r="40" spans="1:6" x14ac:dyDescent="0.2">
      <c r="A40" t="s">
        <v>349</v>
      </c>
    </row>
    <row r="42" spans="1:6" x14ac:dyDescent="0.2">
      <c r="A42" t="s">
        <v>350</v>
      </c>
      <c r="B42">
        <f>(B43-B44)/B45</f>
        <v>4.3084393837910246</v>
      </c>
      <c r="C42">
        <f t="shared" ref="C42:F42" si="7">(C43-C44)/C45</f>
        <v>5.0232182218956645</v>
      </c>
      <c r="D42">
        <f t="shared" si="7"/>
        <v>5.1289955959653355</v>
      </c>
      <c r="E42">
        <f t="shared" si="7"/>
        <v>14.637507146941108</v>
      </c>
      <c r="F42">
        <f t="shared" si="7"/>
        <v>3.206927985414767</v>
      </c>
    </row>
    <row r="43" spans="1:6" x14ac:dyDescent="0.2">
      <c r="A43" t="s">
        <v>351</v>
      </c>
      <c r="B43">
        <v>4113.7</v>
      </c>
      <c r="C43">
        <v>4092.7</v>
      </c>
      <c r="D43">
        <v>3808.2</v>
      </c>
      <c r="E43">
        <v>3628</v>
      </c>
      <c r="F43">
        <v>3133.2</v>
      </c>
    </row>
    <row r="44" spans="1:6" x14ac:dyDescent="0.2">
      <c r="A44" t="s">
        <v>344</v>
      </c>
      <c r="B44">
        <v>254.2</v>
      </c>
      <c r="C44">
        <v>674.4</v>
      </c>
      <c r="D44">
        <v>197.9</v>
      </c>
      <c r="E44">
        <v>1067.9000000000001</v>
      </c>
      <c r="F44">
        <v>1022.4</v>
      </c>
    </row>
    <row r="45" spans="1:6" x14ac:dyDescent="0.2">
      <c r="A45" t="s">
        <v>352</v>
      </c>
      <c r="B45" s="92">
        <v>895.8</v>
      </c>
      <c r="C45" s="92">
        <v>680.5</v>
      </c>
      <c r="D45" s="92">
        <v>703.9</v>
      </c>
      <c r="E45" s="92">
        <v>174.9</v>
      </c>
      <c r="F45" s="92">
        <v>658.2</v>
      </c>
    </row>
    <row r="47" spans="1:6" x14ac:dyDescent="0.2">
      <c r="A47" t="s">
        <v>353</v>
      </c>
      <c r="B47">
        <f>(B48-B49)/(B50+B48)</f>
        <v>0.55581958005702936</v>
      </c>
      <c r="C47">
        <f t="shared" ref="C47:F47" si="8">(C48-C49)/(C50+C48)</f>
        <v>0.50465785782830141</v>
      </c>
      <c r="D47">
        <f t="shared" si="8"/>
        <v>0.53675978650332279</v>
      </c>
      <c r="E47">
        <f t="shared" si="8"/>
        <v>0.43290270215428317</v>
      </c>
      <c r="F47">
        <f t="shared" si="8"/>
        <v>0.30851981232734549</v>
      </c>
    </row>
    <row r="48" spans="1:6" x14ac:dyDescent="0.2">
      <c r="A48" t="s">
        <v>351</v>
      </c>
      <c r="B48">
        <v>4113.7</v>
      </c>
      <c r="C48">
        <v>4092.7</v>
      </c>
      <c r="D48">
        <v>3808.2</v>
      </c>
      <c r="E48">
        <v>3628</v>
      </c>
      <c r="F48">
        <v>3133.2</v>
      </c>
    </row>
    <row r="49" spans="1:6" x14ac:dyDescent="0.2">
      <c r="A49" t="s">
        <v>344</v>
      </c>
      <c r="B49">
        <v>254.2</v>
      </c>
      <c r="C49">
        <v>674.4</v>
      </c>
      <c r="D49">
        <v>197.9</v>
      </c>
      <c r="E49">
        <v>1067.9000000000001</v>
      </c>
      <c r="F49">
        <v>1022.4</v>
      </c>
    </row>
    <row r="50" spans="1:6" x14ac:dyDescent="0.2">
      <c r="A50" t="s">
        <v>354</v>
      </c>
      <c r="B50" s="92">
        <v>2830.1</v>
      </c>
      <c r="C50" s="92">
        <v>2680.8</v>
      </c>
      <c r="D50" s="92">
        <v>2917.9</v>
      </c>
      <c r="E50" s="92">
        <v>2285.8000000000002</v>
      </c>
      <c r="F50" s="92">
        <v>3708.5</v>
      </c>
    </row>
    <row r="52" spans="1:6" x14ac:dyDescent="0.2">
      <c r="A52" t="s">
        <v>355</v>
      </c>
      <c r="B52">
        <f>(B53/(B53+B54))</f>
        <v>0.59242777729773322</v>
      </c>
      <c r="C52">
        <f t="shared" ref="C52:F52" si="9">(C53/(C53+C54))</f>
        <v>0.60422233704879302</v>
      </c>
      <c r="D52">
        <f t="shared" si="9"/>
        <v>0.56618248316260533</v>
      </c>
      <c r="E52">
        <f t="shared" si="9"/>
        <v>0.61348033413372116</v>
      </c>
      <c r="F52">
        <f t="shared" si="9"/>
        <v>0.45795635587646344</v>
      </c>
    </row>
    <row r="53" spans="1:6" x14ac:dyDescent="0.2">
      <c r="A53" t="s">
        <v>351</v>
      </c>
      <c r="B53">
        <v>4113.7</v>
      </c>
      <c r="C53">
        <v>4092.7</v>
      </c>
      <c r="D53">
        <v>3808.2</v>
      </c>
      <c r="E53">
        <v>3628</v>
      </c>
      <c r="F53">
        <v>3133.2</v>
      </c>
    </row>
    <row r="54" spans="1:6" x14ac:dyDescent="0.2">
      <c r="A54" t="s">
        <v>354</v>
      </c>
      <c r="B54" s="92">
        <v>2830.1</v>
      </c>
      <c r="C54" s="92">
        <v>2680.8</v>
      </c>
      <c r="D54" s="92">
        <v>2917.9</v>
      </c>
      <c r="E54" s="92">
        <v>2285.8000000000002</v>
      </c>
      <c r="F54" s="92">
        <v>3708.5</v>
      </c>
    </row>
    <row r="56" spans="1:6" x14ac:dyDescent="0.2">
      <c r="A56" s="55" t="s">
        <v>356</v>
      </c>
    </row>
    <row r="57" spans="1:6" x14ac:dyDescent="0.2">
      <c r="A57" t="s">
        <v>351</v>
      </c>
      <c r="B57">
        <v>4113.7</v>
      </c>
      <c r="C57">
        <v>4092.7</v>
      </c>
      <c r="D57">
        <v>3808.2</v>
      </c>
      <c r="E57">
        <v>3628</v>
      </c>
      <c r="F57">
        <v>3133.2</v>
      </c>
    </row>
    <row r="58" spans="1:6" x14ac:dyDescent="0.2">
      <c r="A58" t="s">
        <v>354</v>
      </c>
      <c r="B58" s="92">
        <v>2830.1</v>
      </c>
      <c r="C58" s="92">
        <v>2680.8</v>
      </c>
      <c r="D58" s="92">
        <v>2917.9</v>
      </c>
      <c r="E58" s="92">
        <v>2285.8000000000002</v>
      </c>
      <c r="F58" s="92">
        <v>3708.5</v>
      </c>
    </row>
    <row r="60" spans="1:6" x14ac:dyDescent="0.2">
      <c r="A60" t="s">
        <v>357</v>
      </c>
    </row>
    <row r="61" spans="1:6" x14ac:dyDescent="0.2">
      <c r="A61" t="s">
        <v>351</v>
      </c>
      <c r="B61">
        <v>4113.7</v>
      </c>
      <c r="C61">
        <v>4092.7</v>
      </c>
      <c r="D61">
        <v>3808.2</v>
      </c>
      <c r="E61">
        <v>3628</v>
      </c>
      <c r="F61">
        <v>3133.2</v>
      </c>
    </row>
    <row r="62" spans="1:6" x14ac:dyDescent="0.2">
      <c r="A62" t="s">
        <v>354</v>
      </c>
      <c r="B62" s="92">
        <v>2830.1</v>
      </c>
      <c r="C62" s="92">
        <v>2680.8</v>
      </c>
      <c r="D62" s="92">
        <v>2917.9</v>
      </c>
      <c r="E62" s="92">
        <v>2285.8000000000002</v>
      </c>
      <c r="F62" s="92">
        <v>3708.5</v>
      </c>
    </row>
    <row r="64" spans="1:6" x14ac:dyDescent="0.2">
      <c r="A64" t="s">
        <v>358</v>
      </c>
      <c r="B64">
        <f>B65/B66</f>
        <v>3.862162162162162</v>
      </c>
      <c r="C64">
        <f t="shared" ref="C64:F64" si="10">C65/C66</f>
        <v>3.8392857142857144</v>
      </c>
      <c r="D64">
        <f t="shared" si="10"/>
        <v>3.7768595041322315</v>
      </c>
      <c r="E64">
        <f t="shared" si="10"/>
        <v>3.7099236641221376</v>
      </c>
      <c r="F64">
        <f t="shared" si="10"/>
        <v>3.6170212765957448</v>
      </c>
    </row>
    <row r="65" spans="1:6" x14ac:dyDescent="0.2">
      <c r="A65" t="s">
        <v>359</v>
      </c>
      <c r="B65">
        <v>10717.5</v>
      </c>
      <c r="C65">
        <v>10750</v>
      </c>
      <c r="D65">
        <v>11425</v>
      </c>
      <c r="E65">
        <v>12150</v>
      </c>
      <c r="F65">
        <v>12750</v>
      </c>
    </row>
    <row r="66" spans="1:6" x14ac:dyDescent="0.2">
      <c r="A66" t="s">
        <v>360</v>
      </c>
      <c r="B66">
        <v>2775</v>
      </c>
      <c r="C66">
        <v>2800</v>
      </c>
      <c r="D66">
        <v>3025</v>
      </c>
      <c r="E66">
        <v>3275</v>
      </c>
      <c r="F66">
        <v>3525</v>
      </c>
    </row>
    <row r="68" spans="1:6" x14ac:dyDescent="0.2">
      <c r="A68" t="s">
        <v>361</v>
      </c>
    </row>
    <row r="69" spans="1:6" x14ac:dyDescent="0.2">
      <c r="A69" t="s">
        <v>362</v>
      </c>
    </row>
    <row r="70" spans="1:6" x14ac:dyDescent="0.2">
      <c r="A70" t="s">
        <v>176</v>
      </c>
      <c r="B70">
        <v>4113.7</v>
      </c>
      <c r="C70">
        <v>4092.7</v>
      </c>
      <c r="D70">
        <v>3808.2</v>
      </c>
      <c r="E70">
        <v>3628</v>
      </c>
      <c r="F70">
        <v>3133.2</v>
      </c>
    </row>
    <row r="72" spans="1:6" x14ac:dyDescent="0.2">
      <c r="A72" t="s">
        <v>363</v>
      </c>
      <c r="B72">
        <f>B73/B74</f>
        <v>11.135931558935361</v>
      </c>
      <c r="C72">
        <f t="shared" ref="C72:F72" si="11">C73/C74</f>
        <v>6.2719797596457942</v>
      </c>
      <c r="D72">
        <f t="shared" si="11"/>
        <v>5.0713557594291538</v>
      </c>
      <c r="E72">
        <f t="shared" si="11"/>
        <v>2.2905500705218618</v>
      </c>
      <c r="F72">
        <f t="shared" si="11"/>
        <v>4.8231855820750118</v>
      </c>
    </row>
    <row r="73" spans="1:6" x14ac:dyDescent="0.2">
      <c r="A73" t="s">
        <v>352</v>
      </c>
      <c r="B73" s="92">
        <v>1171.5</v>
      </c>
      <c r="C73" s="92">
        <v>991.6</v>
      </c>
      <c r="D73" s="92">
        <v>995</v>
      </c>
      <c r="E73" s="92">
        <v>487.2</v>
      </c>
      <c r="F73" s="92">
        <v>990.2</v>
      </c>
    </row>
    <row r="74" spans="1:6" x14ac:dyDescent="0.2">
      <c r="A74" t="s">
        <v>364</v>
      </c>
      <c r="B74" s="92">
        <v>105.2</v>
      </c>
      <c r="C74" s="92">
        <v>158.1</v>
      </c>
      <c r="D74" s="92">
        <v>196.2</v>
      </c>
      <c r="E74" s="92">
        <v>212.7</v>
      </c>
      <c r="F74" s="92">
        <v>205.3</v>
      </c>
    </row>
    <row r="76" spans="1:6" x14ac:dyDescent="0.2">
      <c r="A76" t="s">
        <v>365</v>
      </c>
    </row>
    <row r="78" spans="1:6" ht="15" x14ac:dyDescent="0.25">
      <c r="A78" s="56" t="s">
        <v>366</v>
      </c>
      <c r="B78">
        <f>B79/B80*100</f>
        <v>34.189921856427482</v>
      </c>
      <c r="C78">
        <f t="shared" ref="C78:F78" si="12">C79/C80*100</f>
        <v>33.805201444938945</v>
      </c>
      <c r="D78">
        <f t="shared" si="12"/>
        <v>33.216047624734728</v>
      </c>
      <c r="E78">
        <f t="shared" si="12"/>
        <v>29.812029664580532</v>
      </c>
      <c r="F78">
        <f t="shared" si="12"/>
        <v>34.486687160549607</v>
      </c>
    </row>
    <row r="79" spans="1:6" ht="12.75" x14ac:dyDescent="0.2">
      <c r="A79" s="51" t="s">
        <v>367</v>
      </c>
      <c r="B79" s="92">
        <v>4458.3999999999996</v>
      </c>
      <c r="C79" s="92">
        <v>4033.4</v>
      </c>
      <c r="D79" s="92">
        <v>3615.6</v>
      </c>
      <c r="E79" s="92">
        <v>2729.5</v>
      </c>
      <c r="F79" s="92">
        <v>3511.4</v>
      </c>
    </row>
    <row r="80" spans="1:6" ht="12.75" x14ac:dyDescent="0.2">
      <c r="A80" s="51" t="s">
        <v>368</v>
      </c>
      <c r="B80" s="92">
        <v>13040.1</v>
      </c>
      <c r="C80" s="92">
        <v>11931.3</v>
      </c>
      <c r="D80" s="92">
        <v>10885.1</v>
      </c>
      <c r="E80" s="92">
        <v>9155.7000000000007</v>
      </c>
      <c r="F80" s="92">
        <v>10181.9</v>
      </c>
    </row>
    <row r="81" spans="1:6" ht="12.75" x14ac:dyDescent="0.2">
      <c r="A81" s="51" t="s">
        <v>369</v>
      </c>
    </row>
    <row r="83" spans="1:6" ht="12.75" x14ac:dyDescent="0.2">
      <c r="A83" s="51" t="s">
        <v>370</v>
      </c>
      <c r="B83">
        <f>B84/B85*100</f>
        <v>6.8695792210182436</v>
      </c>
      <c r="C83">
        <f t="shared" ref="C83:F83" si="13">C84/C85*100</f>
        <v>5.7034857894780959</v>
      </c>
      <c r="D83">
        <f t="shared" si="13"/>
        <v>6.4666378811402732</v>
      </c>
      <c r="E83">
        <f t="shared" si="13"/>
        <v>1.9102853959828303</v>
      </c>
      <c r="F83">
        <f t="shared" si="13"/>
        <v>6.464412339543701</v>
      </c>
    </row>
    <row r="84" spans="1:6" ht="12.75" x14ac:dyDescent="0.2">
      <c r="A84" s="51" t="s">
        <v>371</v>
      </c>
      <c r="B84" s="92">
        <v>895.8</v>
      </c>
      <c r="C84" s="92">
        <v>680.5</v>
      </c>
      <c r="D84" s="92">
        <v>703.9</v>
      </c>
      <c r="E84" s="92">
        <v>174.9</v>
      </c>
      <c r="F84" s="92">
        <v>658.2</v>
      </c>
    </row>
    <row r="85" spans="1:6" ht="12.75" x14ac:dyDescent="0.2">
      <c r="A85" s="51" t="s">
        <v>368</v>
      </c>
      <c r="B85" s="92">
        <v>13040.1</v>
      </c>
      <c r="C85" s="92">
        <v>11931.3</v>
      </c>
      <c r="D85" s="92">
        <v>10885.1</v>
      </c>
      <c r="E85" s="92">
        <v>9155.7000000000007</v>
      </c>
      <c r="F85" s="92">
        <v>10181.9</v>
      </c>
    </row>
    <row r="86" spans="1:6" ht="12.75" x14ac:dyDescent="0.2">
      <c r="A86" s="51" t="s">
        <v>369</v>
      </c>
    </row>
    <row r="88" spans="1:6" ht="12.75" x14ac:dyDescent="0.2">
      <c r="A88" s="51" t="s">
        <v>372</v>
      </c>
      <c r="B88">
        <f>B89/(B90-B91)*100</f>
        <v>14.528057087252675</v>
      </c>
      <c r="C88">
        <f t="shared" ref="C88:F88" si="14">C89/(C90-C91)*100</f>
        <v>10.647119566918047</v>
      </c>
      <c r="D88">
        <f t="shared" si="14"/>
        <v>9.9524927183779663</v>
      </c>
      <c r="E88">
        <f t="shared" si="14"/>
        <v>2.7579790589125777</v>
      </c>
      <c r="F88">
        <f t="shared" si="14"/>
        <v>7.8972943787869703</v>
      </c>
    </row>
    <row r="89" spans="1:6" ht="12.75" x14ac:dyDescent="0.2">
      <c r="A89" s="51" t="s">
        <v>371</v>
      </c>
      <c r="B89" s="92">
        <v>895.8</v>
      </c>
      <c r="C89" s="92">
        <v>680.5</v>
      </c>
      <c r="D89" s="92">
        <v>703.9</v>
      </c>
      <c r="E89" s="92">
        <v>174.9</v>
      </c>
      <c r="F89" s="92">
        <v>658.2</v>
      </c>
    </row>
    <row r="90" spans="1:6" ht="12.75" x14ac:dyDescent="0.2">
      <c r="A90" s="51" t="s">
        <v>145</v>
      </c>
      <c r="B90" s="92">
        <v>8682.2000000000007</v>
      </c>
      <c r="C90" s="92">
        <v>9097.7999999999993</v>
      </c>
      <c r="D90" s="92">
        <v>9443.4</v>
      </c>
      <c r="E90" s="92">
        <v>8637.4</v>
      </c>
      <c r="F90" s="92">
        <v>10189.700000000001</v>
      </c>
    </row>
    <row r="91" spans="1:6" ht="12.75" x14ac:dyDescent="0.2">
      <c r="A91" s="51" t="s">
        <v>373</v>
      </c>
      <c r="B91" s="92">
        <v>2516.1999999999998</v>
      </c>
      <c r="C91" s="92">
        <v>2706.4</v>
      </c>
      <c r="D91" s="92">
        <v>2370.8000000000002</v>
      </c>
      <c r="E91" s="92">
        <v>2295.8000000000002</v>
      </c>
      <c r="F91" s="92">
        <v>1855.2</v>
      </c>
    </row>
    <row r="92" spans="1:6" ht="12.75" x14ac:dyDescent="0.2">
      <c r="A92" s="51" t="s">
        <v>369</v>
      </c>
    </row>
    <row r="94" spans="1:6" x14ac:dyDescent="0.2">
      <c r="A94" t="s">
        <v>374</v>
      </c>
      <c r="B94">
        <f>B95/B96*100</f>
        <v>5.1571690401147228</v>
      </c>
      <c r="C94">
        <f t="shared" ref="C94:F94" si="15">C95/C96*100</f>
        <v>3.9869921969944597</v>
      </c>
      <c r="D94">
        <f t="shared" si="15"/>
        <v>3.5984970280475141</v>
      </c>
      <c r="E94">
        <f t="shared" si="15"/>
        <v>-2.2870998394442803</v>
      </c>
      <c r="F94">
        <f t="shared" si="15"/>
        <v>0.65999469647118914</v>
      </c>
    </row>
    <row r="95" spans="1:6" x14ac:dyDescent="0.2">
      <c r="A95" t="s">
        <v>375</v>
      </c>
      <c r="B95" s="92">
        <v>672.5</v>
      </c>
      <c r="C95" s="92">
        <v>475.7</v>
      </c>
      <c r="D95" s="92">
        <v>391.7</v>
      </c>
      <c r="E95" s="92">
        <v>-209.4</v>
      </c>
      <c r="F95" s="92">
        <v>67.2</v>
      </c>
    </row>
    <row r="96" spans="1:6" ht="12.75" x14ac:dyDescent="0.2">
      <c r="A96" s="51" t="s">
        <v>368</v>
      </c>
      <c r="B96" s="92">
        <v>13040.1</v>
      </c>
      <c r="C96" s="92">
        <v>11931.3</v>
      </c>
      <c r="D96" s="92">
        <v>10885.1</v>
      </c>
      <c r="E96" s="92">
        <v>9155.7000000000007</v>
      </c>
      <c r="F96" s="92">
        <v>10181.9</v>
      </c>
    </row>
    <row r="97" spans="1:6" ht="12.75" x14ac:dyDescent="0.2">
      <c r="A97" s="51" t="s">
        <v>369</v>
      </c>
    </row>
    <row r="99" spans="1:6" ht="12.75" x14ac:dyDescent="0.2">
      <c r="A99" s="51" t="s">
        <v>376</v>
      </c>
      <c r="B99">
        <f>B100/B101*100</f>
        <v>3.3067231079516257</v>
      </c>
      <c r="C99">
        <f t="shared" ref="C99:F99" si="16">C100/C101*100</f>
        <v>3.0457703686941073</v>
      </c>
      <c r="D99">
        <f t="shared" si="16"/>
        <v>2.8166943803915445</v>
      </c>
      <c r="E99">
        <f t="shared" si="16"/>
        <v>-2.1625872407352795</v>
      </c>
      <c r="F99">
        <f t="shared" si="16"/>
        <v>0.23276598670189255</v>
      </c>
    </row>
    <row r="100" spans="1:6" ht="12.75" x14ac:dyDescent="0.2">
      <c r="A100" s="51" t="s">
        <v>377</v>
      </c>
      <c r="B100" s="92">
        <v>431.2</v>
      </c>
      <c r="C100" s="92">
        <v>363.4</v>
      </c>
      <c r="D100" s="92">
        <v>306.60000000000002</v>
      </c>
      <c r="E100" s="92">
        <v>-198</v>
      </c>
      <c r="F100" s="92">
        <v>23.7</v>
      </c>
    </row>
    <row r="101" spans="1:6" ht="12.75" x14ac:dyDescent="0.2">
      <c r="A101" s="51" t="s">
        <v>368</v>
      </c>
      <c r="B101" s="92">
        <v>13040.1</v>
      </c>
      <c r="C101" s="92">
        <v>11931.3</v>
      </c>
      <c r="D101" s="92">
        <v>10885.1</v>
      </c>
      <c r="E101" s="92">
        <v>9155.7000000000007</v>
      </c>
      <c r="F101" s="92">
        <v>10181.9</v>
      </c>
    </row>
    <row r="102" spans="1:6" ht="12.75" x14ac:dyDescent="0.2">
      <c r="A102" s="51" t="s">
        <v>369</v>
      </c>
    </row>
    <row r="104" spans="1:6" x14ac:dyDescent="0.2">
      <c r="A104" t="s">
        <v>378</v>
      </c>
      <c r="B104">
        <f>B105/B106</f>
        <v>4.0233263354327031E-2</v>
      </c>
      <c r="C104">
        <f t="shared" ref="C104:E104" si="17">C105/C106</f>
        <v>3.3804651162790696E-2</v>
      </c>
      <c r="D104">
        <f t="shared" si="17"/>
        <v>2.6835886214442016E-2</v>
      </c>
      <c r="E104">
        <f t="shared" si="17"/>
        <v>-1.6296296296296295E-2</v>
      </c>
      <c r="F104">
        <f>F105/F106</f>
        <v>1.8588235294117645E-3</v>
      </c>
    </row>
    <row r="105" spans="1:6" ht="12.75" x14ac:dyDescent="0.2">
      <c r="A105" s="51" t="s">
        <v>377</v>
      </c>
      <c r="B105" s="92">
        <v>431.2</v>
      </c>
      <c r="C105" s="92">
        <v>363.4</v>
      </c>
      <c r="D105" s="92">
        <v>306.60000000000002</v>
      </c>
      <c r="E105" s="92">
        <v>-198</v>
      </c>
      <c r="F105" s="92">
        <v>23.7</v>
      </c>
    </row>
    <row r="106" spans="1:6" x14ac:dyDescent="0.2">
      <c r="A106" t="s">
        <v>359</v>
      </c>
      <c r="B106">
        <v>10717.5</v>
      </c>
      <c r="C106">
        <v>10750</v>
      </c>
      <c r="D106">
        <v>11425</v>
      </c>
      <c r="E106">
        <v>12150</v>
      </c>
      <c r="F106">
        <v>12750</v>
      </c>
    </row>
    <row r="108" spans="1:6" x14ac:dyDescent="0.2">
      <c r="A108" t="s">
        <v>379</v>
      </c>
      <c r="B108">
        <f>B109/B110</f>
        <v>0.15538738738738739</v>
      </c>
      <c r="C108">
        <f t="shared" ref="C108:F108" si="18">C109/C110</f>
        <v>0.12978571428571428</v>
      </c>
      <c r="D108">
        <f t="shared" si="18"/>
        <v>0.10135537190082645</v>
      </c>
      <c r="E108">
        <f t="shared" si="18"/>
        <v>-6.045801526717557E-2</v>
      </c>
      <c r="F108">
        <f t="shared" si="18"/>
        <v>6.7234042553191483E-3</v>
      </c>
    </row>
    <row r="109" spans="1:6" ht="12.75" x14ac:dyDescent="0.2">
      <c r="A109" s="51" t="s">
        <v>377</v>
      </c>
      <c r="B109" s="92">
        <v>431.2</v>
      </c>
      <c r="C109" s="92">
        <v>363.4</v>
      </c>
      <c r="D109" s="92">
        <v>306.60000000000002</v>
      </c>
      <c r="E109" s="92">
        <v>-198</v>
      </c>
      <c r="F109" s="92">
        <v>23.7</v>
      </c>
    </row>
    <row r="110" spans="1:6" x14ac:dyDescent="0.2">
      <c r="A110" t="s">
        <v>360</v>
      </c>
      <c r="B110">
        <v>2775</v>
      </c>
      <c r="C110">
        <v>2800</v>
      </c>
      <c r="D110">
        <v>3025</v>
      </c>
      <c r="E110">
        <v>3275</v>
      </c>
      <c r="F110">
        <v>3525</v>
      </c>
    </row>
    <row r="111" spans="1:6" ht="15" x14ac:dyDescent="0.25">
      <c r="A111" s="23" t="s">
        <v>498</v>
      </c>
      <c r="B111" s="21"/>
      <c r="C111" s="21"/>
      <c r="D111" s="21"/>
      <c r="E111" s="21"/>
      <c r="F111" s="21"/>
    </row>
    <row r="112" spans="1:6" ht="15" x14ac:dyDescent="0.25">
      <c r="A112" s="24" t="s">
        <v>301</v>
      </c>
      <c r="B112" s="20">
        <v>2023</v>
      </c>
      <c r="C112" s="20">
        <v>2022</v>
      </c>
      <c r="D112" s="20">
        <v>2021</v>
      </c>
      <c r="E112" s="20">
        <v>2020</v>
      </c>
      <c r="F112" s="20">
        <v>2019</v>
      </c>
    </row>
    <row r="113" spans="1:6" ht="15.75" thickBot="1" x14ac:dyDescent="0.3">
      <c r="A113" s="25" t="s">
        <v>302</v>
      </c>
      <c r="B113" s="26">
        <v>0.15658362989323843</v>
      </c>
      <c r="C113" s="26">
        <v>0.13001556322784921</v>
      </c>
      <c r="D113" s="26">
        <v>0.11799796024400104</v>
      </c>
      <c r="E113" s="26">
        <v>-6.6159886392114287E-2</v>
      </c>
      <c r="F113" s="26">
        <v>6.4010803511141117E-3</v>
      </c>
    </row>
    <row r="114" spans="1:6" ht="15.75" thickTop="1" x14ac:dyDescent="0.25">
      <c r="A114" s="24"/>
      <c r="B114" s="21"/>
      <c r="C114" s="21"/>
      <c r="D114" s="21"/>
      <c r="E114" s="21"/>
      <c r="F114" s="21"/>
    </row>
    <row r="115" spans="1:6" ht="15" x14ac:dyDescent="0.25">
      <c r="A115" s="23" t="s">
        <v>497</v>
      </c>
      <c r="B115" s="21"/>
      <c r="C115" s="21"/>
      <c r="D115" s="21"/>
      <c r="E115" s="21"/>
      <c r="F115" s="21"/>
    </row>
    <row r="116" spans="1:6" ht="15" x14ac:dyDescent="0.25">
      <c r="A116" s="24" t="s">
        <v>301</v>
      </c>
      <c r="B116" s="20">
        <v>2023</v>
      </c>
      <c r="C116" s="20">
        <v>2022</v>
      </c>
      <c r="D116" s="20">
        <v>2021</v>
      </c>
      <c r="E116" s="20">
        <v>2020</v>
      </c>
      <c r="F116" s="20">
        <v>2019</v>
      </c>
    </row>
    <row r="117" spans="1:6" ht="15" x14ac:dyDescent="0.25">
      <c r="A117" s="27" t="s">
        <v>303</v>
      </c>
      <c r="B117" s="28">
        <v>3.3067231079516257E-2</v>
      </c>
      <c r="C117" s="28">
        <v>3.0457703686941073E-2</v>
      </c>
      <c r="D117" s="28">
        <v>2.8166943803915444E-2</v>
      </c>
      <c r="E117" s="28">
        <v>-2.1625872407352795E-2</v>
      </c>
      <c r="F117" s="28">
        <v>2.3276598670189256E-3</v>
      </c>
    </row>
    <row r="118" spans="1:6" ht="15" x14ac:dyDescent="0.25">
      <c r="A118" s="27" t="s">
        <v>304</v>
      </c>
      <c r="B118" s="29">
        <v>1.3049613784907903</v>
      </c>
      <c r="C118" s="29">
        <v>1.3266857097932336</v>
      </c>
      <c r="D118" s="29">
        <v>1.4893598518119122</v>
      </c>
      <c r="E118" s="29">
        <v>1.882742619898037</v>
      </c>
      <c r="F118" s="29">
        <v>2.770709589662208</v>
      </c>
    </row>
    <row r="119" spans="1:6" ht="15" x14ac:dyDescent="0.25">
      <c r="A119" s="27" t="s">
        <v>305</v>
      </c>
      <c r="B119" s="28">
        <v>4.3151459452399038E-2</v>
      </c>
      <c r="C119" s="28">
        <v>4.0407800234581404E-2</v>
      </c>
      <c r="D119" s="28">
        <v>4.1950715249793963E-2</v>
      </c>
      <c r="E119" s="28">
        <v>-4.0715951673800072E-2</v>
      </c>
      <c r="F119" s="28">
        <v>6.4492695150211972E-3</v>
      </c>
    </row>
    <row r="120" spans="1:6" ht="15" x14ac:dyDescent="0.25">
      <c r="A120" s="27" t="s">
        <v>306</v>
      </c>
      <c r="B120" s="30">
        <v>2.9288666521644546</v>
      </c>
      <c r="C120" s="30">
        <v>3.0863613385906374</v>
      </c>
      <c r="D120" s="30">
        <v>3.2290303557889417</v>
      </c>
      <c r="E120" s="30">
        <v>2.7689771766694844</v>
      </c>
      <c r="F120" s="30">
        <v>2.0481983655274894</v>
      </c>
    </row>
    <row r="121" spans="1:6" ht="15.75" thickBot="1" x14ac:dyDescent="0.3">
      <c r="A121" s="25" t="s">
        <v>307</v>
      </c>
      <c r="B121" s="26">
        <v>0.12638487058235817</v>
      </c>
      <c r="C121" s="26">
        <v>0.12471307242150573</v>
      </c>
      <c r="D121" s="26">
        <v>0.13546013298864279</v>
      </c>
      <c r="E121" s="26">
        <v>-0.11274154091113009</v>
      </c>
      <c r="F121" s="26">
        <v>1.320938327951268E-2</v>
      </c>
    </row>
    <row r="122" spans="1:6" ht="15.75" thickTop="1" x14ac:dyDescent="0.25">
      <c r="A122" s="24"/>
      <c r="B122" s="21"/>
      <c r="C122" s="21"/>
      <c r="D122" s="21"/>
      <c r="E122" s="21"/>
      <c r="F122" s="21"/>
    </row>
    <row r="123" spans="1:6" ht="15" x14ac:dyDescent="0.25">
      <c r="A123" s="93" t="s">
        <v>496</v>
      </c>
      <c r="B123" s="21"/>
      <c r="C123" s="21"/>
      <c r="D123" s="21"/>
      <c r="E123" s="21"/>
      <c r="F123" s="21"/>
    </row>
    <row r="124" spans="1:6" ht="15" x14ac:dyDescent="0.25">
      <c r="A124" s="24" t="s">
        <v>301</v>
      </c>
      <c r="B124" s="20">
        <v>2023</v>
      </c>
      <c r="C124" s="20">
        <v>2022</v>
      </c>
      <c r="D124" s="20">
        <v>2021</v>
      </c>
      <c r="E124" s="20">
        <v>2020</v>
      </c>
      <c r="F124" s="20">
        <v>2019</v>
      </c>
    </row>
    <row r="125" spans="1:6" ht="15" x14ac:dyDescent="0.25">
      <c r="A125" s="32" t="s">
        <v>308</v>
      </c>
      <c r="B125" s="33">
        <v>6.1486055776892458E-2</v>
      </c>
      <c r="C125" s="33">
        <v>2.7493827160493839E-2</v>
      </c>
      <c r="D125" s="33">
        <v>5.9644809062244557E-2</v>
      </c>
      <c r="E125" s="33">
        <v>4.4265399769753418E-2</v>
      </c>
      <c r="F125" s="33">
        <v>5.0585651633174064E-2</v>
      </c>
    </row>
    <row r="126" spans="1:6" ht="15" x14ac:dyDescent="0.25">
      <c r="A126" s="24" t="s">
        <v>309</v>
      </c>
      <c r="B126" s="22">
        <v>2.3842722168507113</v>
      </c>
      <c r="C126" s="22">
        <v>2.5961871306042381</v>
      </c>
      <c r="D126" s="22">
        <v>2.4813403236637943</v>
      </c>
      <c r="E126" s="22">
        <v>2.8287350087662668</v>
      </c>
      <c r="F126" s="22">
        <v>10.161802610792385</v>
      </c>
    </row>
    <row r="127" spans="1:6" ht="15.75" thickBot="1" x14ac:dyDescent="0.3">
      <c r="A127" s="34" t="s">
        <v>310</v>
      </c>
      <c r="B127" s="35">
        <v>0.14659949451257787</v>
      </c>
      <c r="C127" s="35">
        <v>7.1379120245131364E-2</v>
      </c>
      <c r="D127" s="35">
        <v>0.14799906982337513</v>
      </c>
      <c r="E127" s="35">
        <v>0.12521508600573575</v>
      </c>
      <c r="F127" s="35">
        <v>0.51404140683462229</v>
      </c>
    </row>
    <row r="128" spans="1:6" ht="15.75" thickTop="1" x14ac:dyDescent="0.25">
      <c r="A128" s="24"/>
      <c r="B128" s="21"/>
      <c r="C128" s="21"/>
      <c r="D128" s="21"/>
      <c r="E128" s="21"/>
      <c r="F128" s="21"/>
    </row>
    <row r="129" spans="1:6" ht="15" x14ac:dyDescent="0.25">
      <c r="A129" s="32" t="s">
        <v>311</v>
      </c>
      <c r="B129" s="33">
        <v>0.14659949451257787</v>
      </c>
      <c r="C129" s="33">
        <v>7.1379120245131364E-2</v>
      </c>
      <c r="D129" s="33">
        <v>0.14799906982337513</v>
      </c>
      <c r="E129" s="33">
        <v>0.12521508600573575</v>
      </c>
      <c r="F129" s="33">
        <v>0.51404140683462229</v>
      </c>
    </row>
    <row r="130" spans="1:6" ht="15" x14ac:dyDescent="0.25">
      <c r="A130" s="24" t="s">
        <v>312</v>
      </c>
      <c r="B130" s="22">
        <v>0.83211318233572651</v>
      </c>
      <c r="C130" s="22">
        <v>0.79130567109668259</v>
      </c>
      <c r="D130" s="22">
        <v>0.86229744755812654</v>
      </c>
      <c r="E130" s="22">
        <v>0.96455526798947089</v>
      </c>
      <c r="F130" s="22">
        <v>0.99991686065846364</v>
      </c>
    </row>
    <row r="131" spans="1:6" ht="15" x14ac:dyDescent="0.25">
      <c r="A131" s="24" t="s">
        <v>313</v>
      </c>
      <c r="B131" s="36">
        <v>3.3176582686433316E-2</v>
      </c>
      <c r="C131" s="36">
        <v>6.1251276068251433E-3</v>
      </c>
      <c r="D131" s="36">
        <v>1.9535740370264522E-3</v>
      </c>
      <c r="E131" s="36">
        <v>1.3442755952195216E-2</v>
      </c>
      <c r="F131" s="36">
        <v>12.715999999999999</v>
      </c>
    </row>
    <row r="132" spans="1:6" ht="15" x14ac:dyDescent="0.25">
      <c r="A132" s="24" t="s">
        <v>314</v>
      </c>
      <c r="B132" s="22">
        <v>0.16788681766427349</v>
      </c>
      <c r="C132" s="22">
        <v>0.20869432890331741</v>
      </c>
      <c r="D132" s="22">
        <v>0.13770255244187346</v>
      </c>
      <c r="E132" s="22">
        <v>3.5444732010529112E-2</v>
      </c>
      <c r="F132" s="22">
        <v>8.3139341536364597E-5</v>
      </c>
    </row>
    <row r="133" spans="1:6" ht="15" x14ac:dyDescent="0.25">
      <c r="A133" s="27" t="s">
        <v>315</v>
      </c>
      <c r="B133" s="28">
        <v>0.12755728279587097</v>
      </c>
      <c r="C133" s="28">
        <v>5.7760982043218036E-2</v>
      </c>
      <c r="D133" s="28">
        <v>0.12788823228095605</v>
      </c>
      <c r="E133" s="28">
        <v>0.1212533457207956</v>
      </c>
      <c r="F133" s="28">
        <v>0.51505586963751204</v>
      </c>
    </row>
    <row r="134" spans="1:6" ht="15" x14ac:dyDescent="0.25">
      <c r="A134" s="24"/>
      <c r="B134" s="21"/>
      <c r="C134" s="21"/>
      <c r="D134" s="21"/>
      <c r="E134" s="21"/>
      <c r="F134" s="21"/>
    </row>
    <row r="135" spans="1:6" ht="15" x14ac:dyDescent="0.25">
      <c r="A135" s="37" t="s">
        <v>316</v>
      </c>
      <c r="B135" s="38">
        <v>9.9075078792505489E-2</v>
      </c>
      <c r="C135" s="38">
        <v>3.4153122937038663E-2</v>
      </c>
      <c r="D135" s="38">
        <v>0.10438379833992521</v>
      </c>
      <c r="E135" s="38">
        <v>7.9600215354619336E-2</v>
      </c>
      <c r="F135" s="39">
        <v>4.1322536304178759E-2</v>
      </c>
    </row>
    <row r="136" spans="1:6" ht="15" x14ac:dyDescent="0.25">
      <c r="A136" s="24" t="s">
        <v>317</v>
      </c>
      <c r="B136" s="22">
        <v>0.92645565948807196</v>
      </c>
      <c r="C136" s="22">
        <v>0.99312506318875748</v>
      </c>
      <c r="D136" s="22">
        <v>1.2476481985903232</v>
      </c>
      <c r="E136" s="22">
        <v>0.91069315300084519</v>
      </c>
      <c r="F136" s="22">
        <v>0.11701337295690939</v>
      </c>
    </row>
    <row r="137" spans="1:6" ht="15" x14ac:dyDescent="0.25">
      <c r="A137" s="24" t="s">
        <v>318</v>
      </c>
      <c r="B137" s="36">
        <v>9.1788667461543363E-2</v>
      </c>
      <c r="C137" s="36">
        <v>3.3918322374939927E-2</v>
      </c>
      <c r="D137" s="36">
        <v>0.13023425796082325</v>
      </c>
      <c r="E137" s="36">
        <v>7.2491371100844568E-2</v>
      </c>
      <c r="F137" s="36">
        <v>4.8352893520862972E-3</v>
      </c>
    </row>
    <row r="138" spans="1:6" ht="15" x14ac:dyDescent="0.25">
      <c r="A138" s="24"/>
      <c r="B138" s="21"/>
      <c r="C138" s="21"/>
      <c r="D138" s="21"/>
      <c r="E138" s="21"/>
      <c r="F138" s="21"/>
    </row>
    <row r="139" spans="1:6" ht="30.75" thickBot="1" x14ac:dyDescent="0.3">
      <c r="A139" s="40" t="s">
        <v>319</v>
      </c>
      <c r="B139" s="35">
        <v>0.21934595025741432</v>
      </c>
      <c r="C139" s="35">
        <v>9.167930441815797E-2</v>
      </c>
      <c r="D139" s="35">
        <v>0.2581224902417793</v>
      </c>
      <c r="E139" s="35">
        <v>0.19374471682164018</v>
      </c>
      <c r="F139" s="35">
        <v>0.51989115898959837</v>
      </c>
    </row>
    <row r="140" spans="1:6" ht="15.75" thickTop="1" x14ac:dyDescent="0.25">
      <c r="A140" s="24"/>
      <c r="B140" s="21"/>
      <c r="C140" s="21"/>
      <c r="D140" s="21"/>
      <c r="E140" s="21"/>
      <c r="F140" s="21"/>
    </row>
    <row r="141" spans="1:6" ht="15" x14ac:dyDescent="0.25">
      <c r="A141" s="93" t="s">
        <v>495</v>
      </c>
      <c r="B141" s="21"/>
      <c r="C141" s="21"/>
      <c r="D141" s="21"/>
      <c r="E141" s="21"/>
      <c r="F141" s="21"/>
    </row>
    <row r="142" spans="1:6" ht="15" x14ac:dyDescent="0.25">
      <c r="A142" s="24" t="s">
        <v>301</v>
      </c>
      <c r="B142" s="20">
        <v>2023</v>
      </c>
      <c r="C142" s="20">
        <v>2022</v>
      </c>
      <c r="D142" s="20">
        <v>2021</v>
      </c>
      <c r="E142" s="20">
        <v>2020</v>
      </c>
      <c r="F142" s="20">
        <v>2019</v>
      </c>
    </row>
    <row r="143" spans="1:6" ht="15.75" thickBot="1" x14ac:dyDescent="0.3">
      <c r="A143" s="41" t="s">
        <v>302</v>
      </c>
      <c r="B143" s="42">
        <v>0.21934595025741432</v>
      </c>
      <c r="C143" s="42">
        <v>9.1679304418157956E-2</v>
      </c>
      <c r="D143" s="42">
        <v>0.2581224902417793</v>
      </c>
      <c r="E143" s="42">
        <v>0.19374471682164013</v>
      </c>
      <c r="F143" s="42">
        <v>0.23281946508172377</v>
      </c>
    </row>
    <row r="144" spans="1:6" ht="15.75" thickTop="1" x14ac:dyDescent="0.25">
      <c r="A144" s="24"/>
      <c r="B144" s="21"/>
      <c r="C144" s="21"/>
      <c r="D144" s="21"/>
      <c r="E144" s="21"/>
      <c r="F144" s="21"/>
    </row>
    <row r="145" spans="1:6" ht="15" x14ac:dyDescent="0.25">
      <c r="A145" s="93" t="s">
        <v>494</v>
      </c>
      <c r="B145" s="21"/>
      <c r="C145" s="21"/>
      <c r="D145" s="21"/>
      <c r="E145" s="21"/>
      <c r="F145" s="21"/>
    </row>
    <row r="146" spans="1:6" ht="15" x14ac:dyDescent="0.25">
      <c r="A146" s="24" t="s">
        <v>301</v>
      </c>
      <c r="B146" s="20">
        <v>2023</v>
      </c>
      <c r="C146" s="20">
        <v>2022</v>
      </c>
      <c r="D146" s="20">
        <v>2021</v>
      </c>
      <c r="E146" s="20">
        <v>2020</v>
      </c>
      <c r="F146" s="20">
        <v>2019</v>
      </c>
    </row>
    <row r="147" spans="1:6" ht="15" x14ac:dyDescent="0.25">
      <c r="A147" s="32" t="s">
        <v>303</v>
      </c>
      <c r="B147" s="33">
        <v>5.7389489660406016E-2</v>
      </c>
      <c r="C147" s="33">
        <v>2.2390123456790135E-2</v>
      </c>
      <c r="D147" s="33">
        <v>5.3672778231928078E-2</v>
      </c>
      <c r="E147" s="33">
        <v>3.7163750749923022E-2</v>
      </c>
      <c r="F147" s="33">
        <v>4.1025724945997266E-2</v>
      </c>
    </row>
    <row r="148" spans="1:6" ht="15" x14ac:dyDescent="0.25">
      <c r="A148" s="24" t="s">
        <v>304</v>
      </c>
      <c r="B148" s="22">
        <v>1.3049613784907903</v>
      </c>
      <c r="C148" s="22">
        <v>1.3266857097932336</v>
      </c>
      <c r="D148" s="22">
        <v>1.4893598518119122</v>
      </c>
      <c r="E148" s="22">
        <v>1.882742619898037</v>
      </c>
      <c r="F148" s="22">
        <v>2.770709589662208</v>
      </c>
    </row>
    <row r="149" spans="1:6" ht="15" x14ac:dyDescent="0.25">
      <c r="A149" s="24" t="s">
        <v>305</v>
      </c>
      <c r="B149" s="36">
        <v>7.4891067538126396E-2</v>
      </c>
      <c r="C149" s="36">
        <v>2.9704656830629748E-2</v>
      </c>
      <c r="D149" s="36">
        <v>7.9938081033838024E-2</v>
      </c>
      <c r="E149" s="36">
        <v>6.9969777452147705E-2</v>
      </c>
      <c r="F149" s="36">
        <v>0.1136703695307187</v>
      </c>
    </row>
    <row r="150" spans="1:6" ht="15" x14ac:dyDescent="0.25">
      <c r="A150" s="24" t="s">
        <v>306</v>
      </c>
      <c r="B150" s="22">
        <v>2.9288666521644546</v>
      </c>
      <c r="C150" s="22">
        <v>3.0863613385906374</v>
      </c>
      <c r="D150" s="22">
        <v>3.2290303557889417</v>
      </c>
      <c r="E150" s="22">
        <v>2.7689771766694844</v>
      </c>
      <c r="F150" s="22">
        <v>2.0481983655274894</v>
      </c>
    </row>
    <row r="151" spans="1:6" ht="15.75" thickBot="1" x14ac:dyDescent="0.3">
      <c r="A151" s="34" t="s">
        <v>307</v>
      </c>
      <c r="B151" s="35">
        <v>0.21934595025741432</v>
      </c>
      <c r="C151" s="35">
        <v>9.1679304418157956E-2</v>
      </c>
      <c r="D151" s="35">
        <v>0.25812249024177925</v>
      </c>
      <c r="E151" s="35">
        <v>0.1937447168216401</v>
      </c>
      <c r="F151" s="35">
        <v>0.23281946508172377</v>
      </c>
    </row>
    <row r="152" spans="1:6" ht="15.75" thickTop="1" x14ac:dyDescent="0.25">
      <c r="A152" s="24"/>
      <c r="B152" s="21"/>
      <c r="C152" s="21"/>
      <c r="D152" s="21"/>
      <c r="E152" s="21"/>
      <c r="F152" s="21"/>
    </row>
    <row r="153" spans="1:6" ht="15" x14ac:dyDescent="0.25">
      <c r="A153" s="93" t="s">
        <v>493</v>
      </c>
      <c r="B153" s="21"/>
      <c r="C153" s="21"/>
      <c r="D153" s="21"/>
      <c r="E153" s="21"/>
      <c r="F153" s="21"/>
    </row>
    <row r="154" spans="1:6" ht="15" x14ac:dyDescent="0.25">
      <c r="A154" s="24" t="s">
        <v>301</v>
      </c>
      <c r="B154" s="20">
        <v>2023</v>
      </c>
      <c r="C154" s="20">
        <v>2022</v>
      </c>
      <c r="D154" s="20">
        <v>2021</v>
      </c>
      <c r="E154" s="20">
        <v>2020</v>
      </c>
      <c r="F154" s="20">
        <v>2019</v>
      </c>
    </row>
    <row r="155" spans="1:6" ht="15" x14ac:dyDescent="0.25">
      <c r="A155" s="32" t="s">
        <v>320</v>
      </c>
      <c r="B155" s="33">
        <v>6.1486055776892458E-2</v>
      </c>
      <c r="C155" s="33">
        <v>2.7493827160493839E-2</v>
      </c>
      <c r="D155" s="33">
        <v>5.9644809062244557E-2</v>
      </c>
      <c r="E155" s="33">
        <v>4.4265399769753418E-2</v>
      </c>
      <c r="F155" s="33">
        <v>5.0585651633174064E-2</v>
      </c>
    </row>
    <row r="156" spans="1:6" ht="15" x14ac:dyDescent="0.25">
      <c r="A156" s="24" t="s">
        <v>309</v>
      </c>
      <c r="B156" s="22">
        <v>2.3842722168507113</v>
      </c>
      <c r="C156" s="22">
        <v>2.5961871306042381</v>
      </c>
      <c r="D156" s="22">
        <v>2.4813403236637943</v>
      </c>
      <c r="E156" s="22">
        <v>2.8287350087662668</v>
      </c>
      <c r="F156" s="22">
        <v>5.0809013053961927</v>
      </c>
    </row>
    <row r="157" spans="1:6" ht="15" x14ac:dyDescent="0.25">
      <c r="A157" s="24" t="s">
        <v>321</v>
      </c>
      <c r="B157" s="36">
        <v>0.14659949451257787</v>
      </c>
      <c r="C157" s="36">
        <v>7.1379120245131364E-2</v>
      </c>
      <c r="D157" s="36">
        <v>0.14799906982337513</v>
      </c>
      <c r="E157" s="36">
        <v>0.12521508600573575</v>
      </c>
      <c r="F157" s="36">
        <v>0.25702070341731115</v>
      </c>
    </row>
    <row r="158" spans="1:6" ht="15" x14ac:dyDescent="0.25">
      <c r="A158" s="24"/>
      <c r="B158" s="21"/>
      <c r="C158" s="21"/>
      <c r="D158" s="21"/>
      <c r="E158" s="21"/>
      <c r="F158" s="21"/>
    </row>
    <row r="159" spans="1:6" ht="15" x14ac:dyDescent="0.25">
      <c r="A159" s="24" t="s">
        <v>322</v>
      </c>
      <c r="B159" s="36">
        <v>0.14659949451257787</v>
      </c>
      <c r="C159" s="36">
        <v>7.1379120245131364E-2</v>
      </c>
      <c r="D159" s="36">
        <v>0.14799906982337513</v>
      </c>
      <c r="E159" s="36">
        <v>0.12521508600573575</v>
      </c>
      <c r="F159" s="36">
        <v>0.25702070341731115</v>
      </c>
    </row>
    <row r="160" spans="1:6" ht="15" x14ac:dyDescent="0.25">
      <c r="A160" s="24" t="s">
        <v>312</v>
      </c>
      <c r="B160" s="22">
        <v>0.83211318233572651</v>
      </c>
      <c r="C160" s="22">
        <v>0.79130567109668259</v>
      </c>
      <c r="D160" s="22">
        <v>0.86229744755812654</v>
      </c>
      <c r="E160" s="22">
        <v>0.96455526798947089</v>
      </c>
      <c r="F160" s="22">
        <v>0.99991686065846364</v>
      </c>
    </row>
    <row r="161" spans="1:6" ht="15" x14ac:dyDescent="0.25">
      <c r="A161" s="43" t="s">
        <v>323</v>
      </c>
      <c r="B161" s="36">
        <v>3.3176582686433316E-2</v>
      </c>
      <c r="C161" s="36">
        <v>6.1251276068251433E-3</v>
      </c>
      <c r="D161" s="36">
        <v>1.9535740370264522E-3</v>
      </c>
      <c r="E161" s="36">
        <v>1.3442755952195216E-2</v>
      </c>
      <c r="F161" s="36">
        <v>12.715999999999999</v>
      </c>
    </row>
    <row r="162" spans="1:6" ht="15" x14ac:dyDescent="0.25">
      <c r="A162" s="43" t="s">
        <v>314</v>
      </c>
      <c r="B162" s="22">
        <v>0.16788681766427349</v>
      </c>
      <c r="C162" s="22">
        <v>0.20869432890331741</v>
      </c>
      <c r="D162" s="22">
        <v>0.13770255244187346</v>
      </c>
      <c r="E162" s="22">
        <v>3.5444732010529112E-2</v>
      </c>
      <c r="F162" s="22">
        <v>8.3139341536364597E-5</v>
      </c>
    </row>
    <row r="163" spans="1:6" ht="15" x14ac:dyDescent="0.25">
      <c r="A163" s="24" t="s">
        <v>324</v>
      </c>
      <c r="B163" s="36">
        <v>0.12755728279587097</v>
      </c>
      <c r="C163" s="36">
        <v>5.7760982043218036E-2</v>
      </c>
      <c r="D163" s="36">
        <v>0.12788823228095605</v>
      </c>
      <c r="E163" s="36">
        <v>0.1212533457207956</v>
      </c>
      <c r="F163" s="36">
        <v>0.25805653475224422</v>
      </c>
    </row>
    <row r="164" spans="1:6" ht="15" x14ac:dyDescent="0.25">
      <c r="A164" s="24"/>
      <c r="B164" s="21"/>
      <c r="C164" s="21"/>
      <c r="D164" s="21"/>
      <c r="E164" s="21"/>
      <c r="F164" s="21"/>
    </row>
    <row r="165" spans="1:6" ht="15" x14ac:dyDescent="0.25">
      <c r="A165" s="24" t="s">
        <v>316</v>
      </c>
      <c r="B165" s="36">
        <v>9.9075078792505489E-2</v>
      </c>
      <c r="C165" s="36">
        <v>3.4153122937038663E-2</v>
      </c>
      <c r="D165" s="36">
        <v>0.10438379833992521</v>
      </c>
      <c r="E165" s="36">
        <v>7.9600215354619336E-2</v>
      </c>
      <c r="F165" s="36">
        <v>-0.21567679858108907</v>
      </c>
    </row>
    <row r="166" spans="1:6" ht="15" x14ac:dyDescent="0.25">
      <c r="A166" s="24" t="s">
        <v>317</v>
      </c>
      <c r="B166" s="22">
        <v>0.92645565948807196</v>
      </c>
      <c r="C166" s="22">
        <v>0.99312506318875748</v>
      </c>
      <c r="D166" s="22">
        <v>1.2476481985903232</v>
      </c>
      <c r="E166" s="22">
        <v>0.91069315300084519</v>
      </c>
      <c r="F166" s="22">
        <v>0.11701337295690939</v>
      </c>
    </row>
    <row r="167" spans="1:6" ht="15" x14ac:dyDescent="0.25">
      <c r="A167" s="24" t="s">
        <v>318</v>
      </c>
      <c r="B167" s="36">
        <v>9.1788667461543363E-2</v>
      </c>
      <c r="C167" s="36">
        <v>3.3918322374939927E-2</v>
      </c>
      <c r="D167" s="36">
        <v>0.13023425796082325</v>
      </c>
      <c r="E167" s="36">
        <v>7.2491371100844568E-2</v>
      </c>
      <c r="F167" s="36">
        <v>-2.5237069670521202E-2</v>
      </c>
    </row>
    <row r="168" spans="1:6" ht="15" x14ac:dyDescent="0.25">
      <c r="A168" s="24"/>
      <c r="B168" s="21"/>
      <c r="C168" s="21"/>
      <c r="D168" s="21"/>
      <c r="E168" s="21"/>
      <c r="F168" s="21"/>
    </row>
    <row r="169" spans="1:6" ht="15.75" thickBot="1" x14ac:dyDescent="0.3">
      <c r="A169" s="40" t="s">
        <v>248</v>
      </c>
      <c r="B169" s="35">
        <v>2023</v>
      </c>
      <c r="C169" s="35">
        <v>2022</v>
      </c>
      <c r="D169" s="35">
        <v>2021</v>
      </c>
      <c r="E169" s="35">
        <v>2020</v>
      </c>
      <c r="F169" s="35">
        <v>2019</v>
      </c>
    </row>
    <row r="170" spans="1:6" ht="15.75" thickTop="1" x14ac:dyDescent="0.25">
      <c r="A170" s="24" t="s">
        <v>249</v>
      </c>
      <c r="B170" s="21">
        <v>0.05</v>
      </c>
      <c r="C170" s="21">
        <v>0.05</v>
      </c>
      <c r="D170" s="21">
        <v>0.05</v>
      </c>
      <c r="E170" s="21">
        <v>0.05</v>
      </c>
      <c r="F170" s="21">
        <v>0.05</v>
      </c>
    </row>
    <row r="171" spans="1:6" ht="15" x14ac:dyDescent="0.25">
      <c r="A171" s="31" t="s">
        <v>250</v>
      </c>
      <c r="B171" s="21">
        <v>0.36799999999999999</v>
      </c>
      <c r="C171" s="21">
        <v>0.23400000000000001</v>
      </c>
      <c r="D171" s="21">
        <v>0.21099999999999999</v>
      </c>
      <c r="E171" s="21">
        <v>0.39</v>
      </c>
      <c r="F171" s="21">
        <v>0.59199999999999997</v>
      </c>
    </row>
    <row r="172" spans="1:6" ht="15" x14ac:dyDescent="0.25">
      <c r="A172" s="32"/>
      <c r="B172" s="44"/>
      <c r="C172" s="44"/>
      <c r="D172" s="44"/>
      <c r="E172" s="44"/>
      <c r="F172" s="44"/>
    </row>
    <row r="173" spans="1:6" ht="15" x14ac:dyDescent="0.25">
      <c r="A173" s="45" t="s">
        <v>251</v>
      </c>
      <c r="B173" s="21">
        <v>2023</v>
      </c>
      <c r="C173" s="21">
        <v>2022</v>
      </c>
      <c r="D173" s="21">
        <v>2021</v>
      </c>
      <c r="E173" s="21">
        <v>2020</v>
      </c>
      <c r="F173" s="21">
        <v>2019</v>
      </c>
    </row>
    <row r="174" spans="1:6" ht="15" x14ac:dyDescent="0.25">
      <c r="A174" s="24" t="s">
        <v>37</v>
      </c>
      <c r="B174" s="36">
        <v>13040.1</v>
      </c>
      <c r="C174" s="36">
        <v>11931.3</v>
      </c>
      <c r="D174" s="36">
        <v>10885.1</v>
      </c>
      <c r="E174" s="36">
        <v>9155.7000000000007</v>
      </c>
      <c r="F174" s="36">
        <v>10181.9</v>
      </c>
    </row>
    <row r="175" spans="1:6" ht="15" x14ac:dyDescent="0.25">
      <c r="A175" s="46" t="s">
        <v>252</v>
      </c>
      <c r="B175" s="36">
        <v>291.40159999999997</v>
      </c>
      <c r="C175" s="36">
        <v>198.63339999999997</v>
      </c>
      <c r="D175" s="36">
        <v>137.28059999999999</v>
      </c>
      <c r="E175" s="36">
        <v>-337.995</v>
      </c>
      <c r="F175" s="36">
        <v>-71.894400000000019</v>
      </c>
    </row>
    <row r="176" spans="1:6" ht="15" x14ac:dyDescent="0.25">
      <c r="A176" s="46" t="s">
        <v>253</v>
      </c>
      <c r="B176" s="36">
        <v>431.2</v>
      </c>
      <c r="C176" s="36">
        <v>363.4</v>
      </c>
      <c r="D176" s="36">
        <v>306.60000000000002</v>
      </c>
      <c r="E176" s="36">
        <v>-198</v>
      </c>
      <c r="F176" s="36">
        <v>23.7</v>
      </c>
    </row>
    <row r="177" spans="1:6" ht="15" x14ac:dyDescent="0.25">
      <c r="A177" s="46" t="s">
        <v>254</v>
      </c>
      <c r="B177" s="36">
        <v>-36.655999999999999</v>
      </c>
      <c r="C177" s="36">
        <v>-21.831</v>
      </c>
      <c r="D177" s="36">
        <v>-7.2587999999999999</v>
      </c>
      <c r="E177" s="36">
        <v>-5.1239999999999997</v>
      </c>
      <c r="F177" s="36">
        <v>-5.9160000000000004</v>
      </c>
    </row>
    <row r="178" spans="1:6" ht="15" x14ac:dyDescent="0.25">
      <c r="A178" s="46" t="s">
        <v>255</v>
      </c>
      <c r="B178" s="36">
        <v>-103.14239999999999</v>
      </c>
      <c r="C178" s="36">
        <v>-142.93559999999999</v>
      </c>
      <c r="D178" s="36">
        <v>-162.06060000000002</v>
      </c>
      <c r="E178" s="36">
        <v>-134.87099999999998</v>
      </c>
      <c r="F178" s="36">
        <v>-89.678400000000011</v>
      </c>
    </row>
    <row r="179" spans="1:6" ht="15" x14ac:dyDescent="0.25">
      <c r="A179" s="46" t="s">
        <v>256</v>
      </c>
      <c r="B179" s="36">
        <v>291.40159999999997</v>
      </c>
      <c r="C179" s="36">
        <v>198.63339999999997</v>
      </c>
      <c r="D179" s="36">
        <v>137.28059999999999</v>
      </c>
      <c r="E179" s="36">
        <v>-337.995</v>
      </c>
      <c r="F179" s="36">
        <v>-71.894400000000019</v>
      </c>
    </row>
    <row r="180" spans="1:6" ht="15" x14ac:dyDescent="0.25">
      <c r="A180" s="46" t="s">
        <v>257</v>
      </c>
      <c r="B180" s="36">
        <v>0</v>
      </c>
      <c r="C180" s="36">
        <v>0</v>
      </c>
      <c r="D180" s="36">
        <v>0</v>
      </c>
      <c r="E180" s="36">
        <v>0</v>
      </c>
      <c r="F180" s="36">
        <v>0</v>
      </c>
    </row>
    <row r="181" spans="1:6" ht="15" x14ac:dyDescent="0.25">
      <c r="A181" s="46" t="s">
        <v>258</v>
      </c>
      <c r="B181" s="36">
        <v>0</v>
      </c>
      <c r="C181" s="36">
        <v>0</v>
      </c>
      <c r="D181" s="36">
        <v>0</v>
      </c>
      <c r="E181" s="36">
        <v>0</v>
      </c>
      <c r="F181" s="36">
        <v>0</v>
      </c>
    </row>
    <row r="182" spans="1:6" ht="15" x14ac:dyDescent="0.25">
      <c r="A182" s="47" t="s">
        <v>259</v>
      </c>
      <c r="B182" s="36">
        <v>0.63200000000000001</v>
      </c>
      <c r="C182" s="36">
        <v>0.76600000000000001</v>
      </c>
      <c r="D182" s="36">
        <v>0.78900000000000003</v>
      </c>
      <c r="E182" s="36">
        <v>0.61</v>
      </c>
      <c r="F182" s="36">
        <v>0.40800000000000003</v>
      </c>
    </row>
    <row r="183" spans="1:6" ht="15" x14ac:dyDescent="0.25">
      <c r="A183" s="46" t="s">
        <v>260</v>
      </c>
      <c r="B183" s="36">
        <v>0</v>
      </c>
      <c r="C183" s="36">
        <v>0</v>
      </c>
      <c r="D183" s="36">
        <v>0</v>
      </c>
      <c r="E183" s="36">
        <v>0</v>
      </c>
      <c r="F183" s="36">
        <v>0</v>
      </c>
    </row>
    <row r="184" spans="1:6" ht="15" x14ac:dyDescent="0.25">
      <c r="A184" s="46" t="s">
        <v>261</v>
      </c>
      <c r="B184" s="36">
        <v>36.655999999999999</v>
      </c>
      <c r="C184" s="36">
        <v>21.831</v>
      </c>
      <c r="D184" s="36">
        <v>7.2587999999999999</v>
      </c>
      <c r="E184" s="36">
        <v>5.1239999999999997</v>
      </c>
      <c r="F184" s="36">
        <v>5.9160000000000004</v>
      </c>
    </row>
    <row r="185" spans="1:6" ht="15" x14ac:dyDescent="0.25">
      <c r="A185" s="47" t="s">
        <v>262</v>
      </c>
      <c r="B185" s="36">
        <v>58</v>
      </c>
      <c r="C185" s="36">
        <v>28.5</v>
      </c>
      <c r="D185" s="36">
        <v>9.1999999999999993</v>
      </c>
      <c r="E185" s="36">
        <v>8.4</v>
      </c>
      <c r="F185" s="36">
        <v>14.5</v>
      </c>
    </row>
    <row r="186" spans="1:6" ht="15" x14ac:dyDescent="0.25">
      <c r="A186" s="46" t="s">
        <v>259</v>
      </c>
      <c r="B186" s="36">
        <v>0.63200000000000001</v>
      </c>
      <c r="C186" s="36">
        <v>0.76600000000000001</v>
      </c>
      <c r="D186" s="36">
        <v>0.78900000000000003</v>
      </c>
      <c r="E186" s="36">
        <v>0.61</v>
      </c>
      <c r="F186" s="36">
        <v>0.40800000000000003</v>
      </c>
    </row>
    <row r="187" spans="1:6" ht="15" x14ac:dyDescent="0.25">
      <c r="A187" s="46" t="s">
        <v>263</v>
      </c>
      <c r="B187" s="36">
        <v>36.655999999999999</v>
      </c>
      <c r="C187" s="36">
        <v>21.831</v>
      </c>
      <c r="D187" s="36">
        <v>7.2587999999999999</v>
      </c>
      <c r="E187" s="36">
        <v>5.1239999999999997</v>
      </c>
      <c r="F187" s="36">
        <v>5.9160000000000004</v>
      </c>
    </row>
    <row r="188" spans="1:6" ht="15" x14ac:dyDescent="0.25">
      <c r="A188" s="46" t="s">
        <v>264</v>
      </c>
      <c r="B188" s="36">
        <v>-103.14239999999999</v>
      </c>
      <c r="C188" s="36">
        <v>-142.93559999999999</v>
      </c>
      <c r="D188" s="36">
        <v>-162.06060000000002</v>
      </c>
      <c r="E188" s="36">
        <v>-134.87099999999998</v>
      </c>
      <c r="F188" s="36">
        <v>-89.678400000000011</v>
      </c>
    </row>
    <row r="189" spans="1:6" ht="15.75" thickBot="1" x14ac:dyDescent="0.3">
      <c r="A189" s="48" t="s">
        <v>265</v>
      </c>
      <c r="B189" s="35">
        <v>-163.19999999999999</v>
      </c>
      <c r="C189" s="35">
        <v>-186.6</v>
      </c>
      <c r="D189" s="35">
        <v>-205.4</v>
      </c>
      <c r="E189" s="35">
        <v>-221.1</v>
      </c>
      <c r="F189" s="35">
        <v>-219.8</v>
      </c>
    </row>
    <row r="190" spans="1:6" ht="15.75" thickTop="1" x14ac:dyDescent="0.25">
      <c r="A190" s="24" t="s">
        <v>259</v>
      </c>
      <c r="B190" s="21">
        <v>0.63200000000000001</v>
      </c>
      <c r="C190" s="21">
        <v>0.76600000000000001</v>
      </c>
      <c r="D190" s="21">
        <v>0.78900000000000003</v>
      </c>
      <c r="E190" s="21">
        <v>0.61</v>
      </c>
      <c r="F190" s="21">
        <v>0.40800000000000003</v>
      </c>
    </row>
    <row r="191" spans="1:6" ht="15" x14ac:dyDescent="0.25">
      <c r="A191" s="23" t="s">
        <v>266</v>
      </c>
      <c r="B191" s="21">
        <v>-103.14239999999999</v>
      </c>
      <c r="C191" s="21">
        <v>-142.93559999999999</v>
      </c>
      <c r="D191" s="21">
        <v>-162.06060000000002</v>
      </c>
      <c r="E191" s="21">
        <v>-134.87099999999998</v>
      </c>
      <c r="F191" s="21">
        <v>-89.678400000000011</v>
      </c>
    </row>
    <row r="192" spans="1:6" ht="15" x14ac:dyDescent="0.25">
      <c r="A192" s="32" t="s">
        <v>267</v>
      </c>
      <c r="B192" s="33">
        <v>431.2</v>
      </c>
      <c r="C192" s="33">
        <v>363.4</v>
      </c>
      <c r="D192" s="33">
        <v>306.60000000000002</v>
      </c>
      <c r="E192" s="33">
        <v>-198</v>
      </c>
      <c r="F192" s="33">
        <v>23.699999999999989</v>
      </c>
    </row>
    <row r="193" spans="1:6" ht="15" x14ac:dyDescent="0.25">
      <c r="A193" s="24"/>
      <c r="B193" s="36"/>
      <c r="C193" s="36"/>
      <c r="D193" s="36"/>
      <c r="E193" s="36"/>
      <c r="F193" s="36"/>
    </row>
    <row r="194" spans="1:6" ht="15" x14ac:dyDescent="0.25">
      <c r="A194" s="24" t="s">
        <v>268</v>
      </c>
      <c r="B194" s="36">
        <v>2023</v>
      </c>
      <c r="C194" s="36">
        <v>2022</v>
      </c>
      <c r="D194" s="36">
        <v>2021</v>
      </c>
      <c r="E194" s="36">
        <v>2020</v>
      </c>
      <c r="F194" s="36">
        <v>2019</v>
      </c>
    </row>
    <row r="195" spans="1:6" ht="15.75" thickBot="1" x14ac:dyDescent="0.3">
      <c r="A195" s="34" t="s">
        <v>269</v>
      </c>
      <c r="B195" s="35"/>
      <c r="C195" s="35"/>
      <c r="D195" s="35"/>
      <c r="E195" s="35"/>
      <c r="F195" s="35"/>
    </row>
    <row r="196" spans="1:6" ht="15.75" thickTop="1" x14ac:dyDescent="0.25">
      <c r="A196" s="24" t="s">
        <v>270</v>
      </c>
      <c r="B196" s="21">
        <v>652.00500000000011</v>
      </c>
      <c r="C196" s="21">
        <v>596.56499999999994</v>
      </c>
      <c r="D196" s="21">
        <v>544.255</v>
      </c>
      <c r="E196" s="21">
        <v>457.78500000000008</v>
      </c>
      <c r="F196" s="21">
        <v>254.2</v>
      </c>
    </row>
    <row r="197" spans="1:6" ht="15" x14ac:dyDescent="0.25">
      <c r="A197" s="31" t="s">
        <v>271</v>
      </c>
      <c r="B197" s="21">
        <v>225.9</v>
      </c>
      <c r="C197" s="21">
        <v>190.1</v>
      </c>
      <c r="D197" s="21">
        <v>140.30000000000001</v>
      </c>
      <c r="E197" s="21">
        <v>191.1</v>
      </c>
      <c r="F197" s="21">
        <v>232.5</v>
      </c>
    </row>
    <row r="198" spans="1:6" ht="15" x14ac:dyDescent="0.25">
      <c r="A198" s="24" t="s">
        <v>272</v>
      </c>
      <c r="B198" s="20">
        <v>776.9</v>
      </c>
      <c r="C198" s="20">
        <v>764.4</v>
      </c>
      <c r="D198" s="20">
        <v>706.1</v>
      </c>
      <c r="E198" s="20">
        <v>624.6</v>
      </c>
      <c r="F198" s="20">
        <v>564.1</v>
      </c>
    </row>
    <row r="199" spans="1:6" ht="15" x14ac:dyDescent="0.25">
      <c r="A199" s="32" t="s">
        <v>273</v>
      </c>
      <c r="B199" s="33">
        <v>11.5</v>
      </c>
      <c r="C199" s="33">
        <v>28.2</v>
      </c>
      <c r="D199" s="33">
        <v>52.4</v>
      </c>
      <c r="E199" s="33">
        <v>42</v>
      </c>
      <c r="F199" s="33">
        <v>79.3</v>
      </c>
    </row>
    <row r="200" spans="1:6" ht="15" x14ac:dyDescent="0.25">
      <c r="A200" s="24" t="s">
        <v>274</v>
      </c>
      <c r="B200" s="36">
        <v>-762.3</v>
      </c>
      <c r="C200" s="36">
        <v>-801.7</v>
      </c>
      <c r="D200" s="36">
        <v>-1066.7</v>
      </c>
      <c r="E200" s="36">
        <v>-863.5</v>
      </c>
      <c r="F200" s="36">
        <v>-837</v>
      </c>
    </row>
    <row r="201" spans="1:6" ht="15" x14ac:dyDescent="0.25">
      <c r="A201" s="24" t="s">
        <v>275</v>
      </c>
      <c r="B201" s="36">
        <v>-229.6</v>
      </c>
      <c r="C201" s="36">
        <v>-249.1</v>
      </c>
      <c r="D201" s="36">
        <v>-266.60000000000002</v>
      </c>
      <c r="E201" s="36">
        <v>-264.10000000000002</v>
      </c>
      <c r="F201" s="36">
        <v>-263.8</v>
      </c>
    </row>
    <row r="202" spans="1:6" ht="15" x14ac:dyDescent="0.25">
      <c r="A202" s="24" t="s">
        <v>276</v>
      </c>
      <c r="B202" s="22">
        <v>674.40500000000009</v>
      </c>
      <c r="C202" s="22">
        <v>528.46500000000003</v>
      </c>
      <c r="D202" s="22">
        <v>109.75500000000022</v>
      </c>
      <c r="E202" s="22">
        <v>187.8850000000001</v>
      </c>
      <c r="F202" s="22">
        <v>29.299999999999898</v>
      </c>
    </row>
    <row r="203" spans="1:6" ht="15" x14ac:dyDescent="0.25">
      <c r="A203" s="24" t="s">
        <v>277</v>
      </c>
      <c r="B203" s="22"/>
      <c r="C203" s="22"/>
      <c r="D203" s="22"/>
      <c r="E203" s="22"/>
      <c r="F203" s="22"/>
    </row>
    <row r="204" spans="1:6" ht="15" x14ac:dyDescent="0.25">
      <c r="A204" s="24" t="s">
        <v>278</v>
      </c>
      <c r="B204" s="22">
        <v>5190.0999999999995</v>
      </c>
      <c r="C204" s="22">
        <v>5203.7</v>
      </c>
      <c r="D204" s="22">
        <v>4902.3</v>
      </c>
      <c r="E204" s="22">
        <v>5058.6000000000004</v>
      </c>
      <c r="F204" s="22">
        <v>5494.2</v>
      </c>
    </row>
    <row r="205" spans="1:6" ht="15" x14ac:dyDescent="0.25">
      <c r="A205" s="24" t="s">
        <v>279</v>
      </c>
      <c r="B205" s="22">
        <v>179.5</v>
      </c>
      <c r="C205" s="22">
        <v>163.1</v>
      </c>
      <c r="D205" s="22">
        <v>192.5</v>
      </c>
      <c r="E205" s="22">
        <v>232</v>
      </c>
      <c r="F205" s="22">
        <v>399.1</v>
      </c>
    </row>
    <row r="206" spans="1:6" ht="15" x14ac:dyDescent="0.25">
      <c r="A206" s="24" t="s">
        <v>280</v>
      </c>
      <c r="B206" s="22"/>
      <c r="C206" s="22"/>
      <c r="D206" s="22"/>
      <c r="E206" s="22"/>
      <c r="F206" s="22"/>
    </row>
    <row r="207" spans="1:6" ht="15" x14ac:dyDescent="0.25">
      <c r="A207" s="24" t="s">
        <v>281</v>
      </c>
      <c r="B207" s="22">
        <v>-11.7</v>
      </c>
      <c r="C207" s="22">
        <v>-7.6</v>
      </c>
      <c r="D207" s="22" t="s">
        <v>8</v>
      </c>
      <c r="E207" s="22" t="s">
        <v>8</v>
      </c>
      <c r="F207" s="22" t="s">
        <v>8</v>
      </c>
    </row>
    <row r="208" spans="1:6" ht="15" x14ac:dyDescent="0.25">
      <c r="A208" s="24" t="s">
        <v>282</v>
      </c>
      <c r="B208" s="22">
        <v>0</v>
      </c>
      <c r="C208" s="22">
        <v>0</v>
      </c>
      <c r="D208" s="22">
        <v>0</v>
      </c>
      <c r="E208" s="22">
        <v>0</v>
      </c>
      <c r="F208" s="22">
        <v>0</v>
      </c>
    </row>
    <row r="209" spans="1:6" ht="15" x14ac:dyDescent="0.25">
      <c r="A209" s="24" t="s">
        <v>283</v>
      </c>
      <c r="B209" s="22">
        <v>5357.9</v>
      </c>
      <c r="C209" s="22">
        <v>5359.2</v>
      </c>
      <c r="D209" s="22">
        <v>5094.8</v>
      </c>
      <c r="E209" s="22">
        <v>5290.6</v>
      </c>
      <c r="F209" s="22">
        <v>5893.3</v>
      </c>
    </row>
    <row r="210" spans="1:6" ht="15" x14ac:dyDescent="0.25">
      <c r="A210" s="24" t="s">
        <v>284</v>
      </c>
      <c r="B210" s="22"/>
      <c r="C210" s="22"/>
      <c r="D210" s="22"/>
      <c r="E210" s="22"/>
      <c r="F210" s="22"/>
    </row>
    <row r="211" spans="1:6" ht="15.75" thickBot="1" x14ac:dyDescent="0.3">
      <c r="A211" s="34" t="s">
        <v>285</v>
      </c>
      <c r="B211" s="49">
        <v>370.39499999999987</v>
      </c>
      <c r="C211" s="49">
        <v>1076.25</v>
      </c>
      <c r="D211" s="49">
        <v>885.84999999999991</v>
      </c>
      <c r="E211" s="49">
        <v>157.53499999999997</v>
      </c>
      <c r="F211" s="49">
        <v>0</v>
      </c>
    </row>
    <row r="212" spans="1:6" ht="15.75" thickTop="1" x14ac:dyDescent="0.25">
      <c r="A212" s="24" t="s">
        <v>286</v>
      </c>
      <c r="B212" s="21">
        <v>0</v>
      </c>
      <c r="C212" s="21">
        <v>0</v>
      </c>
      <c r="D212" s="21">
        <v>0</v>
      </c>
      <c r="E212" s="21">
        <v>0</v>
      </c>
      <c r="F212" s="21">
        <v>0</v>
      </c>
    </row>
    <row r="213" spans="1:6" ht="15" x14ac:dyDescent="0.25">
      <c r="A213" s="31" t="s">
        <v>287</v>
      </c>
      <c r="B213" s="21">
        <v>7.6</v>
      </c>
      <c r="C213" s="21">
        <v>7.4</v>
      </c>
      <c r="D213" s="21">
        <v>8.8000000000000007</v>
      </c>
      <c r="E213" s="21">
        <v>9.1999999999999993</v>
      </c>
      <c r="F213" s="21">
        <v>5.9</v>
      </c>
    </row>
    <row r="214" spans="1:6" ht="15" x14ac:dyDescent="0.25">
      <c r="A214" s="24" t="s">
        <v>288</v>
      </c>
      <c r="B214" s="20">
        <v>377.99499999999989</v>
      </c>
      <c r="C214" s="20">
        <v>1083.6500000000001</v>
      </c>
      <c r="D214" s="20">
        <v>894.64999999999986</v>
      </c>
      <c r="E214" s="20">
        <v>166.73499999999996</v>
      </c>
      <c r="F214" s="20">
        <v>5.9</v>
      </c>
    </row>
    <row r="215" spans="1:6" ht="15" x14ac:dyDescent="0.25">
      <c r="A215" s="32" t="s">
        <v>289</v>
      </c>
      <c r="B215" s="50">
        <v>6410.2999999999993</v>
      </c>
      <c r="C215" s="50">
        <v>6971.3150000000005</v>
      </c>
      <c r="D215" s="50">
        <v>6099.2049999999999</v>
      </c>
      <c r="E215" s="50">
        <v>5645.22</v>
      </c>
      <c r="F215" s="50">
        <v>5928.5</v>
      </c>
    </row>
    <row r="216" spans="1:6" ht="15" x14ac:dyDescent="0.25">
      <c r="A216" s="24"/>
      <c r="B216" s="22"/>
      <c r="C216" s="22"/>
      <c r="D216" s="22"/>
      <c r="E216" s="22"/>
      <c r="F216" s="22"/>
    </row>
    <row r="217" spans="1:6" ht="15" x14ac:dyDescent="0.25">
      <c r="A217" s="24" t="s">
        <v>290</v>
      </c>
      <c r="B217" s="22"/>
      <c r="C217" s="22"/>
      <c r="D217" s="22"/>
      <c r="E217" s="22"/>
      <c r="F217" s="22"/>
    </row>
    <row r="218" spans="1:6" ht="15.75" thickBot="1" x14ac:dyDescent="0.3">
      <c r="A218" s="34" t="s">
        <v>291</v>
      </c>
      <c r="B218" s="49">
        <v>250.4</v>
      </c>
      <c r="C218" s="49">
        <v>444</v>
      </c>
      <c r="D218" s="49">
        <v>247.2</v>
      </c>
      <c r="E218" s="49">
        <v>432.8</v>
      </c>
      <c r="F218" s="49">
        <v>247.79999999999998</v>
      </c>
    </row>
    <row r="219" spans="1:6" ht="15.75" thickTop="1" x14ac:dyDescent="0.25">
      <c r="A219" s="24" t="s">
        <v>292</v>
      </c>
      <c r="B219" s="21">
        <v>2882.8</v>
      </c>
      <c r="C219" s="21">
        <v>3184</v>
      </c>
      <c r="D219" s="21">
        <v>3561</v>
      </c>
      <c r="E219" s="21">
        <v>3659.9</v>
      </c>
      <c r="F219" s="21">
        <v>3865.9</v>
      </c>
    </row>
    <row r="220" spans="1:6" ht="15" x14ac:dyDescent="0.25">
      <c r="A220" s="31" t="s">
        <v>293</v>
      </c>
      <c r="B220" s="21">
        <v>0</v>
      </c>
      <c r="C220" s="21">
        <v>0</v>
      </c>
      <c r="D220" s="21">
        <v>0</v>
      </c>
      <c r="E220" s="21">
        <v>0</v>
      </c>
      <c r="F220" s="21">
        <v>0</v>
      </c>
    </row>
    <row r="221" spans="1:6" ht="15" x14ac:dyDescent="0.25">
      <c r="A221" s="24" t="s">
        <v>294</v>
      </c>
      <c r="B221" s="20">
        <v>3133.2000000000003</v>
      </c>
      <c r="C221" s="20">
        <v>3628</v>
      </c>
      <c r="D221" s="20">
        <v>3808.2</v>
      </c>
      <c r="E221" s="20">
        <v>4092.7000000000003</v>
      </c>
      <c r="F221" s="20">
        <v>4113.7</v>
      </c>
    </row>
    <row r="222" spans="1:6" ht="15" x14ac:dyDescent="0.25">
      <c r="A222" s="32" t="s">
        <v>295</v>
      </c>
      <c r="B222" s="50"/>
      <c r="C222" s="50"/>
      <c r="D222" s="50"/>
      <c r="E222" s="50"/>
      <c r="F222" s="50"/>
    </row>
    <row r="223" spans="1:6" ht="15" x14ac:dyDescent="0.25">
      <c r="A223" s="24" t="s">
        <v>296</v>
      </c>
      <c r="B223" s="22">
        <v>2831.2000000000003</v>
      </c>
      <c r="C223" s="22">
        <v>2676.4</v>
      </c>
      <c r="D223" s="22">
        <v>2913.7</v>
      </c>
      <c r="E223" s="22">
        <v>2282.9999999999991</v>
      </c>
      <c r="F223" s="22">
        <v>3702.5</v>
      </c>
    </row>
    <row r="224" spans="1:6" ht="15.75" thickBot="1" x14ac:dyDescent="0.3">
      <c r="A224" s="34" t="s">
        <v>297</v>
      </c>
      <c r="B224" s="49">
        <v>0</v>
      </c>
      <c r="C224" s="49">
        <v>0</v>
      </c>
      <c r="D224" s="49">
        <v>0</v>
      </c>
      <c r="E224" s="49">
        <v>0</v>
      </c>
      <c r="F224" s="49">
        <v>0</v>
      </c>
    </row>
    <row r="225" spans="1:6" ht="15.75" thickTop="1" x14ac:dyDescent="0.25">
      <c r="A225" s="24" t="s">
        <v>298</v>
      </c>
      <c r="B225" s="21">
        <v>0</v>
      </c>
      <c r="C225" s="21">
        <v>0</v>
      </c>
      <c r="D225" s="21">
        <v>0</v>
      </c>
      <c r="E225" s="21">
        <v>0</v>
      </c>
      <c r="F225" s="21">
        <v>0</v>
      </c>
    </row>
    <row r="226" spans="1:6" ht="15" x14ac:dyDescent="0.25">
      <c r="A226" s="31" t="s">
        <v>299</v>
      </c>
      <c r="B226" s="21">
        <v>2831.2000000000003</v>
      </c>
      <c r="C226" s="21">
        <v>2676.4</v>
      </c>
      <c r="D226" s="21">
        <v>2913.7</v>
      </c>
      <c r="E226" s="21">
        <v>2282.9999999999991</v>
      </c>
      <c r="F226" s="21">
        <v>3702.5</v>
      </c>
    </row>
    <row r="227" spans="1:6" ht="15" x14ac:dyDescent="0.25">
      <c r="A227" s="24" t="s">
        <v>300</v>
      </c>
      <c r="B227" s="20">
        <v>5964.4000000000005</v>
      </c>
      <c r="C227" s="20">
        <v>6304.4</v>
      </c>
      <c r="D227" s="20">
        <v>6721.9</v>
      </c>
      <c r="E227" s="20">
        <v>6375.6999999999989</v>
      </c>
      <c r="F227" s="20">
        <v>7816.2</v>
      </c>
    </row>
    <row r="228" spans="1:6" ht="15" x14ac:dyDescent="0.25">
      <c r="A228" s="32" t="s">
        <v>325</v>
      </c>
      <c r="B228" s="33">
        <v>0.15658362989323843</v>
      </c>
      <c r="C228" s="33">
        <v>0.13001556322784921</v>
      </c>
      <c r="D228" s="33">
        <v>0.11799796024400104</v>
      </c>
      <c r="E228" s="33">
        <v>-6.6159886392114287E-2</v>
      </c>
      <c r="F228" s="33">
        <v>6.4010803511141117E-3</v>
      </c>
    </row>
    <row r="229" spans="1:6" ht="15" x14ac:dyDescent="0.25">
      <c r="A229" s="24" t="s">
        <v>326</v>
      </c>
      <c r="B229" s="36">
        <v>8.628099173553716E-2</v>
      </c>
      <c r="C229" s="36">
        <v>0.12174680194089099</v>
      </c>
      <c r="D229" s="36">
        <v>3.6335944299390764E-2</v>
      </c>
      <c r="E229" s="36">
        <v>5.2356020942408311E-3</v>
      </c>
      <c r="F229" s="36">
        <v>7.179896290386914E-2</v>
      </c>
    </row>
    <row r="230" spans="1:6" ht="15.75" thickBot="1" x14ac:dyDescent="0.3">
      <c r="A230" s="34" t="s">
        <v>327</v>
      </c>
      <c r="B230" s="35">
        <v>0.14307343901649952</v>
      </c>
      <c r="C230" s="35">
        <v>0.11418658420231487</v>
      </c>
      <c r="D230" s="35">
        <v>0.11371039293313329</v>
      </c>
      <c r="E230" s="35">
        <v>-6.5813499552364998E-2</v>
      </c>
      <c r="F230" s="35">
        <v>5.941489420439784E-3</v>
      </c>
    </row>
    <row r="231" spans="1:6" ht="12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1CEB-6D80-4E3B-A9C5-B18DA96B793B}">
  <dimension ref="A1:N31"/>
  <sheetViews>
    <sheetView workbookViewId="0">
      <selection activeCell="J20" sqref="J20:N31"/>
    </sheetView>
  </sheetViews>
  <sheetFormatPr defaultRowHeight="12.75" x14ac:dyDescent="0.2"/>
  <cols>
    <col min="1" max="1" width="23.28515625" style="21" bestFit="1" customWidth="1"/>
    <col min="2" max="8" width="9.140625" style="21"/>
    <col min="9" max="9" width="23.85546875" style="21" bestFit="1" customWidth="1"/>
    <col min="10" max="16384" width="9.140625" style="21"/>
  </cols>
  <sheetData>
    <row r="1" spans="1:14" x14ac:dyDescent="0.2">
      <c r="A1" s="64" t="s">
        <v>440</v>
      </c>
      <c r="B1" s="64"/>
      <c r="C1" s="64"/>
      <c r="D1" s="64"/>
      <c r="E1" s="64"/>
      <c r="F1" s="64"/>
      <c r="I1" s="65" t="s">
        <v>441</v>
      </c>
      <c r="J1" s="65"/>
      <c r="K1" s="65"/>
      <c r="L1" s="65"/>
      <c r="M1" s="65"/>
      <c r="N1" s="65"/>
    </row>
    <row r="2" spans="1:14" x14ac:dyDescent="0.2">
      <c r="B2" s="21">
        <v>2020</v>
      </c>
      <c r="C2" s="21">
        <v>2021</v>
      </c>
      <c r="D2" s="21">
        <v>2022</v>
      </c>
      <c r="E2" s="21">
        <v>2023</v>
      </c>
      <c r="F2" s="21">
        <v>2024</v>
      </c>
      <c r="J2" s="21">
        <v>2020</v>
      </c>
      <c r="K2" s="21">
        <v>2021</v>
      </c>
      <c r="L2" s="21">
        <v>2022</v>
      </c>
      <c r="M2" s="21">
        <v>2023</v>
      </c>
      <c r="N2" s="21">
        <v>2024</v>
      </c>
    </row>
    <row r="3" spans="1:14" x14ac:dyDescent="0.2">
      <c r="A3" s="21" t="s">
        <v>442</v>
      </c>
      <c r="B3" s="90">
        <v>34.5</v>
      </c>
      <c r="C3" s="90">
        <v>29.8</v>
      </c>
      <c r="D3" s="90">
        <v>33.200000000000003</v>
      </c>
      <c r="E3" s="90">
        <v>33.799999999999997</v>
      </c>
      <c r="F3" s="90">
        <v>34.200000000000003</v>
      </c>
      <c r="I3" s="21" t="s">
        <v>443</v>
      </c>
      <c r="J3" s="90">
        <v>6.6</v>
      </c>
      <c r="K3" s="90">
        <v>6.2</v>
      </c>
      <c r="L3" s="90">
        <v>6.9</v>
      </c>
      <c r="M3" s="90">
        <v>6.5</v>
      </c>
      <c r="N3" s="90">
        <v>6.8</v>
      </c>
    </row>
    <row r="4" spans="1:14" x14ac:dyDescent="0.2">
      <c r="A4" s="21" t="s">
        <v>444</v>
      </c>
      <c r="B4" s="90">
        <v>6.5</v>
      </c>
      <c r="C4" s="90">
        <v>1.9</v>
      </c>
      <c r="D4" s="90">
        <v>6.5</v>
      </c>
      <c r="E4" s="90">
        <v>5.7</v>
      </c>
      <c r="F4" s="90">
        <v>6.9</v>
      </c>
      <c r="I4" s="21" t="s">
        <v>445</v>
      </c>
      <c r="J4" s="90">
        <v>4.5</v>
      </c>
      <c r="K4" s="90">
        <v>3.1</v>
      </c>
      <c r="L4" s="90">
        <v>4.7</v>
      </c>
      <c r="M4" s="90">
        <v>4</v>
      </c>
      <c r="N4" s="90">
        <v>4.0999999999999996</v>
      </c>
    </row>
    <row r="5" spans="1:14" x14ac:dyDescent="0.2">
      <c r="A5" s="21" t="s">
        <v>446</v>
      </c>
      <c r="B5" s="90">
        <v>0.2</v>
      </c>
      <c r="C5" s="90">
        <v>-2.2000000000000002</v>
      </c>
      <c r="D5" s="90">
        <v>2.8</v>
      </c>
      <c r="E5" s="90">
        <v>3</v>
      </c>
      <c r="F5" s="90">
        <v>3.3</v>
      </c>
      <c r="I5" s="21" t="s">
        <v>447</v>
      </c>
      <c r="J5" s="90">
        <v>1.7</v>
      </c>
      <c r="K5" s="90">
        <v>10.3</v>
      </c>
      <c r="L5" s="90">
        <v>2.4</v>
      </c>
      <c r="M5" s="90">
        <v>1.1000000000000001</v>
      </c>
      <c r="N5" s="90">
        <v>1.7</v>
      </c>
    </row>
    <row r="6" spans="1:14" x14ac:dyDescent="0.2">
      <c r="A6" s="21" t="s">
        <v>448</v>
      </c>
      <c r="B6" s="90">
        <v>4.3</v>
      </c>
      <c r="C6" s="90">
        <v>1.2</v>
      </c>
      <c r="D6" s="90">
        <v>4.9000000000000004</v>
      </c>
      <c r="E6" s="90">
        <v>4.5999999999999996</v>
      </c>
      <c r="F6" s="90">
        <v>6.3</v>
      </c>
      <c r="I6" s="21" t="s">
        <v>449</v>
      </c>
      <c r="J6" s="90">
        <v>3</v>
      </c>
      <c r="K6" s="90">
        <v>2.2999999999999998</v>
      </c>
      <c r="L6" s="90">
        <v>3.8</v>
      </c>
      <c r="M6" s="90">
        <v>3.4</v>
      </c>
      <c r="N6" s="90">
        <v>3.8</v>
      </c>
    </row>
    <row r="7" spans="1:14" x14ac:dyDescent="0.2">
      <c r="A7" s="21" t="s">
        <v>450</v>
      </c>
      <c r="B7" s="90">
        <v>0.9</v>
      </c>
      <c r="C7" s="90">
        <v>-6.7</v>
      </c>
      <c r="D7" s="90">
        <v>11.9</v>
      </c>
      <c r="E7" s="90">
        <v>13</v>
      </c>
      <c r="F7" s="90">
        <v>15.4</v>
      </c>
      <c r="I7" s="21" t="s">
        <v>451</v>
      </c>
      <c r="J7" s="90">
        <v>5.5</v>
      </c>
      <c r="K7" s="90">
        <v>4.2</v>
      </c>
      <c r="L7" s="90">
        <v>11</v>
      </c>
      <c r="M7" s="90">
        <v>4.7</v>
      </c>
      <c r="N7" s="90">
        <v>14.8</v>
      </c>
    </row>
    <row r="8" spans="1:14" x14ac:dyDescent="0.2">
      <c r="A8" s="21" t="s">
        <v>452</v>
      </c>
      <c r="B8" s="90">
        <v>0.7</v>
      </c>
      <c r="C8" s="90">
        <v>0.7</v>
      </c>
      <c r="D8" s="90">
        <v>0.9</v>
      </c>
      <c r="E8" s="90">
        <v>0.8</v>
      </c>
      <c r="F8" s="90">
        <v>0.9</v>
      </c>
      <c r="I8" s="21" t="s">
        <v>453</v>
      </c>
      <c r="J8" s="90">
        <v>0.7</v>
      </c>
      <c r="K8" s="90">
        <v>0.7</v>
      </c>
      <c r="L8" s="90">
        <v>0.8</v>
      </c>
      <c r="M8" s="90">
        <v>0.7</v>
      </c>
      <c r="N8" s="90">
        <v>0.8</v>
      </c>
    </row>
    <row r="9" spans="1:14" x14ac:dyDescent="0.2">
      <c r="A9" s="21" t="s">
        <v>454</v>
      </c>
      <c r="B9" s="90">
        <v>0.3</v>
      </c>
      <c r="C9" s="90">
        <v>0.4</v>
      </c>
      <c r="D9" s="90">
        <v>0.6</v>
      </c>
      <c r="E9" s="90">
        <v>0.5</v>
      </c>
      <c r="F9" s="90">
        <v>0.5</v>
      </c>
      <c r="I9" s="21" t="s">
        <v>455</v>
      </c>
      <c r="J9" s="90">
        <v>0.6</v>
      </c>
      <c r="K9" s="90">
        <v>0.5</v>
      </c>
      <c r="L9" s="90">
        <v>0.6</v>
      </c>
      <c r="M9" s="90">
        <v>0.6</v>
      </c>
      <c r="N9" s="90">
        <v>0.3</v>
      </c>
    </row>
    <row r="10" spans="1:14" x14ac:dyDescent="0.2">
      <c r="A10" s="21" t="s">
        <v>456</v>
      </c>
      <c r="B10" s="90">
        <v>10.6</v>
      </c>
      <c r="C10" s="90">
        <v>10.8</v>
      </c>
      <c r="D10" s="90">
        <v>10.9</v>
      </c>
      <c r="E10" s="90">
        <v>10.7</v>
      </c>
      <c r="F10" s="90">
        <v>11.1</v>
      </c>
      <c r="I10" s="21" t="s">
        <v>457</v>
      </c>
      <c r="J10" s="90">
        <v>21.1</v>
      </c>
      <c r="K10" s="90">
        <v>23.9</v>
      </c>
      <c r="L10" s="90">
        <v>25.6</v>
      </c>
      <c r="M10" s="90">
        <v>24.9</v>
      </c>
      <c r="N10" s="90">
        <v>24.4</v>
      </c>
    </row>
    <row r="11" spans="1:14" x14ac:dyDescent="0.2">
      <c r="A11" s="21" t="s">
        <v>458</v>
      </c>
      <c r="B11" s="90">
        <v>1.1000000000000001</v>
      </c>
      <c r="C11" s="90">
        <v>1</v>
      </c>
      <c r="D11" s="90">
        <v>1.2</v>
      </c>
      <c r="E11" s="90">
        <v>1.3</v>
      </c>
      <c r="F11" s="90">
        <v>1.5</v>
      </c>
      <c r="I11" s="21" t="s">
        <v>459</v>
      </c>
      <c r="J11" s="90">
        <v>1.1000000000000001</v>
      </c>
      <c r="K11" s="90">
        <v>1.2</v>
      </c>
      <c r="L11" s="90">
        <v>1.3</v>
      </c>
      <c r="M11" s="90">
        <v>1.4</v>
      </c>
      <c r="N11" s="90">
        <v>1.5</v>
      </c>
    </row>
    <row r="12" spans="1:14" x14ac:dyDescent="0.2">
      <c r="A12" s="21" t="s">
        <v>460</v>
      </c>
      <c r="B12" s="90">
        <v>76.599999999999994</v>
      </c>
      <c r="C12" s="90">
        <v>72.400000000000006</v>
      </c>
      <c r="D12" s="90">
        <v>106.1</v>
      </c>
      <c r="E12" s="90">
        <v>107.1</v>
      </c>
      <c r="F12" s="90">
        <v>100</v>
      </c>
      <c r="I12" s="21" t="s">
        <v>461</v>
      </c>
      <c r="J12" s="90">
        <v>38.700000000000003</v>
      </c>
      <c r="K12" s="90">
        <v>43</v>
      </c>
      <c r="L12" s="90">
        <v>48</v>
      </c>
      <c r="M12" s="90">
        <v>51.8</v>
      </c>
      <c r="N12" s="90">
        <v>52.1</v>
      </c>
    </row>
    <row r="13" spans="1:14" x14ac:dyDescent="0.2">
      <c r="A13" s="21" t="s">
        <v>462</v>
      </c>
      <c r="B13" s="90">
        <v>110.9</v>
      </c>
      <c r="C13" s="90">
        <v>179</v>
      </c>
      <c r="D13" s="90">
        <v>130.5</v>
      </c>
      <c r="E13" s="90">
        <v>135.30000000000001</v>
      </c>
      <c r="F13" s="90">
        <v>110.7</v>
      </c>
      <c r="I13" s="21" t="s">
        <v>463</v>
      </c>
      <c r="J13" s="90">
        <v>133.1</v>
      </c>
      <c r="K13" s="90">
        <v>129.9</v>
      </c>
      <c r="L13" s="90">
        <v>98.2</v>
      </c>
      <c r="M13" s="90">
        <v>123.3</v>
      </c>
      <c r="N13" s="90">
        <v>127.2</v>
      </c>
    </row>
    <row r="14" spans="1:14" x14ac:dyDescent="0.2">
      <c r="A14" s="21" t="s">
        <v>464</v>
      </c>
      <c r="B14" s="90">
        <v>52.6</v>
      </c>
      <c r="C14" s="90">
        <v>64.2</v>
      </c>
      <c r="D14" s="90">
        <v>56.6</v>
      </c>
      <c r="E14" s="90">
        <v>57.5</v>
      </c>
      <c r="F14" s="90">
        <v>52.5</v>
      </c>
      <c r="I14" s="21" t="s">
        <v>465</v>
      </c>
      <c r="J14" s="90">
        <v>57.1</v>
      </c>
      <c r="K14" s="90">
        <v>56.5</v>
      </c>
      <c r="L14" s="90">
        <v>49.5</v>
      </c>
      <c r="M14" s="90">
        <v>55.2</v>
      </c>
      <c r="N14" s="90">
        <v>56</v>
      </c>
    </row>
    <row r="18" spans="1:14" x14ac:dyDescent="0.2">
      <c r="A18" s="66" t="s">
        <v>466</v>
      </c>
      <c r="B18" s="66"/>
      <c r="C18" s="66"/>
      <c r="D18" s="66"/>
      <c r="E18" s="66"/>
      <c r="F18" s="66"/>
      <c r="I18" s="67" t="s">
        <v>467</v>
      </c>
      <c r="J18" s="67"/>
      <c r="K18" s="67"/>
      <c r="L18" s="67"/>
      <c r="M18" s="67"/>
      <c r="N18" s="67"/>
    </row>
    <row r="19" spans="1:14" x14ac:dyDescent="0.2">
      <c r="B19" s="21">
        <v>2020</v>
      </c>
      <c r="C19" s="21">
        <v>2021</v>
      </c>
      <c r="D19" s="21">
        <v>2022</v>
      </c>
      <c r="E19" s="21">
        <v>2023</v>
      </c>
      <c r="F19" s="21">
        <v>2024</v>
      </c>
      <c r="J19" s="21">
        <v>2020</v>
      </c>
      <c r="K19" s="21">
        <v>2021</v>
      </c>
      <c r="L19" s="21">
        <v>2022</v>
      </c>
      <c r="M19" s="21">
        <v>2023</v>
      </c>
      <c r="N19" s="21">
        <v>2024</v>
      </c>
    </row>
    <row r="20" spans="1:14" x14ac:dyDescent="0.2">
      <c r="A20" s="21" t="s">
        <v>468</v>
      </c>
      <c r="B20" s="90">
        <v>39.4</v>
      </c>
      <c r="C20" s="90">
        <v>35.1</v>
      </c>
      <c r="D20" s="90">
        <v>42.9</v>
      </c>
      <c r="E20" s="90">
        <v>43.8</v>
      </c>
      <c r="F20" s="90">
        <v>44.7</v>
      </c>
      <c r="I20" s="21" t="s">
        <v>469</v>
      </c>
      <c r="J20" s="90">
        <v>7.9</v>
      </c>
      <c r="K20" s="90">
        <v>7.5</v>
      </c>
      <c r="L20" s="90">
        <v>7.9</v>
      </c>
      <c r="M20" s="90">
        <v>8.6</v>
      </c>
      <c r="N20" s="90">
        <v>9.1</v>
      </c>
    </row>
    <row r="21" spans="1:14" x14ac:dyDescent="0.2">
      <c r="A21" s="21" t="s">
        <v>470</v>
      </c>
      <c r="B21" s="90">
        <v>20.100000000000001</v>
      </c>
      <c r="C21" s="90">
        <v>9.9</v>
      </c>
      <c r="D21" s="90">
        <v>19.100000000000001</v>
      </c>
      <c r="E21" s="90">
        <v>18.7</v>
      </c>
      <c r="F21" s="90">
        <v>17.600000000000001</v>
      </c>
      <c r="I21" s="21" t="s">
        <v>471</v>
      </c>
      <c r="J21" s="90">
        <v>3.5</v>
      </c>
      <c r="K21" s="90">
        <v>2.5</v>
      </c>
      <c r="L21" s="90">
        <v>3.5</v>
      </c>
      <c r="M21" s="90">
        <v>4</v>
      </c>
      <c r="N21" s="90">
        <v>4.4000000000000004</v>
      </c>
    </row>
    <row r="22" spans="1:14" x14ac:dyDescent="0.2">
      <c r="A22" s="21" t="s">
        <v>472</v>
      </c>
      <c r="B22" s="90">
        <v>14.3</v>
      </c>
      <c r="C22" s="90">
        <v>8.1</v>
      </c>
      <c r="D22" s="90">
        <v>14.6</v>
      </c>
      <c r="E22" s="90">
        <v>14.1</v>
      </c>
      <c r="F22" s="90">
        <v>14.6</v>
      </c>
      <c r="I22" s="21" t="s">
        <v>473</v>
      </c>
      <c r="J22" s="90">
        <v>0.5</v>
      </c>
      <c r="K22" s="90">
        <v>-0.7</v>
      </c>
      <c r="L22" s="90">
        <v>2.2999999999999998</v>
      </c>
      <c r="M22" s="90">
        <v>0.7</v>
      </c>
      <c r="N22" s="90">
        <v>0.4</v>
      </c>
    </row>
    <row r="23" spans="1:14" x14ac:dyDescent="0.2">
      <c r="A23" s="21" t="s">
        <v>474</v>
      </c>
      <c r="B23" s="90">
        <v>14.4</v>
      </c>
      <c r="C23" s="90">
        <v>5.9</v>
      </c>
      <c r="D23" s="90">
        <v>14.2</v>
      </c>
      <c r="E23" s="90">
        <v>14.8</v>
      </c>
      <c r="F23" s="90">
        <v>13.9</v>
      </c>
      <c r="I23" s="21" t="s">
        <v>475</v>
      </c>
      <c r="J23" s="90">
        <v>2.2999999999999998</v>
      </c>
      <c r="K23" s="90">
        <v>1.7</v>
      </c>
      <c r="L23" s="90">
        <v>2.5</v>
      </c>
      <c r="M23" s="90">
        <v>2.9</v>
      </c>
      <c r="N23" s="90">
        <v>3.5</v>
      </c>
    </row>
    <row r="24" spans="1:14" x14ac:dyDescent="0.2">
      <c r="A24" s="21" t="s">
        <v>476</v>
      </c>
      <c r="B24" s="90">
        <v>151.1</v>
      </c>
      <c r="C24" s="90">
        <v>52</v>
      </c>
      <c r="D24" s="90">
        <v>81.099999999999994</v>
      </c>
      <c r="E24" s="90">
        <v>65.3</v>
      </c>
      <c r="F24" s="90">
        <v>57.1</v>
      </c>
      <c r="I24" s="21" t="s">
        <v>477</v>
      </c>
      <c r="J24" s="90">
        <v>2</v>
      </c>
      <c r="K24" s="90">
        <v>-2.8</v>
      </c>
      <c r="L24" s="90">
        <v>9</v>
      </c>
      <c r="M24" s="90">
        <v>2.6</v>
      </c>
      <c r="N24" s="90">
        <v>1.9</v>
      </c>
    </row>
    <row r="25" spans="1:14" x14ac:dyDescent="0.2">
      <c r="A25" s="21" t="s">
        <v>478</v>
      </c>
      <c r="B25" s="90">
        <v>2.1</v>
      </c>
      <c r="C25" s="90">
        <v>1.9</v>
      </c>
      <c r="D25" s="90">
        <v>2</v>
      </c>
      <c r="E25" s="90">
        <v>2</v>
      </c>
      <c r="F25" s="90">
        <v>2</v>
      </c>
      <c r="I25" s="21" t="s">
        <v>479</v>
      </c>
      <c r="J25" s="90">
        <v>0.6</v>
      </c>
      <c r="K25" s="90">
        <v>0.6</v>
      </c>
      <c r="L25" s="90">
        <v>0.7</v>
      </c>
      <c r="M25" s="90">
        <v>0.7</v>
      </c>
      <c r="N25" s="90">
        <v>0.7</v>
      </c>
    </row>
    <row r="26" spans="1:14" x14ac:dyDescent="0.2">
      <c r="A26" s="21" t="s">
        <v>480</v>
      </c>
      <c r="B26" s="90">
        <v>1.4</v>
      </c>
      <c r="C26" s="90">
        <v>1.4</v>
      </c>
      <c r="D26" s="90">
        <v>1.4</v>
      </c>
      <c r="E26" s="90">
        <v>1.3</v>
      </c>
      <c r="F26" s="90">
        <v>1.3</v>
      </c>
      <c r="I26" s="21" t="s">
        <v>481</v>
      </c>
      <c r="J26" s="90">
        <v>0.5</v>
      </c>
      <c r="K26" s="90">
        <v>0.5</v>
      </c>
      <c r="L26" s="90">
        <v>0.5</v>
      </c>
      <c r="M26" s="90">
        <v>0.5</v>
      </c>
      <c r="N26" s="90">
        <v>0.5</v>
      </c>
    </row>
    <row r="27" spans="1:14" x14ac:dyDescent="0.2">
      <c r="A27" s="21" t="s">
        <v>482</v>
      </c>
      <c r="B27" s="90">
        <v>5</v>
      </c>
      <c r="C27" s="90">
        <v>4.3</v>
      </c>
      <c r="D27" s="90">
        <v>4.5</v>
      </c>
      <c r="E27" s="90">
        <v>4.4000000000000004</v>
      </c>
      <c r="F27" s="90">
        <v>4.2</v>
      </c>
      <c r="I27" s="21" t="s">
        <v>483</v>
      </c>
      <c r="J27" s="90">
        <v>14.6</v>
      </c>
      <c r="K27" s="90">
        <v>16</v>
      </c>
      <c r="L27" s="90">
        <v>16.100000000000001</v>
      </c>
      <c r="M27" s="90">
        <v>15.6</v>
      </c>
      <c r="N27" s="90">
        <v>15.5</v>
      </c>
    </row>
    <row r="28" spans="1:14" x14ac:dyDescent="0.2">
      <c r="A28" s="21" t="s">
        <v>484</v>
      </c>
      <c r="B28" s="90">
        <v>1.2</v>
      </c>
      <c r="C28" s="90">
        <v>1</v>
      </c>
      <c r="D28" s="90">
        <v>1.2</v>
      </c>
      <c r="E28" s="90">
        <v>1.3</v>
      </c>
      <c r="F28" s="90">
        <v>1.3</v>
      </c>
      <c r="I28" s="21" t="s">
        <v>485</v>
      </c>
      <c r="J28" s="90">
        <v>1</v>
      </c>
      <c r="K28" s="90">
        <v>1.1000000000000001</v>
      </c>
      <c r="L28" s="90">
        <v>1.1000000000000001</v>
      </c>
      <c r="M28" s="90">
        <v>1.2</v>
      </c>
      <c r="N28" s="90">
        <v>1.3</v>
      </c>
    </row>
    <row r="29" spans="1:14" x14ac:dyDescent="0.2">
      <c r="A29" s="21" t="s">
        <v>486</v>
      </c>
      <c r="B29" s="90">
        <v>3.2</v>
      </c>
      <c r="C29" s="90">
        <v>2.9</v>
      </c>
      <c r="D29" s="90">
        <v>4.2</v>
      </c>
      <c r="E29" s="90">
        <v>4.0999999999999996</v>
      </c>
      <c r="F29" s="90">
        <v>4.2</v>
      </c>
      <c r="I29" s="21" t="s">
        <v>487</v>
      </c>
      <c r="J29" s="90">
        <v>200.2</v>
      </c>
      <c r="K29" s="90">
        <v>190.1</v>
      </c>
      <c r="L29" s="90">
        <v>190.7</v>
      </c>
      <c r="M29" s="90">
        <v>214.3</v>
      </c>
      <c r="N29" s="90">
        <v>240.3</v>
      </c>
    </row>
    <row r="30" spans="1:14" x14ac:dyDescent="0.2">
      <c r="A30" s="21" t="s">
        <v>488</v>
      </c>
      <c r="B30" s="90">
        <v>565.4</v>
      </c>
      <c r="C30" s="90">
        <v>370.3</v>
      </c>
      <c r="D30" s="90">
        <v>208.5</v>
      </c>
      <c r="E30" s="90">
        <v>165.3</v>
      </c>
      <c r="F30" s="90">
        <v>117.6</v>
      </c>
      <c r="I30" s="21" t="s">
        <v>489</v>
      </c>
      <c r="J30" s="90">
        <v>93.4</v>
      </c>
      <c r="K30" s="90">
        <v>105.6</v>
      </c>
      <c r="L30" s="90">
        <v>88</v>
      </c>
      <c r="M30" s="90">
        <v>98.5</v>
      </c>
      <c r="N30" s="90">
        <v>95.4</v>
      </c>
    </row>
    <row r="31" spans="1:14" x14ac:dyDescent="0.2">
      <c r="A31" s="21" t="s">
        <v>490</v>
      </c>
      <c r="B31" s="90">
        <v>85</v>
      </c>
      <c r="C31" s="90">
        <v>78.7</v>
      </c>
      <c r="D31" s="90">
        <v>67.599999999999994</v>
      </c>
      <c r="E31" s="90">
        <v>62.3</v>
      </c>
      <c r="F31" s="90">
        <v>54.1</v>
      </c>
      <c r="I31" s="21" t="s">
        <v>491</v>
      </c>
      <c r="J31" s="90">
        <v>48.3</v>
      </c>
      <c r="K31" s="90">
        <v>51.4</v>
      </c>
      <c r="L31" s="90">
        <v>46.8</v>
      </c>
      <c r="M31" s="90">
        <v>49.6</v>
      </c>
      <c r="N31" s="90">
        <v>48.8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0BA4-0FF8-4F99-B316-C6B96A1A799C}">
  <dimension ref="A1:F6"/>
  <sheetViews>
    <sheetView workbookViewId="0">
      <selection activeCell="B2" sqref="B2:F6"/>
    </sheetView>
  </sheetViews>
  <sheetFormatPr defaultRowHeight="11.25" x14ac:dyDescent="0.2"/>
  <cols>
    <col min="1" max="1" width="21.85546875" customWidth="1"/>
    <col min="2" max="2" width="15" customWidth="1"/>
    <col min="3" max="4" width="11.5703125" customWidth="1"/>
    <col min="5" max="5" width="10.42578125" customWidth="1"/>
  </cols>
  <sheetData>
    <row r="1" spans="1:6" x14ac:dyDescent="0.2">
      <c r="B1" s="57">
        <v>2024</v>
      </c>
      <c r="C1" s="57">
        <v>2025</v>
      </c>
      <c r="D1" s="57">
        <v>2026</v>
      </c>
      <c r="E1" s="57">
        <v>2027</v>
      </c>
      <c r="F1" s="57">
        <v>2028</v>
      </c>
    </row>
    <row r="2" spans="1:6" ht="15" x14ac:dyDescent="0.25">
      <c r="A2" s="56" t="s">
        <v>366</v>
      </c>
      <c r="B2" s="73">
        <f>'RATIOS '!B78</f>
        <v>34.189921856427482</v>
      </c>
      <c r="C2" s="73">
        <v>34.5</v>
      </c>
      <c r="D2" s="73">
        <v>35.1</v>
      </c>
      <c r="E2" s="73">
        <v>35.35</v>
      </c>
      <c r="F2" s="73">
        <v>35.35</v>
      </c>
    </row>
    <row r="3" spans="1:6" ht="12.75" x14ac:dyDescent="0.2">
      <c r="A3" s="51" t="s">
        <v>370</v>
      </c>
      <c r="B3" s="73">
        <f>'RATIOS '!B83</f>
        <v>6.8695792210182436</v>
      </c>
      <c r="C3" s="73">
        <v>7.16</v>
      </c>
      <c r="D3" s="73">
        <v>6.98</v>
      </c>
      <c r="E3" s="73">
        <v>6.98</v>
      </c>
      <c r="F3" s="73">
        <v>6.98</v>
      </c>
    </row>
    <row r="4" spans="1:6" x14ac:dyDescent="0.2">
      <c r="A4" t="s">
        <v>350</v>
      </c>
      <c r="B4" s="73">
        <f>'RATIOS '!B42</f>
        <v>4.3084393837910246</v>
      </c>
      <c r="C4" s="73">
        <v>4.04</v>
      </c>
      <c r="D4" s="73">
        <v>3.85</v>
      </c>
      <c r="E4" s="73">
        <v>3.5</v>
      </c>
      <c r="F4" s="73">
        <v>3.5</v>
      </c>
    </row>
    <row r="5" spans="1:6" x14ac:dyDescent="0.2">
      <c r="A5" t="s">
        <v>355</v>
      </c>
      <c r="B5" s="73">
        <f>'RATIOS '!B52</f>
        <v>0.59242777729773322</v>
      </c>
      <c r="C5" s="73">
        <v>0.56000000000000005</v>
      </c>
      <c r="D5" s="73">
        <v>0.52</v>
      </c>
      <c r="E5" s="73">
        <v>0.47</v>
      </c>
      <c r="F5" s="73">
        <v>0.47</v>
      </c>
    </row>
    <row r="6" spans="1:6" x14ac:dyDescent="0.2">
      <c r="A6" t="s">
        <v>380</v>
      </c>
      <c r="B6" s="73">
        <f>'Balance Sheet'!B35/'Income Statement'!B18</f>
        <v>5.3435173043151506E-2</v>
      </c>
      <c r="C6" s="73">
        <v>6.5000000000000002E-2</v>
      </c>
      <c r="D6" s="73">
        <v>6.8000000000000005E-2</v>
      </c>
      <c r="E6" s="73">
        <v>7.1999999999999995E-2</v>
      </c>
      <c r="F6" s="73">
        <v>7.1999999999999995E-2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C3FE-6F3C-435B-8554-1A2720F87D2E}">
  <dimension ref="A1:F47"/>
  <sheetViews>
    <sheetView topLeftCell="A9" workbookViewId="0">
      <selection activeCell="B37" sqref="B37:B47"/>
    </sheetView>
  </sheetViews>
  <sheetFormatPr defaultRowHeight="11.25" x14ac:dyDescent="0.2"/>
  <cols>
    <col min="1" max="1" width="37.140625" customWidth="1"/>
    <col min="2" max="2" width="16.5703125" customWidth="1"/>
    <col min="3" max="3" width="19" customWidth="1"/>
    <col min="4" max="4" width="20.28515625" customWidth="1"/>
    <col min="5" max="5" width="22.140625" customWidth="1"/>
    <col min="6" max="6" width="21.140625" customWidth="1"/>
  </cols>
  <sheetData>
    <row r="1" spans="1:6" x14ac:dyDescent="0.2">
      <c r="A1" s="3" t="s">
        <v>381</v>
      </c>
    </row>
    <row r="2" spans="1:6" x14ac:dyDescent="0.2">
      <c r="A2" t="s">
        <v>382</v>
      </c>
      <c r="B2" s="58">
        <v>0.02</v>
      </c>
    </row>
    <row r="3" spans="1:6" x14ac:dyDescent="0.2">
      <c r="A3" t="s">
        <v>383</v>
      </c>
      <c r="B3" s="59">
        <v>2008.51531</v>
      </c>
    </row>
    <row r="4" spans="1:6" x14ac:dyDescent="0.2">
      <c r="A4" t="s">
        <v>384</v>
      </c>
      <c r="B4" s="14">
        <v>1022.4</v>
      </c>
    </row>
    <row r="7" spans="1:6" x14ac:dyDescent="0.2">
      <c r="A7" s="3" t="s">
        <v>385</v>
      </c>
    </row>
    <row r="8" spans="1:6" x14ac:dyDescent="0.2">
      <c r="B8">
        <v>2025</v>
      </c>
      <c r="C8">
        <v>2026</v>
      </c>
      <c r="D8">
        <v>2027</v>
      </c>
      <c r="E8">
        <v>2028</v>
      </c>
      <c r="F8">
        <v>2029</v>
      </c>
    </row>
    <row r="9" spans="1:6" x14ac:dyDescent="0.2">
      <c r="A9" t="s">
        <v>386</v>
      </c>
      <c r="B9" s="73">
        <f>'Income Statement'!B58*1.02</f>
        <v>439.82400000000001</v>
      </c>
      <c r="C9" s="73">
        <f>B9*1.02</f>
        <v>448.62048000000004</v>
      </c>
      <c r="D9" s="73">
        <f>C9*1.02</f>
        <v>457.59288960000003</v>
      </c>
      <c r="E9" s="73">
        <f>D9*1.02</f>
        <v>466.74474739200002</v>
      </c>
      <c r="F9" s="73">
        <f>E9*1.02</f>
        <v>476.07964233984001</v>
      </c>
    </row>
    <row r="10" spans="1:6" x14ac:dyDescent="0.2">
      <c r="A10" t="s">
        <v>387</v>
      </c>
      <c r="B10" s="73">
        <f>'Income Statement'!B27*1.01</f>
        <v>613.27200000000005</v>
      </c>
      <c r="C10" s="73">
        <f t="shared" ref="C10:F11" si="0">B10*1.01</f>
        <v>619.40472</v>
      </c>
      <c r="D10" s="73">
        <f t="shared" si="0"/>
        <v>625.5987672</v>
      </c>
      <c r="E10" s="73">
        <f t="shared" si="0"/>
        <v>631.85475487200006</v>
      </c>
      <c r="F10" s="73">
        <f t="shared" si="0"/>
        <v>638.17330242072012</v>
      </c>
    </row>
    <row r="11" spans="1:6" x14ac:dyDescent="0.2">
      <c r="A11" t="s">
        <v>388</v>
      </c>
      <c r="B11" s="73">
        <f>'Cash Flow'!F35*-1.01</f>
        <v>363.09500000000003</v>
      </c>
      <c r="C11" s="73">
        <f t="shared" si="0"/>
        <v>366.72595000000001</v>
      </c>
      <c r="D11" s="73">
        <f t="shared" si="0"/>
        <v>370.39320950000001</v>
      </c>
      <c r="E11" s="73">
        <f t="shared" si="0"/>
        <v>374.09714159500004</v>
      </c>
      <c r="F11" s="73">
        <f t="shared" si="0"/>
        <v>377.83811301095005</v>
      </c>
    </row>
    <row r="12" spans="1:6" x14ac:dyDescent="0.2">
      <c r="A12" t="s">
        <v>389</v>
      </c>
      <c r="B12" s="73">
        <f>362.9*1.01</f>
        <v>366.529</v>
      </c>
      <c r="C12" s="73">
        <f>B12*1.01</f>
        <v>370.19429000000002</v>
      </c>
      <c r="D12" s="73">
        <f>1.01*C12</f>
        <v>373.89623290000003</v>
      </c>
      <c r="E12" s="73">
        <f>D12*1.01</f>
        <v>377.63519522900003</v>
      </c>
      <c r="F12" s="73">
        <f>E12*1.01</f>
        <v>381.41154718129002</v>
      </c>
    </row>
    <row r="13" spans="1:6" x14ac:dyDescent="0.2">
      <c r="B13" s="73"/>
      <c r="C13" s="73"/>
      <c r="D13" s="73"/>
      <c r="E13" s="73"/>
      <c r="F13" s="73"/>
    </row>
    <row r="14" spans="1:6" x14ac:dyDescent="0.2">
      <c r="A14" s="3" t="s">
        <v>390</v>
      </c>
      <c r="B14" s="79">
        <f>$B$9+B10-B11-B12</f>
        <v>323.47199999999998</v>
      </c>
      <c r="C14" s="79">
        <f t="shared" ref="C14:F14" si="1">C9+C10-C11-C12</f>
        <v>331.10496000000001</v>
      </c>
      <c r="D14" s="79">
        <f t="shared" si="1"/>
        <v>338.9022144000001</v>
      </c>
      <c r="E14" s="79">
        <f t="shared" si="1"/>
        <v>346.86716543999989</v>
      </c>
      <c r="F14" s="79">
        <f t="shared" si="1"/>
        <v>355.00328456832011</v>
      </c>
    </row>
    <row r="15" spans="1:6" x14ac:dyDescent="0.2">
      <c r="B15" s="73"/>
      <c r="C15" s="73"/>
      <c r="D15" s="73"/>
      <c r="E15" s="73"/>
      <c r="F15" s="73"/>
    </row>
    <row r="16" spans="1:6" x14ac:dyDescent="0.2">
      <c r="A16" t="s">
        <v>391</v>
      </c>
      <c r="B16" s="73">
        <f>'Balance Sheet'!B67</f>
        <v>2831.2</v>
      </c>
      <c r="C16" s="73"/>
      <c r="D16" s="73"/>
      <c r="E16" s="73"/>
      <c r="F16" s="73"/>
    </row>
    <row r="17" spans="1:6" x14ac:dyDescent="0.2">
      <c r="A17" t="s">
        <v>392</v>
      </c>
      <c r="B17" s="73">
        <v>2008.51531</v>
      </c>
      <c r="C17" s="73"/>
      <c r="D17" s="73"/>
      <c r="E17" s="73"/>
      <c r="F17" s="73"/>
    </row>
    <row r="18" spans="1:6" x14ac:dyDescent="0.2">
      <c r="A18" t="s">
        <v>393</v>
      </c>
      <c r="B18" s="73">
        <f>B16*B17</f>
        <v>5686508.5456719995</v>
      </c>
      <c r="C18" s="73"/>
      <c r="D18" s="73"/>
      <c r="E18" s="73"/>
      <c r="F18" s="73"/>
    </row>
    <row r="19" spans="1:6" x14ac:dyDescent="0.2">
      <c r="A19" t="s">
        <v>394</v>
      </c>
      <c r="B19" s="73">
        <f>ROUND('RATIOS '!B47*('Balance Sheet'!B42-'Balance Sheet'!B29),1)</f>
        <v>3628.9</v>
      </c>
      <c r="C19" s="73"/>
      <c r="D19" s="73"/>
      <c r="E19" s="73"/>
      <c r="F19" s="73"/>
    </row>
    <row r="20" spans="1:6" x14ac:dyDescent="0.2">
      <c r="A20" t="s">
        <v>395</v>
      </c>
      <c r="B20" s="73">
        <f>B18+B19</f>
        <v>5690137.4456719998</v>
      </c>
      <c r="C20" s="73"/>
      <c r="D20" s="73"/>
      <c r="E20" s="73"/>
      <c r="F20" s="73"/>
    </row>
    <row r="23" spans="1:6" x14ac:dyDescent="0.2">
      <c r="A23" s="3" t="s">
        <v>396</v>
      </c>
      <c r="B23">
        <v>2024</v>
      </c>
      <c r="C23">
        <v>2025</v>
      </c>
      <c r="D23">
        <v>2026</v>
      </c>
      <c r="E23">
        <v>2027</v>
      </c>
      <c r="F23">
        <v>2028</v>
      </c>
    </row>
    <row r="24" spans="1:6" x14ac:dyDescent="0.2">
      <c r="A24" t="s">
        <v>397</v>
      </c>
      <c r="B24" s="73">
        <f>1-$B$25</f>
        <v>6.3775260872833694E-4</v>
      </c>
      <c r="C24" s="73">
        <f t="shared" ref="C24:F24" si="2">1-$B$25</f>
        <v>6.3775260872833694E-4</v>
      </c>
      <c r="D24" s="73">
        <f t="shared" si="2"/>
        <v>6.3775260872833694E-4</v>
      </c>
      <c r="E24" s="73">
        <f t="shared" si="2"/>
        <v>6.3775260872833694E-4</v>
      </c>
      <c r="F24" s="73">
        <f t="shared" si="2"/>
        <v>6.3775260872833694E-4</v>
      </c>
    </row>
    <row r="25" spans="1:6" x14ac:dyDescent="0.2">
      <c r="A25" t="s">
        <v>398</v>
      </c>
      <c r="B25" s="91">
        <f>$B$18/$B$20</f>
        <v>0.99936224739127166</v>
      </c>
      <c r="C25" s="91">
        <f t="shared" ref="C25:F25" si="3">$B$18/$B$20</f>
        <v>0.99936224739127166</v>
      </c>
      <c r="D25" s="91">
        <f t="shared" si="3"/>
        <v>0.99936224739127166</v>
      </c>
      <c r="E25" s="91">
        <f t="shared" si="3"/>
        <v>0.99936224739127166</v>
      </c>
      <c r="F25" s="91">
        <f t="shared" si="3"/>
        <v>0.99936224739127166</v>
      </c>
    </row>
    <row r="27" spans="1:6" x14ac:dyDescent="0.2">
      <c r="A27" t="s">
        <v>399</v>
      </c>
      <c r="B27" s="73">
        <v>9.5</v>
      </c>
    </row>
    <row r="28" spans="1:6" x14ac:dyDescent="0.2">
      <c r="A28" t="s">
        <v>400</v>
      </c>
      <c r="B28" s="73">
        <v>5.25</v>
      </c>
    </row>
    <row r="29" spans="1:6" x14ac:dyDescent="0.2">
      <c r="A29" s="3" t="s">
        <v>401</v>
      </c>
      <c r="B29" s="73">
        <v>8.3000000000000007</v>
      </c>
    </row>
    <row r="31" spans="1:6" x14ac:dyDescent="0.2">
      <c r="B31">
        <v>2024</v>
      </c>
      <c r="C31">
        <v>2025</v>
      </c>
      <c r="D31">
        <v>2026</v>
      </c>
      <c r="E31">
        <v>2027</v>
      </c>
      <c r="F31">
        <v>2028</v>
      </c>
    </row>
    <row r="32" spans="1:6" x14ac:dyDescent="0.2">
      <c r="A32" t="s">
        <v>402</v>
      </c>
      <c r="B32" s="73">
        <v>323.47000000000003</v>
      </c>
      <c r="C32" s="73">
        <v>331.1</v>
      </c>
      <c r="D32" s="73">
        <v>338.9</v>
      </c>
      <c r="E32" s="73">
        <v>346.87</v>
      </c>
      <c r="F32" s="73">
        <v>355.01</v>
      </c>
    </row>
    <row r="33" spans="1:6" x14ac:dyDescent="0.2">
      <c r="A33" t="s">
        <v>403</v>
      </c>
      <c r="B33" s="73">
        <v>0.92300000000000004</v>
      </c>
      <c r="C33" s="73">
        <v>0.85199999999999998</v>
      </c>
      <c r="D33" s="73">
        <v>0.78700000000000003</v>
      </c>
      <c r="E33" s="73">
        <v>0.72599999999999998</v>
      </c>
      <c r="F33" s="73">
        <v>0.67100000000000004</v>
      </c>
    </row>
    <row r="34" spans="1:6" x14ac:dyDescent="0.2">
      <c r="A34" t="s">
        <v>404</v>
      </c>
      <c r="B34" s="73">
        <f>B32*B33</f>
        <v>298.56281000000001</v>
      </c>
      <c r="C34" s="73">
        <f t="shared" ref="C34:F34" si="4">C32*C33</f>
        <v>282.09719999999999</v>
      </c>
      <c r="D34" s="73">
        <f t="shared" si="4"/>
        <v>266.71429999999998</v>
      </c>
      <c r="E34" s="73">
        <f t="shared" si="4"/>
        <v>251.82762</v>
      </c>
      <c r="F34" s="73">
        <f t="shared" si="4"/>
        <v>238.21171000000001</v>
      </c>
    </row>
    <row r="35" spans="1:6" x14ac:dyDescent="0.2">
      <c r="A35" s="3" t="s">
        <v>405</v>
      </c>
      <c r="B35" s="73">
        <f>B34+C34+D34+E34+F34</f>
        <v>1337.41364</v>
      </c>
      <c r="C35" s="73"/>
      <c r="D35" s="73"/>
      <c r="E35" s="73"/>
      <c r="F35" s="73"/>
    </row>
    <row r="37" spans="1:6" x14ac:dyDescent="0.2">
      <c r="A37" t="s">
        <v>406</v>
      </c>
      <c r="B37" s="73">
        <f>(F14*(1+B2))/(B29-B2)</f>
        <v>43.732288678706098</v>
      </c>
    </row>
    <row r="38" spans="1:6" x14ac:dyDescent="0.2">
      <c r="A38" t="s">
        <v>407</v>
      </c>
      <c r="B38" s="73">
        <f>B37*F33</f>
        <v>29.344365703411793</v>
      </c>
    </row>
    <row r="39" spans="1:6" x14ac:dyDescent="0.2">
      <c r="A39" t="s">
        <v>408</v>
      </c>
      <c r="B39" s="73">
        <f>B35+B37</f>
        <v>1381.145928678706</v>
      </c>
    </row>
    <row r="40" spans="1:6" x14ac:dyDescent="0.2">
      <c r="B40" s="73"/>
    </row>
    <row r="41" spans="1:6" x14ac:dyDescent="0.2">
      <c r="A41" t="s">
        <v>409</v>
      </c>
      <c r="B41" s="68">
        <v>1022.4</v>
      </c>
    </row>
    <row r="42" spans="1:6" x14ac:dyDescent="0.2">
      <c r="A42" t="s">
        <v>410</v>
      </c>
      <c r="B42" s="73">
        <f>B19</f>
        <v>3628.9</v>
      </c>
    </row>
    <row r="43" spans="1:6" x14ac:dyDescent="0.2">
      <c r="A43" t="s">
        <v>411</v>
      </c>
      <c r="B43" s="73">
        <f>B39+B41+B42</f>
        <v>6032.445928678706</v>
      </c>
    </row>
    <row r="44" spans="1:6" x14ac:dyDescent="0.2">
      <c r="A44" t="s">
        <v>412</v>
      </c>
      <c r="B44" s="73">
        <v>2008.51531</v>
      </c>
    </row>
    <row r="45" spans="1:6" x14ac:dyDescent="0.2">
      <c r="B45" s="73"/>
    </row>
    <row r="46" spans="1:6" x14ac:dyDescent="0.2">
      <c r="B46" s="73"/>
    </row>
    <row r="47" spans="1:6" x14ac:dyDescent="0.2">
      <c r="A47" t="s">
        <v>413</v>
      </c>
      <c r="B47" s="73">
        <f>B43/B44</f>
        <v>3.0034353727075676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0FDF-AAF8-4E80-AF01-CCD92F9FD4B0}">
  <dimension ref="A1:G65"/>
  <sheetViews>
    <sheetView zoomScale="71" zoomScaleNormal="70" workbookViewId="0">
      <selection activeCell="C59" sqref="C59"/>
    </sheetView>
  </sheetViews>
  <sheetFormatPr defaultRowHeight="11.25" x14ac:dyDescent="0.2"/>
  <cols>
    <col min="1" max="2" width="24.7109375" customWidth="1"/>
    <col min="3" max="3" width="24.42578125" customWidth="1"/>
    <col min="4" max="4" width="21.85546875" customWidth="1"/>
    <col min="5" max="5" width="21.42578125" customWidth="1"/>
    <col min="6" max="6" width="23" customWidth="1"/>
    <col min="7" max="7" width="19" customWidth="1"/>
  </cols>
  <sheetData>
    <row r="1" spans="1:7" x14ac:dyDescent="0.2">
      <c r="A1" t="s">
        <v>414</v>
      </c>
    </row>
    <row r="3" spans="1:7" x14ac:dyDescent="0.2">
      <c r="A3" t="s">
        <v>415</v>
      </c>
      <c r="B3" s="54">
        <v>3.79</v>
      </c>
    </row>
    <row r="4" spans="1:7" x14ac:dyDescent="0.2">
      <c r="A4" t="s">
        <v>416</v>
      </c>
      <c r="B4" s="59">
        <v>2008.51531</v>
      </c>
    </row>
    <row r="5" spans="1:7" x14ac:dyDescent="0.2">
      <c r="A5" t="s">
        <v>411</v>
      </c>
      <c r="B5" s="53">
        <f>'DCF VALUATION'!B43</f>
        <v>6032.445928678706</v>
      </c>
    </row>
    <row r="6" spans="1:7" x14ac:dyDescent="0.2">
      <c r="A6" t="s">
        <v>417</v>
      </c>
      <c r="B6">
        <f>'DCF VALUATION'!B19</f>
        <v>3628.9</v>
      </c>
    </row>
    <row r="7" spans="1:7" x14ac:dyDescent="0.2">
      <c r="A7" t="s">
        <v>418</v>
      </c>
      <c r="B7">
        <f>'DCF VALUATION'!B4</f>
        <v>1022.4</v>
      </c>
    </row>
    <row r="10" spans="1:7" x14ac:dyDescent="0.2">
      <c r="A10" t="s">
        <v>414</v>
      </c>
      <c r="B10" s="53">
        <f>B5+B6-B7</f>
        <v>8638.945928678706</v>
      </c>
    </row>
    <row r="12" spans="1:7" x14ac:dyDescent="0.2">
      <c r="A12" t="s">
        <v>419</v>
      </c>
    </row>
    <row r="13" spans="1:7" x14ac:dyDescent="0.2">
      <c r="B13">
        <v>2024</v>
      </c>
      <c r="C13">
        <v>2025</v>
      </c>
      <c r="D13">
        <v>2026</v>
      </c>
      <c r="E13">
        <v>2027</v>
      </c>
      <c r="F13">
        <v>2028</v>
      </c>
      <c r="G13">
        <v>2029</v>
      </c>
    </row>
    <row r="15" spans="1:7" x14ac:dyDescent="0.2">
      <c r="A15" t="s">
        <v>420</v>
      </c>
      <c r="B15" s="73">
        <f>'Income Statement'!B18</f>
        <v>13040.1</v>
      </c>
      <c r="C15" s="73">
        <f t="shared" ref="C15:G16" si="0">B15*1.02</f>
        <v>13300.902</v>
      </c>
      <c r="D15" s="73">
        <f t="shared" si="0"/>
        <v>13566.920040000001</v>
      </c>
      <c r="E15" s="73">
        <f t="shared" si="0"/>
        <v>13838.2584408</v>
      </c>
      <c r="F15" s="73">
        <f t="shared" si="0"/>
        <v>14115.023609616001</v>
      </c>
      <c r="G15" s="73">
        <f t="shared" si="0"/>
        <v>14397.324081808321</v>
      </c>
    </row>
    <row r="16" spans="1:7" x14ac:dyDescent="0.2">
      <c r="A16" t="s">
        <v>421</v>
      </c>
      <c r="B16" s="73">
        <f>'Income Statement'!B32</f>
        <v>895.8</v>
      </c>
      <c r="C16" s="73">
        <f t="shared" si="0"/>
        <v>913.71600000000001</v>
      </c>
      <c r="D16" s="73">
        <f t="shared" si="0"/>
        <v>931.99032</v>
      </c>
      <c r="E16" s="73">
        <f t="shared" si="0"/>
        <v>950.63012639999999</v>
      </c>
      <c r="F16" s="73">
        <f t="shared" si="0"/>
        <v>969.642728928</v>
      </c>
      <c r="G16" s="73">
        <f t="shared" si="0"/>
        <v>989.03558350655999</v>
      </c>
    </row>
    <row r="17" spans="1:7" x14ac:dyDescent="0.2">
      <c r="A17" t="s">
        <v>422</v>
      </c>
      <c r="B17" s="73">
        <f>$B$10/B15</f>
        <v>0.66249077297556813</v>
      </c>
      <c r="C17" s="73">
        <f t="shared" ref="C17:G17" si="1">$B$10/C15</f>
        <v>0.64950075781918448</v>
      </c>
      <c r="D17" s="73">
        <f t="shared" si="1"/>
        <v>0.63676544884233766</v>
      </c>
      <c r="E17" s="73">
        <f t="shared" si="1"/>
        <v>0.62427985180621337</v>
      </c>
      <c r="F17" s="73">
        <f t="shared" si="1"/>
        <v>0.61203907039824845</v>
      </c>
      <c r="G17" s="73">
        <f t="shared" si="1"/>
        <v>0.60003830431200822</v>
      </c>
    </row>
    <row r="18" spans="1:7" x14ac:dyDescent="0.2">
      <c r="A18" t="s">
        <v>423</v>
      </c>
      <c r="B18" s="73">
        <f>$B$10/B16</f>
        <v>9.6438333653479642</v>
      </c>
      <c r="C18" s="73">
        <f t="shared" ref="C18:G18" si="2">$B$10/C16</f>
        <v>9.4547385934783961</v>
      </c>
      <c r="D18" s="73">
        <f t="shared" si="2"/>
        <v>9.2693515622337213</v>
      </c>
      <c r="E18" s="73">
        <f t="shared" si="2"/>
        <v>9.0875995708173747</v>
      </c>
      <c r="F18" s="73">
        <f t="shared" si="2"/>
        <v>8.9094113439386025</v>
      </c>
      <c r="G18" s="73">
        <f t="shared" si="2"/>
        <v>8.7347170038613751</v>
      </c>
    </row>
    <row r="19" spans="1:7" x14ac:dyDescent="0.2">
      <c r="B19" s="62"/>
      <c r="C19" s="53"/>
      <c r="D19" s="53"/>
      <c r="E19" s="53"/>
      <c r="F19" s="53"/>
      <c r="G19" s="53"/>
    </row>
    <row r="26" spans="1:7" ht="12.75" x14ac:dyDescent="0.2">
      <c r="A26" s="61"/>
      <c r="B26" s="52" t="s">
        <v>430</v>
      </c>
      <c r="C26" s="52" t="s">
        <v>408</v>
      </c>
      <c r="D26" t="s">
        <v>431</v>
      </c>
      <c r="E26" s="63" t="s">
        <v>432</v>
      </c>
    </row>
    <row r="27" spans="1:7" ht="12.75" x14ac:dyDescent="0.2">
      <c r="A27" s="61"/>
      <c r="B27" s="52"/>
      <c r="C27" s="52"/>
      <c r="D27" t="s">
        <v>102</v>
      </c>
      <c r="E27" s="60" t="s">
        <v>102</v>
      </c>
    </row>
    <row r="28" spans="1:7" ht="12.75" x14ac:dyDescent="0.2">
      <c r="A28" s="52" t="s">
        <v>424</v>
      </c>
      <c r="B28" s="52"/>
      <c r="C28" s="52"/>
    </row>
    <row r="29" spans="1:7" ht="12.75" x14ac:dyDescent="0.2">
      <c r="A29" s="60" t="s">
        <v>426</v>
      </c>
      <c r="B29" s="60">
        <v>1168.72</v>
      </c>
      <c r="C29" s="60">
        <v>13460</v>
      </c>
      <c r="D29" s="52" t="s">
        <v>433</v>
      </c>
      <c r="E29" s="51" t="s">
        <v>436</v>
      </c>
    </row>
    <row r="30" spans="1:7" ht="12.75" x14ac:dyDescent="0.2">
      <c r="A30" t="s">
        <v>427</v>
      </c>
      <c r="B30">
        <v>5970</v>
      </c>
      <c r="C30">
        <v>11670</v>
      </c>
      <c r="D30" s="51" t="s">
        <v>434</v>
      </c>
      <c r="E30" s="52" t="s">
        <v>437</v>
      </c>
    </row>
    <row r="31" spans="1:7" ht="12.75" x14ac:dyDescent="0.2">
      <c r="A31" t="s">
        <v>428</v>
      </c>
      <c r="B31">
        <v>23370</v>
      </c>
      <c r="C31">
        <v>26360</v>
      </c>
      <c r="D31" t="s">
        <v>435</v>
      </c>
      <c r="E31" s="51" t="s">
        <v>438</v>
      </c>
    </row>
    <row r="32" spans="1:7" ht="12.75" x14ac:dyDescent="0.2">
      <c r="A32" t="s">
        <v>429</v>
      </c>
      <c r="B32">
        <v>6990</v>
      </c>
      <c r="C32" s="53">
        <v>9090</v>
      </c>
      <c r="D32" s="52" t="s">
        <v>436</v>
      </c>
      <c r="E32" s="52" t="s">
        <v>439</v>
      </c>
    </row>
    <row r="33" spans="4:4" x14ac:dyDescent="0.2">
      <c r="D33" s="60"/>
    </row>
    <row r="65" spans="1:7" x14ac:dyDescent="0.2">
      <c r="A65" t="s">
        <v>425</v>
      </c>
      <c r="B65" s="53">
        <f>'Income Statement'!B55/B4</f>
        <v>0.21169866014115671</v>
      </c>
      <c r="C65" s="53">
        <f>'DCF VALUATION'!B9/B4</f>
        <v>0.21897966015504258</v>
      </c>
      <c r="D65">
        <f>'DCF VALUATION'!C9/'DCF VALUATION'!B3</f>
        <v>0.22335925335814347</v>
      </c>
      <c r="E65">
        <f>'DCF VALUATION'!D9/'DCF VALUATION'!B3</f>
        <v>0.22782643842530631</v>
      </c>
      <c r="F65">
        <f>'DCF VALUATION'!E9/'DCF VALUATION'!B3</f>
        <v>0.23238296719381243</v>
      </c>
      <c r="G65">
        <f>'DCF VALUATION'!F9/'DCF VALUATION'!B3</f>
        <v>0.23703062653768869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Income Statement</vt:lpstr>
      <vt:lpstr>Balance Sheet</vt:lpstr>
      <vt:lpstr>Cash Flow</vt:lpstr>
      <vt:lpstr>RATIOS </vt:lpstr>
      <vt:lpstr>Peer ratio</vt:lpstr>
      <vt:lpstr>FORECAST</vt:lpstr>
      <vt:lpstr>DCF VALUATION</vt:lpstr>
      <vt:lpstr>MULTIPLES VALUATION</vt:lpstr>
      <vt:lpstr>'Balance Sheet'!Print_Titles</vt:lpstr>
      <vt:lpstr>'Cash Flow'!Print_Titles</vt:lpstr>
      <vt:lpstr>'Income Statement'!Print_Titles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2025-03-06T07:21:00Z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