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mohan\Desktop\LaaS_BC\"/>
    </mc:Choice>
  </mc:AlternateContent>
  <xr:revisionPtr revIDLastSave="0" documentId="13_ncr:1_{5FBAC62C-F592-471C-8C80-8E723A5EC93C}" xr6:coauthVersionLast="45" xr6:coauthVersionMax="45" xr10:uidLastSave="{00000000-0000-0000-0000-000000000000}"/>
  <bookViews>
    <workbookView xWindow="-110" yWindow="-110" windowWidth="19420" windowHeight="10420" tabRatio="798" activeTab="6" xr2:uid="{4938193B-E65B-4B41-8E89-D76C543B17D6}"/>
  </bookViews>
  <sheets>
    <sheet name="Cover" sheetId="17" r:id="rId1"/>
    <sheet name="Dashboard" sheetId="13" r:id="rId2"/>
    <sheet name="Overall_Cost" sheetId="15" r:id="rId3"/>
    <sheet name="Software" sheetId="3" r:id="rId4"/>
    <sheet name="Effort_Development" sheetId="12" r:id="rId5"/>
    <sheet name="Cost_Development" sheetId="14" r:id="rId6"/>
    <sheet name="Feature_Coverage" sheetId="16" r:id="rId7"/>
    <sheet name="Overall_Cost_BK" sheetId="2" state="hidden" r:id="rId8"/>
    <sheet name="Project Development Details" sheetId="8" state="hidden" r:id="rId9"/>
  </sheets>
  <definedNames>
    <definedName name="_xlnm._FilterDatabase" localSheetId="6" hidden="1">Feature_Coverage!$B$2:$D$10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2" l="1"/>
  <c r="E21" i="12"/>
  <c r="D12" i="16"/>
  <c r="E22" i="12"/>
  <c r="E23" i="12"/>
  <c r="E24" i="12"/>
  <c r="F9" i="15" l="1"/>
  <c r="F2" i="15"/>
  <c r="G2" i="15"/>
  <c r="H2" i="15"/>
  <c r="I2" i="15"/>
  <c r="H9" i="15"/>
  <c r="H14" i="15" s="1"/>
  <c r="I9" i="15"/>
  <c r="I14" i="15" s="1"/>
  <c r="G9" i="15"/>
  <c r="F14" i="15" s="1"/>
  <c r="J1" i="14" l="1"/>
  <c r="F5" i="3" l="1"/>
  <c r="G5" i="3"/>
  <c r="H5" i="3"/>
  <c r="E5" i="3"/>
  <c r="D5" i="3"/>
  <c r="E20" i="12" l="1"/>
  <c r="E18" i="12" s="1"/>
  <c r="E16" i="12" l="1"/>
  <c r="E15" i="12"/>
  <c r="H4" i="3"/>
  <c r="G4" i="3"/>
  <c r="F4" i="3"/>
  <c r="E4" i="3"/>
  <c r="D4" i="3"/>
  <c r="E9" i="15" s="1"/>
  <c r="D9" i="3" l="1"/>
  <c r="E14" i="12"/>
  <c r="D3" i="12" s="1"/>
  <c r="D6" i="12" s="1"/>
  <c r="E9" i="3"/>
  <c r="F18" i="15" s="1"/>
  <c r="H9" i="3"/>
  <c r="I18" i="15" s="1"/>
  <c r="F9" i="3"/>
  <c r="G18" i="15" s="1"/>
  <c r="G9" i="3"/>
  <c r="H18" i="15" s="1"/>
  <c r="C8" i="12" l="1"/>
  <c r="L6" i="14" l="1"/>
  <c r="L5" i="14"/>
  <c r="L4" i="14"/>
  <c r="L9" i="14" l="1"/>
  <c r="G7" i="12"/>
  <c r="G6" i="12"/>
  <c r="E8" i="15"/>
  <c r="E6" i="15"/>
  <c r="E5" i="15"/>
  <c r="E4" i="15"/>
  <c r="E3" i="15"/>
  <c r="C1" i="14"/>
  <c r="G15" i="8"/>
  <c r="G17" i="8"/>
  <c r="G18" i="8"/>
  <c r="G20" i="8"/>
  <c r="C7" i="8"/>
  <c r="E11" i="14" l="1"/>
  <c r="E15" i="14" s="1"/>
  <c r="F13" i="15" s="1"/>
  <c r="E14" i="14"/>
  <c r="E13" i="15" s="1"/>
  <c r="G8" i="12"/>
  <c r="E2" i="15"/>
  <c r="D5" i="14"/>
  <c r="G13" i="15" l="1"/>
  <c r="H13" i="15"/>
  <c r="I13" i="15"/>
  <c r="D6" i="14"/>
  <c r="D8" i="14" l="1"/>
  <c r="C9" i="14" s="1"/>
  <c r="E29" i="12" l="1"/>
  <c r="D7" i="12"/>
  <c r="D2" i="12"/>
  <c r="E26" i="12" s="1"/>
  <c r="D4" i="12"/>
  <c r="E27" i="12" s="1"/>
  <c r="D5" i="12"/>
  <c r="E28" i="12" s="1"/>
  <c r="D8" i="12" l="1"/>
  <c r="G9" i="12" s="1"/>
  <c r="G10" i="12" l="1"/>
  <c r="L1" i="15" s="1"/>
  <c r="G41" i="13"/>
  <c r="G39" i="13" l="1"/>
  <c r="F1" i="14"/>
  <c r="E4" i="14" s="1"/>
  <c r="E6" i="14" l="1"/>
  <c r="E5" i="14"/>
  <c r="E7" i="14"/>
  <c r="B43" i="13"/>
  <c r="C5" i="13"/>
  <c r="E8" i="14" l="1"/>
  <c r="E12" i="15" s="1"/>
  <c r="L2" i="15" l="1"/>
  <c r="E11" i="15"/>
  <c r="E16" i="15"/>
  <c r="E23" i="15" s="1"/>
  <c r="E16" i="2"/>
  <c r="E9" i="2"/>
  <c r="G32" i="8"/>
  <c r="E18" i="2" s="1"/>
  <c r="G30" i="8"/>
  <c r="E17" i="2" s="1"/>
  <c r="E20" i="8"/>
  <c r="E15" i="8"/>
  <c r="D16" i="8"/>
  <c r="D14" i="8"/>
  <c r="E24" i="8"/>
  <c r="E23" i="8"/>
  <c r="E18" i="8"/>
  <c r="E17" i="8"/>
  <c r="F19" i="15" l="1"/>
  <c r="G19" i="15"/>
  <c r="H19" i="15"/>
  <c r="I19" i="15"/>
  <c r="F20" i="15"/>
  <c r="F12" i="15"/>
  <c r="E14" i="8"/>
  <c r="G14" i="8"/>
  <c r="E16" i="8"/>
  <c r="G16" i="8"/>
  <c r="E30" i="15"/>
  <c r="Y42" i="13" s="1"/>
  <c r="E23" i="2"/>
  <c r="E34" i="2" s="1"/>
  <c r="E22" i="8"/>
  <c r="Y46" i="13" l="1"/>
  <c r="G29" i="8"/>
  <c r="E19" i="2" s="1"/>
  <c r="G24" i="8"/>
  <c r="G23" i="8"/>
  <c r="D19" i="8"/>
  <c r="G19" i="8" s="1"/>
  <c r="G12" i="8" l="1"/>
  <c r="E19" i="8"/>
  <c r="G22" i="8"/>
  <c r="E14" i="2" s="1"/>
  <c r="E12" i="8" l="1"/>
  <c r="E13" i="2"/>
  <c r="E15" i="2" s="1"/>
  <c r="D3" i="8" l="1"/>
  <c r="E3" i="2"/>
  <c r="D4" i="8" l="1"/>
  <c r="D6" i="8"/>
  <c r="E30" i="8" s="1"/>
  <c r="D2" i="8"/>
  <c r="E26" i="8" s="1"/>
  <c r="D5" i="8"/>
  <c r="E29" i="8" s="1"/>
  <c r="F23" i="2" l="1"/>
  <c r="E27" i="8"/>
  <c r="G27" i="8" s="1"/>
  <c r="D7" i="8"/>
  <c r="G26" i="8"/>
  <c r="E12" i="2" s="1"/>
  <c r="E11" i="2" s="1"/>
  <c r="E8" i="2"/>
  <c r="E7" i="2" s="1"/>
  <c r="E4" i="2"/>
  <c r="E6" i="2"/>
  <c r="E5" i="2"/>
  <c r="E2" i="2" l="1"/>
  <c r="B34" i="2" s="1"/>
  <c r="G23" i="2" l="1"/>
  <c r="E33" i="2"/>
  <c r="H23" i="2" l="1"/>
  <c r="G24" i="2"/>
  <c r="G34" i="2" s="1"/>
  <c r="F24" i="2"/>
  <c r="F34" i="2" s="1"/>
  <c r="I25" i="2"/>
  <c r="I33" i="2" s="1"/>
  <c r="H25" i="2"/>
  <c r="H33" i="2" s="1"/>
  <c r="G25" i="2"/>
  <c r="G33" i="2" s="1"/>
  <c r="F25" i="2"/>
  <c r="F33" i="2" s="1"/>
  <c r="I24" i="2"/>
  <c r="E27" i="2"/>
  <c r="E28" i="2" s="1"/>
  <c r="H24" i="2"/>
  <c r="I23" i="2" l="1"/>
  <c r="I34" i="2" s="1"/>
  <c r="H34" i="2"/>
  <c r="F21" i="2"/>
  <c r="G21" i="2"/>
  <c r="H21" i="2"/>
  <c r="I21" i="2" l="1"/>
  <c r="I27" i="2" s="1"/>
  <c r="I28" i="2" s="1"/>
  <c r="F27" i="2"/>
  <c r="F28" i="2" s="1"/>
  <c r="H27" i="2"/>
  <c r="H28" i="2" s="1"/>
  <c r="G27" i="2"/>
  <c r="G28" i="2" s="1"/>
  <c r="J28" i="2" l="1"/>
  <c r="J29" i="2" s="1"/>
  <c r="G16" i="15" l="1"/>
  <c r="G23" i="15" s="1"/>
  <c r="F11" i="15"/>
  <c r="H11" i="15"/>
  <c r="I11" i="15"/>
  <c r="G30" i="15" l="1"/>
  <c r="AA42" i="13" s="1"/>
  <c r="I16" i="15"/>
  <c r="I23" i="15" s="1"/>
  <c r="H16" i="15"/>
  <c r="H23" i="15" s="1"/>
  <c r="F16" i="15"/>
  <c r="F23" i="15" s="1"/>
  <c r="H30" i="15" l="1"/>
  <c r="AB42" i="13" s="1"/>
  <c r="F30" i="15"/>
  <c r="Z42" i="13" s="1"/>
  <c r="Z46" i="13" s="1"/>
  <c r="AA46" i="13" s="1"/>
  <c r="I30" i="15"/>
  <c r="AC42" i="13" s="1"/>
  <c r="AB46" i="13" l="1"/>
  <c r="AC46" i="13" s="1"/>
  <c r="C2" i="13" l="1"/>
  <c r="E7" i="15"/>
  <c r="F7" i="15" l="1"/>
  <c r="F22" i="15" s="1"/>
  <c r="F21" i="15" s="1"/>
  <c r="F24" i="15" s="1"/>
  <c r="E22" i="15"/>
  <c r="E21" i="15" s="1"/>
  <c r="E24" i="15" s="1"/>
  <c r="E25" i="15" s="1"/>
  <c r="C3" i="13" s="1"/>
  <c r="I7" i="15"/>
  <c r="F29" i="15"/>
  <c r="Z41" i="13" s="1"/>
  <c r="Z11" i="13" s="1"/>
  <c r="AA11" i="13" s="1"/>
  <c r="AB11" i="13" s="1"/>
  <c r="AC11" i="13" s="1"/>
  <c r="H7" i="15"/>
  <c r="H22" i="15" s="1"/>
  <c r="H21" i="15" s="1"/>
  <c r="I22" i="15" l="1"/>
  <c r="I21" i="15" s="1"/>
  <c r="I24" i="15" s="1"/>
  <c r="E29" i="15"/>
  <c r="Y41" i="13" s="1"/>
  <c r="Y45" i="13" s="1"/>
  <c r="Z45" i="13" s="1"/>
  <c r="I29" i="15"/>
  <c r="AC41" i="13" s="1"/>
  <c r="AC14" i="13" s="1"/>
  <c r="H29" i="15"/>
  <c r="AB41" i="13" s="1"/>
  <c r="AB13" i="13" s="1"/>
  <c r="AC13" i="13" s="1"/>
  <c r="H24" i="15"/>
  <c r="Y10" i="13" l="1"/>
  <c r="Z10" i="13" s="1"/>
  <c r="AA10" i="13" s="1"/>
  <c r="AB10" i="13" s="1"/>
  <c r="AC10" i="13" s="1"/>
  <c r="C44" i="13"/>
  <c r="G7" i="15"/>
  <c r="G14" i="15"/>
  <c r="G11" i="15" s="1"/>
  <c r="G22" i="15" s="1"/>
  <c r="G21" i="15" l="1"/>
  <c r="G24" i="15" s="1"/>
  <c r="J24" i="15" s="1"/>
  <c r="J25" i="15" s="1"/>
  <c r="C4" i="13" s="1"/>
  <c r="G29" i="15"/>
  <c r="AA41" i="13" s="1"/>
  <c r="C45" i="13" l="1"/>
  <c r="AA45" i="13"/>
  <c r="AB45" i="13" s="1"/>
  <c r="AC45" i="13" s="1"/>
  <c r="AA12" i="13"/>
  <c r="AB12" i="13" s="1"/>
  <c r="AC12" i="13" s="1"/>
</calcChain>
</file>

<file path=xl/sharedStrings.xml><?xml version="1.0" encoding="utf-8"?>
<sst xmlns="http://schemas.openxmlformats.org/spreadsheetml/2006/main" count="322" uniqueCount="215">
  <si>
    <t xml:space="preserve">Costs </t>
  </si>
  <si>
    <t>Year 2</t>
  </si>
  <si>
    <t>Year 3</t>
  </si>
  <si>
    <t>Year 4</t>
  </si>
  <si>
    <t>Year 5</t>
  </si>
  <si>
    <t>Hardware Service Maintenance Agreements</t>
  </si>
  <si>
    <t>Software License Maintenance Agreements</t>
  </si>
  <si>
    <t>Total Costs</t>
  </si>
  <si>
    <t>Server(s)</t>
  </si>
  <si>
    <t>Storage (backup, redundancy, etc)</t>
  </si>
  <si>
    <t>CONTINGENCY &amp; BUFFER</t>
  </si>
  <si>
    <t>Training</t>
  </si>
  <si>
    <t>OPERATION &amp; MAINTENANCE (Opex)</t>
  </si>
  <si>
    <t>Travel cost</t>
  </si>
  <si>
    <t>Description</t>
  </si>
  <si>
    <t>Analysis</t>
  </si>
  <si>
    <t>Integration</t>
  </si>
  <si>
    <t>Data Migrations (if needed)</t>
  </si>
  <si>
    <t>Buffer</t>
  </si>
  <si>
    <t>Specify (% buffer)</t>
  </si>
  <si>
    <t>Includes analysis of existing system, user story refinement, system design (high level)</t>
  </si>
  <si>
    <t>Unit Cost (wherever applicable)</t>
  </si>
  <si>
    <t>Database server(s)</t>
  </si>
  <si>
    <t>Any other server component</t>
  </si>
  <si>
    <t>Initial Cost (Year 1)</t>
  </si>
  <si>
    <t>Year3</t>
  </si>
  <si>
    <t>License cost</t>
  </si>
  <si>
    <t>Qty
 (wherever applicable)</t>
  </si>
  <si>
    <t>Maintenance cost</t>
  </si>
  <si>
    <t>No. of hours</t>
  </si>
  <si>
    <t>Create manual, training material, actual training etc</t>
  </si>
  <si>
    <t>Environment setup</t>
  </si>
  <si>
    <t>License costs of any additional tools</t>
  </si>
  <si>
    <t>Includes travel cost as part of development</t>
  </si>
  <si>
    <t>SOFTWARE (CapEx)</t>
  </si>
  <si>
    <t xml:space="preserve">Cost related to developing functionalities/plugins and configuration </t>
  </si>
  <si>
    <t>Integration of modules and tools</t>
  </si>
  <si>
    <t>System level configuration and deployment</t>
  </si>
  <si>
    <t>Configuration and Deployment</t>
  </si>
  <si>
    <t>New features &amp; enhancement (CRs)</t>
  </si>
  <si>
    <t>Defect detection and removal</t>
  </si>
  <si>
    <t>New features required as per the customer needs</t>
  </si>
  <si>
    <t>Total cost</t>
  </si>
  <si>
    <t>CRs</t>
  </si>
  <si>
    <t>Cost of end to end functional testing</t>
  </si>
  <si>
    <t>The current HW in DT will support this - No additional cost requried.</t>
  </si>
  <si>
    <t>HARDWARE (CapEx)</t>
  </si>
  <si>
    <t>Same as above</t>
  </si>
  <si>
    <t>Capex</t>
  </si>
  <si>
    <t>Opex</t>
  </si>
  <si>
    <t>Initial (year 1)</t>
  </si>
  <si>
    <t>Team Size</t>
  </si>
  <si>
    <t>Cost</t>
  </si>
  <si>
    <t>Remarks</t>
  </si>
  <si>
    <t>Blended cost per hour</t>
  </si>
  <si>
    <t>PROJECT DEVELOPMENT</t>
  </si>
  <si>
    <t>Development</t>
  </si>
  <si>
    <t>Microservices (data extractor)</t>
  </si>
  <si>
    <t>No. of Services</t>
  </si>
  <si>
    <t>Data Storage / Data Warehouse / Metadata</t>
  </si>
  <si>
    <t>Transformer</t>
  </si>
  <si>
    <t xml:space="preserve">Microservices towards API Gateway	</t>
  </si>
  <si>
    <t>Integration with Portal</t>
  </si>
  <si>
    <t>Installation &amp; DevOps pipeline setup (CI/CD etc)</t>
  </si>
  <si>
    <t>Documentation on WIKI and other material</t>
  </si>
  <si>
    <t>Prestudy</t>
  </si>
  <si>
    <t>Data Analysis</t>
  </si>
  <si>
    <t>Build Pipeline</t>
  </si>
  <si>
    <t>Connectivity (connectivity from central system to external monitoring tool)</t>
  </si>
  <si>
    <t>Environment Setup</t>
  </si>
  <si>
    <t>CAPEX</t>
  </si>
  <si>
    <t>OPEX</t>
  </si>
  <si>
    <t>Timelines</t>
  </si>
  <si>
    <t>Architect</t>
  </si>
  <si>
    <t>QA</t>
  </si>
  <si>
    <t>members</t>
  </si>
  <si>
    <t>Functional Testing (QA)</t>
  </si>
  <si>
    <t>Development Cost</t>
  </si>
  <si>
    <t>Effort (in hours)</t>
  </si>
  <si>
    <t>Testing</t>
  </si>
  <si>
    <t>Requirement Analysis</t>
  </si>
  <si>
    <t>Design, Coding &amp; Unit Testing</t>
  </si>
  <si>
    <t>Effort Distribution (Lifecycle)</t>
  </si>
  <si>
    <t>Integration with each instance of tool</t>
  </si>
  <si>
    <t>Verification (QA) - End to End</t>
  </si>
  <si>
    <t xml:space="preserve">Analysis </t>
  </si>
  <si>
    <t>Environment</t>
  </si>
  <si>
    <t>Travel</t>
  </si>
  <si>
    <t>person days</t>
  </si>
  <si>
    <t>in months</t>
  </si>
  <si>
    <t>Cost per hour</t>
  </si>
  <si>
    <t>Engineer</t>
  </si>
  <si>
    <t>Senior Developer</t>
  </si>
  <si>
    <t>Junior Developer</t>
  </si>
  <si>
    <t xml:space="preserve">Integration </t>
  </si>
  <si>
    <t>Activities</t>
  </si>
  <si>
    <t>Distribution</t>
  </si>
  <si>
    <t>Number of Engineers</t>
  </si>
  <si>
    <t>Travel Cost per week</t>
  </si>
  <si>
    <t># Count</t>
  </si>
  <si>
    <t>PROJECT DEVELOPMENT (CapEx)</t>
  </si>
  <si>
    <t>Other Effort</t>
  </si>
  <si>
    <t>Buffer (Capex)</t>
  </si>
  <si>
    <t>Buffer (Opex)</t>
  </si>
  <si>
    <t>Effective Hours per month</t>
  </si>
  <si>
    <t>1 Year Cost</t>
  </si>
  <si>
    <t>Cell with green background are editable</t>
  </si>
  <si>
    <t>Fixed 1 Architect</t>
  </si>
  <si>
    <t>Fixed 1 QA</t>
  </si>
  <si>
    <t>person hours</t>
  </si>
  <si>
    <t>VISA</t>
  </si>
  <si>
    <t>Per Diem</t>
  </si>
  <si>
    <t>Flight</t>
  </si>
  <si>
    <t>Hotel</t>
  </si>
  <si>
    <t>Taxi</t>
  </si>
  <si>
    <t>5 Year Cost</t>
  </si>
  <si>
    <t>Design</t>
  </si>
  <si>
    <t>Coding &amp; Unit Testing</t>
  </si>
  <si>
    <t xml:space="preserve">Documentation + Training Material </t>
  </si>
  <si>
    <t>Acceptance Testing Support</t>
  </si>
  <si>
    <t>EUR</t>
  </si>
  <si>
    <t>Days</t>
  </si>
  <si>
    <t>Effort 
(in hours)</t>
  </si>
  <si>
    <t>Verification (QA)</t>
  </si>
  <si>
    <t>Bug Fixing</t>
  </si>
  <si>
    <t>Key Criteria</t>
  </si>
  <si>
    <t>Values</t>
  </si>
  <si>
    <t>Functional Coverage</t>
  </si>
  <si>
    <t>Timeline (Initial Solution)</t>
  </si>
  <si>
    <t>All prices in Euro</t>
  </si>
  <si>
    <t>1 Euro = 1.1 USD</t>
  </si>
  <si>
    <t>Insight - CMDB Asset management</t>
  </si>
  <si>
    <t>Table grid (optional)</t>
  </si>
  <si>
    <t>Any other plugin</t>
  </si>
  <si>
    <t>Plugin Development</t>
  </si>
  <si>
    <t>Resource scheduling</t>
  </si>
  <si>
    <t>IP connectivity</t>
  </si>
  <si>
    <t>Jira</t>
  </si>
  <si>
    <t>Insight</t>
  </si>
  <si>
    <t>Functionality</t>
  </si>
  <si>
    <t>Change management</t>
  </si>
  <si>
    <t>Service requests</t>
  </si>
  <si>
    <t>Coverage %</t>
  </si>
  <si>
    <t>Assuming 2 person travelling for 1 week per month</t>
  </si>
  <si>
    <t>Warranty</t>
  </si>
  <si>
    <t>Insight discovery</t>
  </si>
  <si>
    <t>Travel (subsequent years)</t>
  </si>
  <si>
    <t>Assuming 2 person travelling for 1 quarter per  year</t>
  </si>
  <si>
    <t>Warranty (6 months)</t>
  </si>
  <si>
    <t>Developer</t>
  </si>
  <si>
    <t>Senior Developer / Lead</t>
  </si>
  <si>
    <t>Year 1</t>
  </si>
  <si>
    <t>Initial Cost</t>
  </si>
  <si>
    <t>Initial</t>
  </si>
  <si>
    <t>Cost (Initial) - Euros</t>
  </si>
  <si>
    <t>Cost (Initial + 4 years) - Euros</t>
  </si>
  <si>
    <t>Average Engineer Cost</t>
  </si>
  <si>
    <t>Working Hours per month</t>
  </si>
  <si>
    <t>Effective hours after excluding scrum meeting effort like planning, grooming, review and standup</t>
  </si>
  <si>
    <t>Team Capacity per month (in hours)</t>
  </si>
  <si>
    <t>Timelines (in months)</t>
  </si>
  <si>
    <t>Final Timelines (in months)</t>
  </si>
  <si>
    <t>Working Hours</t>
  </si>
  <si>
    <t>Version</t>
  </si>
  <si>
    <t>Assumptions</t>
  </si>
  <si>
    <t>Category</t>
  </si>
  <si>
    <t>Software License (Atlassian tools)</t>
  </si>
  <si>
    <t>CAPEX for existing Atlassian applications license and plugins is NIL</t>
  </si>
  <si>
    <t>Project Development Cost (Capex)</t>
  </si>
  <si>
    <t>Miscellaneous</t>
  </si>
  <si>
    <t>For  all calculation purpose, 1 Euro = 1.1 USD. Any movement in currency may have an impact on the overall cost</t>
  </si>
  <si>
    <t>References</t>
  </si>
  <si>
    <t>Shared On</t>
  </si>
  <si>
    <t>Key Assumptions</t>
  </si>
  <si>
    <t>Purpose</t>
  </si>
  <si>
    <t>Scope</t>
  </si>
  <si>
    <t>Assuming 6 months warranty post UAT of the feature development</t>
  </si>
  <si>
    <t>The current focus is on Prio1 labs that includes Bonn &amp; Nuremberg labs</t>
  </si>
  <si>
    <t>For business case calculations of all options in subsequent slides, all functional requirements have been given equal weight</t>
  </si>
  <si>
    <t>The requirements are based on the existing user stories. Any addition may impact the overall cost of project development</t>
  </si>
  <si>
    <t>Additional HW cost is not required</t>
  </si>
  <si>
    <t>Hardware Cost</t>
  </si>
  <si>
    <t>Reviewed By</t>
  </si>
  <si>
    <t>https://marketplace.atlassian.com/apps/1214668/insight-discovery?hosting=server&amp;tab=pricing</t>
  </si>
  <si>
    <t>Reference</t>
  </si>
  <si>
    <t>https://marketplace.atlassian.com/apps/1212137/insight-asset-management?hosting=server&amp;tab=pricing</t>
  </si>
  <si>
    <t>https://gard.telekom.de/gardwiki/pages/viewpage.action?pageId=281947654</t>
  </si>
  <si>
    <t>Added 1 more month for initial analysis &amp; UAT</t>
  </si>
  <si>
    <t>Average</t>
  </si>
  <si>
    <t>Area</t>
  </si>
  <si>
    <t>LaaS</t>
  </si>
  <si>
    <t>Additional Integration</t>
  </si>
  <si>
    <t>months</t>
  </si>
  <si>
    <t>Fixed CR Budget</t>
  </si>
  <si>
    <t>each year</t>
  </si>
  <si>
    <t>Change request and feature enhancement cost is assumed as 200,000.00 each year. 10% of this CR cost will be covered by additional plugins from Atlassian.</t>
  </si>
  <si>
    <t>50% of CAPEX cost</t>
  </si>
  <si>
    <t>LaaS Business Case</t>
  </si>
  <si>
    <t>To prepare the business case calcualtion for LaaS</t>
  </si>
  <si>
    <t>First version</t>
  </si>
  <si>
    <t>Connection Management</t>
  </si>
  <si>
    <t>Blueprint Orchestration</t>
  </si>
  <si>
    <t>Process Automation
    • Backup and recovery
    • Ops-task automation</t>
  </si>
  <si>
    <t xml:space="preserve">CAPEX for new Atlassian plugin Insight, Insight discovery are considered as cost inputs </t>
  </si>
  <si>
    <t>Inventory mgmt.
    • Discovery
    • License Management</t>
  </si>
  <si>
    <t>Spirent Velocity</t>
  </si>
  <si>
    <t>Assuming that we already have Spirent velocity license purchased, so not including any cost here. We will have to get this verified with LaaS squad</t>
  </si>
  <si>
    <t xml:space="preserve">Setup, Configuration and Customization costs </t>
  </si>
  <si>
    <t>Process Automation</t>
  </si>
  <si>
    <t>Includes Backup and recovery and Ops task Automation</t>
  </si>
  <si>
    <t>Reservation Management</t>
  </si>
  <si>
    <t>Asset Management</t>
  </si>
  <si>
    <t>Capacity management</t>
  </si>
  <si>
    <t>Tools</t>
  </si>
  <si>
    <t>Option B: Open Source tools + Custom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</si>
</sst>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* #,##0.00\ [$€-407]_-;\-* #,##0.00\ [$€-407]_-;_-* &quot;-&quot;??\ [$€-407]_-;_-@_-"/>
    <numFmt numFmtId="165" formatCode="_-* #,##0\ [$€-407]_-;\-* #,##0\ [$€-407]_-;_-* &quot;-&quot;??\ [$€-407]_-;_-@_-"/>
    <numFmt numFmtId="166" formatCode="_ * #,##0_ ;_ * \-#,##0_ ;_ * &quot;-&quot;??_ ;_ @_ "/>
    <numFmt numFmtId="167" formatCode="#,##0.00\ [$€-407]"/>
    <numFmt numFmtId="168" formatCode="0.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B4B4B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2007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41">
    <xf numFmtId="0" fontId="0" fillId="0" borderId="0" xfId="0"/>
    <xf numFmtId="0" fontId="4" fillId="0" borderId="1" xfId="1" applyFont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  <xf numFmtId="0" fontId="6" fillId="0" borderId="0" xfId="0" applyFont="1"/>
    <xf numFmtId="0" fontId="3" fillId="0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9" fontId="4" fillId="0" borderId="1" xfId="1" applyNumberFormat="1" applyFont="1" applyBorder="1" applyAlignment="1">
      <alignment vertical="top" wrapText="1"/>
    </xf>
    <xf numFmtId="164" fontId="5" fillId="2" borderId="1" xfId="2" applyNumberFormat="1" applyFont="1" applyFill="1" applyBorder="1" applyAlignment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 wrapText="1"/>
    </xf>
    <xf numFmtId="164" fontId="4" fillId="0" borderId="1" xfId="2" applyNumberFormat="1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164" fontId="4" fillId="0" borderId="1" xfId="2" applyNumberFormat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vertical="top" wrapText="1"/>
    </xf>
    <xf numFmtId="0" fontId="0" fillId="0" borderId="1" xfId="0" applyBorder="1"/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164" fontId="0" fillId="0" borderId="1" xfId="2" applyNumberFormat="1" applyFont="1" applyBorder="1" applyAlignment="1">
      <alignment horizontal="center" vertical="center"/>
    </xf>
    <xf numFmtId="164" fontId="1" fillId="0" borderId="1" xfId="2" applyNumberFormat="1" applyFont="1" applyBorder="1" applyAlignment="1">
      <alignment horizontal="center" vertical="center" wrapText="1"/>
    </xf>
    <xf numFmtId="0" fontId="2" fillId="5" borderId="1" xfId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0" fontId="0" fillId="0" borderId="0" xfId="0" applyFont="1" applyAlignment="1">
      <alignment horizontal="left" wrapText="1"/>
    </xf>
    <xf numFmtId="0" fontId="0" fillId="6" borderId="0" xfId="0" applyFill="1" applyAlignment="1">
      <alignment horizontal="right" vertical="top"/>
    </xf>
    <xf numFmtId="164" fontId="2" fillId="5" borderId="1" xfId="1" applyNumberFormat="1" applyFont="1" applyFill="1" applyBorder="1" applyAlignment="1">
      <alignment vertical="top" wrapText="1"/>
    </xf>
    <xf numFmtId="0" fontId="2" fillId="5" borderId="2" xfId="1" applyFont="1" applyFill="1" applyBorder="1" applyAlignment="1">
      <alignment vertical="top" wrapText="1"/>
    </xf>
    <xf numFmtId="0" fontId="2" fillId="5" borderId="3" xfId="1" applyFont="1" applyFill="1" applyBorder="1" applyAlignment="1">
      <alignment vertical="top" wrapText="1"/>
    </xf>
    <xf numFmtId="0" fontId="2" fillId="5" borderId="4" xfId="1" applyFont="1" applyFill="1" applyBorder="1" applyAlignment="1">
      <alignment vertical="top" wrapText="1"/>
    </xf>
    <xf numFmtId="164" fontId="2" fillId="5" borderId="3" xfId="1" applyNumberFormat="1" applyFont="1" applyFill="1" applyBorder="1" applyAlignment="1">
      <alignment vertical="top" wrapText="1"/>
    </xf>
    <xf numFmtId="164" fontId="4" fillId="0" borderId="1" xfId="1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6" fillId="0" borderId="5" xfId="0" applyFont="1" applyBorder="1"/>
    <xf numFmtId="0" fontId="0" fillId="0" borderId="5" xfId="0" applyBorder="1"/>
    <xf numFmtId="164" fontId="0" fillId="0" borderId="5" xfId="2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/>
    <xf numFmtId="0" fontId="0" fillId="0" borderId="0" xfId="0" applyFill="1" applyBorder="1"/>
    <xf numFmtId="164" fontId="0" fillId="0" borderId="0" xfId="2" applyNumberFormat="1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164" fontId="7" fillId="4" borderId="6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/>
    </xf>
    <xf numFmtId="0" fontId="10" fillId="8" borderId="1" xfId="0" applyFont="1" applyFill="1" applyBorder="1" applyAlignment="1">
      <alignment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/>
    </xf>
    <xf numFmtId="0" fontId="7" fillId="0" borderId="1" xfId="0" applyNumberFormat="1" applyFont="1" applyFill="1" applyBorder="1" applyAlignment="1">
      <alignment horizontal="center" vertical="top"/>
    </xf>
    <xf numFmtId="165" fontId="7" fillId="0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vertical="top" wrapText="1" indent="2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top"/>
    </xf>
    <xf numFmtId="0" fontId="0" fillId="0" borderId="1" xfId="0" applyFont="1" applyFill="1" applyBorder="1" applyAlignment="1">
      <alignment horizontal="left" vertical="top" wrapText="1" indent="4"/>
    </xf>
    <xf numFmtId="0" fontId="0" fillId="0" borderId="1" xfId="0" applyFont="1" applyFill="1" applyBorder="1" applyAlignment="1">
      <alignment horizontal="left" vertical="top" wrapText="1" inden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66" fontId="0" fillId="0" borderId="7" xfId="2" applyNumberFormat="1" applyFont="1" applyBorder="1" applyAlignment="1">
      <alignment horizontal="center" vertical="top"/>
    </xf>
    <xf numFmtId="9" fontId="0" fillId="0" borderId="0" xfId="0" applyNumberFormat="1" applyBorder="1" applyAlignment="1">
      <alignment horizontal="center" vertical="center" wrapText="1"/>
    </xf>
    <xf numFmtId="166" fontId="0" fillId="0" borderId="0" xfId="2" applyNumberFormat="1" applyFont="1" applyBorder="1" applyAlignment="1">
      <alignment horizontal="center" vertical="top"/>
    </xf>
    <xf numFmtId="0" fontId="0" fillId="0" borderId="1" xfId="0" applyBorder="1" applyAlignment="1">
      <alignment horizontal="left" vertical="top" wrapText="1" indent="2"/>
    </xf>
    <xf numFmtId="9" fontId="0" fillId="0" borderId="1" xfId="3" applyFont="1" applyBorder="1" applyAlignment="1">
      <alignment horizontal="center" vertical="center" wrapText="1"/>
    </xf>
    <xf numFmtId="166" fontId="0" fillId="0" borderId="1" xfId="2" applyNumberFormat="1" applyFont="1" applyBorder="1" applyAlignment="1">
      <alignment horizontal="center" vertical="top"/>
    </xf>
    <xf numFmtId="9" fontId="10" fillId="8" borderId="1" xfId="0" applyNumberFormat="1" applyFont="1" applyFill="1" applyBorder="1" applyAlignment="1">
      <alignment horizontal="center" vertical="center" wrapText="1"/>
    </xf>
    <xf numFmtId="1" fontId="10" fillId="8" borderId="1" xfId="0" applyNumberFormat="1" applyFont="1" applyFill="1" applyBorder="1" applyAlignment="1">
      <alignment horizontal="center" vertical="top"/>
    </xf>
    <xf numFmtId="0" fontId="11" fillId="8" borderId="0" xfId="0" applyFont="1" applyFill="1" applyAlignment="1">
      <alignment horizontal="left" vertical="center"/>
    </xf>
    <xf numFmtId="0" fontId="10" fillId="8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1" fillId="8" borderId="0" xfId="0" applyFont="1" applyFill="1" applyAlignment="1">
      <alignment horizontal="right" vertical="top"/>
    </xf>
    <xf numFmtId="167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top"/>
    </xf>
    <xf numFmtId="0" fontId="7" fillId="6" borderId="0" xfId="0" applyFont="1" applyFill="1" applyAlignment="1">
      <alignment horizontal="right" vertical="top"/>
    </xf>
    <xf numFmtId="0" fontId="7" fillId="0" borderId="0" xfId="0" applyFont="1" applyAlignment="1">
      <alignment horizontal="right" vertical="top"/>
    </xf>
    <xf numFmtId="0" fontId="11" fillId="8" borderId="1" xfId="0" applyFont="1" applyFill="1" applyBorder="1" applyProtection="1">
      <protection locked="0"/>
    </xf>
    <xf numFmtId="0" fontId="12" fillId="9" borderId="0" xfId="0" applyFont="1" applyFill="1" applyAlignment="1" applyProtection="1">
      <protection locked="0"/>
    </xf>
    <xf numFmtId="0" fontId="12" fillId="11" borderId="0" xfId="0" applyFont="1" applyFill="1" applyAlignment="1" applyProtection="1">
      <protection locked="0"/>
    </xf>
    <xf numFmtId="0" fontId="6" fillId="9" borderId="0" xfId="0" applyFont="1" applyFill="1"/>
    <xf numFmtId="0" fontId="6" fillId="9" borderId="0" xfId="0" applyFont="1" applyFill="1" applyBorder="1"/>
    <xf numFmtId="164" fontId="7" fillId="9" borderId="0" xfId="2" applyNumberFormat="1" applyFont="1" applyFill="1" applyBorder="1" applyAlignment="1">
      <alignment horizontal="center" vertical="center"/>
    </xf>
    <xf numFmtId="0" fontId="0" fillId="9" borderId="0" xfId="0" applyFont="1" applyFill="1"/>
    <xf numFmtId="0" fontId="11" fillId="8" borderId="1" xfId="0" applyFont="1" applyFill="1" applyBorder="1" applyAlignment="1" applyProtection="1">
      <alignment vertical="top" wrapText="1"/>
      <protection locked="0"/>
    </xf>
    <xf numFmtId="0" fontId="11" fillId="8" borderId="1" xfId="0" applyFont="1" applyFill="1" applyBorder="1" applyAlignment="1" applyProtection="1">
      <alignment horizontal="left" vertical="center"/>
      <protection locked="0"/>
    </xf>
    <xf numFmtId="0" fontId="11" fillId="8" borderId="1" xfId="0" applyFont="1" applyFill="1" applyBorder="1" applyAlignment="1" applyProtection="1">
      <alignment horizontal="right" vertical="top"/>
      <protection locked="0"/>
    </xf>
    <xf numFmtId="1" fontId="11" fillId="8" borderId="1" xfId="0" applyNumberFormat="1" applyFont="1" applyFill="1" applyBorder="1" applyAlignment="1" applyProtection="1">
      <alignment horizontal="center" vertical="center"/>
      <protection locked="0"/>
    </xf>
    <xf numFmtId="0" fontId="12" fillId="9" borderId="1" xfId="0" applyFont="1" applyFill="1" applyBorder="1" applyAlignment="1" applyProtection="1">
      <alignment horizontal="left" vertical="center"/>
      <protection locked="0"/>
    </xf>
    <xf numFmtId="166" fontId="0" fillId="9" borderId="1" xfId="2" applyNumberFormat="1" applyFont="1" applyFill="1" applyBorder="1" applyAlignment="1" applyProtection="1">
      <alignment horizontal="center" vertical="center"/>
      <protection locked="0"/>
    </xf>
    <xf numFmtId="0" fontId="7" fillId="9" borderId="0" xfId="0" applyFont="1" applyFill="1" applyAlignment="1" applyProtection="1">
      <alignment vertical="top"/>
      <protection locked="0"/>
    </xf>
    <xf numFmtId="0" fontId="7" fillId="9" borderId="1" xfId="0" applyFont="1" applyFill="1" applyBorder="1" applyAlignment="1" applyProtection="1">
      <alignment vertical="top"/>
      <protection locked="0"/>
    </xf>
    <xf numFmtId="0" fontId="0" fillId="9" borderId="0" xfId="0" applyFill="1" applyAlignment="1" applyProtection="1">
      <alignment vertical="top" wrapText="1"/>
      <protection locked="0"/>
    </xf>
    <xf numFmtId="166" fontId="0" fillId="9" borderId="0" xfId="2" applyNumberFormat="1" applyFont="1" applyFill="1" applyBorder="1" applyAlignment="1" applyProtection="1">
      <alignment horizontal="center" vertical="center"/>
      <protection locked="0"/>
    </xf>
    <xf numFmtId="0" fontId="10" fillId="8" borderId="1" xfId="0" applyFont="1" applyFill="1" applyBorder="1" applyAlignment="1" applyProtection="1">
      <alignment vertical="top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0" fillId="9" borderId="1" xfId="0" applyFont="1" applyFill="1" applyBorder="1" applyAlignment="1" applyProtection="1">
      <alignment vertical="top" wrapText="1"/>
      <protection locked="0"/>
    </xf>
    <xf numFmtId="165" fontId="0" fillId="9" borderId="1" xfId="0" applyNumberFormat="1" applyFont="1" applyFill="1" applyBorder="1" applyAlignment="1" applyProtection="1">
      <alignment horizontal="center" vertical="top"/>
      <protection locked="0"/>
    </xf>
    <xf numFmtId="9" fontId="10" fillId="8" borderId="1" xfId="0" applyNumberFormat="1" applyFont="1" applyFill="1" applyBorder="1" applyAlignment="1" applyProtection="1">
      <alignment horizontal="center" vertical="center" wrapText="1"/>
      <protection locked="0"/>
    </xf>
    <xf numFmtId="1" fontId="10" fillId="8" borderId="1" xfId="0" applyNumberFormat="1" applyFont="1" applyFill="1" applyBorder="1" applyAlignment="1" applyProtection="1">
      <alignment horizontal="center" vertical="top"/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66" fontId="0" fillId="9" borderId="1" xfId="2" applyNumberFormat="1" applyFont="1" applyFill="1" applyBorder="1" applyAlignment="1" applyProtection="1">
      <alignment horizontal="center" vertical="top"/>
      <protection locked="0"/>
    </xf>
    <xf numFmtId="166" fontId="0" fillId="9" borderId="7" xfId="2" applyNumberFormat="1" applyFont="1" applyFill="1" applyBorder="1" applyAlignment="1" applyProtection="1">
      <alignment horizontal="center" vertical="top"/>
      <protection locked="0"/>
    </xf>
    <xf numFmtId="166" fontId="0" fillId="9" borderId="0" xfId="2" applyNumberFormat="1" applyFont="1" applyFill="1" applyBorder="1" applyAlignment="1" applyProtection="1">
      <alignment horizontal="center" vertical="top"/>
      <protection locked="0"/>
    </xf>
    <xf numFmtId="0" fontId="7" fillId="9" borderId="0" xfId="0" applyFont="1" applyFill="1" applyAlignment="1" applyProtection="1">
      <alignment horizontal="right" vertical="top"/>
      <protection locked="0"/>
    </xf>
    <xf numFmtId="0" fontId="7" fillId="9" borderId="1" xfId="0" applyFont="1" applyFill="1" applyBorder="1" applyAlignment="1" applyProtection="1">
      <alignment horizontal="center" vertical="center" wrapText="1"/>
      <protection locked="0"/>
    </xf>
    <xf numFmtId="0" fontId="0" fillId="9" borderId="1" xfId="0" applyFont="1" applyFill="1" applyBorder="1" applyAlignment="1" applyProtection="1">
      <alignment horizontal="center" vertical="top"/>
      <protection locked="0"/>
    </xf>
    <xf numFmtId="0" fontId="0" fillId="9" borderId="1" xfId="0" applyFont="1" applyFill="1" applyBorder="1" applyAlignment="1" applyProtection="1">
      <alignment horizontal="center" vertical="center" wrapText="1"/>
      <protection locked="0"/>
    </xf>
    <xf numFmtId="0" fontId="0" fillId="9" borderId="0" xfId="0" applyFont="1" applyFill="1" applyAlignment="1" applyProtection="1">
      <alignment horizontal="left" wrapText="1"/>
      <protection locked="0"/>
    </xf>
    <xf numFmtId="0" fontId="7" fillId="9" borderId="0" xfId="0" applyFont="1" applyFill="1" applyAlignment="1" applyProtection="1">
      <alignment horizontal="left"/>
      <protection locked="0"/>
    </xf>
    <xf numFmtId="43" fontId="7" fillId="9" borderId="0" xfId="0" applyNumberFormat="1" applyFont="1" applyFill="1" applyAlignment="1" applyProtection="1">
      <alignment vertical="top"/>
      <protection locked="0"/>
    </xf>
    <xf numFmtId="9" fontId="0" fillId="0" borderId="1" xfId="3" applyFont="1" applyFill="1" applyBorder="1" applyAlignment="1" applyProtection="1">
      <alignment horizontal="center" vertical="center" wrapText="1"/>
      <protection locked="0"/>
    </xf>
    <xf numFmtId="9" fontId="0" fillId="9" borderId="0" xfId="3" applyFont="1" applyFill="1" applyAlignment="1" applyProtection="1">
      <alignment vertical="top"/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Alignment="1" applyProtection="1">
      <alignment horizontal="right"/>
      <protection locked="0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12" borderId="12" xfId="0" applyFont="1" applyFill="1" applyBorder="1"/>
    <xf numFmtId="0" fontId="0" fillId="0" borderId="4" xfId="0" applyBorder="1" applyAlignment="1">
      <alignment horizontal="center"/>
    </xf>
    <xf numFmtId="0" fontId="10" fillId="8" borderId="9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center" vertical="center" wrapText="1"/>
      <protection locked="0"/>
    </xf>
    <xf numFmtId="0" fontId="10" fillId="8" borderId="13" xfId="0" applyFont="1" applyFill="1" applyBorder="1" applyAlignment="1" applyProtection="1">
      <alignment horizontal="left" vertical="center"/>
      <protection locked="0"/>
    </xf>
    <xf numFmtId="0" fontId="7" fillId="9" borderId="14" xfId="0" applyFont="1" applyFill="1" applyBorder="1" applyAlignment="1" applyProtection="1">
      <alignment vertical="top" wrapText="1"/>
      <protection locked="0"/>
    </xf>
    <xf numFmtId="0" fontId="0" fillId="9" borderId="14" xfId="0" applyFont="1" applyFill="1" applyBorder="1" applyAlignment="1" applyProtection="1">
      <alignment horizontal="left" vertical="top" wrapText="1" indent="6"/>
      <protection locked="0"/>
    </xf>
    <xf numFmtId="0" fontId="7" fillId="9" borderId="16" xfId="0" applyFont="1" applyFill="1" applyBorder="1" applyAlignment="1" applyProtection="1">
      <alignment vertical="top" wrapText="1"/>
      <protection locked="0"/>
    </xf>
    <xf numFmtId="0" fontId="7" fillId="9" borderId="17" xfId="0" applyFont="1" applyFill="1" applyBorder="1" applyAlignment="1" applyProtection="1">
      <alignment vertical="top" wrapText="1"/>
      <protection locked="0"/>
    </xf>
    <xf numFmtId="0" fontId="7" fillId="9" borderId="18" xfId="0" applyFont="1" applyFill="1" applyBorder="1" applyAlignment="1" applyProtection="1">
      <alignment vertical="top" wrapText="1"/>
      <protection locked="0"/>
    </xf>
    <xf numFmtId="0" fontId="0" fillId="9" borderId="17" xfId="0" applyFont="1" applyFill="1" applyBorder="1" applyAlignment="1" applyProtection="1">
      <alignment horizontal="center" vertical="top" wrapText="1"/>
      <protection locked="0"/>
    </xf>
    <xf numFmtId="0" fontId="14" fillId="9" borderId="0" xfId="0" applyFont="1" applyFill="1"/>
    <xf numFmtId="0" fontId="14" fillId="9" borderId="0" xfId="0" applyFont="1" applyFill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 readingOrder="1"/>
    </xf>
    <xf numFmtId="9" fontId="15" fillId="9" borderId="1" xfId="0" applyNumberFormat="1" applyFont="1" applyFill="1" applyBorder="1" applyAlignment="1">
      <alignment horizontal="center" vertical="center" wrapText="1" readingOrder="1"/>
    </xf>
    <xf numFmtId="0" fontId="10" fillId="8" borderId="1" xfId="1" applyFont="1" applyFill="1" applyBorder="1" applyAlignment="1">
      <alignment horizontal="left" vertical="center" wrapText="1"/>
    </xf>
    <xf numFmtId="0" fontId="10" fillId="8" borderId="1" xfId="1" applyFont="1" applyFill="1" applyBorder="1" applyAlignment="1">
      <alignment horizontal="center" vertical="top" wrapText="1"/>
    </xf>
    <xf numFmtId="164" fontId="10" fillId="8" borderId="1" xfId="2" applyNumberFormat="1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164" fontId="9" fillId="0" borderId="1" xfId="2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vertical="top" wrapText="1"/>
    </xf>
    <xf numFmtId="1" fontId="9" fillId="9" borderId="0" xfId="0" applyNumberFormat="1" applyFont="1" applyFill="1"/>
    <xf numFmtId="0" fontId="9" fillId="9" borderId="0" xfId="0" applyFont="1" applyFill="1" applyBorder="1" applyAlignment="1">
      <alignment horizontal="left" vertical="center"/>
    </xf>
    <xf numFmtId="0" fontId="9" fillId="9" borderId="0" xfId="0" applyFont="1" applyFill="1" applyBorder="1"/>
    <xf numFmtId="164" fontId="9" fillId="9" borderId="0" xfId="2" applyNumberFormat="1" applyFont="1" applyFill="1" applyBorder="1" applyAlignment="1">
      <alignment horizontal="center" vertical="center"/>
    </xf>
    <xf numFmtId="0" fontId="9" fillId="9" borderId="0" xfId="0" applyFont="1" applyFill="1" applyAlignment="1">
      <alignment horizontal="left" vertical="center"/>
    </xf>
    <xf numFmtId="164" fontId="9" fillId="9" borderId="0" xfId="2" applyNumberFormat="1" applyFont="1" applyFill="1" applyAlignment="1">
      <alignment horizontal="center" vertical="center"/>
    </xf>
    <xf numFmtId="164" fontId="16" fillId="0" borderId="1" xfId="2" applyNumberFormat="1" applyFont="1" applyBorder="1" applyAlignment="1">
      <alignment horizontal="left" vertical="center"/>
    </xf>
    <xf numFmtId="164" fontId="0" fillId="9" borderId="0" xfId="0" applyNumberFormat="1" applyFont="1" applyFill="1"/>
    <xf numFmtId="0" fontId="7" fillId="13" borderId="1" xfId="0" applyNumberFormat="1" applyFont="1" applyFill="1" applyBorder="1" applyAlignment="1" applyProtection="1">
      <alignment horizontal="center" vertical="top"/>
      <protection locked="0"/>
    </xf>
    <xf numFmtId="0" fontId="7" fillId="13" borderId="1" xfId="0" applyFont="1" applyFill="1" applyBorder="1" applyAlignment="1" applyProtection="1">
      <alignment horizontal="center" vertical="center"/>
      <protection locked="0"/>
    </xf>
    <xf numFmtId="0" fontId="12" fillId="0" borderId="1" xfId="1" applyFont="1" applyBorder="1" applyAlignment="1">
      <alignment horizontal="left" vertical="center" wrapText="1"/>
    </xf>
    <xf numFmtId="0" fontId="17" fillId="0" borderId="1" xfId="1" applyFont="1" applyBorder="1" applyAlignment="1">
      <alignment vertical="top" wrapText="1"/>
    </xf>
    <xf numFmtId="164" fontId="12" fillId="0" borderId="1" xfId="2" applyNumberFormat="1" applyFont="1" applyBorder="1" applyAlignment="1">
      <alignment horizontal="center" vertical="center" wrapText="1"/>
    </xf>
    <xf numFmtId="164" fontId="17" fillId="0" borderId="1" xfId="2" applyNumberFormat="1" applyFont="1" applyBorder="1" applyAlignment="1">
      <alignment horizontal="center" vertical="center" wrapText="1"/>
    </xf>
    <xf numFmtId="0" fontId="18" fillId="0" borderId="1" xfId="1" applyFont="1" applyBorder="1" applyAlignment="1">
      <alignment vertical="top" wrapText="1"/>
    </xf>
    <xf numFmtId="0" fontId="17" fillId="5" borderId="1" xfId="1" applyFont="1" applyFill="1" applyBorder="1" applyAlignment="1">
      <alignment vertical="top" wrapText="1"/>
    </xf>
    <xf numFmtId="164" fontId="17" fillId="5" borderId="1" xfId="1" applyNumberFormat="1" applyFont="1" applyFill="1" applyBorder="1" applyAlignment="1">
      <alignment vertical="top" wrapText="1"/>
    </xf>
    <xf numFmtId="0" fontId="12" fillId="0" borderId="1" xfId="1" applyFont="1" applyBorder="1" applyAlignment="1">
      <alignment vertical="top" wrapText="1"/>
    </xf>
    <xf numFmtId="9" fontId="12" fillId="0" borderId="1" xfId="1" applyNumberFormat="1" applyFont="1" applyBorder="1" applyAlignment="1">
      <alignment vertical="top" wrapText="1"/>
    </xf>
    <xf numFmtId="0" fontId="18" fillId="0" borderId="1" xfId="1" applyFont="1" applyFill="1" applyBorder="1" applyAlignment="1">
      <alignment vertical="top" wrapText="1"/>
    </xf>
    <xf numFmtId="164" fontId="12" fillId="0" borderId="1" xfId="2" applyNumberFormat="1" applyFont="1" applyFill="1" applyBorder="1" applyAlignment="1">
      <alignment horizontal="center" vertical="center" wrapText="1"/>
    </xf>
    <xf numFmtId="164" fontId="17" fillId="3" borderId="1" xfId="2" applyNumberFormat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left" vertical="center" wrapText="1"/>
    </xf>
    <xf numFmtId="164" fontId="12" fillId="0" borderId="1" xfId="1" applyNumberFormat="1" applyFont="1" applyBorder="1" applyAlignment="1">
      <alignment horizontal="left" vertical="center" wrapText="1"/>
    </xf>
    <xf numFmtId="164" fontId="12" fillId="0" borderId="1" xfId="2" applyNumberFormat="1" applyFont="1" applyBorder="1" applyAlignment="1">
      <alignment horizontal="left" vertical="center" wrapText="1"/>
    </xf>
    <xf numFmtId="164" fontId="9" fillId="9" borderId="0" xfId="0" applyNumberFormat="1" applyFont="1" applyFill="1"/>
    <xf numFmtId="167" fontId="7" fillId="9" borderId="0" xfId="0" applyNumberFormat="1" applyFont="1" applyFill="1" applyAlignment="1" applyProtection="1">
      <alignment vertical="top"/>
      <protection locked="0"/>
    </xf>
    <xf numFmtId="0" fontId="0" fillId="9" borderId="1" xfId="0" applyFont="1" applyFill="1" applyBorder="1" applyAlignment="1" applyProtection="1">
      <alignment horizontal="center" vertical="center"/>
      <protection locked="0"/>
    </xf>
    <xf numFmtId="0" fontId="0" fillId="10" borderId="1" xfId="0" applyFont="1" applyFill="1" applyBorder="1" applyAlignment="1" applyProtection="1">
      <alignment horizontal="center" vertical="center" wrapText="1"/>
    </xf>
    <xf numFmtId="0" fontId="0" fillId="9" borderId="0" xfId="0" applyFont="1" applyFill="1" applyAlignment="1" applyProtection="1">
      <alignment horizontal="center" vertical="center"/>
      <protection locked="0"/>
    </xf>
    <xf numFmtId="1" fontId="0" fillId="10" borderId="1" xfId="0" applyNumberFormat="1" applyFont="1" applyFill="1" applyBorder="1" applyAlignment="1" applyProtection="1">
      <alignment horizontal="center" vertical="center" wrapText="1"/>
    </xf>
    <xf numFmtId="0" fontId="0" fillId="9" borderId="0" xfId="0" applyFont="1" applyFill="1" applyAlignment="1" applyProtection="1">
      <alignment vertical="top"/>
      <protection locked="0"/>
    </xf>
    <xf numFmtId="0" fontId="0" fillId="9" borderId="0" xfId="0" applyFont="1" applyFill="1" applyAlignment="1" applyProtection="1">
      <alignment vertical="top" wrapText="1"/>
      <protection locked="0"/>
    </xf>
    <xf numFmtId="0" fontId="0" fillId="9" borderId="0" xfId="0" applyFont="1" applyFill="1" applyAlignment="1" applyProtection="1">
      <alignment horizontal="center" vertical="top"/>
      <protection locked="0"/>
    </xf>
    <xf numFmtId="167" fontId="0" fillId="9" borderId="1" xfId="0" applyNumberFormat="1" applyFont="1" applyFill="1" applyBorder="1" applyAlignment="1" applyProtection="1">
      <alignment horizontal="right" vertical="center"/>
      <protection locked="0"/>
    </xf>
    <xf numFmtId="0" fontId="0" fillId="9" borderId="1" xfId="0" applyFont="1" applyFill="1" applyBorder="1" applyAlignment="1" applyProtection="1">
      <alignment vertical="top"/>
      <protection locked="0"/>
    </xf>
    <xf numFmtId="167" fontId="0" fillId="9" borderId="0" xfId="0" applyNumberFormat="1" applyFont="1" applyFill="1" applyAlignment="1" applyProtection="1">
      <alignment vertical="top"/>
      <protection locked="0"/>
    </xf>
    <xf numFmtId="43" fontId="0" fillId="9" borderId="0" xfId="0" applyNumberFormat="1" applyFont="1" applyFill="1" applyAlignment="1" applyProtection="1">
      <alignment vertical="top"/>
      <protection locked="0"/>
    </xf>
    <xf numFmtId="9" fontId="0" fillId="9" borderId="0" xfId="0" applyNumberFormat="1" applyFont="1" applyFill="1" applyBorder="1" applyAlignment="1" applyProtection="1">
      <alignment horizontal="center" vertical="center" wrapText="1"/>
      <protection locked="0"/>
    </xf>
    <xf numFmtId="167" fontId="0" fillId="9" borderId="8" xfId="0" applyNumberFormat="1" applyFont="1" applyFill="1" applyBorder="1" applyAlignment="1" applyProtection="1">
      <alignment vertical="top"/>
      <protection locked="0"/>
    </xf>
    <xf numFmtId="0" fontId="0" fillId="9" borderId="8" xfId="0" applyFont="1" applyFill="1" applyBorder="1" applyAlignment="1" applyProtection="1">
      <alignment vertical="top"/>
      <protection locked="0"/>
    </xf>
    <xf numFmtId="0" fontId="0" fillId="9" borderId="0" xfId="0" applyFont="1" applyFill="1" applyAlignment="1" applyProtection="1">
      <alignment horizontal="center" vertical="center" wrapText="1"/>
      <protection locked="0"/>
    </xf>
    <xf numFmtId="166" fontId="0" fillId="9" borderId="1" xfId="2" applyNumberFormat="1" applyFont="1" applyFill="1" applyBorder="1" applyAlignment="1" applyProtection="1">
      <protection locked="0"/>
    </xf>
    <xf numFmtId="0" fontId="0" fillId="9" borderId="0" xfId="0" applyFont="1" applyFill="1" applyAlignment="1" applyProtection="1">
      <alignment horizontal="right" vertical="top"/>
      <protection locked="0"/>
    </xf>
    <xf numFmtId="0" fontId="0" fillId="9" borderId="0" xfId="0" applyFont="1" applyFill="1" applyAlignment="1" applyProtection="1">
      <alignment horizontal="left" vertical="top"/>
      <protection locked="0"/>
    </xf>
    <xf numFmtId="0" fontId="0" fillId="9" borderId="0" xfId="0" applyFont="1" applyFill="1" applyBorder="1" applyAlignment="1" applyProtection="1">
      <alignment vertical="top"/>
      <protection locked="0"/>
    </xf>
    <xf numFmtId="167" fontId="0" fillId="0" borderId="0" xfId="0" applyNumberFormat="1" applyFont="1" applyFill="1" applyBorder="1" applyAlignment="1" applyProtection="1">
      <alignment horizontal="right" vertical="center"/>
      <protection locked="0"/>
    </xf>
    <xf numFmtId="0" fontId="0" fillId="9" borderId="1" xfId="0" applyFont="1" applyFill="1" applyBorder="1" applyAlignment="1" applyProtection="1">
      <alignment horizontal="left" vertical="top" wrapText="1" indent="1"/>
      <protection locked="0"/>
    </xf>
    <xf numFmtId="0" fontId="0" fillId="9" borderId="1" xfId="0" applyFont="1" applyFill="1" applyBorder="1" applyProtection="1">
      <protection locked="0"/>
    </xf>
    <xf numFmtId="10" fontId="0" fillId="0" borderId="1" xfId="0" applyNumberFormat="1" applyFont="1" applyFill="1" applyBorder="1" applyAlignment="1" applyProtection="1">
      <alignment horizontal="center"/>
      <protection locked="0"/>
    </xf>
    <xf numFmtId="166" fontId="0" fillId="9" borderId="0" xfId="0" applyNumberFormat="1" applyFont="1" applyFill="1" applyAlignment="1" applyProtection="1">
      <alignment horizontal="center" vertical="top"/>
      <protection locked="0"/>
    </xf>
    <xf numFmtId="10" fontId="0" fillId="9" borderId="1" xfId="0" applyNumberFormat="1" applyFont="1" applyFill="1" applyBorder="1" applyAlignment="1" applyProtection="1">
      <alignment horizontal="center"/>
      <protection locked="0"/>
    </xf>
    <xf numFmtId="9" fontId="0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0" borderId="1" xfId="0" applyFont="1" applyFill="1" applyBorder="1" applyAlignment="1" applyProtection="1">
      <alignment horizontal="center" vertical="center"/>
    </xf>
    <xf numFmtId="9" fontId="0" fillId="9" borderId="7" xfId="0" applyNumberFormat="1" applyFont="1" applyFill="1" applyBorder="1" applyAlignment="1" applyProtection="1">
      <alignment horizontal="center" vertical="center" wrapText="1"/>
      <protection locked="0"/>
    </xf>
    <xf numFmtId="9" fontId="0" fillId="9" borderId="1" xfId="0" applyNumberFormat="1" applyFont="1" applyFill="1" applyBorder="1" applyAlignment="1" applyProtection="1">
      <alignment horizontal="center" vertical="center"/>
      <protection locked="0"/>
    </xf>
    <xf numFmtId="0" fontId="0" fillId="9" borderId="0" xfId="0" applyFont="1" applyFill="1" applyProtection="1">
      <protection locked="0"/>
    </xf>
    <xf numFmtId="0" fontId="0" fillId="9" borderId="0" xfId="0" applyFont="1" applyFill="1" applyAlignment="1" applyProtection="1">
      <alignment horizontal="center"/>
      <protection locked="0"/>
    </xf>
    <xf numFmtId="9" fontId="0" fillId="9" borderId="0" xfId="0" applyNumberFormat="1" applyFont="1" applyFill="1" applyAlignment="1" applyProtection="1">
      <alignment horizontal="center"/>
      <protection locked="0"/>
    </xf>
    <xf numFmtId="0" fontId="0" fillId="0" borderId="15" xfId="0" applyFont="1" applyBorder="1" applyAlignment="1">
      <alignment horizontal="left"/>
    </xf>
    <xf numFmtId="0" fontId="0" fillId="9" borderId="15" xfId="0" applyFont="1" applyFill="1" applyBorder="1" applyAlignment="1" applyProtection="1">
      <alignment vertical="top"/>
      <protection locked="0"/>
    </xf>
    <xf numFmtId="166" fontId="0" fillId="9" borderId="0" xfId="0" applyNumberFormat="1" applyFont="1" applyFill="1" applyAlignment="1" applyProtection="1">
      <alignment vertical="top"/>
      <protection locked="0"/>
    </xf>
    <xf numFmtId="0" fontId="0" fillId="9" borderId="15" xfId="0" applyFont="1" applyFill="1" applyBorder="1" applyAlignment="1" applyProtection="1">
      <alignment vertical="top" wrapText="1"/>
      <protection locked="0"/>
    </xf>
    <xf numFmtId="0" fontId="0" fillId="0" borderId="1" xfId="0" applyFont="1" applyBorder="1" applyAlignment="1">
      <alignment horizontal="center" vertical="top"/>
    </xf>
    <xf numFmtId="1" fontId="0" fillId="9" borderId="1" xfId="0" applyNumberFormat="1" applyFont="1" applyFill="1" applyBorder="1" applyAlignment="1" applyProtection="1">
      <alignment horizontal="center" vertical="top"/>
      <protection locked="0"/>
    </xf>
    <xf numFmtId="0" fontId="0" fillId="10" borderId="1" xfId="0" applyFont="1" applyFill="1" applyBorder="1" applyAlignment="1" applyProtection="1">
      <alignment horizontal="center" vertical="center"/>
      <protection locked="0"/>
    </xf>
    <xf numFmtId="167" fontId="0" fillId="0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66" fontId="7" fillId="9" borderId="8" xfId="2" applyNumberFormat="1" applyFont="1" applyFill="1" applyBorder="1" applyAlignment="1" applyProtection="1">
      <alignment horizontal="center" vertical="center"/>
      <protection locked="0"/>
    </xf>
    <xf numFmtId="2" fontId="11" fillId="9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9" fillId="0" borderId="0" xfId="4"/>
    <xf numFmtId="0" fontId="10" fillId="8" borderId="1" xfId="0" applyFont="1" applyFill="1" applyBorder="1"/>
    <xf numFmtId="0" fontId="7" fillId="0" borderId="25" xfId="0" applyFont="1" applyBorder="1"/>
    <xf numFmtId="0" fontId="0" fillId="0" borderId="27" xfId="0" applyBorder="1"/>
    <xf numFmtId="15" fontId="0" fillId="0" borderId="1" xfId="0" applyNumberFormat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 wrapText="1" readingOrder="1"/>
    </xf>
    <xf numFmtId="0" fontId="7" fillId="0" borderId="26" xfId="0" applyFont="1" applyBorder="1"/>
    <xf numFmtId="0" fontId="10" fillId="8" borderId="1" xfId="0" applyFont="1" applyFill="1" applyBorder="1" applyAlignment="1">
      <alignment horizontal="right" vertical="center" wrapText="1" readingOrder="1"/>
    </xf>
    <xf numFmtId="9" fontId="0" fillId="9" borderId="1" xfId="0" applyNumberFormat="1" applyFont="1" applyFill="1" applyBorder="1" applyAlignment="1" applyProtection="1">
      <alignment horizontal="right"/>
      <protection locked="0"/>
    </xf>
    <xf numFmtId="0" fontId="0" fillId="9" borderId="1" xfId="0" applyFont="1" applyFill="1" applyBorder="1" applyAlignment="1" applyProtection="1">
      <alignment horizontal="right"/>
      <protection locked="0"/>
    </xf>
    <xf numFmtId="166" fontId="0" fillId="9" borderId="1" xfId="0" applyNumberFormat="1" applyFont="1" applyFill="1" applyBorder="1" applyAlignment="1" applyProtection="1">
      <alignment horizontal="right" vertical="center"/>
      <protection locked="0"/>
    </xf>
    <xf numFmtId="0" fontId="0" fillId="9" borderId="0" xfId="0" applyFont="1" applyFill="1" applyAlignment="1" applyProtection="1">
      <alignment horizontal="right" vertical="center"/>
      <protection locked="0"/>
    </xf>
    <xf numFmtId="2" fontId="0" fillId="9" borderId="1" xfId="0" applyNumberFormat="1" applyFont="1" applyFill="1" applyBorder="1" applyAlignment="1" applyProtection="1">
      <alignment horizontal="center" vertical="center"/>
      <protection locked="0"/>
    </xf>
    <xf numFmtId="164" fontId="0" fillId="9" borderId="1" xfId="0" applyNumberFormat="1" applyFont="1" applyFill="1" applyBorder="1" applyAlignment="1" applyProtection="1">
      <alignment horizontal="center" vertical="center"/>
      <protection locked="0"/>
    </xf>
    <xf numFmtId="0" fontId="0" fillId="9" borderId="0" xfId="0" applyFont="1" applyFill="1" applyAlignment="1" applyProtection="1">
      <alignment horizontal="right"/>
      <protection locked="0"/>
    </xf>
    <xf numFmtId="0" fontId="0" fillId="11" borderId="1" xfId="0" applyFont="1" applyFill="1" applyBorder="1" applyAlignment="1" applyProtection="1">
      <alignment horizontal="right" vertical="center"/>
      <protection locked="0"/>
    </xf>
    <xf numFmtId="43" fontId="0" fillId="10" borderId="1" xfId="0" applyNumberFormat="1" applyFont="1" applyFill="1" applyBorder="1" applyAlignment="1" applyProtection="1">
      <alignment horizontal="center" vertical="center"/>
    </xf>
    <xf numFmtId="0" fontId="0" fillId="11" borderId="1" xfId="0" applyNumberFormat="1" applyFont="1" applyFill="1" applyBorder="1" applyAlignment="1" applyProtection="1">
      <alignment horizontal="right" vertical="center"/>
      <protection locked="0"/>
    </xf>
    <xf numFmtId="166" fontId="0" fillId="9" borderId="0" xfId="0" applyNumberFormat="1" applyFont="1" applyFill="1" applyProtection="1">
      <protection locked="0"/>
    </xf>
    <xf numFmtId="164" fontId="0" fillId="10" borderId="1" xfId="0" applyNumberFormat="1" applyFont="1" applyFill="1" applyBorder="1" applyAlignment="1" applyProtection="1">
      <alignment horizontal="right" vertical="center"/>
    </xf>
    <xf numFmtId="0" fontId="22" fillId="5" borderId="1" xfId="4" applyFont="1" applyFill="1" applyBorder="1" applyAlignment="1">
      <alignment vertical="top" wrapText="1"/>
    </xf>
    <xf numFmtId="0" fontId="0" fillId="9" borderId="0" xfId="0" applyFont="1" applyFill="1" applyAlignment="1">
      <alignment wrapText="1"/>
    </xf>
    <xf numFmtId="0" fontId="7" fillId="12" borderId="13" xfId="0" applyFont="1" applyFill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0" fillId="0" borderId="15" xfId="0" applyBorder="1" applyAlignment="1">
      <alignment wrapText="1"/>
    </xf>
    <xf numFmtId="0" fontId="19" fillId="0" borderId="15" xfId="4" applyBorder="1" applyAlignment="1">
      <alignment wrapText="1"/>
    </xf>
    <xf numFmtId="0" fontId="0" fillId="0" borderId="18" xfId="0" applyBorder="1" applyAlignment="1">
      <alignment wrapText="1"/>
    </xf>
    <xf numFmtId="0" fontId="0" fillId="9" borderId="0" xfId="0" applyFont="1" applyFill="1" applyAlignment="1">
      <alignment horizontal="left" vertical="center"/>
    </xf>
    <xf numFmtId="0" fontId="7" fillId="12" borderId="20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9" borderId="0" xfId="0" applyFont="1" applyFill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9" borderId="0" xfId="0" applyNumberFormat="1" applyFont="1" applyFill="1" applyAlignment="1">
      <alignment horizontal="center" vertical="center"/>
    </xf>
    <xf numFmtId="0" fontId="19" fillId="9" borderId="0" xfId="4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10" fillId="8" borderId="1" xfId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5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12" fillId="0" borderId="1" xfId="1" applyNumberFormat="1" applyFont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7" fillId="0" borderId="1" xfId="1" applyFont="1" applyBorder="1" applyAlignment="1">
      <alignment vertical="top" wrapText="1"/>
    </xf>
    <xf numFmtId="0" fontId="9" fillId="9" borderId="1" xfId="0" applyFont="1" applyFill="1" applyBorder="1" applyAlignment="1">
      <alignment horizontal="left" vertical="center"/>
    </xf>
    <xf numFmtId="1" fontId="9" fillId="9" borderId="1" xfId="0" applyNumberFormat="1" applyFont="1" applyFill="1" applyBorder="1" applyAlignment="1">
      <alignment horizontal="right" vertical="center"/>
    </xf>
    <xf numFmtId="164" fontId="12" fillId="0" borderId="1" xfId="2" applyNumberFormat="1" applyFont="1" applyBorder="1" applyAlignment="1">
      <alignment horizontal="right" vertical="center" wrapText="1"/>
    </xf>
    <xf numFmtId="0" fontId="9" fillId="9" borderId="0" xfId="0" applyFont="1" applyFill="1" applyAlignment="1">
      <alignment horizontal="right"/>
    </xf>
    <xf numFmtId="164" fontId="7" fillId="9" borderId="0" xfId="0" applyNumberFormat="1" applyFont="1" applyFill="1" applyAlignment="1">
      <alignment horizontal="right"/>
    </xf>
    <xf numFmtId="164" fontId="9" fillId="9" borderId="0" xfId="0" applyNumberFormat="1" applyFont="1" applyFill="1" applyAlignment="1">
      <alignment horizontal="right"/>
    </xf>
    <xf numFmtId="1" fontId="9" fillId="9" borderId="0" xfId="0" applyNumberFormat="1" applyFont="1" applyFill="1" applyAlignment="1">
      <alignment horizontal="right"/>
    </xf>
    <xf numFmtId="168" fontId="7" fillId="0" borderId="1" xfId="0" applyNumberFormat="1" applyFont="1" applyBorder="1" applyAlignment="1">
      <alignment horizontal="center" vertical="center"/>
    </xf>
    <xf numFmtId="168" fontId="0" fillId="9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13" fillId="8" borderId="9" xfId="0" applyFont="1" applyFill="1" applyBorder="1" applyAlignment="1">
      <alignment horizontal="left" vertical="center" wrapText="1" readingOrder="1"/>
    </xf>
    <xf numFmtId="0" fontId="13" fillId="8" borderId="10" xfId="0" applyFont="1" applyFill="1" applyBorder="1" applyAlignment="1">
      <alignment horizontal="left" vertical="center" wrapText="1" readingOrder="1"/>
    </xf>
    <xf numFmtId="0" fontId="13" fillId="8" borderId="13" xfId="0" applyFont="1" applyFill="1" applyBorder="1" applyAlignment="1">
      <alignment horizontal="left" vertical="center" wrapText="1" readingOrder="1"/>
    </xf>
    <xf numFmtId="0" fontId="15" fillId="9" borderId="14" xfId="0" applyFont="1" applyFill="1" applyBorder="1" applyAlignment="1">
      <alignment horizontal="left" vertical="center" wrapText="1" readingOrder="1"/>
    </xf>
    <xf numFmtId="0" fontId="21" fillId="9" borderId="16" xfId="0" applyFont="1" applyFill="1" applyBorder="1"/>
    <xf numFmtId="0" fontId="21" fillId="9" borderId="17" xfId="0" applyFont="1" applyFill="1" applyBorder="1"/>
    <xf numFmtId="9" fontId="21" fillId="9" borderId="17" xfId="0" applyNumberFormat="1" applyFont="1" applyFill="1" applyBorder="1" applyAlignment="1">
      <alignment horizontal="center" vertical="center"/>
    </xf>
    <xf numFmtId="0" fontId="14" fillId="9" borderId="0" xfId="0" applyFont="1" applyFill="1" applyAlignment="1">
      <alignment wrapText="1"/>
    </xf>
    <xf numFmtId="0" fontId="14" fillId="9" borderId="15" xfId="0" applyFont="1" applyFill="1" applyBorder="1" applyAlignment="1">
      <alignment wrapText="1"/>
    </xf>
    <xf numFmtId="0" fontId="14" fillId="9" borderId="18" xfId="0" applyFont="1" applyFill="1" applyBorder="1" applyAlignment="1">
      <alignment wrapText="1"/>
    </xf>
    <xf numFmtId="0" fontId="13" fillId="8" borderId="28" xfId="0" applyFont="1" applyFill="1" applyBorder="1" applyAlignment="1">
      <alignment horizontal="left" vertical="center" wrapText="1" readingOrder="1"/>
    </xf>
    <xf numFmtId="9" fontId="15" fillId="9" borderId="2" xfId="0" applyNumberFormat="1" applyFont="1" applyFill="1" applyBorder="1" applyAlignment="1">
      <alignment horizontal="center" vertical="center" wrapText="1" readingOrder="1"/>
    </xf>
    <xf numFmtId="9" fontId="21" fillId="9" borderId="29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left" vertical="center" wrapText="1" readingOrder="1"/>
    </xf>
    <xf numFmtId="0" fontId="10" fillId="8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left" vertical="center" wrapText="1" readingOrder="1"/>
    </xf>
    <xf numFmtId="0" fontId="10" fillId="8" borderId="3" xfId="0" applyFont="1" applyFill="1" applyBorder="1" applyAlignment="1">
      <alignment horizontal="left" vertical="center" wrapText="1" readingOrder="1"/>
    </xf>
    <xf numFmtId="0" fontId="10" fillId="8" borderId="4" xfId="0" applyFont="1" applyFill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20" fillId="8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0" fillId="8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9" borderId="2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7" fillId="0" borderId="1" xfId="1" applyFont="1" applyBorder="1" applyAlignment="1">
      <alignment vertical="top" wrapText="1"/>
    </xf>
    <xf numFmtId="0" fontId="10" fillId="8" borderId="28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1" fillId="8" borderId="2" xfId="0" applyFont="1" applyFill="1" applyBorder="1" applyAlignment="1" applyProtection="1">
      <alignment horizontal="left" vertical="top" wrapText="1"/>
      <protection locked="0"/>
    </xf>
    <xf numFmtId="0" fontId="11" fillId="8" borderId="3" xfId="0" applyFont="1" applyFill="1" applyBorder="1" applyAlignment="1" applyProtection="1">
      <alignment horizontal="left" vertical="top" wrapText="1"/>
      <protection locked="0"/>
    </xf>
    <xf numFmtId="0" fontId="11" fillId="8" borderId="4" xfId="0" applyFont="1" applyFill="1" applyBorder="1" applyAlignment="1" applyProtection="1">
      <alignment horizontal="left" vertical="top" wrapText="1"/>
      <protection locked="0"/>
    </xf>
    <xf numFmtId="0" fontId="11" fillId="8" borderId="2" xfId="0" applyFont="1" applyFill="1" applyBorder="1" applyAlignment="1" applyProtection="1">
      <alignment horizontal="center" vertical="top"/>
      <protection locked="0"/>
    </xf>
    <xf numFmtId="0" fontId="11" fillId="8" borderId="4" xfId="0" applyFont="1" applyFill="1" applyBorder="1" applyAlignment="1" applyProtection="1">
      <alignment horizontal="center" vertical="top"/>
      <protection locked="0"/>
    </xf>
    <xf numFmtId="0" fontId="2" fillId="5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 wrapText="1"/>
    </xf>
  </cellXfs>
  <cellStyles count="5">
    <cellStyle name="Comma" xfId="2" builtinId="3"/>
    <cellStyle name="Hyperlink" xfId="4" builtinId="8"/>
    <cellStyle name="Normal" xfId="0" builtinId="0"/>
    <cellStyle name="Normal 2" xfId="1" xr:uid="{44B85EB3-5394-4BDC-8A5A-7E697B77EB5E}"/>
    <cellStyle name="Percent" xfId="3" builtinId="5"/>
  </cellStyles>
  <dxfs count="0"/>
  <tableStyles count="0" defaultTableStyle="TableStyleMedium2" defaultPivotStyle="PivotStyleLight16"/>
  <colors>
    <mruColors>
      <color rgb="FFE200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Capex</a:t>
            </a:r>
            <a:r>
              <a:rPr lang="en-IN" baseline="0"/>
              <a:t> vs O</a:t>
            </a:r>
            <a:r>
              <a:rPr lang="en-IN"/>
              <a:t>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Dashboard!$X$45</c:f>
              <c:strCache>
                <c:ptCount val="1"/>
                <c:pt idx="0">
                  <c:v>Capex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Dashboard!$Y$39:$AC$39</c:f>
              <c:strCache>
                <c:ptCount val="5"/>
                <c:pt idx="0">
                  <c:v>Initial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</c:strCache>
            </c:strRef>
          </c:cat>
          <c:val>
            <c:numRef>
              <c:f>Dashboard!$Y$45:$AC$45</c:f>
              <c:numCache>
                <c:formatCode>0.00</c:formatCode>
                <c:ptCount val="5"/>
                <c:pt idx="0">
                  <c:v>0.70884555000000005</c:v>
                </c:pt>
                <c:pt idx="1">
                  <c:v>0.94404555000000001</c:v>
                </c:pt>
                <c:pt idx="2">
                  <c:v>1.1792455500000001</c:v>
                </c:pt>
                <c:pt idx="3">
                  <c:v>1.4144455500000002</c:v>
                </c:pt>
                <c:pt idx="4">
                  <c:v>1.6496455500000002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B-41F7-A463-334582DB1334}"/>
            </c:ext>
          </c:extLst>
        </c:ser>
        <c:ser>
          <c:idx val="1"/>
          <c:order val="1"/>
          <c:tx>
            <c:strRef>
              <c:f>Dashboard!$X$46</c:f>
              <c:strCache>
                <c:ptCount val="1"/>
                <c:pt idx="0">
                  <c:v>Opex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Dashboard!$Y$39:$AC$39</c:f>
              <c:strCache>
                <c:ptCount val="5"/>
                <c:pt idx="0">
                  <c:v>Initial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</c:strCache>
            </c:strRef>
          </c:cat>
          <c:val>
            <c:numRef>
              <c:f>Dashboard!$Y$46:$AC$46</c:f>
              <c:numCache>
                <c:formatCode>0.00</c:formatCode>
                <c:ptCount val="5"/>
                <c:pt idx="0">
                  <c:v>0</c:v>
                </c:pt>
                <c:pt idx="1">
                  <c:v>0.21193024999999996</c:v>
                </c:pt>
                <c:pt idx="2">
                  <c:v>0.34291249999999995</c:v>
                </c:pt>
                <c:pt idx="3">
                  <c:v>0.48439474999999999</c:v>
                </c:pt>
                <c:pt idx="4">
                  <c:v>0.60655700000000001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B-41F7-A463-334582DB13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0145784"/>
        <c:axId val="1110145144"/>
      </c:barChart>
      <c:catAx>
        <c:axId val="11101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5144"/>
        <c:crosses val="autoZero"/>
        <c:auto val="1"/>
        <c:lblAlgn val="ctr"/>
        <c:lblOffset val="100"/>
        <c:noMultiLvlLbl val="0"/>
      </c:catAx>
      <c:valAx>
        <c:axId val="1110145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Cost in million -&gt;</a:t>
                </a:r>
                <a:endParaRPr lang="en-IN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[$€-407]_-;\-* #,##0.00\ [$€-407]_-;_-* &quot;-&quot;??\ [$€-407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/>
              <a:t>Overall C</a:t>
            </a:r>
            <a:r>
              <a:rPr lang="en-IN" sz="1600" b="1"/>
              <a:t>ost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Dashboard!$X$10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Dashboard!$Y$9:$AC$9</c:f>
              <c:strCache>
                <c:ptCount val="5"/>
                <c:pt idx="0">
                  <c:v>Initial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</c:strCache>
            </c:strRef>
          </c:cat>
          <c:val>
            <c:numRef>
              <c:f>Dashboard!$Y$10:$AC$10</c:f>
              <c:numCache>
                <c:formatCode>0.00</c:formatCode>
                <c:ptCount val="5"/>
                <c:pt idx="0">
                  <c:v>0.70884555000000005</c:v>
                </c:pt>
                <c:pt idx="1">
                  <c:v>0.70884555000000005</c:v>
                </c:pt>
                <c:pt idx="2">
                  <c:v>0.70884555000000005</c:v>
                </c:pt>
                <c:pt idx="3">
                  <c:v>0.70884555000000005</c:v>
                </c:pt>
                <c:pt idx="4">
                  <c:v>0.70884555000000005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2-4819-994D-226F1EB3BEA1}"/>
            </c:ext>
          </c:extLst>
        </c:ser>
        <c:ser>
          <c:idx val="1"/>
          <c:order val="1"/>
          <c:tx>
            <c:strRef>
              <c:f>Dashboard!$X$11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Dashboard!$Y$9:$AC$9</c:f>
              <c:strCache>
                <c:ptCount val="5"/>
                <c:pt idx="0">
                  <c:v>Initial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</c:strCache>
            </c:strRef>
          </c:cat>
          <c:val>
            <c:numRef>
              <c:f>Dashboard!$Y$11:$AC$11</c:f>
              <c:numCache>
                <c:formatCode>0.00</c:formatCode>
                <c:ptCount val="5"/>
                <c:pt idx="1">
                  <c:v>0.44713024999999995</c:v>
                </c:pt>
                <c:pt idx="2">
                  <c:v>0.44713024999999995</c:v>
                </c:pt>
                <c:pt idx="3">
                  <c:v>0.44713024999999995</c:v>
                </c:pt>
                <c:pt idx="4">
                  <c:v>0.44713024999999995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2-4819-994D-226F1EB3BEA1}"/>
            </c:ext>
          </c:extLst>
        </c:ser>
        <c:ser>
          <c:idx val="2"/>
          <c:order val="2"/>
          <c:tx>
            <c:strRef>
              <c:f>Dashboard!$X$12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Dashboard!$Y$9:$AC$9</c:f>
              <c:strCache>
                <c:ptCount val="5"/>
                <c:pt idx="0">
                  <c:v>Initial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</c:strCache>
            </c:strRef>
          </c:cat>
          <c:val>
            <c:numRef>
              <c:f>Dashboard!$Y$12:$AC$12</c:f>
              <c:numCache>
                <c:formatCode>0.00</c:formatCode>
                <c:ptCount val="5"/>
                <c:pt idx="2">
                  <c:v>0.36618224999999999</c:v>
                </c:pt>
                <c:pt idx="3">
                  <c:v>0.36618224999999999</c:v>
                </c:pt>
                <c:pt idx="4">
                  <c:v>0.36618224999999999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2-4819-994D-226F1EB3BEA1}"/>
            </c:ext>
          </c:extLst>
        </c:ser>
        <c:ser>
          <c:idx val="3"/>
          <c:order val="3"/>
          <c:tx>
            <c:strRef>
              <c:f>Dashboard!$X$13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Dashboard!$Y$9:$AC$9</c:f>
              <c:strCache>
                <c:ptCount val="5"/>
                <c:pt idx="0">
                  <c:v>Initial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</c:strCache>
            </c:strRef>
          </c:cat>
          <c:val>
            <c:numRef>
              <c:f>Dashboard!$Y$13:$AC$13</c:f>
              <c:numCache>
                <c:formatCode>0.00</c:formatCode>
                <c:ptCount val="5"/>
                <c:pt idx="3">
                  <c:v>0.37668225</c:v>
                </c:pt>
                <c:pt idx="4">
                  <c:v>0.37668225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2-4819-994D-226F1EB3BEA1}"/>
            </c:ext>
          </c:extLst>
        </c:ser>
        <c:ser>
          <c:idx val="4"/>
          <c:order val="4"/>
          <c:tx>
            <c:strRef>
              <c:f>Dashboard!$X$14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Dashboard!$Y$9:$AC$9</c:f>
              <c:strCache>
                <c:ptCount val="5"/>
                <c:pt idx="0">
                  <c:v>Initial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</c:strCache>
            </c:strRef>
          </c:cat>
          <c:val>
            <c:numRef>
              <c:f>Dashboard!$Y$14:$AC$14</c:f>
              <c:numCache>
                <c:formatCode>0.00</c:formatCode>
                <c:ptCount val="5"/>
                <c:pt idx="4">
                  <c:v>0.35736224999999999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2-4819-994D-226F1EB3BE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147443176"/>
        <c:axId val="1147443832"/>
      </c:barChart>
      <c:catAx>
        <c:axId val="11474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43832"/>
        <c:crosses val="autoZero"/>
        <c:auto val="1"/>
        <c:lblAlgn val="ctr"/>
        <c:lblOffset val="100"/>
        <c:noMultiLvlLbl val="0"/>
      </c:catAx>
      <c:valAx>
        <c:axId val="1147443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 in million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[$€-407]_-;\-* #,##0.00\ [$€-407]_-;_-* &quot;-&quot;??\ [$€-407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431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613834</xdr:colOff>
      <xdr:row>6</xdr:row>
      <xdr:rowOff>175683</xdr:rowOff>
    </xdr:from>
    <xdr:to>
      <xdr:col>12</xdr:col>
      <xdr:colOff>213671</xdr:colOff>
      <xdr:row>22</xdr:row>
      <xdr:rowOff>7683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DB809-45EF-480C-A042-69ACCA7A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205317</xdr:colOff>
      <xdr:row>6</xdr:row>
      <xdr:rowOff>181504</xdr:rowOff>
    </xdr:from>
    <xdr:to>
      <xdr:col>5</xdr:col>
      <xdr:colOff>423333</xdr:colOff>
      <xdr:row>22</xdr:row>
      <xdr:rowOff>13504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A81B4-F6EB-4C36-80A0-3E7DCCE93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ard.telekom.de/gardwiki/pages/viewpage.action?pageId=281947654" TargetMode="External"/><Relationship Id="rId2" Type="http://schemas.openxmlformats.org/officeDocument/2006/relationships/hyperlink" Target="https://marketplace.atlassian.com/apps/1212137/insight-asset-management?hosting=server&amp;tab=pricing" TargetMode="External"/><Relationship Id="rId1" Type="http://schemas.openxmlformats.org/officeDocument/2006/relationships/hyperlink" Target="https://marketplace.atlassian.com/apps/1214668/insight-discovery?hosting=server&amp;tab=pricing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5D0C-C840-43B9-88F1-A44707349DDF}">
  <dimension ref="A1:Q22"/>
  <sheetViews>
    <sheetView zoomScale="90" zoomScaleNormal="90" workbookViewId="0">
      <selection activeCell="I7" sqref="I7"/>
    </sheetView>
  </sheetViews>
  <sheetFormatPr defaultColWidth="9.1796875" defaultRowHeight="14.5" x14ac:dyDescent="0.35"/>
  <cols>
    <col min="1" max="7" width="9.1796875" style="226"/>
    <col min="8" max="8" width="12.81640625" style="226" customWidth="1"/>
    <col min="9" max="9" width="10.81640625" style="226" customWidth="1"/>
    <col min="10" max="16384" width="9.1796875" style="226"/>
  </cols>
  <sheetData>
    <row r="1" spans="1:17" x14ac:dyDescent="0.35"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</row>
    <row r="2" spans="1:17" ht="21" x14ac:dyDescent="0.5">
      <c r="A2" s="227"/>
      <c r="B2" s="313" t="s">
        <v>197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228"/>
    </row>
    <row r="3" spans="1:17" x14ac:dyDescent="0.35">
      <c r="A3" s="227"/>
      <c r="B3" s="322" t="s">
        <v>174</v>
      </c>
      <c r="C3" s="322"/>
      <c r="D3" s="314" t="s">
        <v>198</v>
      </c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228"/>
    </row>
    <row r="4" spans="1:17" x14ac:dyDescent="0.35">
      <c r="A4" s="227"/>
      <c r="B4" s="322" t="s">
        <v>175</v>
      </c>
      <c r="C4" s="322"/>
      <c r="D4" s="314" t="s">
        <v>214</v>
      </c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228"/>
    </row>
    <row r="5" spans="1:17" x14ac:dyDescent="0.35"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</row>
    <row r="6" spans="1:17" x14ac:dyDescent="0.35">
      <c r="A6" s="227"/>
      <c r="B6" s="232" t="s">
        <v>163</v>
      </c>
      <c r="C6" s="318" t="s">
        <v>14</v>
      </c>
      <c r="D6" s="319"/>
      <c r="E6" s="319"/>
      <c r="F6" s="319"/>
      <c r="G6" s="319"/>
      <c r="H6" s="320"/>
      <c r="I6" s="58" t="s">
        <v>172</v>
      </c>
      <c r="J6" s="315" t="s">
        <v>182</v>
      </c>
      <c r="K6" s="316"/>
      <c r="L6" s="317"/>
      <c r="M6" s="321" t="s">
        <v>53</v>
      </c>
      <c r="N6" s="321"/>
      <c r="O6" s="321"/>
      <c r="P6" s="321"/>
    </row>
    <row r="7" spans="1:17" x14ac:dyDescent="0.35">
      <c r="A7" s="227"/>
      <c r="B7" s="289">
        <v>0.1</v>
      </c>
      <c r="C7" s="327" t="s">
        <v>199</v>
      </c>
      <c r="D7" s="328"/>
      <c r="E7" s="328"/>
      <c r="F7" s="328"/>
      <c r="G7" s="328"/>
      <c r="H7" s="329"/>
      <c r="I7" s="235"/>
      <c r="J7" s="323"/>
      <c r="K7" s="324"/>
      <c r="L7" s="325"/>
      <c r="M7" s="326"/>
      <c r="N7" s="326"/>
      <c r="O7" s="326"/>
      <c r="P7" s="326"/>
    </row>
    <row r="8" spans="1:17" x14ac:dyDescent="0.35"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</row>
    <row r="9" spans="1:17" x14ac:dyDescent="0.35">
      <c r="B9" s="233" t="s">
        <v>173</v>
      </c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</row>
    <row r="10" spans="1:17" ht="15" customHeight="1" x14ac:dyDescent="0.35">
      <c r="A10" s="227"/>
      <c r="B10" s="307" t="s">
        <v>165</v>
      </c>
      <c r="C10" s="307"/>
      <c r="D10" s="309" t="s">
        <v>164</v>
      </c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1"/>
      <c r="Q10" s="228"/>
    </row>
    <row r="11" spans="1:17" x14ac:dyDescent="0.35">
      <c r="A11" s="227"/>
      <c r="B11" s="308" t="s">
        <v>175</v>
      </c>
      <c r="C11" s="308"/>
      <c r="D11" s="306" t="s">
        <v>177</v>
      </c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228"/>
    </row>
    <row r="12" spans="1:17" x14ac:dyDescent="0.35">
      <c r="A12" s="227"/>
      <c r="B12" s="308"/>
      <c r="C12" s="308"/>
      <c r="D12" s="306" t="s">
        <v>178</v>
      </c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228"/>
    </row>
    <row r="13" spans="1:17" x14ac:dyDescent="0.35">
      <c r="A13" s="227"/>
      <c r="B13" s="308"/>
      <c r="C13" s="308"/>
      <c r="D13" s="306" t="s">
        <v>179</v>
      </c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228"/>
    </row>
    <row r="14" spans="1:17" x14ac:dyDescent="0.35">
      <c r="A14" s="227"/>
      <c r="B14" s="308" t="s">
        <v>181</v>
      </c>
      <c r="C14" s="308"/>
      <c r="D14" s="306" t="s">
        <v>180</v>
      </c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228"/>
    </row>
    <row r="15" spans="1:17" x14ac:dyDescent="0.35">
      <c r="A15" s="227"/>
      <c r="B15" s="312" t="s">
        <v>166</v>
      </c>
      <c r="C15" s="312"/>
      <c r="D15" s="306" t="s">
        <v>167</v>
      </c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228"/>
    </row>
    <row r="16" spans="1:17" x14ac:dyDescent="0.35">
      <c r="A16" s="227"/>
      <c r="B16" s="312"/>
      <c r="C16" s="312"/>
      <c r="D16" s="306" t="s">
        <v>203</v>
      </c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228"/>
    </row>
    <row r="17" spans="1:17" ht="46" customHeight="1" x14ac:dyDescent="0.35">
      <c r="A17" s="227"/>
      <c r="B17" s="305" t="s">
        <v>168</v>
      </c>
      <c r="C17" s="305"/>
      <c r="D17" s="306" t="s">
        <v>195</v>
      </c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228"/>
    </row>
    <row r="18" spans="1:17" x14ac:dyDescent="0.35">
      <c r="A18" s="227"/>
      <c r="B18" s="305" t="s">
        <v>169</v>
      </c>
      <c r="C18" s="305"/>
      <c r="D18" s="306" t="s">
        <v>170</v>
      </c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228"/>
    </row>
    <row r="19" spans="1:17" x14ac:dyDescent="0.35">
      <c r="A19" s="227"/>
      <c r="B19" s="305"/>
      <c r="C19" s="305"/>
      <c r="D19" s="306" t="s">
        <v>176</v>
      </c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228"/>
    </row>
    <row r="21" spans="1:17" x14ac:dyDescent="0.35">
      <c r="B21" s="237" t="s">
        <v>171</v>
      </c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</row>
    <row r="22" spans="1:17" x14ac:dyDescent="0.35">
      <c r="B22" s="231"/>
    </row>
  </sheetData>
  <mergeCells count="27">
    <mergeCell ref="J7:L7"/>
    <mergeCell ref="M7:P7"/>
    <mergeCell ref="C7:H7"/>
    <mergeCell ref="B2:P2"/>
    <mergeCell ref="D3:P3"/>
    <mergeCell ref="D4:P4"/>
    <mergeCell ref="J6:L6"/>
    <mergeCell ref="C6:H6"/>
    <mergeCell ref="M6:P6"/>
    <mergeCell ref="B4:C4"/>
    <mergeCell ref="B3:C3"/>
    <mergeCell ref="B17:C17"/>
    <mergeCell ref="B18:C19"/>
    <mergeCell ref="D19:P19"/>
    <mergeCell ref="D18:P18"/>
    <mergeCell ref="B10:C10"/>
    <mergeCell ref="B14:C14"/>
    <mergeCell ref="D10:P10"/>
    <mergeCell ref="D12:P12"/>
    <mergeCell ref="D11:P11"/>
    <mergeCell ref="D13:P13"/>
    <mergeCell ref="D14:P14"/>
    <mergeCell ref="D17:P17"/>
    <mergeCell ref="B15:C16"/>
    <mergeCell ref="D15:P15"/>
    <mergeCell ref="D16:P16"/>
    <mergeCell ref="B11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1235-3EBB-4B78-B476-07512124050E}">
  <dimension ref="B1:AC46"/>
  <sheetViews>
    <sheetView zoomScale="90" zoomScaleNormal="90" workbookViewId="0">
      <selection activeCell="B1" sqref="B1"/>
    </sheetView>
  </sheetViews>
  <sheetFormatPr defaultColWidth="9.1796875" defaultRowHeight="14.5" x14ac:dyDescent="0.35"/>
  <cols>
    <col min="1" max="1" width="3.453125" style="212" customWidth="1"/>
    <col min="2" max="2" width="34.81640625" style="212" customWidth="1"/>
    <col min="3" max="3" width="15.26953125" style="242" customWidth="1"/>
    <col min="4" max="4" width="14.1796875" style="212" customWidth="1"/>
    <col min="5" max="5" width="9.1796875" style="212"/>
    <col min="6" max="6" width="12.54296875" style="212" customWidth="1"/>
    <col min="7" max="7" width="10.54296875" style="212" customWidth="1"/>
    <col min="8" max="9" width="13.453125" style="185" bestFit="1" customWidth="1"/>
    <col min="10" max="13" width="9.1796875" style="185"/>
    <col min="14" max="16384" width="9.1796875" style="212"/>
  </cols>
  <sheetData>
    <row r="1" spans="2:29" x14ac:dyDescent="0.35">
      <c r="B1" s="236" t="s">
        <v>125</v>
      </c>
      <c r="C1" s="238" t="s">
        <v>126</v>
      </c>
      <c r="D1" s="129"/>
      <c r="E1" s="129"/>
      <c r="F1" s="129"/>
      <c r="G1" s="129"/>
      <c r="H1" s="129"/>
    </row>
    <row r="2" spans="2:29" x14ac:dyDescent="0.35">
      <c r="B2" s="204" t="s">
        <v>127</v>
      </c>
      <c r="C2" s="239" t="e">
        <f>Feature_Coverage!D12</f>
        <v>#DIV/0!</v>
      </c>
    </row>
    <row r="3" spans="2:29" x14ac:dyDescent="0.35">
      <c r="B3" s="204" t="s">
        <v>154</v>
      </c>
      <c r="C3" s="240" t="str">
        <f>_xlfn.CONCAT(ROUND(Overall_Cost!E25,2), " M")</f>
        <v>0.71 M</v>
      </c>
    </row>
    <row r="4" spans="2:29" x14ac:dyDescent="0.35">
      <c r="B4" s="204" t="s">
        <v>155</v>
      </c>
      <c r="C4" s="240" t="str">
        <f>_xlfn.CONCAT(ROUND(Overall_Cost!J25,2), " M")</f>
        <v>2.26 M</v>
      </c>
    </row>
    <row r="5" spans="2:29" x14ac:dyDescent="0.35">
      <c r="B5" s="204" t="s">
        <v>128</v>
      </c>
      <c r="C5" s="241">
        <f>G39</f>
        <v>10</v>
      </c>
    </row>
    <row r="7" spans="2:29" x14ac:dyDescent="0.35">
      <c r="I7" s="212"/>
      <c r="J7" s="212"/>
      <c r="K7" s="212"/>
      <c r="L7" s="212"/>
      <c r="M7" s="212"/>
    </row>
    <row r="8" spans="2:29" x14ac:dyDescent="0.35">
      <c r="I8" s="212"/>
      <c r="J8" s="212"/>
      <c r="K8" s="212"/>
      <c r="L8" s="212"/>
      <c r="M8" s="212"/>
      <c r="X8" s="185"/>
      <c r="Y8" s="244"/>
      <c r="Z8" s="244"/>
      <c r="AA8" s="244"/>
      <c r="AB8" s="244"/>
      <c r="AC8" s="185"/>
    </row>
    <row r="9" spans="2:29" x14ac:dyDescent="0.35">
      <c r="C9" s="245"/>
      <c r="H9" s="212"/>
      <c r="I9" s="212"/>
      <c r="J9" s="212"/>
      <c r="K9" s="212"/>
      <c r="L9" s="212"/>
      <c r="M9" s="212"/>
      <c r="X9" s="183"/>
      <c r="Y9" s="183" t="s">
        <v>153</v>
      </c>
      <c r="Z9" s="183" t="s">
        <v>151</v>
      </c>
      <c r="AA9" s="183" t="s">
        <v>1</v>
      </c>
      <c r="AB9" s="183" t="s">
        <v>2</v>
      </c>
      <c r="AC9" s="183" t="s">
        <v>3</v>
      </c>
    </row>
    <row r="10" spans="2:29" x14ac:dyDescent="0.35">
      <c r="H10" s="212"/>
      <c r="I10" s="212"/>
      <c r="J10" s="212"/>
      <c r="K10" s="212"/>
      <c r="L10" s="212"/>
      <c r="M10" s="212"/>
      <c r="X10" s="183" t="s">
        <v>153</v>
      </c>
      <c r="Y10" s="243">
        <f>$Y$41+$Y$42</f>
        <v>0.70884555000000005</v>
      </c>
      <c r="Z10" s="243">
        <f>Y10</f>
        <v>0.70884555000000005</v>
      </c>
      <c r="AA10" s="243">
        <f t="shared" ref="AA10:AC10" si="0">Z10</f>
        <v>0.70884555000000005</v>
      </c>
      <c r="AB10" s="243">
        <f t="shared" si="0"/>
        <v>0.70884555000000005</v>
      </c>
      <c r="AC10" s="243">
        <f t="shared" si="0"/>
        <v>0.70884555000000005</v>
      </c>
    </row>
    <row r="11" spans="2:29" x14ac:dyDescent="0.35">
      <c r="H11" s="212"/>
      <c r="I11" s="212"/>
      <c r="J11" s="212"/>
      <c r="K11" s="212"/>
      <c r="L11" s="212"/>
      <c r="M11" s="212"/>
      <c r="X11" s="183" t="s">
        <v>151</v>
      </c>
      <c r="Y11" s="243"/>
      <c r="Z11" s="243">
        <f>Z41+Z42</f>
        <v>0.44713024999999995</v>
      </c>
      <c r="AA11" s="243">
        <f>Z11</f>
        <v>0.44713024999999995</v>
      </c>
      <c r="AB11" s="243">
        <f t="shared" ref="AB11:AC11" si="1">AA11</f>
        <v>0.44713024999999995</v>
      </c>
      <c r="AC11" s="243">
        <f t="shared" si="1"/>
        <v>0.44713024999999995</v>
      </c>
    </row>
    <row r="12" spans="2:29" x14ac:dyDescent="0.35">
      <c r="H12" s="212"/>
      <c r="I12" s="212"/>
      <c r="J12" s="212"/>
      <c r="K12" s="212"/>
      <c r="L12" s="212"/>
      <c r="M12" s="212"/>
      <c r="X12" s="183" t="s">
        <v>1</v>
      </c>
      <c r="Y12" s="243"/>
      <c r="Z12" s="243"/>
      <c r="AA12" s="243">
        <f>AA42+AA41</f>
        <v>0.36618224999999999</v>
      </c>
      <c r="AB12" s="243">
        <f>AA12</f>
        <v>0.36618224999999999</v>
      </c>
      <c r="AC12" s="243">
        <f>AB12</f>
        <v>0.36618224999999999</v>
      </c>
    </row>
    <row r="13" spans="2:29" x14ac:dyDescent="0.35">
      <c r="H13" s="212"/>
      <c r="I13" s="212"/>
      <c r="J13" s="212"/>
      <c r="K13" s="212"/>
      <c r="L13" s="212"/>
      <c r="M13" s="212"/>
      <c r="X13" s="183" t="s">
        <v>2</v>
      </c>
      <c r="Y13" s="243"/>
      <c r="Z13" s="243"/>
      <c r="AA13" s="243"/>
      <c r="AB13" s="243">
        <f>AB42+AB41</f>
        <v>0.37668225</v>
      </c>
      <c r="AC13" s="243">
        <f>AB13</f>
        <v>0.37668225</v>
      </c>
    </row>
    <row r="14" spans="2:29" x14ac:dyDescent="0.35">
      <c r="H14" s="212"/>
      <c r="I14" s="212"/>
      <c r="J14" s="212"/>
      <c r="K14" s="212"/>
      <c r="L14" s="212"/>
      <c r="M14" s="212"/>
      <c r="X14" s="183" t="s">
        <v>3</v>
      </c>
      <c r="Y14" s="243"/>
      <c r="Z14" s="243"/>
      <c r="AA14" s="243"/>
      <c r="AB14" s="243"/>
      <c r="AC14" s="243">
        <f>AC42+AC41</f>
        <v>0.35736224999999999</v>
      </c>
    </row>
    <row r="15" spans="2:29" x14ac:dyDescent="0.35">
      <c r="H15" s="212"/>
    </row>
    <row r="16" spans="2:29" x14ac:dyDescent="0.35">
      <c r="C16" s="245"/>
      <c r="H16" s="212"/>
    </row>
    <row r="17" spans="8:8" x14ac:dyDescent="0.35">
      <c r="H17" s="212"/>
    </row>
    <row r="18" spans="8:8" x14ac:dyDescent="0.35">
      <c r="H18" s="212"/>
    </row>
    <row r="36" spans="2:29" x14ac:dyDescent="0.35">
      <c r="B36" s="93" t="s">
        <v>106</v>
      </c>
      <c r="C36" s="130"/>
      <c r="D36" s="93"/>
      <c r="E36" s="94"/>
      <c r="F36" s="93"/>
      <c r="G36" s="93"/>
      <c r="H36" s="93"/>
    </row>
    <row r="39" spans="2:29" x14ac:dyDescent="0.35">
      <c r="B39" s="92" t="s">
        <v>51</v>
      </c>
      <c r="C39" s="246">
        <v>7</v>
      </c>
      <c r="D39" s="204" t="s">
        <v>75</v>
      </c>
      <c r="F39" s="92" t="s">
        <v>72</v>
      </c>
      <c r="G39" s="247">
        <f>ROUND(Effort_Development!G10,2)</f>
        <v>10</v>
      </c>
      <c r="H39" s="204" t="s">
        <v>89</v>
      </c>
      <c r="I39" s="212"/>
      <c r="J39" s="212"/>
      <c r="K39" s="212"/>
      <c r="L39" s="212"/>
      <c r="M39" s="212"/>
      <c r="X39" s="183"/>
      <c r="Y39" s="183" t="s">
        <v>153</v>
      </c>
      <c r="Z39" s="183" t="s">
        <v>151</v>
      </c>
      <c r="AA39" s="183" t="s">
        <v>1</v>
      </c>
      <c r="AB39" s="183" t="s">
        <v>2</v>
      </c>
      <c r="AC39" s="183" t="s">
        <v>3</v>
      </c>
    </row>
    <row r="40" spans="2:29" x14ac:dyDescent="0.35">
      <c r="I40" s="212"/>
      <c r="J40" s="212"/>
      <c r="K40" s="212"/>
      <c r="X40" s="183"/>
      <c r="Y40" s="183"/>
      <c r="Z40" s="183"/>
      <c r="AA40" s="183"/>
      <c r="AB40" s="183"/>
      <c r="AC40" s="183"/>
    </row>
    <row r="41" spans="2:29" x14ac:dyDescent="0.35">
      <c r="B41" s="92" t="s">
        <v>72</v>
      </c>
      <c r="C41" s="248">
        <v>22</v>
      </c>
      <c r="D41" s="204" t="s">
        <v>89</v>
      </c>
      <c r="F41" s="92" t="s">
        <v>51</v>
      </c>
      <c r="G41" s="247">
        <f>ROUND(Effort_Development!D8/((C41-1)*Effort_Development!G6),2)</f>
        <v>2.99</v>
      </c>
      <c r="H41" s="204" t="s">
        <v>75</v>
      </c>
      <c r="I41" s="212"/>
      <c r="J41" s="212"/>
      <c r="K41" s="212"/>
      <c r="X41" s="183" t="s">
        <v>48</v>
      </c>
      <c r="Y41" s="243">
        <f>Overall_Cost!E29/10^6</f>
        <v>0.70884555000000005</v>
      </c>
      <c r="Z41" s="243">
        <f>Overall_Cost!F29/10^6</f>
        <v>0.23519999999999999</v>
      </c>
      <c r="AA41" s="243">
        <f>Overall_Cost!G29/10^6</f>
        <v>0.23519999999999999</v>
      </c>
      <c r="AB41" s="243">
        <f>Overall_Cost!H29/10^6</f>
        <v>0.23519999999999999</v>
      </c>
      <c r="AC41" s="243">
        <f>Overall_Cost!I29/10^6</f>
        <v>0.23519999999999999</v>
      </c>
    </row>
    <row r="42" spans="2:29" x14ac:dyDescent="0.35">
      <c r="C42" s="245"/>
      <c r="I42" s="212"/>
      <c r="J42" s="212"/>
      <c r="K42" s="212"/>
      <c r="L42" s="212"/>
      <c r="M42" s="212"/>
      <c r="X42" s="183" t="s">
        <v>49</v>
      </c>
      <c r="Y42" s="243">
        <f>Overall_Cost!E30/10^6</f>
        <v>0</v>
      </c>
      <c r="Z42" s="243">
        <f>Overall_Cost!F30/10^6</f>
        <v>0.21193024999999996</v>
      </c>
      <c r="AA42" s="243">
        <f>Overall_Cost!G30/10^6</f>
        <v>0.13098224999999999</v>
      </c>
      <c r="AB42" s="243">
        <f>Overall_Cost!H30/10^6</f>
        <v>0.14148225</v>
      </c>
      <c r="AC42" s="243">
        <f>Overall_Cost!I30/10^6</f>
        <v>0.12216225</v>
      </c>
    </row>
    <row r="43" spans="2:29" x14ac:dyDescent="0.35">
      <c r="B43" s="125" t="str">
        <f>_xlfn.CONCAT("Cost of ",C39," members for the duration of ",G39," months: ")</f>
        <v xml:space="preserve">Cost of 7 members for the duration of 10 months: </v>
      </c>
      <c r="C43" s="245"/>
      <c r="E43" s="249"/>
      <c r="I43" s="212"/>
      <c r="J43" s="212"/>
      <c r="K43" s="212"/>
      <c r="L43" s="212"/>
      <c r="M43" s="212"/>
      <c r="X43" s="183"/>
      <c r="Y43" s="243"/>
      <c r="Z43" s="243"/>
      <c r="AA43" s="243"/>
      <c r="AB43" s="243"/>
      <c r="AC43" s="243"/>
    </row>
    <row r="44" spans="2:29" x14ac:dyDescent="0.35">
      <c r="B44" s="92" t="s">
        <v>105</v>
      </c>
      <c r="C44" s="250">
        <f>SUM(Y41:Y42)</f>
        <v>0.70884555000000005</v>
      </c>
      <c r="I44" s="212"/>
      <c r="J44" s="212"/>
      <c r="K44" s="212"/>
      <c r="L44" s="212"/>
      <c r="M44" s="212"/>
      <c r="X44" s="183"/>
      <c r="Y44" s="225" t="s">
        <v>50</v>
      </c>
      <c r="Z44" s="225" t="s">
        <v>1</v>
      </c>
      <c r="AA44" s="225" t="s">
        <v>2</v>
      </c>
      <c r="AB44" s="225" t="s">
        <v>3</v>
      </c>
      <c r="AC44" s="225" t="s">
        <v>4</v>
      </c>
    </row>
    <row r="45" spans="2:29" x14ac:dyDescent="0.35">
      <c r="B45" s="92" t="s">
        <v>115</v>
      </c>
      <c r="C45" s="250">
        <f>SUM(Y41:AC42)</f>
        <v>2.2562025500000003</v>
      </c>
      <c r="I45" s="212"/>
      <c r="J45" s="212"/>
      <c r="K45" s="212"/>
      <c r="L45" s="212"/>
      <c r="M45" s="212"/>
      <c r="X45" s="183" t="s">
        <v>48</v>
      </c>
      <c r="Y45" s="243">
        <f>Y41</f>
        <v>0.70884555000000005</v>
      </c>
      <c r="Z45" s="243">
        <f t="shared" ref="Z45:AC46" si="2">Y45+Z41</f>
        <v>0.94404555000000001</v>
      </c>
      <c r="AA45" s="243">
        <f t="shared" si="2"/>
        <v>1.1792455500000001</v>
      </c>
      <c r="AB45" s="243">
        <f t="shared" si="2"/>
        <v>1.4144455500000002</v>
      </c>
      <c r="AC45" s="243">
        <f t="shared" si="2"/>
        <v>1.6496455500000002</v>
      </c>
    </row>
    <row r="46" spans="2:29" x14ac:dyDescent="0.35">
      <c r="X46" s="183" t="s">
        <v>49</v>
      </c>
      <c r="Y46" s="243">
        <f>Y42</f>
        <v>0</v>
      </c>
      <c r="Z46" s="243">
        <f t="shared" si="2"/>
        <v>0.21193024999999996</v>
      </c>
      <c r="AA46" s="243">
        <f t="shared" si="2"/>
        <v>0.34291249999999995</v>
      </c>
      <c r="AB46" s="243">
        <f t="shared" si="2"/>
        <v>0.48439474999999999</v>
      </c>
      <c r="AC46" s="243">
        <f t="shared" si="2"/>
        <v>0.60655700000000001</v>
      </c>
    </row>
  </sheetData>
  <phoneticPr fontId="8" type="noConversion"/>
  <dataValidations count="2">
    <dataValidation type="whole" allowBlank="1" showInputMessage="1" showErrorMessage="1" sqref="C39:C40" xr:uid="{821BDE21-FA9E-4468-A5D4-F1FF30EE1053}">
      <formula1>3</formula1>
      <formula2>10</formula2>
    </dataValidation>
    <dataValidation type="whole" allowBlank="1" showInputMessage="1" showErrorMessage="1" sqref="C41" xr:uid="{5EC3A2D9-1090-411B-96D1-34C897D0740A}">
      <formula1>8</formula1>
      <formula2>25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CC13-6B13-4117-8FD1-405AEF997B00}">
  <dimension ref="A1:M40"/>
  <sheetViews>
    <sheetView zoomScale="80" zoomScaleNormal="80" workbookViewId="0"/>
  </sheetViews>
  <sheetFormatPr defaultColWidth="9.1796875" defaultRowHeight="14.5" x14ac:dyDescent="0.35"/>
  <cols>
    <col min="1" max="1" width="42.1796875" style="160" bestFit="1" customWidth="1"/>
    <col min="2" max="2" width="44.453125" style="95" customWidth="1"/>
    <col min="3" max="3" width="9.54296875" style="280" customWidth="1"/>
    <col min="4" max="4" width="12.26953125" style="151" hidden="1" customWidth="1"/>
    <col min="5" max="5" width="15.26953125" style="161" bestFit="1" customWidth="1"/>
    <col min="6" max="9" width="14.26953125" style="161" bestFit="1" customWidth="1"/>
    <col min="10" max="10" width="15.26953125" style="161" bestFit="1" customWidth="1"/>
    <col min="11" max="11" width="16.81640625" style="151" customWidth="1"/>
    <col min="12" max="12" width="14.26953125" style="285" bestFit="1" customWidth="1"/>
    <col min="13" max="13" width="10.54296875" style="151" bestFit="1" customWidth="1"/>
    <col min="14" max="16384" width="9.1796875" style="151"/>
  </cols>
  <sheetData>
    <row r="1" spans="1:13" ht="30" customHeight="1" x14ac:dyDescent="0.35">
      <c r="A1" s="148" t="s">
        <v>0</v>
      </c>
      <c r="B1" s="148" t="s">
        <v>14</v>
      </c>
      <c r="C1" s="273" t="s">
        <v>27</v>
      </c>
      <c r="D1" s="149" t="s">
        <v>21</v>
      </c>
      <c r="E1" s="150" t="s">
        <v>152</v>
      </c>
      <c r="F1" s="150" t="s">
        <v>151</v>
      </c>
      <c r="G1" s="150" t="s">
        <v>1</v>
      </c>
      <c r="H1" s="150" t="s">
        <v>2</v>
      </c>
      <c r="I1" s="150" t="s">
        <v>3</v>
      </c>
      <c r="J1" s="150" t="s">
        <v>42</v>
      </c>
      <c r="K1" s="282" t="s">
        <v>72</v>
      </c>
      <c r="L1" s="283">
        <f>Effort_Development!G10</f>
        <v>10</v>
      </c>
      <c r="M1" s="282" t="s">
        <v>192</v>
      </c>
    </row>
    <row r="2" spans="1:13" x14ac:dyDescent="0.35">
      <c r="A2" s="171" t="s">
        <v>46</v>
      </c>
      <c r="B2" s="171"/>
      <c r="C2" s="275"/>
      <c r="D2" s="171"/>
      <c r="E2" s="172">
        <f>SUM(E3:E6)</f>
        <v>0</v>
      </c>
      <c r="F2" s="172">
        <f t="shared" ref="F2:I2" si="0">SUM(F3:F6)</f>
        <v>0</v>
      </c>
      <c r="G2" s="172">
        <f t="shared" si="0"/>
        <v>0</v>
      </c>
      <c r="H2" s="172">
        <f t="shared" si="0"/>
        <v>0</v>
      </c>
      <c r="I2" s="172">
        <f t="shared" si="0"/>
        <v>0</v>
      </c>
      <c r="J2" s="171"/>
      <c r="K2" s="282" t="s">
        <v>52</v>
      </c>
      <c r="L2" s="284">
        <f>Cost_Development!E8</f>
        <v>568000</v>
      </c>
      <c r="M2" s="282"/>
    </row>
    <row r="3" spans="1:13" x14ac:dyDescent="0.35">
      <c r="A3" s="166" t="s">
        <v>8</v>
      </c>
      <c r="B3" s="20" t="s">
        <v>45</v>
      </c>
      <c r="C3" s="274"/>
      <c r="D3" s="281"/>
      <c r="E3" s="168">
        <f>C3*D3</f>
        <v>0</v>
      </c>
      <c r="F3" s="168"/>
      <c r="G3" s="168"/>
      <c r="H3" s="168"/>
      <c r="I3" s="168"/>
      <c r="J3" s="169"/>
      <c r="K3" s="282" t="s">
        <v>193</v>
      </c>
      <c r="L3" s="284">
        <v>200000</v>
      </c>
      <c r="M3" s="282" t="s">
        <v>194</v>
      </c>
    </row>
    <row r="4" spans="1:13" x14ac:dyDescent="0.35">
      <c r="A4" s="166" t="s">
        <v>22</v>
      </c>
      <c r="B4" s="170" t="s">
        <v>47</v>
      </c>
      <c r="C4" s="274"/>
      <c r="D4" s="281"/>
      <c r="E4" s="168">
        <f>C4*D4</f>
        <v>0</v>
      </c>
      <c r="F4" s="168"/>
      <c r="G4" s="168"/>
      <c r="H4" s="168"/>
      <c r="I4" s="168"/>
      <c r="J4" s="168"/>
    </row>
    <row r="5" spans="1:13" x14ac:dyDescent="0.35">
      <c r="A5" s="166" t="s">
        <v>9</v>
      </c>
      <c r="B5" s="170" t="s">
        <v>47</v>
      </c>
      <c r="C5" s="274"/>
      <c r="D5" s="281"/>
      <c r="E5" s="168">
        <f t="shared" ref="E5:E6" si="1">C5*D5</f>
        <v>0</v>
      </c>
      <c r="F5" s="168"/>
      <c r="G5" s="168"/>
      <c r="H5" s="168"/>
      <c r="I5" s="168"/>
      <c r="J5" s="168"/>
    </row>
    <row r="6" spans="1:13" x14ac:dyDescent="0.35">
      <c r="A6" s="166" t="s">
        <v>23</v>
      </c>
      <c r="B6" s="170" t="s">
        <v>47</v>
      </c>
      <c r="C6" s="274"/>
      <c r="D6" s="281"/>
      <c r="E6" s="168">
        <f t="shared" si="1"/>
        <v>0</v>
      </c>
      <c r="F6" s="168"/>
      <c r="G6" s="168"/>
      <c r="H6" s="168"/>
      <c r="I6" s="168"/>
      <c r="J6" s="168"/>
    </row>
    <row r="7" spans="1:13" x14ac:dyDescent="0.35">
      <c r="A7" s="251" t="s">
        <v>34</v>
      </c>
      <c r="B7" s="171"/>
      <c r="C7" s="275"/>
      <c r="D7" s="171"/>
      <c r="E7" s="172">
        <f>SUM(E8:E9)</f>
        <v>59091</v>
      </c>
      <c r="F7" s="172">
        <f t="shared" ref="F7:I7" si="2">SUM(F8:F9)</f>
        <v>20000</v>
      </c>
      <c r="G7" s="172">
        <f t="shared" si="2"/>
        <v>20000</v>
      </c>
      <c r="H7" s="172">
        <f t="shared" si="2"/>
        <v>20000</v>
      </c>
      <c r="I7" s="172">
        <f t="shared" si="2"/>
        <v>20000</v>
      </c>
      <c r="J7" s="171"/>
    </row>
    <row r="8" spans="1:13" x14ac:dyDescent="0.35">
      <c r="A8" s="166" t="s">
        <v>26</v>
      </c>
      <c r="B8" s="170"/>
      <c r="C8" s="276"/>
      <c r="D8" s="173"/>
      <c r="E8" s="168">
        <f>C8*D8</f>
        <v>0</v>
      </c>
      <c r="F8" s="168"/>
      <c r="G8" s="168"/>
      <c r="H8" s="168"/>
      <c r="I8" s="168"/>
      <c r="J8" s="168"/>
    </row>
    <row r="9" spans="1:13" x14ac:dyDescent="0.35">
      <c r="A9" s="166" t="s">
        <v>32</v>
      </c>
      <c r="B9" s="170"/>
      <c r="C9" s="276"/>
      <c r="D9" s="173"/>
      <c r="E9" s="168">
        <f>ROUND(SUM(Software!D4:D8),0)</f>
        <v>59091</v>
      </c>
      <c r="F9" s="168">
        <f>$L$3*10%</f>
        <v>20000</v>
      </c>
      <c r="G9" s="168">
        <f>$L$3*10%</f>
        <v>20000</v>
      </c>
      <c r="H9" s="168">
        <f t="shared" ref="H9:I9" si="3">$L$3*10%</f>
        <v>20000</v>
      </c>
      <c r="I9" s="168">
        <f t="shared" si="3"/>
        <v>20000</v>
      </c>
      <c r="J9" s="168"/>
      <c r="K9" s="181"/>
    </row>
    <row r="10" spans="1:13" x14ac:dyDescent="0.35">
      <c r="A10" s="152"/>
      <c r="B10" s="20"/>
      <c r="C10" s="277"/>
      <c r="D10" s="153"/>
      <c r="E10" s="154"/>
      <c r="F10" s="162"/>
      <c r="G10" s="154"/>
      <c r="H10" s="154"/>
      <c r="I10" s="154"/>
      <c r="J10" s="154"/>
    </row>
    <row r="11" spans="1:13" x14ac:dyDescent="0.35">
      <c r="A11" s="171" t="s">
        <v>100</v>
      </c>
      <c r="B11" s="171"/>
      <c r="C11" s="275"/>
      <c r="D11" s="171"/>
      <c r="E11" s="172">
        <f>SUM(E12:E15)</f>
        <v>616000</v>
      </c>
      <c r="F11" s="172">
        <f>SUM(F12:F15)</f>
        <v>204000</v>
      </c>
      <c r="G11" s="172">
        <f>SUM(G12:G15)</f>
        <v>204000</v>
      </c>
      <c r="H11" s="172">
        <f>SUM(H12:H15)</f>
        <v>204000</v>
      </c>
      <c r="I11" s="172">
        <f>SUM(I12:I15)</f>
        <v>204000</v>
      </c>
      <c r="J11" s="171"/>
    </row>
    <row r="12" spans="1:13" x14ac:dyDescent="0.35">
      <c r="A12" s="155" t="s">
        <v>56</v>
      </c>
      <c r="B12" s="170"/>
      <c r="C12" s="274"/>
      <c r="D12" s="167"/>
      <c r="E12" s="168">
        <f>Cost_Development!E8</f>
        <v>568000</v>
      </c>
      <c r="F12" s="168">
        <f>L2-E12</f>
        <v>0</v>
      </c>
      <c r="G12" s="169"/>
      <c r="H12" s="169"/>
      <c r="I12" s="169"/>
      <c r="J12" s="169"/>
    </row>
    <row r="13" spans="1:13" x14ac:dyDescent="0.35">
      <c r="A13" s="155" t="s">
        <v>87</v>
      </c>
      <c r="B13" s="170" t="s">
        <v>33</v>
      </c>
      <c r="C13" s="274"/>
      <c r="D13" s="167"/>
      <c r="E13" s="168">
        <f>Cost_Development!E14</f>
        <v>48000</v>
      </c>
      <c r="F13" s="168">
        <f>Cost_Development!$E$15</f>
        <v>24000</v>
      </c>
      <c r="G13" s="168">
        <f>Cost_Development!$E$15</f>
        <v>24000</v>
      </c>
      <c r="H13" s="168">
        <f>Cost_Development!$E$15</f>
        <v>24000</v>
      </c>
      <c r="I13" s="168">
        <f>Cost_Development!$E$15</f>
        <v>24000</v>
      </c>
      <c r="J13" s="168"/>
    </row>
    <row r="14" spans="1:13" x14ac:dyDescent="0.35">
      <c r="A14" s="166" t="s">
        <v>39</v>
      </c>
      <c r="B14" s="170" t="s">
        <v>41</v>
      </c>
      <c r="C14" s="278"/>
      <c r="D14" s="173"/>
      <c r="E14" s="168">
        <v>0</v>
      </c>
      <c r="F14" s="168">
        <f>$L$3-G9</f>
        <v>180000</v>
      </c>
      <c r="G14" s="168">
        <f>$L$3-G9</f>
        <v>180000</v>
      </c>
      <c r="H14" s="168">
        <f t="shared" ref="H14:I14" si="4">$L$3-H9</f>
        <v>180000</v>
      </c>
      <c r="I14" s="168">
        <f t="shared" si="4"/>
        <v>180000</v>
      </c>
      <c r="J14" s="168"/>
      <c r="K14" s="181"/>
      <c r="L14" s="286"/>
    </row>
    <row r="15" spans="1:13" x14ac:dyDescent="0.35">
      <c r="F15" s="168"/>
      <c r="G15" s="168"/>
      <c r="H15" s="168"/>
      <c r="I15" s="168"/>
      <c r="J15" s="168"/>
      <c r="L15" s="287"/>
      <c r="M15" s="181"/>
    </row>
    <row r="16" spans="1:13" x14ac:dyDescent="0.35">
      <c r="A16" s="171" t="s">
        <v>12</v>
      </c>
      <c r="B16" s="171"/>
      <c r="C16" s="275"/>
      <c r="D16" s="171"/>
      <c r="E16" s="172">
        <f>SUM(E17:E20)</f>
        <v>0</v>
      </c>
      <c r="F16" s="172">
        <f>SUM(F17:F20)</f>
        <v>201838.33333333331</v>
      </c>
      <c r="G16" s="172">
        <f t="shared" ref="G16:I16" si="5">SUM(G17:G20)</f>
        <v>124745</v>
      </c>
      <c r="H16" s="172">
        <f t="shared" si="5"/>
        <v>134745</v>
      </c>
      <c r="I16" s="172">
        <f t="shared" si="5"/>
        <v>116345</v>
      </c>
      <c r="J16" s="171"/>
    </row>
    <row r="17" spans="1:13" x14ac:dyDescent="0.35">
      <c r="A17" s="166" t="s">
        <v>5</v>
      </c>
      <c r="B17" s="170"/>
      <c r="C17" s="276"/>
      <c r="D17" s="173"/>
      <c r="E17" s="168"/>
      <c r="F17" s="168">
        <v>0</v>
      </c>
      <c r="G17" s="168">
        <v>0</v>
      </c>
      <c r="H17" s="168">
        <v>0</v>
      </c>
      <c r="I17" s="168">
        <v>0</v>
      </c>
      <c r="J17" s="168"/>
    </row>
    <row r="18" spans="1:13" x14ac:dyDescent="0.35">
      <c r="A18" s="166" t="s">
        <v>6</v>
      </c>
      <c r="B18" s="170"/>
      <c r="C18" s="276"/>
      <c r="D18" s="173"/>
      <c r="E18" s="168"/>
      <c r="F18" s="168">
        <f>Software!E9</f>
        <v>29545</v>
      </c>
      <c r="G18" s="168">
        <f>Software!F9+50%*SUM(F9)</f>
        <v>39545</v>
      </c>
      <c r="H18" s="168">
        <f>Software!G9+50%*SUM(F9:G9)</f>
        <v>49545</v>
      </c>
      <c r="I18" s="168">
        <f>Software!H9+50%*SUM(F9:H9)</f>
        <v>59545</v>
      </c>
      <c r="J18" s="168"/>
      <c r="K18" s="151" t="s">
        <v>196</v>
      </c>
    </row>
    <row r="19" spans="1:13" x14ac:dyDescent="0.35">
      <c r="A19" s="166" t="s">
        <v>40</v>
      </c>
      <c r="B19" s="170"/>
      <c r="C19" s="278"/>
      <c r="D19" s="174"/>
      <c r="E19" s="168"/>
      <c r="F19" s="168">
        <f>$L$2*Effort_Development!G2/12*(12-(L1-12))</f>
        <v>132533.33333333331</v>
      </c>
      <c r="G19" s="168">
        <f>$L$2*Effort_Development!H2</f>
        <v>85200</v>
      </c>
      <c r="H19" s="168">
        <f>$L$2*Effort_Development!I2</f>
        <v>85200</v>
      </c>
      <c r="I19" s="168">
        <f>$L$2*Effort_Development!J2</f>
        <v>56800</v>
      </c>
      <c r="J19" s="168"/>
      <c r="L19" s="288"/>
      <c r="M19" s="156"/>
    </row>
    <row r="20" spans="1:13" x14ac:dyDescent="0.35">
      <c r="A20" s="166" t="s">
        <v>148</v>
      </c>
      <c r="B20" s="170"/>
      <c r="C20" s="278"/>
      <c r="D20" s="174"/>
      <c r="F20" s="168">
        <f>L2*Effort_Development!G11</f>
        <v>39760.000000000007</v>
      </c>
      <c r="G20" s="168"/>
      <c r="H20" s="168"/>
      <c r="I20" s="168"/>
      <c r="J20" s="168"/>
    </row>
    <row r="21" spans="1:13" x14ac:dyDescent="0.35">
      <c r="A21" s="171" t="s">
        <v>10</v>
      </c>
      <c r="B21" s="171"/>
      <c r="C21" s="275"/>
      <c r="D21" s="171"/>
      <c r="E21" s="172">
        <f>SUM(E22:E23)</f>
        <v>33754.550000000003</v>
      </c>
      <c r="F21" s="172">
        <f t="shared" ref="F21:I21" si="6">SUM(F22:F23)</f>
        <v>21291.916666666664</v>
      </c>
      <c r="G21" s="172">
        <f t="shared" si="6"/>
        <v>17437.25</v>
      </c>
      <c r="H21" s="172">
        <f t="shared" si="6"/>
        <v>17937.25</v>
      </c>
      <c r="I21" s="172">
        <f t="shared" si="6"/>
        <v>17017.25</v>
      </c>
      <c r="J21" s="171"/>
    </row>
    <row r="22" spans="1:13" x14ac:dyDescent="0.35">
      <c r="A22" s="166" t="s">
        <v>102</v>
      </c>
      <c r="B22" s="175"/>
      <c r="C22" s="278">
        <v>0.05</v>
      </c>
      <c r="D22" s="174"/>
      <c r="E22" s="176">
        <f>(E11+E7)*$C$22</f>
        <v>33754.550000000003</v>
      </c>
      <c r="F22" s="176">
        <f t="shared" ref="F22:I22" si="7">(F11+F7)*$C$22</f>
        <v>11200</v>
      </c>
      <c r="G22" s="176">
        <f t="shared" si="7"/>
        <v>11200</v>
      </c>
      <c r="H22" s="176">
        <f t="shared" si="7"/>
        <v>11200</v>
      </c>
      <c r="I22" s="176">
        <f t="shared" si="7"/>
        <v>11200</v>
      </c>
      <c r="J22" s="176"/>
    </row>
    <row r="23" spans="1:13" x14ac:dyDescent="0.35">
      <c r="A23" s="166" t="s">
        <v>103</v>
      </c>
      <c r="B23" s="175"/>
      <c r="C23" s="278">
        <v>0.05</v>
      </c>
      <c r="D23" s="174"/>
      <c r="E23" s="176">
        <f>E16*$C$23</f>
        <v>0</v>
      </c>
      <c r="F23" s="176">
        <f t="shared" ref="F23:I23" si="8">F16*$C$23</f>
        <v>10091.916666666666</v>
      </c>
      <c r="G23" s="176">
        <f t="shared" si="8"/>
        <v>6237.25</v>
      </c>
      <c r="H23" s="176">
        <f t="shared" si="8"/>
        <v>6737.25</v>
      </c>
      <c r="I23" s="176">
        <f t="shared" si="8"/>
        <v>5817.25</v>
      </c>
      <c r="J23" s="176"/>
    </row>
    <row r="24" spans="1:13" x14ac:dyDescent="0.35">
      <c r="A24" s="330" t="s">
        <v>7</v>
      </c>
      <c r="B24" s="330"/>
      <c r="C24" s="330"/>
      <c r="D24" s="167"/>
      <c r="E24" s="177">
        <f>E2+E7+E11+E16+E21</f>
        <v>708845.55</v>
      </c>
      <c r="F24" s="177">
        <f>F2+F7+F11+F16+F21</f>
        <v>447130.25</v>
      </c>
      <c r="G24" s="177">
        <f>G2+G7+G11+G16+G21</f>
        <v>366182.25</v>
      </c>
      <c r="H24" s="177">
        <f>H2+H7+H11+H16+H21</f>
        <v>376682.25</v>
      </c>
      <c r="I24" s="177">
        <f>I2+I7+I11+I16+I21</f>
        <v>357362.25</v>
      </c>
      <c r="J24" s="177">
        <f>SUM(E24:I24)</f>
        <v>2256202.5499999998</v>
      </c>
    </row>
    <row r="25" spans="1:13" x14ac:dyDescent="0.35">
      <c r="A25" s="157"/>
      <c r="B25" s="96"/>
      <c r="C25" s="279"/>
      <c r="D25" s="158"/>
      <c r="E25" s="159">
        <f>E24/10^6</f>
        <v>0.70884555000000005</v>
      </c>
      <c r="F25" s="159"/>
      <c r="G25" s="159"/>
      <c r="H25" s="159"/>
      <c r="I25" s="159"/>
      <c r="J25" s="97">
        <f>J24/10^6</f>
        <v>2.2562025499999998</v>
      </c>
    </row>
    <row r="26" spans="1:13" x14ac:dyDescent="0.35">
      <c r="A26" s="157"/>
      <c r="B26" s="96"/>
      <c r="C26" s="279"/>
      <c r="D26" s="158"/>
      <c r="E26" s="159"/>
      <c r="F26" s="159"/>
      <c r="G26" s="159"/>
      <c r="H26" s="159"/>
      <c r="I26" s="159"/>
      <c r="J26" s="97"/>
    </row>
    <row r="27" spans="1:13" x14ac:dyDescent="0.35">
      <c r="A27" s="157"/>
      <c r="B27" s="96"/>
      <c r="C27" s="279"/>
      <c r="D27" s="158"/>
      <c r="E27" s="159"/>
      <c r="F27" s="159"/>
      <c r="G27" s="159"/>
      <c r="H27" s="159"/>
      <c r="I27" s="159"/>
      <c r="J27" s="97"/>
    </row>
    <row r="28" spans="1:13" x14ac:dyDescent="0.35">
      <c r="A28" s="157"/>
      <c r="B28" s="96"/>
      <c r="C28" s="279"/>
      <c r="D28" s="158"/>
      <c r="E28" s="159"/>
      <c r="F28" s="159"/>
      <c r="G28" s="159"/>
      <c r="H28" s="159"/>
      <c r="I28" s="159"/>
      <c r="J28" s="97"/>
    </row>
    <row r="29" spans="1:13" x14ac:dyDescent="0.35">
      <c r="A29" s="178" t="s">
        <v>70</v>
      </c>
      <c r="B29" s="179"/>
      <c r="C29" s="276"/>
      <c r="D29" s="166"/>
      <c r="E29" s="180">
        <f>SUM(E11,E7,E2)+E22</f>
        <v>708845.55</v>
      </c>
      <c r="F29" s="180">
        <f>SUM(F11,F7,F2)+F22</f>
        <v>235200</v>
      </c>
      <c r="G29" s="180">
        <f>SUM(G11,G7,G2)+G22</f>
        <v>235200</v>
      </c>
      <c r="H29" s="180">
        <f>SUM(H11,H7,H2)+H22</f>
        <v>235200</v>
      </c>
      <c r="I29" s="180">
        <f>SUM(I11,I7,I2)+I22</f>
        <v>235200</v>
      </c>
      <c r="J29" s="180"/>
    </row>
    <row r="30" spans="1:13" x14ac:dyDescent="0.35">
      <c r="A30" s="178" t="s">
        <v>71</v>
      </c>
      <c r="B30" s="166"/>
      <c r="C30" s="276"/>
      <c r="D30" s="166"/>
      <c r="E30" s="180">
        <f>SUM(E16)+E23</f>
        <v>0</v>
      </c>
      <c r="F30" s="180">
        <f>SUM(F16)+F23</f>
        <v>211930.24999999997</v>
      </c>
      <c r="G30" s="180">
        <f>SUM(G16)+G23</f>
        <v>130982.25</v>
      </c>
      <c r="H30" s="180">
        <f>SUM(H16)+H23</f>
        <v>141482.25</v>
      </c>
      <c r="I30" s="180">
        <f>SUM(I16)+I23</f>
        <v>122162.25</v>
      </c>
      <c r="J30" s="180"/>
    </row>
    <row r="35" spans="1:4" x14ac:dyDescent="0.35">
      <c r="A35" s="161"/>
      <c r="B35" s="161"/>
      <c r="C35" s="161"/>
      <c r="D35" s="161"/>
    </row>
    <row r="36" spans="1:4" x14ac:dyDescent="0.35">
      <c r="A36" s="161"/>
      <c r="B36" s="161"/>
      <c r="C36" s="161"/>
      <c r="D36" s="161"/>
    </row>
    <row r="37" spans="1:4" x14ac:dyDescent="0.35">
      <c r="A37" s="161"/>
      <c r="B37" s="161"/>
      <c r="C37" s="161"/>
      <c r="D37" s="161"/>
    </row>
    <row r="38" spans="1:4" x14ac:dyDescent="0.35">
      <c r="A38" s="161"/>
      <c r="B38" s="161"/>
      <c r="C38" s="161"/>
      <c r="D38" s="161"/>
    </row>
    <row r="39" spans="1:4" x14ac:dyDescent="0.35">
      <c r="A39" s="161"/>
      <c r="B39" s="161"/>
      <c r="C39" s="161"/>
      <c r="D39" s="161"/>
    </row>
    <row r="40" spans="1:4" x14ac:dyDescent="0.35">
      <c r="A40" s="161"/>
      <c r="B40" s="161"/>
      <c r="C40" s="161"/>
      <c r="D40" s="161"/>
    </row>
  </sheetData>
  <mergeCells count="1">
    <mergeCell ref="A24:C24"/>
  </mergeCells>
  <hyperlinks>
    <hyperlink ref="A7" location="Software!A1" display="SOFTWARE (CapEx)" xr:uid="{5AF55E38-4633-4C6B-A5ED-90869B1F155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1757-79CD-485D-862F-6555AAD384A8}">
  <dimension ref="B1:J13"/>
  <sheetViews>
    <sheetView zoomScale="90" zoomScaleNormal="90" workbookViewId="0">
      <selection activeCell="B2" sqref="B2"/>
    </sheetView>
  </sheetViews>
  <sheetFormatPr defaultColWidth="22.81640625" defaultRowHeight="14.5" x14ac:dyDescent="0.35"/>
  <cols>
    <col min="1" max="1" width="8.26953125" style="98" bestFit="1" customWidth="1"/>
    <col min="2" max="2" width="34.26953125" style="258" bestFit="1" customWidth="1"/>
    <col min="3" max="3" width="13.1796875" style="98" customWidth="1"/>
    <col min="4" max="7" width="13.1796875" style="264" customWidth="1"/>
    <col min="8" max="8" width="12.7265625" style="264" bestFit="1" customWidth="1"/>
    <col min="9" max="9" width="71.26953125" style="252" customWidth="1"/>
    <col min="10" max="16384" width="22.81640625" style="98"/>
  </cols>
  <sheetData>
    <row r="1" spans="2:10" ht="15" thickBot="1" x14ac:dyDescent="0.4"/>
    <row r="2" spans="2:10" x14ac:dyDescent="0.35">
      <c r="B2" s="259" t="s">
        <v>129</v>
      </c>
      <c r="C2" s="133"/>
      <c r="D2" s="265"/>
      <c r="E2" s="331" t="s">
        <v>28</v>
      </c>
      <c r="F2" s="332"/>
      <c r="G2" s="332"/>
      <c r="H2" s="333"/>
      <c r="I2" s="253"/>
    </row>
    <row r="3" spans="2:10" ht="15" thickBot="1" x14ac:dyDescent="0.4">
      <c r="B3" s="260" t="s">
        <v>130</v>
      </c>
      <c r="C3" s="134"/>
      <c r="D3" s="266" t="s">
        <v>153</v>
      </c>
      <c r="E3" s="267" t="s">
        <v>151</v>
      </c>
      <c r="F3" s="267" t="s">
        <v>1</v>
      </c>
      <c r="G3" s="267" t="s">
        <v>2</v>
      </c>
      <c r="H3" s="267" t="s">
        <v>3</v>
      </c>
      <c r="I3" s="254" t="s">
        <v>184</v>
      </c>
    </row>
    <row r="4" spans="2:10" ht="29" x14ac:dyDescent="0.35">
      <c r="B4" s="261" t="s">
        <v>131</v>
      </c>
      <c r="C4" s="131"/>
      <c r="D4" s="268">
        <f>35000/1.1</f>
        <v>31818.181818181816</v>
      </c>
      <c r="E4" s="268">
        <f>ROUND(17500/1.1,0)</f>
        <v>15909</v>
      </c>
      <c r="F4" s="268">
        <f>ROUND(17500/1.1,0)</f>
        <v>15909</v>
      </c>
      <c r="G4" s="268">
        <f t="shared" ref="G4:H4" si="0">ROUND(17500/1.1,0)</f>
        <v>15909</v>
      </c>
      <c r="H4" s="268">
        <f t="shared" si="0"/>
        <v>15909</v>
      </c>
      <c r="I4" s="256" t="s">
        <v>185</v>
      </c>
      <c r="J4" s="163"/>
    </row>
    <row r="5" spans="2:10" ht="29" x14ac:dyDescent="0.35">
      <c r="B5" s="262" t="s">
        <v>145</v>
      </c>
      <c r="C5" s="131"/>
      <c r="D5" s="268">
        <f>30000/1.1</f>
        <v>27272.727272727272</v>
      </c>
      <c r="E5" s="268">
        <f>ROUND(15000/1.1,0)</f>
        <v>13636</v>
      </c>
      <c r="F5" s="268">
        <f t="shared" ref="F5:H5" si="1">ROUND(15000/1.1,0)</f>
        <v>13636</v>
      </c>
      <c r="G5" s="268">
        <f t="shared" si="1"/>
        <v>13636</v>
      </c>
      <c r="H5" s="268">
        <f t="shared" si="1"/>
        <v>13636</v>
      </c>
      <c r="I5" s="256" t="s">
        <v>183</v>
      </c>
    </row>
    <row r="6" spans="2:10" x14ac:dyDescent="0.35">
      <c r="B6" s="262" t="s">
        <v>132</v>
      </c>
      <c r="C6" s="131"/>
      <c r="D6" s="268"/>
      <c r="E6" s="268"/>
      <c r="F6" s="268"/>
      <c r="G6" s="268"/>
      <c r="H6" s="268"/>
      <c r="I6" s="255"/>
    </row>
    <row r="7" spans="2:10" ht="29" x14ac:dyDescent="0.35">
      <c r="B7" s="262" t="s">
        <v>205</v>
      </c>
      <c r="C7" s="291"/>
      <c r="D7" s="268"/>
      <c r="E7" s="268"/>
      <c r="F7" s="268"/>
      <c r="G7" s="268"/>
      <c r="H7" s="268"/>
      <c r="I7" s="255" t="s">
        <v>206</v>
      </c>
    </row>
    <row r="8" spans="2:10" x14ac:dyDescent="0.35">
      <c r="B8" s="262" t="s">
        <v>133</v>
      </c>
      <c r="C8" s="131"/>
      <c r="D8" s="268"/>
      <c r="E8" s="268"/>
      <c r="F8" s="268"/>
      <c r="G8" s="268"/>
      <c r="H8" s="268"/>
      <c r="I8" s="255"/>
    </row>
    <row r="9" spans="2:10" ht="15" thickBot="1" x14ac:dyDescent="0.4">
      <c r="B9" s="263"/>
      <c r="C9" s="132"/>
      <c r="D9" s="269">
        <f>ROUND(SUM(D4:D8),0)</f>
        <v>59091</v>
      </c>
      <c r="E9" s="269">
        <f>ROUND(SUM(E4:E8),0)</f>
        <v>29545</v>
      </c>
      <c r="F9" s="269">
        <f>ROUND(SUM(F4:F8),0)</f>
        <v>29545</v>
      </c>
      <c r="G9" s="269">
        <f>ROUND(SUM(G4:G8),0)</f>
        <v>29545</v>
      </c>
      <c r="H9" s="269">
        <f>ROUND(SUM(H4:H8),0)</f>
        <v>29545</v>
      </c>
      <c r="I9" s="257"/>
    </row>
    <row r="12" spans="2:10" x14ac:dyDescent="0.35">
      <c r="B12" s="272" t="s">
        <v>171</v>
      </c>
      <c r="D12" s="270"/>
    </row>
    <row r="13" spans="2:10" x14ac:dyDescent="0.35">
      <c r="B13" s="271" t="s">
        <v>186</v>
      </c>
    </row>
  </sheetData>
  <mergeCells count="1">
    <mergeCell ref="E2:H2"/>
  </mergeCells>
  <phoneticPr fontId="8" type="noConversion"/>
  <hyperlinks>
    <hyperlink ref="I5" r:id="rId1" xr:uid="{1351AB32-5C8E-4EA6-AA79-0122F13F3ACD}"/>
    <hyperlink ref="I4" r:id="rId2" xr:uid="{93F9E137-44AE-4139-A7E5-D318929CBE64}"/>
    <hyperlink ref="B13" r:id="rId3" xr:uid="{74A35888-5AF2-4D8B-A0F2-3748EC2C3545}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C663-3C3E-4129-9F7A-F136CD91AD93}">
  <sheetPr>
    <outlinePr summaryBelow="0"/>
  </sheetPr>
  <dimension ref="B1:J30"/>
  <sheetViews>
    <sheetView topLeftCell="A9" zoomScale="90" zoomScaleNormal="90" workbookViewId="0">
      <selection activeCell="B16" sqref="B16"/>
    </sheetView>
  </sheetViews>
  <sheetFormatPr defaultColWidth="9.1796875" defaultRowHeight="14.5" x14ac:dyDescent="0.35"/>
  <cols>
    <col min="1" max="1" width="5.7265625" style="187" customWidth="1"/>
    <col min="2" max="2" width="57.26953125" style="188" customWidth="1"/>
    <col min="3" max="3" width="8.54296875" style="197" bestFit="1" customWidth="1"/>
    <col min="4" max="4" width="12.453125" style="189" customWidth="1"/>
    <col min="5" max="5" width="13.453125" style="189" customWidth="1"/>
    <col min="6" max="6" width="39.81640625" style="187" customWidth="1"/>
    <col min="7" max="7" width="9.1796875" style="199"/>
    <col min="8" max="8" width="7.7265625" style="187" bestFit="1" customWidth="1"/>
    <col min="9" max="9" width="8.81640625" style="187" customWidth="1"/>
    <col min="10" max="16384" width="9.1796875" style="187"/>
  </cols>
  <sheetData>
    <row r="1" spans="2:10" x14ac:dyDescent="0.35">
      <c r="B1" s="109" t="s">
        <v>82</v>
      </c>
      <c r="C1" s="114"/>
      <c r="D1" s="115"/>
      <c r="F1" s="109" t="s">
        <v>101</v>
      </c>
      <c r="G1" s="116" t="s">
        <v>151</v>
      </c>
      <c r="H1" s="116" t="s">
        <v>1</v>
      </c>
      <c r="I1" s="116" t="s">
        <v>2</v>
      </c>
      <c r="J1" s="116" t="s">
        <v>3</v>
      </c>
    </row>
    <row r="2" spans="2:10" x14ac:dyDescent="0.35">
      <c r="B2" s="203" t="s">
        <v>116</v>
      </c>
      <c r="C2" s="127">
        <v>0.12</v>
      </c>
      <c r="D2" s="117">
        <f>$D$3/$C$3*C2</f>
        <v>980</v>
      </c>
      <c r="F2" s="204" t="s">
        <v>124</v>
      </c>
      <c r="G2" s="205">
        <v>0.2</v>
      </c>
      <c r="H2" s="205">
        <v>0.15</v>
      </c>
      <c r="I2" s="205">
        <v>0.15</v>
      </c>
      <c r="J2" s="205">
        <v>0.1</v>
      </c>
    </row>
    <row r="3" spans="2:10" x14ac:dyDescent="0.35">
      <c r="B3" s="203" t="s">
        <v>117</v>
      </c>
      <c r="C3" s="127">
        <v>0.6</v>
      </c>
      <c r="D3" s="117">
        <f>E14+E18</f>
        <v>4900</v>
      </c>
      <c r="E3" s="206"/>
      <c r="F3" s="204" t="s">
        <v>43</v>
      </c>
      <c r="G3" s="207">
        <v>0.25</v>
      </c>
      <c r="H3" s="207">
        <v>0.25</v>
      </c>
      <c r="I3" s="207">
        <v>0.25</v>
      </c>
      <c r="J3" s="207">
        <v>0.25</v>
      </c>
    </row>
    <row r="4" spans="2:10" x14ac:dyDescent="0.35">
      <c r="B4" s="203" t="s">
        <v>123</v>
      </c>
      <c r="C4" s="127">
        <v>0.15</v>
      </c>
      <c r="D4" s="117">
        <f t="shared" ref="D4:D7" si="0">$D$3/$C$3*C4</f>
        <v>1225</v>
      </c>
      <c r="G4" s="187"/>
    </row>
    <row r="5" spans="2:10" x14ac:dyDescent="0.35">
      <c r="B5" s="203" t="s">
        <v>118</v>
      </c>
      <c r="C5" s="127">
        <v>0.05</v>
      </c>
      <c r="D5" s="117">
        <f t="shared" si="0"/>
        <v>408.33333333333337</v>
      </c>
      <c r="F5" s="92" t="s">
        <v>157</v>
      </c>
      <c r="G5" s="183">
        <v>160</v>
      </c>
    </row>
    <row r="6" spans="2:10" x14ac:dyDescent="0.35">
      <c r="B6" s="203" t="s">
        <v>86</v>
      </c>
      <c r="C6" s="127">
        <v>0.02</v>
      </c>
      <c r="D6" s="117">
        <f>ROUND($D$3/$C$3*C6,0)</f>
        <v>163</v>
      </c>
      <c r="F6" s="92" t="s">
        <v>104</v>
      </c>
      <c r="G6" s="183">
        <f>20*6.5</f>
        <v>130</v>
      </c>
      <c r="H6" s="187" t="s">
        <v>158</v>
      </c>
    </row>
    <row r="7" spans="2:10" ht="17.25" customHeight="1" x14ac:dyDescent="0.35">
      <c r="B7" s="203" t="s">
        <v>119</v>
      </c>
      <c r="C7" s="208">
        <v>0.06</v>
      </c>
      <c r="D7" s="117">
        <f t="shared" si="0"/>
        <v>490</v>
      </c>
      <c r="E7" s="189" t="s">
        <v>109</v>
      </c>
      <c r="F7" s="92" t="s">
        <v>51</v>
      </c>
      <c r="G7" s="209">
        <f>Dashboard!C39</f>
        <v>7</v>
      </c>
    </row>
    <row r="8" spans="2:10" ht="17.25" customHeight="1" thickBot="1" x14ac:dyDescent="0.4">
      <c r="C8" s="210">
        <f>SUM(C2:C7)</f>
        <v>1</v>
      </c>
      <c r="D8" s="118">
        <f>SUM(D2:D7)</f>
        <v>8166.333333333333</v>
      </c>
      <c r="E8" s="206"/>
      <c r="F8" s="92" t="s">
        <v>159</v>
      </c>
      <c r="G8" s="183">
        <f>G6*G7</f>
        <v>910</v>
      </c>
      <c r="I8" s="193"/>
    </row>
    <row r="9" spans="2:10" ht="17.25" customHeight="1" thickTop="1" x14ac:dyDescent="0.35">
      <c r="C9" s="194"/>
      <c r="D9" s="119"/>
      <c r="F9" s="92" t="s">
        <v>160</v>
      </c>
      <c r="G9" s="290">
        <f>ROUND(D8/G8,0)</f>
        <v>9</v>
      </c>
    </row>
    <row r="10" spans="2:10" ht="17.25" customHeight="1" x14ac:dyDescent="0.35">
      <c r="C10" s="194"/>
      <c r="D10" s="119"/>
      <c r="F10" s="92" t="s">
        <v>161</v>
      </c>
      <c r="G10" s="290">
        <f>G9+1</f>
        <v>10</v>
      </c>
      <c r="H10" s="187" t="s">
        <v>187</v>
      </c>
    </row>
    <row r="11" spans="2:10" ht="17.25" customHeight="1" x14ac:dyDescent="0.35">
      <c r="C11" s="194"/>
      <c r="D11" s="119"/>
      <c r="F11" s="92" t="s">
        <v>144</v>
      </c>
      <c r="G11" s="211">
        <v>7.0000000000000007E-2</v>
      </c>
    </row>
    <row r="12" spans="2:10" ht="17.25" customHeight="1" thickBot="1" x14ac:dyDescent="0.4">
      <c r="B12" s="212"/>
      <c r="C12" s="213"/>
      <c r="D12" s="212"/>
      <c r="E12" s="214"/>
      <c r="F12" s="214"/>
      <c r="G12" s="187"/>
      <c r="H12" s="214"/>
      <c r="I12" s="193"/>
    </row>
    <row r="13" spans="2:10" s="105" customFormat="1" ht="29" x14ac:dyDescent="0.35">
      <c r="B13" s="135" t="s">
        <v>95</v>
      </c>
      <c r="C13" s="136" t="s">
        <v>51</v>
      </c>
      <c r="D13" s="136" t="s">
        <v>29</v>
      </c>
      <c r="E13" s="136" t="s">
        <v>122</v>
      </c>
      <c r="F13" s="137" t="s">
        <v>53</v>
      </c>
      <c r="G13" s="120"/>
      <c r="I13" s="126"/>
      <c r="J13" s="126"/>
    </row>
    <row r="14" spans="2:10" x14ac:dyDescent="0.35">
      <c r="B14" s="138" t="s">
        <v>134</v>
      </c>
      <c r="C14" s="121"/>
      <c r="D14" s="122"/>
      <c r="E14" s="164">
        <f>SUM(E15:E17)</f>
        <v>2000</v>
      </c>
      <c r="F14" s="215"/>
      <c r="I14" s="193"/>
      <c r="J14" s="193"/>
    </row>
    <row r="15" spans="2:10" x14ac:dyDescent="0.35">
      <c r="B15" s="139" t="s">
        <v>135</v>
      </c>
      <c r="C15" s="123">
        <v>2</v>
      </c>
      <c r="D15" s="183">
        <v>500</v>
      </c>
      <c r="E15" s="183">
        <f>D15*C15</f>
        <v>1000</v>
      </c>
      <c r="F15" s="216"/>
    </row>
    <row r="16" spans="2:10" x14ac:dyDescent="0.35">
      <c r="B16" s="139" t="s">
        <v>136</v>
      </c>
      <c r="C16" s="123">
        <v>2</v>
      </c>
      <c r="D16" s="183">
        <v>500</v>
      </c>
      <c r="E16" s="183">
        <f t="shared" ref="E16:E24" si="1">D16*C16</f>
        <v>1000</v>
      </c>
      <c r="F16" s="216"/>
      <c r="I16" s="128"/>
    </row>
    <row r="17" spans="2:9" x14ac:dyDescent="0.35">
      <c r="B17" s="139"/>
      <c r="C17" s="123"/>
      <c r="D17" s="183"/>
      <c r="E17" s="183"/>
      <c r="F17" s="216"/>
      <c r="I17" s="193"/>
    </row>
    <row r="18" spans="2:9" x14ac:dyDescent="0.35">
      <c r="B18" s="138" t="s">
        <v>207</v>
      </c>
      <c r="C18" s="123"/>
      <c r="D18" s="183"/>
      <c r="E18" s="165">
        <f>SUM(E19:E24)</f>
        <v>2900</v>
      </c>
      <c r="F18" s="216"/>
    </row>
    <row r="19" spans="2:9" s="199" customFormat="1" x14ac:dyDescent="0.35">
      <c r="B19" s="139" t="s">
        <v>137</v>
      </c>
      <c r="C19" s="123">
        <v>1</v>
      </c>
      <c r="D19" s="183">
        <v>400</v>
      </c>
      <c r="E19" s="183">
        <f t="shared" si="1"/>
        <v>400</v>
      </c>
      <c r="F19" s="216"/>
      <c r="H19" s="187"/>
      <c r="I19" s="217"/>
    </row>
    <row r="20" spans="2:9" s="199" customFormat="1" x14ac:dyDescent="0.35">
      <c r="B20" s="139" t="s">
        <v>138</v>
      </c>
      <c r="C20" s="123">
        <v>1</v>
      </c>
      <c r="D20" s="183">
        <v>400</v>
      </c>
      <c r="E20" s="183">
        <f t="shared" si="1"/>
        <v>400</v>
      </c>
      <c r="F20" s="216"/>
      <c r="H20" s="187"/>
      <c r="I20" s="187"/>
    </row>
    <row r="21" spans="2:9" s="199" customFormat="1" x14ac:dyDescent="0.35">
      <c r="B21" s="139" t="s">
        <v>145</v>
      </c>
      <c r="C21" s="123">
        <v>1</v>
      </c>
      <c r="D21" s="122">
        <v>400</v>
      </c>
      <c r="E21" s="183">
        <f t="shared" si="1"/>
        <v>400</v>
      </c>
      <c r="F21" s="216"/>
      <c r="H21" s="187"/>
      <c r="I21" s="187"/>
    </row>
    <row r="22" spans="2:9" s="199" customFormat="1" x14ac:dyDescent="0.35">
      <c r="B22" s="139" t="s">
        <v>201</v>
      </c>
      <c r="C22" s="123">
        <v>1</v>
      </c>
      <c r="D22" s="122">
        <v>600</v>
      </c>
      <c r="E22" s="183">
        <f t="shared" si="1"/>
        <v>600</v>
      </c>
      <c r="F22" s="216"/>
      <c r="H22" s="187"/>
      <c r="I22" s="187"/>
    </row>
    <row r="23" spans="2:9" s="199" customFormat="1" ht="29" x14ac:dyDescent="0.35">
      <c r="B23" s="139" t="s">
        <v>208</v>
      </c>
      <c r="C23" s="123">
        <v>1</v>
      </c>
      <c r="D23" s="183">
        <v>800</v>
      </c>
      <c r="E23" s="183">
        <f t="shared" si="1"/>
        <v>800</v>
      </c>
      <c r="F23" s="218" t="s">
        <v>209</v>
      </c>
      <c r="H23" s="187"/>
      <c r="I23" s="187"/>
    </row>
    <row r="24" spans="2:9" s="199" customFormat="1" x14ac:dyDescent="0.35">
      <c r="B24" s="139" t="s">
        <v>191</v>
      </c>
      <c r="C24" s="123">
        <v>1</v>
      </c>
      <c r="D24" s="122">
        <v>300</v>
      </c>
      <c r="E24" s="183">
        <f t="shared" si="1"/>
        <v>300</v>
      </c>
      <c r="F24" s="216"/>
      <c r="H24" s="187"/>
      <c r="I24" s="187"/>
    </row>
    <row r="25" spans="2:9" s="199" customFormat="1" x14ac:dyDescent="0.35">
      <c r="B25" s="138"/>
      <c r="C25" s="219"/>
      <c r="D25" s="219"/>
      <c r="E25" s="183"/>
      <c r="F25" s="216"/>
      <c r="H25" s="187"/>
      <c r="I25" s="187"/>
    </row>
    <row r="26" spans="2:9" s="199" customFormat="1" x14ac:dyDescent="0.35">
      <c r="B26" s="138" t="s">
        <v>85</v>
      </c>
      <c r="C26" s="121"/>
      <c r="D26" s="122"/>
      <c r="E26" s="220">
        <f>D2</f>
        <v>980</v>
      </c>
      <c r="F26" s="216"/>
      <c r="H26" s="187"/>
      <c r="I26" s="187"/>
    </row>
    <row r="27" spans="2:9" s="199" customFormat="1" x14ac:dyDescent="0.35">
      <c r="B27" s="138" t="s">
        <v>79</v>
      </c>
      <c r="C27" s="123"/>
      <c r="D27" s="122"/>
      <c r="E27" s="220">
        <f>D4</f>
        <v>1225</v>
      </c>
      <c r="F27" s="216"/>
      <c r="H27" s="187"/>
      <c r="I27" s="187"/>
    </row>
    <row r="28" spans="2:9" s="199" customFormat="1" x14ac:dyDescent="0.35">
      <c r="B28" s="138" t="s">
        <v>11</v>
      </c>
      <c r="C28" s="121"/>
      <c r="D28" s="122"/>
      <c r="E28" s="220">
        <f>D5</f>
        <v>408.33333333333337</v>
      </c>
      <c r="F28" s="216"/>
      <c r="H28" s="187"/>
      <c r="I28" s="187"/>
    </row>
    <row r="29" spans="2:9" ht="15" thickBot="1" x14ac:dyDescent="0.4">
      <c r="B29" s="140" t="s">
        <v>69</v>
      </c>
      <c r="C29" s="141"/>
      <c r="D29" s="141"/>
      <c r="E29" s="143">
        <f>D6</f>
        <v>163</v>
      </c>
      <c r="F29" s="142"/>
    </row>
    <row r="30" spans="2:9" s="199" customFormat="1" x14ac:dyDescent="0.35">
      <c r="B30" s="188"/>
      <c r="C30" s="197"/>
      <c r="D30" s="189"/>
      <c r="E30" s="189"/>
      <c r="F30" s="124"/>
      <c r="H30" s="187"/>
      <c r="I30" s="18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49FB-17BB-4272-A8B7-5D7C97711132}">
  <sheetPr>
    <outlinePr summaryBelow="0"/>
  </sheetPr>
  <dimension ref="B1:V26"/>
  <sheetViews>
    <sheetView zoomScale="80" zoomScaleNormal="80" workbookViewId="0">
      <selection activeCell="B1" sqref="B1"/>
    </sheetView>
  </sheetViews>
  <sheetFormatPr defaultColWidth="9.1796875" defaultRowHeight="14.5" x14ac:dyDescent="0.35"/>
  <cols>
    <col min="1" max="1" width="5.7265625" style="187" customWidth="1"/>
    <col min="2" max="2" width="50.81640625" style="188" customWidth="1"/>
    <col min="3" max="3" width="14" style="197" customWidth="1"/>
    <col min="4" max="4" width="14.26953125" style="185" customWidth="1"/>
    <col min="5" max="5" width="15.1796875" style="189" bestFit="1" customWidth="1"/>
    <col min="6" max="6" width="16.81640625" style="187" customWidth="1"/>
    <col min="7" max="8" width="9.1796875" style="187"/>
    <col min="9" max="9" width="10.26953125" style="187" customWidth="1"/>
    <col min="10" max="16" width="9.1796875" style="187"/>
    <col min="17" max="17" width="12.453125" style="187" bestFit="1" customWidth="1"/>
    <col min="18" max="16384" width="9.1796875" style="187"/>
  </cols>
  <sheetData>
    <row r="1" spans="2:22" x14ac:dyDescent="0.35">
      <c r="B1" s="99" t="s">
        <v>97</v>
      </c>
      <c r="C1" s="184">
        <f>Dashboard!C39</f>
        <v>7</v>
      </c>
      <c r="E1" s="99" t="s">
        <v>72</v>
      </c>
      <c r="F1" s="186">
        <f>Effort_Development!G10</f>
        <v>10</v>
      </c>
      <c r="H1" s="337" t="s">
        <v>162</v>
      </c>
      <c r="I1" s="338"/>
      <c r="J1" s="221">
        <f>Effort_Development!G5</f>
        <v>160</v>
      </c>
      <c r="V1" s="187">
        <v>1.25</v>
      </c>
    </row>
    <row r="2" spans="2:22" x14ac:dyDescent="0.35">
      <c r="C2" s="185"/>
    </row>
    <row r="3" spans="2:22" x14ac:dyDescent="0.35">
      <c r="B3" s="100" t="s">
        <v>91</v>
      </c>
      <c r="C3" s="101" t="s">
        <v>90</v>
      </c>
      <c r="D3" s="102" t="s">
        <v>96</v>
      </c>
      <c r="E3" s="102" t="s">
        <v>52</v>
      </c>
      <c r="J3" s="187" t="s">
        <v>120</v>
      </c>
      <c r="K3" s="187" t="s">
        <v>121</v>
      </c>
    </row>
    <row r="4" spans="2:22" x14ac:dyDescent="0.35">
      <c r="B4" s="103" t="s">
        <v>73</v>
      </c>
      <c r="C4" s="222">
        <v>100</v>
      </c>
      <c r="D4" s="104">
        <v>1</v>
      </c>
      <c r="E4" s="190">
        <f>$F$1*C4*D4*$J$1</f>
        <v>160000</v>
      </c>
      <c r="F4" s="105" t="s">
        <v>107</v>
      </c>
      <c r="I4" s="191" t="s">
        <v>111</v>
      </c>
      <c r="J4" s="191">
        <v>50</v>
      </c>
      <c r="K4" s="191">
        <v>7</v>
      </c>
      <c r="L4" s="191">
        <f>J4*K4</f>
        <v>350</v>
      </c>
      <c r="O4" s="192"/>
      <c r="Q4" s="193"/>
    </row>
    <row r="5" spans="2:22" x14ac:dyDescent="0.35">
      <c r="B5" s="103" t="s">
        <v>150</v>
      </c>
      <c r="C5" s="222">
        <v>60</v>
      </c>
      <c r="D5" s="104">
        <f>ROUND((C1-(D4+D7))*30%,0)</f>
        <v>2</v>
      </c>
      <c r="E5" s="190">
        <f>$F$1*C5*D5*$J$1</f>
        <v>192000</v>
      </c>
      <c r="I5" s="191" t="s">
        <v>113</v>
      </c>
      <c r="J5" s="191">
        <v>120</v>
      </c>
      <c r="K5" s="191">
        <v>7</v>
      </c>
      <c r="L5" s="191">
        <f>J5*K5</f>
        <v>840</v>
      </c>
      <c r="O5" s="192"/>
      <c r="Q5" s="193"/>
    </row>
    <row r="6" spans="2:22" x14ac:dyDescent="0.35">
      <c r="B6" s="103" t="s">
        <v>149</v>
      </c>
      <c r="C6" s="222">
        <v>35</v>
      </c>
      <c r="D6" s="104">
        <f>C1-(D5+D4+D7)</f>
        <v>3</v>
      </c>
      <c r="E6" s="190">
        <f>$F$1*C6*D6*$J$1</f>
        <v>168000</v>
      </c>
      <c r="I6" s="191" t="s">
        <v>114</v>
      </c>
      <c r="J6" s="106">
        <v>50</v>
      </c>
      <c r="K6" s="191">
        <v>7</v>
      </c>
      <c r="L6" s="106">
        <f>J6*K6</f>
        <v>350</v>
      </c>
      <c r="O6" s="192"/>
      <c r="Q6" s="193"/>
    </row>
    <row r="7" spans="2:22" x14ac:dyDescent="0.35">
      <c r="B7" s="103" t="s">
        <v>74</v>
      </c>
      <c r="C7" s="222">
        <v>30</v>
      </c>
      <c r="D7" s="104">
        <v>1</v>
      </c>
      <c r="E7" s="190">
        <f>$F$1*C7*D7*$J$1</f>
        <v>48000</v>
      </c>
      <c r="F7" s="105" t="s">
        <v>108</v>
      </c>
      <c r="I7" s="191" t="s">
        <v>110</v>
      </c>
      <c r="J7" s="191"/>
      <c r="K7" s="191"/>
      <c r="L7" s="191">
        <v>400</v>
      </c>
      <c r="O7" s="192"/>
      <c r="Q7" s="193"/>
    </row>
    <row r="8" spans="2:22" ht="17.25" customHeight="1" thickBot="1" x14ac:dyDescent="0.4">
      <c r="C8" s="194"/>
      <c r="D8" s="224">
        <f>SUM(D4:D7)</f>
        <v>7</v>
      </c>
      <c r="E8" s="195">
        <f>SUM(E4:E7)</f>
        <v>568000</v>
      </c>
      <c r="I8" s="191" t="s">
        <v>112</v>
      </c>
      <c r="J8" s="191"/>
      <c r="K8" s="191"/>
      <c r="L8" s="191">
        <v>1060</v>
      </c>
      <c r="Q8" s="193"/>
    </row>
    <row r="9" spans="2:22" ht="17.25" customHeight="1" thickTop="1" thickBot="1" x14ac:dyDescent="0.4">
      <c r="B9" s="107" t="s">
        <v>156</v>
      </c>
      <c r="C9" s="202">
        <f>(C4*D4+C5*D5+C6*D6+C7*D7)/D8</f>
        <v>50.714285714285715</v>
      </c>
      <c r="D9" s="108"/>
      <c r="L9" s="196">
        <f>SUM(L4:L8)</f>
        <v>3000</v>
      </c>
      <c r="Q9" s="193"/>
    </row>
    <row r="10" spans="2:22" ht="17.25" customHeight="1" thickTop="1" x14ac:dyDescent="0.35">
      <c r="C10" s="194"/>
      <c r="D10" s="108"/>
      <c r="L10" s="201"/>
      <c r="Q10" s="193"/>
    </row>
    <row r="11" spans="2:22" ht="17.25" customHeight="1" x14ac:dyDescent="0.35">
      <c r="B11" s="334" t="s">
        <v>98</v>
      </c>
      <c r="C11" s="335"/>
      <c r="D11" s="336"/>
      <c r="E11" s="222">
        <f>L9</f>
        <v>3000</v>
      </c>
      <c r="F11" s="192"/>
      <c r="Q11" s="128"/>
    </row>
    <row r="12" spans="2:22" ht="17.25" customHeight="1" x14ac:dyDescent="0.35">
      <c r="F12" s="192"/>
    </row>
    <row r="13" spans="2:22" s="105" customFormat="1" x14ac:dyDescent="0.35">
      <c r="B13" s="109"/>
      <c r="C13" s="110" t="s">
        <v>99</v>
      </c>
      <c r="D13" s="110" t="s">
        <v>78</v>
      </c>
      <c r="E13" s="111" t="s">
        <v>52</v>
      </c>
      <c r="F13" s="182"/>
    </row>
    <row r="14" spans="2:22" s="199" customFormat="1" x14ac:dyDescent="0.35">
      <c r="B14" s="112" t="s">
        <v>87</v>
      </c>
      <c r="C14" s="223">
        <v>16</v>
      </c>
      <c r="D14" s="198"/>
      <c r="E14" s="113">
        <f>C14*E11</f>
        <v>48000</v>
      </c>
      <c r="F14" s="200" t="s">
        <v>143</v>
      </c>
    </row>
    <row r="15" spans="2:22" s="199" customFormat="1" x14ac:dyDescent="0.35">
      <c r="B15" s="191" t="s">
        <v>146</v>
      </c>
      <c r="C15" s="183">
        <v>8</v>
      </c>
      <c r="D15" s="198"/>
      <c r="E15" s="113">
        <f>C15*E11</f>
        <v>24000</v>
      </c>
      <c r="F15" s="200" t="s">
        <v>147</v>
      </c>
    </row>
    <row r="18" spans="2:5" s="199" customFormat="1" x14ac:dyDescent="0.35">
      <c r="B18" s="188"/>
      <c r="C18" s="197"/>
      <c r="D18" s="185"/>
      <c r="E18" s="189"/>
    </row>
    <row r="19" spans="2:5" x14ac:dyDescent="0.35">
      <c r="B19" s="189"/>
    </row>
    <row r="20" spans="2:5" x14ac:dyDescent="0.35">
      <c r="B20" s="189"/>
    </row>
    <row r="21" spans="2:5" x14ac:dyDescent="0.35">
      <c r="B21" s="189"/>
    </row>
    <row r="22" spans="2:5" x14ac:dyDescent="0.35">
      <c r="B22" s="187"/>
      <c r="C22" s="187"/>
      <c r="D22" s="187"/>
    </row>
    <row r="23" spans="2:5" x14ac:dyDescent="0.35">
      <c r="B23" s="187"/>
      <c r="C23" s="187"/>
      <c r="D23" s="187"/>
    </row>
    <row r="24" spans="2:5" x14ac:dyDescent="0.35">
      <c r="B24" s="187"/>
      <c r="C24" s="187"/>
      <c r="D24" s="187"/>
    </row>
    <row r="25" spans="2:5" x14ac:dyDescent="0.35">
      <c r="B25" s="187"/>
      <c r="C25" s="187"/>
      <c r="D25" s="187"/>
    </row>
    <row r="26" spans="2:5" x14ac:dyDescent="0.35">
      <c r="B26" s="187"/>
      <c r="C26" s="187"/>
      <c r="D26" s="187"/>
    </row>
  </sheetData>
  <mergeCells count="2">
    <mergeCell ref="B11:D11"/>
    <mergeCell ref="H1:I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07D4-0223-4FE2-84BE-C56C6A5B0B6D}">
  <dimension ref="B1:F12"/>
  <sheetViews>
    <sheetView tabSelected="1" zoomScaleNormal="100" workbookViewId="0">
      <selection activeCell="B2" sqref="B2"/>
    </sheetView>
  </sheetViews>
  <sheetFormatPr defaultColWidth="9.1796875" defaultRowHeight="13" x14ac:dyDescent="0.3"/>
  <cols>
    <col min="1" max="1" width="4.1796875" style="144" customWidth="1"/>
    <col min="2" max="2" width="28.7265625" style="144" bestFit="1" customWidth="1"/>
    <col min="3" max="3" width="9.81640625" style="144" bestFit="1" customWidth="1"/>
    <col min="4" max="4" width="10" style="145" bestFit="1" customWidth="1"/>
    <col min="5" max="5" width="17.36328125" style="145" customWidth="1"/>
    <col min="6" max="6" width="30.81640625" style="299" bestFit="1" customWidth="1"/>
    <col min="7" max="7" width="13.54296875" style="144" bestFit="1" customWidth="1"/>
    <col min="8" max="16384" width="9.1796875" style="144"/>
  </cols>
  <sheetData>
    <row r="1" spans="2:6" ht="15" thickBot="1" x14ac:dyDescent="0.4">
      <c r="B1" s="231"/>
      <c r="C1" s="231"/>
    </row>
    <row r="2" spans="2:6" x14ac:dyDescent="0.3">
      <c r="B2" s="292" t="s">
        <v>139</v>
      </c>
      <c r="C2" s="293" t="s">
        <v>189</v>
      </c>
      <c r="D2" s="293" t="s">
        <v>142</v>
      </c>
      <c r="E2" s="302" t="s">
        <v>213</v>
      </c>
      <c r="F2" s="294" t="s">
        <v>53</v>
      </c>
    </row>
    <row r="3" spans="2:6" x14ac:dyDescent="0.3">
      <c r="B3" s="295" t="s">
        <v>141</v>
      </c>
      <c r="C3" s="146" t="s">
        <v>190</v>
      </c>
      <c r="D3" s="147"/>
      <c r="E3" s="303"/>
      <c r="F3" s="300"/>
    </row>
    <row r="4" spans="2:6" x14ac:dyDescent="0.3">
      <c r="B4" s="295" t="s">
        <v>210</v>
      </c>
      <c r="C4" s="146" t="s">
        <v>190</v>
      </c>
      <c r="D4" s="147"/>
      <c r="E4" s="303"/>
      <c r="F4" s="300"/>
    </row>
    <row r="5" spans="2:6" x14ac:dyDescent="0.3">
      <c r="B5" s="295" t="s">
        <v>200</v>
      </c>
      <c r="C5" s="146" t="s">
        <v>190</v>
      </c>
      <c r="D5" s="147"/>
      <c r="E5" s="303"/>
      <c r="F5" s="300"/>
    </row>
    <row r="6" spans="2:6" x14ac:dyDescent="0.3">
      <c r="B6" s="295" t="s">
        <v>201</v>
      </c>
      <c r="C6" s="146" t="s">
        <v>190</v>
      </c>
      <c r="D6" s="147"/>
      <c r="E6" s="303"/>
      <c r="F6" s="300"/>
    </row>
    <row r="7" spans="2:6" x14ac:dyDescent="0.3">
      <c r="B7" s="295" t="s">
        <v>140</v>
      </c>
      <c r="C7" s="146" t="s">
        <v>190</v>
      </c>
      <c r="D7" s="147"/>
      <c r="E7" s="303"/>
      <c r="F7" s="300"/>
    </row>
    <row r="8" spans="2:6" x14ac:dyDescent="0.3">
      <c r="B8" s="295" t="s">
        <v>212</v>
      </c>
      <c r="C8" s="146" t="s">
        <v>190</v>
      </c>
      <c r="D8" s="147"/>
      <c r="E8" s="303"/>
      <c r="F8" s="300"/>
    </row>
    <row r="9" spans="2:6" ht="39" x14ac:dyDescent="0.3">
      <c r="B9" s="295" t="s">
        <v>204</v>
      </c>
      <c r="C9" s="146" t="s">
        <v>190</v>
      </c>
      <c r="D9" s="147"/>
      <c r="E9" s="303"/>
      <c r="F9" s="300"/>
    </row>
    <row r="10" spans="2:6" x14ac:dyDescent="0.3">
      <c r="B10" s="295" t="s">
        <v>211</v>
      </c>
      <c r="C10" s="146" t="s">
        <v>190</v>
      </c>
      <c r="D10" s="147"/>
      <c r="E10" s="303"/>
      <c r="F10" s="300"/>
    </row>
    <row r="11" spans="2:6" ht="39" x14ac:dyDescent="0.3">
      <c r="B11" s="295" t="s">
        <v>202</v>
      </c>
      <c r="C11" s="146" t="s">
        <v>190</v>
      </c>
      <c r="D11" s="147"/>
      <c r="E11" s="303"/>
      <c r="F11" s="303"/>
    </row>
    <row r="12" spans="2:6" ht="13.5" thickBot="1" x14ac:dyDescent="0.35">
      <c r="B12" s="296" t="s">
        <v>188</v>
      </c>
      <c r="C12" s="297"/>
      <c r="D12" s="298" t="e">
        <f>AVERAGE(D7:D11)</f>
        <v>#DIV/0!</v>
      </c>
      <c r="E12" s="304"/>
      <c r="F12" s="301"/>
    </row>
  </sheetData>
  <autoFilter ref="B2:D10" xr:uid="{354925EF-CFE8-40C0-9341-D34B9F0A185E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7057-A7C1-475C-AEF0-1E66BA8CA963}">
  <dimension ref="A1:J34"/>
  <sheetViews>
    <sheetView zoomScale="80" zoomScaleNormal="80" workbookViewId="0">
      <selection activeCell="E18" sqref="E18"/>
    </sheetView>
  </sheetViews>
  <sheetFormatPr defaultRowHeight="14.5" x14ac:dyDescent="0.35"/>
  <cols>
    <col min="1" max="1" width="42.1796875" style="8" bestFit="1" customWidth="1"/>
    <col min="2" max="2" width="53.7265625" style="4" customWidth="1"/>
    <col min="3" max="4" width="12.26953125" customWidth="1"/>
    <col min="5" max="5" width="15.26953125" style="15" bestFit="1" customWidth="1"/>
    <col min="6" max="9" width="14.26953125" style="15" bestFit="1" customWidth="1"/>
    <col min="10" max="10" width="15.26953125" style="15" bestFit="1" customWidth="1"/>
  </cols>
  <sheetData>
    <row r="1" spans="1:10" ht="30" customHeight="1" x14ac:dyDescent="0.35">
      <c r="A1" s="6" t="s">
        <v>0</v>
      </c>
      <c r="B1" s="6" t="s">
        <v>14</v>
      </c>
      <c r="C1" s="3" t="s">
        <v>27</v>
      </c>
      <c r="D1" s="3" t="s">
        <v>21</v>
      </c>
      <c r="E1" s="10" t="s">
        <v>24</v>
      </c>
      <c r="F1" s="10" t="s">
        <v>1</v>
      </c>
      <c r="G1" s="10" t="s">
        <v>25</v>
      </c>
      <c r="H1" s="10" t="s">
        <v>3</v>
      </c>
      <c r="I1" s="10" t="s">
        <v>4</v>
      </c>
      <c r="J1" s="10" t="s">
        <v>42</v>
      </c>
    </row>
    <row r="2" spans="1:10" x14ac:dyDescent="0.35">
      <c r="A2" s="35" t="s">
        <v>46</v>
      </c>
      <c r="B2" s="36"/>
      <c r="C2" s="36"/>
      <c r="D2" s="36"/>
      <c r="E2" s="38">
        <f>SUM(E3:E6)</f>
        <v>0</v>
      </c>
      <c r="F2" s="36"/>
      <c r="G2" s="36"/>
      <c r="H2" s="36"/>
      <c r="I2" s="36"/>
      <c r="J2" s="37"/>
    </row>
    <row r="3" spans="1:10" x14ac:dyDescent="0.35">
      <c r="A3" s="7" t="s">
        <v>8</v>
      </c>
      <c r="B3" s="20" t="s">
        <v>45</v>
      </c>
      <c r="C3" s="18"/>
      <c r="D3" s="18"/>
      <c r="E3" s="12">
        <f>C3*D3</f>
        <v>0</v>
      </c>
      <c r="F3" s="23"/>
      <c r="G3" s="23"/>
      <c r="H3" s="23"/>
      <c r="I3" s="23"/>
      <c r="J3" s="11"/>
    </row>
    <row r="4" spans="1:10" x14ac:dyDescent="0.35">
      <c r="A4" s="7" t="s">
        <v>22</v>
      </c>
      <c r="B4" s="2" t="s">
        <v>47</v>
      </c>
      <c r="C4" s="18"/>
      <c r="D4" s="18"/>
      <c r="E4" s="12">
        <f>C4*D4</f>
        <v>0</v>
      </c>
      <c r="F4" s="23"/>
      <c r="G4" s="23"/>
      <c r="H4" s="23"/>
      <c r="I4" s="23"/>
      <c r="J4" s="12"/>
    </row>
    <row r="5" spans="1:10" x14ac:dyDescent="0.35">
      <c r="A5" s="7" t="s">
        <v>9</v>
      </c>
      <c r="B5" s="2" t="s">
        <v>47</v>
      </c>
      <c r="C5" s="18"/>
      <c r="D5" s="18"/>
      <c r="E5" s="12">
        <f t="shared" ref="E5:E6" si="0">C5*D5</f>
        <v>0</v>
      </c>
      <c r="F5" s="23"/>
      <c r="G5" s="23"/>
      <c r="H5" s="23"/>
      <c r="I5" s="23"/>
      <c r="J5" s="12"/>
    </row>
    <row r="6" spans="1:10" x14ac:dyDescent="0.35">
      <c r="A6" s="7" t="s">
        <v>23</v>
      </c>
      <c r="B6" s="2" t="s">
        <v>47</v>
      </c>
      <c r="C6" s="18"/>
      <c r="D6" s="18"/>
      <c r="E6" s="12">
        <f t="shared" si="0"/>
        <v>0</v>
      </c>
      <c r="F6" s="23"/>
      <c r="G6" s="23"/>
      <c r="H6" s="23"/>
      <c r="I6" s="23"/>
      <c r="J6" s="12"/>
    </row>
    <row r="7" spans="1:10" x14ac:dyDescent="0.35">
      <c r="A7" s="24" t="s">
        <v>34</v>
      </c>
      <c r="B7" s="24"/>
      <c r="C7" s="24"/>
      <c r="D7" s="24"/>
      <c r="E7" s="34">
        <f>SUM(E8:E9)</f>
        <v>0</v>
      </c>
      <c r="F7" s="24"/>
      <c r="G7" s="24"/>
      <c r="H7" s="24"/>
      <c r="I7" s="24"/>
      <c r="J7" s="24"/>
    </row>
    <row r="8" spans="1:10" x14ac:dyDescent="0.35">
      <c r="A8" s="7" t="s">
        <v>26</v>
      </c>
      <c r="B8" s="2"/>
      <c r="C8" s="1"/>
      <c r="D8" s="1"/>
      <c r="E8" s="12">
        <f>C8*D8</f>
        <v>0</v>
      </c>
      <c r="F8" s="23"/>
      <c r="G8" s="12"/>
      <c r="H8" s="12"/>
      <c r="I8" s="12"/>
      <c r="J8" s="12"/>
    </row>
    <row r="9" spans="1:10" x14ac:dyDescent="0.35">
      <c r="A9" s="7" t="s">
        <v>32</v>
      </c>
      <c r="B9" s="2"/>
      <c r="C9" s="1"/>
      <c r="D9" s="1"/>
      <c r="E9" s="12">
        <f>C9*D9</f>
        <v>0</v>
      </c>
      <c r="F9" s="12"/>
      <c r="G9" s="12"/>
      <c r="H9" s="12"/>
      <c r="I9" s="12"/>
      <c r="J9" s="12"/>
    </row>
    <row r="10" spans="1:10" x14ac:dyDescent="0.35">
      <c r="A10" s="21"/>
      <c r="B10" s="20"/>
      <c r="C10" s="19"/>
      <c r="D10" s="19"/>
      <c r="E10" s="22"/>
      <c r="F10" s="22"/>
      <c r="G10" s="22"/>
      <c r="H10" s="22"/>
      <c r="I10" s="22"/>
      <c r="J10" s="22"/>
    </row>
    <row r="11" spans="1:10" x14ac:dyDescent="0.35">
      <c r="A11" s="24" t="s">
        <v>55</v>
      </c>
      <c r="B11" s="24"/>
      <c r="C11" s="24"/>
      <c r="D11" s="24"/>
      <c r="E11" s="34">
        <f>SUM(E12:E20)</f>
        <v>1152300</v>
      </c>
      <c r="F11" s="24"/>
      <c r="G11" s="24"/>
      <c r="H11" s="24"/>
      <c r="I11" s="24"/>
      <c r="J11" s="24"/>
    </row>
    <row r="12" spans="1:10" ht="26" x14ac:dyDescent="0.35">
      <c r="A12" s="7" t="s">
        <v>15</v>
      </c>
      <c r="B12" s="2" t="s">
        <v>20</v>
      </c>
      <c r="C12" s="18"/>
      <c r="D12" s="18"/>
      <c r="E12" s="12">
        <f>'Project Development Details'!G26</f>
        <v>156500</v>
      </c>
      <c r="F12" s="11"/>
      <c r="G12" s="11"/>
      <c r="H12" s="11"/>
      <c r="I12" s="11"/>
      <c r="J12" s="11"/>
    </row>
    <row r="13" spans="1:10" ht="26" x14ac:dyDescent="0.35">
      <c r="A13" s="17" t="s">
        <v>77</v>
      </c>
      <c r="B13" s="2" t="s">
        <v>35</v>
      </c>
      <c r="C13" s="18"/>
      <c r="D13" s="18"/>
      <c r="E13" s="12">
        <f>'Project Development Details'!G12</f>
        <v>518000</v>
      </c>
      <c r="F13" s="12"/>
      <c r="G13" s="12"/>
      <c r="H13" s="12"/>
      <c r="I13" s="12"/>
      <c r="J13" s="12"/>
    </row>
    <row r="14" spans="1:10" x14ac:dyDescent="0.35">
      <c r="A14" s="7" t="s">
        <v>16</v>
      </c>
      <c r="B14" s="2" t="s">
        <v>36</v>
      </c>
      <c r="C14" s="18"/>
      <c r="D14" s="18"/>
      <c r="E14" s="12">
        <f>'Project Development Details'!G22</f>
        <v>108000</v>
      </c>
      <c r="F14" s="12"/>
      <c r="G14" s="12"/>
      <c r="H14" s="12"/>
      <c r="I14" s="12"/>
      <c r="J14" s="12"/>
    </row>
    <row r="15" spans="1:10" ht="15.75" customHeight="1" x14ac:dyDescent="0.35">
      <c r="A15" s="17" t="s">
        <v>76</v>
      </c>
      <c r="B15" s="2" t="s">
        <v>44</v>
      </c>
      <c r="C15" s="18"/>
      <c r="D15" s="18"/>
      <c r="E15" s="12">
        <f>E13*30%+E14*30%</f>
        <v>187800</v>
      </c>
      <c r="F15" s="12"/>
      <c r="G15" s="12"/>
      <c r="H15" s="12"/>
      <c r="I15" s="12"/>
      <c r="J15" s="12"/>
    </row>
    <row r="16" spans="1:10" x14ac:dyDescent="0.35">
      <c r="A16" s="7" t="s">
        <v>17</v>
      </c>
      <c r="B16" s="2"/>
      <c r="C16" s="18"/>
      <c r="D16" s="18"/>
      <c r="E16" s="12">
        <f>'Project Development Details'!G21</f>
        <v>0</v>
      </c>
      <c r="F16" s="12"/>
      <c r="G16" s="12"/>
      <c r="H16" s="12"/>
      <c r="I16" s="12"/>
      <c r="J16" s="12"/>
    </row>
    <row r="17" spans="1:10" x14ac:dyDescent="0.35">
      <c r="A17" s="7" t="s">
        <v>31</v>
      </c>
      <c r="B17" s="2" t="s">
        <v>63</v>
      </c>
      <c r="C17" s="18"/>
      <c r="D17" s="18"/>
      <c r="E17" s="12">
        <f>'Project Development Details'!G30</f>
        <v>32000</v>
      </c>
      <c r="F17" s="12"/>
      <c r="G17" s="12"/>
      <c r="H17" s="12"/>
      <c r="I17" s="12"/>
      <c r="J17" s="12"/>
    </row>
    <row r="18" spans="1:10" x14ac:dyDescent="0.35">
      <c r="A18" s="7" t="s">
        <v>13</v>
      </c>
      <c r="B18" s="2" t="s">
        <v>33</v>
      </c>
      <c r="C18" s="18"/>
      <c r="D18" s="18"/>
      <c r="E18" s="12">
        <f>'Project Development Details'!G32</f>
        <v>120000</v>
      </c>
      <c r="F18" s="12"/>
      <c r="G18" s="12"/>
      <c r="H18" s="12"/>
      <c r="I18" s="12"/>
      <c r="J18" s="12"/>
    </row>
    <row r="19" spans="1:10" x14ac:dyDescent="0.35">
      <c r="A19" s="7" t="s">
        <v>11</v>
      </c>
      <c r="B19" s="2" t="s">
        <v>30</v>
      </c>
      <c r="C19" s="18"/>
      <c r="D19" s="18"/>
      <c r="E19" s="12">
        <f>'Project Development Details'!G29</f>
        <v>30000</v>
      </c>
      <c r="F19" s="12"/>
      <c r="G19" s="12"/>
      <c r="H19" s="12"/>
      <c r="I19" s="12"/>
      <c r="J19" s="12"/>
    </row>
    <row r="20" spans="1:10" x14ac:dyDescent="0.35">
      <c r="A20" s="7" t="s">
        <v>38</v>
      </c>
      <c r="B20" s="2" t="s">
        <v>37</v>
      </c>
      <c r="C20" s="18"/>
      <c r="D20" s="18"/>
      <c r="E20" s="12"/>
      <c r="F20" s="12"/>
      <c r="G20" s="12"/>
      <c r="H20" s="12"/>
      <c r="I20" s="12"/>
      <c r="J20" s="12"/>
    </row>
    <row r="21" spans="1:10" x14ac:dyDescent="0.35">
      <c r="A21" s="24" t="s">
        <v>12</v>
      </c>
      <c r="B21" s="24"/>
      <c r="C21" s="24"/>
      <c r="D21" s="24"/>
      <c r="E21" s="24"/>
      <c r="F21" s="34" t="e">
        <f>SUM(F22:F25)</f>
        <v>#REF!</v>
      </c>
      <c r="G21" s="34" t="e">
        <f>SUM(G22:G25)</f>
        <v>#REF!</v>
      </c>
      <c r="H21" s="34" t="e">
        <f>SUM(H22:H25)</f>
        <v>#REF!</v>
      </c>
      <c r="I21" s="34" t="e">
        <f>SUM(I22:I25)</f>
        <v>#REF!</v>
      </c>
      <c r="J21" s="24"/>
    </row>
    <row r="22" spans="1:10" x14ac:dyDescent="0.35">
      <c r="A22" s="7" t="s">
        <v>5</v>
      </c>
      <c r="B22" s="2"/>
      <c r="C22" s="1"/>
      <c r="D22" s="1"/>
      <c r="E22" s="12"/>
      <c r="F22" s="12">
        <v>0</v>
      </c>
      <c r="G22" s="12">
        <v>0</v>
      </c>
      <c r="H22" s="12">
        <v>0</v>
      </c>
      <c r="I22" s="12">
        <v>0</v>
      </c>
      <c r="J22" s="12"/>
    </row>
    <row r="23" spans="1:10" x14ac:dyDescent="0.35">
      <c r="A23" s="7" t="s">
        <v>6</v>
      </c>
      <c r="B23" s="2"/>
      <c r="C23" s="1"/>
      <c r="D23" s="1"/>
      <c r="E23" s="12" t="e">
        <f>Software!#REF!</f>
        <v>#REF!</v>
      </c>
      <c r="F23" s="12" t="e">
        <f>Software!#REF!</f>
        <v>#REF!</v>
      </c>
      <c r="G23" s="12" t="e">
        <f>Software!#REF!</f>
        <v>#REF!</v>
      </c>
      <c r="H23" s="12" t="e">
        <f>Software!#REF!</f>
        <v>#REF!</v>
      </c>
      <c r="I23" s="12" t="e">
        <f>Software!#REF!</f>
        <v>#REF!</v>
      </c>
      <c r="J23" s="12"/>
    </row>
    <row r="24" spans="1:10" x14ac:dyDescent="0.35">
      <c r="A24" s="7" t="s">
        <v>40</v>
      </c>
      <c r="B24" s="2"/>
      <c r="C24" s="9"/>
      <c r="D24" s="9"/>
      <c r="E24" s="12"/>
      <c r="F24" s="12">
        <f>$E$11*Effort_Development!G2</f>
        <v>230460</v>
      </c>
      <c r="G24" s="12">
        <f>$E$11*Effort_Development!H2</f>
        <v>172845</v>
      </c>
      <c r="H24" s="12">
        <f>$E$11*Effort_Development!I2</f>
        <v>172845</v>
      </c>
      <c r="I24" s="12">
        <f>$E$11*Effort_Development!J2</f>
        <v>115230</v>
      </c>
      <c r="J24" s="12"/>
    </row>
    <row r="25" spans="1:10" x14ac:dyDescent="0.35">
      <c r="A25" s="7" t="s">
        <v>39</v>
      </c>
      <c r="B25" s="2" t="s">
        <v>41</v>
      </c>
      <c r="C25" s="9"/>
      <c r="D25" s="1"/>
      <c r="E25" s="12"/>
      <c r="F25" s="12">
        <f>$E$11*Effort_Development!G3</f>
        <v>288075</v>
      </c>
      <c r="G25" s="12">
        <f>$E$11*Effort_Development!H3</f>
        <v>288075</v>
      </c>
      <c r="H25" s="12">
        <f>$E$11*Effort_Development!I3</f>
        <v>288075</v>
      </c>
      <c r="I25" s="12">
        <f>$E$11*Effort_Development!J3</f>
        <v>288075</v>
      </c>
      <c r="J25" s="12"/>
    </row>
    <row r="26" spans="1:10" x14ac:dyDescent="0.35">
      <c r="A26" s="339" t="s">
        <v>10</v>
      </c>
      <c r="B26" s="339"/>
      <c r="C26" s="339"/>
      <c r="D26" s="339"/>
      <c r="E26" s="339"/>
      <c r="F26" s="339"/>
      <c r="G26" s="339"/>
      <c r="H26" s="339"/>
      <c r="I26" s="339"/>
      <c r="J26" s="339"/>
    </row>
    <row r="27" spans="1:10" x14ac:dyDescent="0.35">
      <c r="A27" s="7" t="s">
        <v>18</v>
      </c>
      <c r="B27" s="5" t="s">
        <v>19</v>
      </c>
      <c r="C27" s="9">
        <v>0.1</v>
      </c>
      <c r="D27" s="9"/>
      <c r="E27" s="13">
        <f>$E$11*$C27</f>
        <v>115230</v>
      </c>
      <c r="F27" s="13" t="e">
        <f>$C$27*F21</f>
        <v>#REF!</v>
      </c>
      <c r="G27" s="13" t="e">
        <f>$C$27*G21</f>
        <v>#REF!</v>
      </c>
      <c r="H27" s="13" t="e">
        <f>$C$27*H21</f>
        <v>#REF!</v>
      </c>
      <c r="I27" s="13" t="e">
        <f>$C$27*I21</f>
        <v>#REF!</v>
      </c>
      <c r="J27" s="13"/>
    </row>
    <row r="28" spans="1:10" x14ac:dyDescent="0.35">
      <c r="A28" s="340" t="s">
        <v>7</v>
      </c>
      <c r="B28" s="340"/>
      <c r="C28" s="340"/>
      <c r="D28" s="18"/>
      <c r="E28" s="14">
        <f>E2+E7+E11+E21+E27</f>
        <v>1267530</v>
      </c>
      <c r="F28" s="14" t="e">
        <f>F2+F7+F11+F21+F27</f>
        <v>#REF!</v>
      </c>
      <c r="G28" s="14" t="e">
        <f>G2+G7+G11+G21+G27</f>
        <v>#REF!</v>
      </c>
      <c r="H28" s="14" t="e">
        <f>H2+H7+H11+H21+H27</f>
        <v>#REF!</v>
      </c>
      <c r="I28" s="14" t="e">
        <f>I2+I7+I11+I21+I27</f>
        <v>#REF!</v>
      </c>
      <c r="J28" s="14" t="e">
        <f>SUM(E28:I28)</f>
        <v>#REF!</v>
      </c>
    </row>
    <row r="29" spans="1:10" ht="15" thickBot="1" x14ac:dyDescent="0.4">
      <c r="A29" s="42"/>
      <c r="B29" s="43"/>
      <c r="C29" s="44"/>
      <c r="D29" s="44"/>
      <c r="E29" s="45"/>
      <c r="F29" s="45"/>
      <c r="G29" s="45"/>
      <c r="H29" s="45"/>
      <c r="I29" s="45"/>
      <c r="J29" s="51" t="e">
        <f>J28/10^6</f>
        <v>#REF!</v>
      </c>
    </row>
    <row r="30" spans="1:10" ht="15" thickTop="1" x14ac:dyDescent="0.35">
      <c r="A30" s="46"/>
      <c r="B30" s="47"/>
      <c r="C30" s="48"/>
      <c r="D30" s="48"/>
      <c r="E30" s="49"/>
      <c r="F30" s="49"/>
      <c r="G30" s="49"/>
      <c r="H30" s="49"/>
      <c r="I30" s="49"/>
      <c r="J30" s="50"/>
    </row>
    <row r="31" spans="1:10" x14ac:dyDescent="0.35">
      <c r="A31" s="46"/>
      <c r="B31" s="47"/>
      <c r="C31" s="48"/>
      <c r="D31" s="48"/>
      <c r="E31" s="49"/>
      <c r="F31" s="49"/>
      <c r="G31" s="49"/>
      <c r="H31" s="49"/>
      <c r="I31" s="49"/>
      <c r="J31" s="50"/>
    </row>
    <row r="32" spans="1:10" x14ac:dyDescent="0.35">
      <c r="A32" s="46"/>
      <c r="B32" s="47"/>
      <c r="C32" s="48"/>
      <c r="D32" s="48"/>
      <c r="E32" s="49"/>
      <c r="F32" s="49"/>
      <c r="G32" s="49"/>
      <c r="H32" s="49"/>
      <c r="I32" s="49"/>
      <c r="J32" s="50"/>
    </row>
    <row r="33" spans="1:10" x14ac:dyDescent="0.35">
      <c r="A33" s="17" t="s">
        <v>70</v>
      </c>
      <c r="B33" s="39"/>
      <c r="C33" s="7"/>
      <c r="D33" s="7"/>
      <c r="E33" s="16">
        <f>SUM(E11,E7,E2)+E25</f>
        <v>1152300</v>
      </c>
      <c r="F33" s="16">
        <f>SUM(F11,F7,F2)+F25</f>
        <v>288075</v>
      </c>
      <c r="G33" s="16">
        <f>SUM(G11,G7,G2)+G25</f>
        <v>288075</v>
      </c>
      <c r="H33" s="16">
        <f>SUM(H11,H7,H2)+H25</f>
        <v>288075</v>
      </c>
      <c r="I33" s="16">
        <f>SUM(I11,I7,I2)+I25</f>
        <v>288075</v>
      </c>
      <c r="J33" s="16"/>
    </row>
    <row r="34" spans="1:10" x14ac:dyDescent="0.35">
      <c r="A34" s="17" t="s">
        <v>71</v>
      </c>
      <c r="B34" s="7">
        <f>0.1*B33</f>
        <v>0</v>
      </c>
      <c r="C34" s="7"/>
      <c r="D34" s="7"/>
      <c r="E34" s="16" t="e">
        <f>SUM(E22:E24)</f>
        <v>#REF!</v>
      </c>
      <c r="F34" s="16" t="e">
        <f t="shared" ref="F34:I34" si="1">SUM(F22:F24)</f>
        <v>#REF!</v>
      </c>
      <c r="G34" s="16" t="e">
        <f t="shared" si="1"/>
        <v>#REF!</v>
      </c>
      <c r="H34" s="16" t="e">
        <f t="shared" si="1"/>
        <v>#REF!</v>
      </c>
      <c r="I34" s="16" t="e">
        <f t="shared" si="1"/>
        <v>#REF!</v>
      </c>
      <c r="J34" s="16"/>
    </row>
  </sheetData>
  <mergeCells count="2">
    <mergeCell ref="A26:J26"/>
    <mergeCell ref="A28:C28"/>
  </mergeCells>
  <pageMargins left="0.7" right="0.7" top="0.75" bottom="0.75" header="0.3" footer="0.3"/>
  <pageSetup paperSize="9" orientation="portrait" r:id="rId1"/>
  <ignoredErrors>
    <ignoredError sqref="E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79E9-5930-4818-858B-738D3AF15CB4}">
  <sheetPr>
    <outlinePr summaryBelow="0"/>
  </sheetPr>
  <dimension ref="B1:I36"/>
  <sheetViews>
    <sheetView topLeftCell="A4" zoomScale="90" zoomScaleNormal="90" workbookViewId="0">
      <selection activeCell="B1" sqref="B1:H33"/>
    </sheetView>
  </sheetViews>
  <sheetFormatPr defaultColWidth="9.1796875" defaultRowHeight="14.5" x14ac:dyDescent="0.35"/>
  <cols>
    <col min="1" max="1" width="5.7265625" style="27" customWidth="1"/>
    <col min="2" max="2" width="50.81640625" style="25" customWidth="1"/>
    <col min="3" max="3" width="8.54296875" style="40" bestFit="1" customWidth="1"/>
    <col min="4" max="4" width="12.453125" style="26" customWidth="1"/>
    <col min="5" max="5" width="15.1796875" style="26" bestFit="1" customWidth="1"/>
    <col min="6" max="6" width="9.81640625" style="8" bestFit="1" customWidth="1"/>
    <col min="7" max="7" width="13.7265625" style="26" bestFit="1" customWidth="1"/>
    <col min="8" max="8" width="39.81640625" style="27" customWidth="1"/>
    <col min="9" max="9" width="9.1796875" style="89"/>
    <col min="10" max="16384" width="9.1796875" style="27"/>
  </cols>
  <sheetData>
    <row r="1" spans="2:9" x14ac:dyDescent="0.35">
      <c r="B1" s="55" t="s">
        <v>82</v>
      </c>
      <c r="C1" s="81"/>
      <c r="D1" s="82"/>
      <c r="H1" s="83" t="s">
        <v>91</v>
      </c>
      <c r="I1" s="87" t="s">
        <v>90</v>
      </c>
    </row>
    <row r="2" spans="2:9" x14ac:dyDescent="0.35">
      <c r="B2" s="78" t="s">
        <v>80</v>
      </c>
      <c r="C2" s="79">
        <v>0.15</v>
      </c>
      <c r="D2" s="80">
        <f>$D$3/$C$3*C2</f>
        <v>1565</v>
      </c>
      <c r="H2" s="21" t="s">
        <v>73</v>
      </c>
      <c r="I2" s="88">
        <v>100</v>
      </c>
    </row>
    <row r="3" spans="2:9" x14ac:dyDescent="0.35">
      <c r="B3" s="78" t="s">
        <v>81</v>
      </c>
      <c r="C3" s="79">
        <v>0.6</v>
      </c>
      <c r="D3" s="80">
        <f>E12+E22</f>
        <v>6260</v>
      </c>
      <c r="H3" s="21" t="s">
        <v>92</v>
      </c>
      <c r="I3" s="88">
        <v>50</v>
      </c>
    </row>
    <row r="4" spans="2:9" x14ac:dyDescent="0.35">
      <c r="B4" s="78" t="s">
        <v>84</v>
      </c>
      <c r="C4" s="79">
        <v>0.18</v>
      </c>
      <c r="D4" s="80">
        <f t="shared" ref="D4:D6" si="0">$D$3/$C$3*C4</f>
        <v>1878</v>
      </c>
      <c r="H4" s="21" t="s">
        <v>93</v>
      </c>
      <c r="I4" s="88">
        <v>30</v>
      </c>
    </row>
    <row r="5" spans="2:9" x14ac:dyDescent="0.35">
      <c r="B5" s="78" t="s">
        <v>11</v>
      </c>
      <c r="C5" s="79">
        <v>0.05</v>
      </c>
      <c r="D5" s="80">
        <f t="shared" si="0"/>
        <v>521.66666666666674</v>
      </c>
      <c r="H5" s="21" t="s">
        <v>74</v>
      </c>
      <c r="I5" s="88">
        <v>30</v>
      </c>
    </row>
    <row r="6" spans="2:9" x14ac:dyDescent="0.35">
      <c r="B6" s="78" t="s">
        <v>86</v>
      </c>
      <c r="C6" s="79">
        <v>0.02</v>
      </c>
      <c r="D6" s="80">
        <f t="shared" si="0"/>
        <v>208.66666666666669</v>
      </c>
    </row>
    <row r="7" spans="2:9" ht="17.25" customHeight="1" thickBot="1" x14ac:dyDescent="0.4">
      <c r="C7" s="74">
        <f t="shared" ref="C7:D7" si="1">SUM(C2:C6)</f>
        <v>1</v>
      </c>
      <c r="D7" s="75">
        <f t="shared" si="1"/>
        <v>10433.333333333332</v>
      </c>
      <c r="E7" s="26" t="s">
        <v>88</v>
      </c>
    </row>
    <row r="8" spans="2:9" ht="17.25" customHeight="1" thickTop="1" x14ac:dyDescent="0.35">
      <c r="C8" s="76"/>
      <c r="D8" s="77"/>
    </row>
    <row r="9" spans="2:9" ht="17.25" customHeight="1" x14ac:dyDescent="0.35">
      <c r="B9" s="25" t="s">
        <v>87</v>
      </c>
      <c r="D9" s="59"/>
    </row>
    <row r="10" spans="2:9" ht="17.25" customHeight="1" x14ac:dyDescent="0.35">
      <c r="H10" s="33" t="s">
        <v>54</v>
      </c>
      <c r="I10" s="90">
        <v>100</v>
      </c>
    </row>
    <row r="11" spans="2:9" s="28" customFormat="1" ht="29" x14ac:dyDescent="0.35">
      <c r="B11" s="55"/>
      <c r="C11" s="56" t="s">
        <v>58</v>
      </c>
      <c r="D11" s="56" t="s">
        <v>29</v>
      </c>
      <c r="E11" s="56" t="s">
        <v>78</v>
      </c>
      <c r="F11" s="84" t="s">
        <v>51</v>
      </c>
      <c r="G11" s="58" t="s">
        <v>52</v>
      </c>
      <c r="H11" s="57" t="s">
        <v>53</v>
      </c>
      <c r="I11" s="91"/>
    </row>
    <row r="12" spans="2:9" x14ac:dyDescent="0.35">
      <c r="B12" s="29" t="s">
        <v>56</v>
      </c>
      <c r="C12" s="41"/>
      <c r="D12" s="30"/>
      <c r="E12" s="61">
        <f>SUM(E13:E20)</f>
        <v>5180</v>
      </c>
      <c r="F12" s="85"/>
      <c r="G12" s="62">
        <f>SUM(G13:G20)</f>
        <v>518000</v>
      </c>
      <c r="H12" s="63"/>
    </row>
    <row r="13" spans="2:9" x14ac:dyDescent="0.35">
      <c r="B13" s="64" t="s">
        <v>57</v>
      </c>
      <c r="C13" s="53"/>
      <c r="D13" s="65"/>
      <c r="E13" s="65"/>
      <c r="F13" s="86"/>
      <c r="G13" s="66"/>
      <c r="H13" s="67"/>
    </row>
    <row r="14" spans="2:9" x14ac:dyDescent="0.35">
      <c r="B14" s="68" t="s">
        <v>65</v>
      </c>
      <c r="C14" s="53">
        <v>5</v>
      </c>
      <c r="D14" s="65">
        <f>2*40</f>
        <v>80</v>
      </c>
      <c r="E14" s="65">
        <f t="shared" ref="E14:E19" si="2">C14*D14</f>
        <v>400</v>
      </c>
      <c r="F14" s="86"/>
      <c r="G14" s="66">
        <f t="shared" ref="G14:G20" si="3">SUM(D14*$I$10*C14)</f>
        <v>40000</v>
      </c>
      <c r="H14" s="67"/>
    </row>
    <row r="15" spans="2:9" x14ac:dyDescent="0.35">
      <c r="B15" s="68" t="s">
        <v>66</v>
      </c>
      <c r="C15" s="53">
        <v>5</v>
      </c>
      <c r="D15" s="65">
        <v>80</v>
      </c>
      <c r="E15" s="65">
        <f t="shared" si="2"/>
        <v>400</v>
      </c>
      <c r="F15" s="86"/>
      <c r="G15" s="66">
        <f t="shared" si="3"/>
        <v>40000</v>
      </c>
      <c r="H15" s="67"/>
    </row>
    <row r="16" spans="2:9" x14ac:dyDescent="0.35">
      <c r="B16" s="68" t="s">
        <v>67</v>
      </c>
      <c r="C16" s="53">
        <v>5</v>
      </c>
      <c r="D16" s="65">
        <f>2*40</f>
        <v>80</v>
      </c>
      <c r="E16" s="65">
        <f t="shared" si="2"/>
        <v>400</v>
      </c>
      <c r="F16" s="86"/>
      <c r="G16" s="66">
        <f t="shared" si="3"/>
        <v>40000</v>
      </c>
      <c r="H16" s="67"/>
    </row>
    <row r="17" spans="2:8" x14ac:dyDescent="0.35">
      <c r="B17" s="69" t="s">
        <v>59</v>
      </c>
      <c r="C17" s="53">
        <v>1</v>
      </c>
      <c r="D17" s="65">
        <v>280</v>
      </c>
      <c r="E17" s="65">
        <f t="shared" si="2"/>
        <v>280</v>
      </c>
      <c r="F17" s="86"/>
      <c r="G17" s="66">
        <f t="shared" si="3"/>
        <v>28000</v>
      </c>
      <c r="H17" s="67"/>
    </row>
    <row r="18" spans="2:8" x14ac:dyDescent="0.35">
      <c r="B18" s="69" t="s">
        <v>60</v>
      </c>
      <c r="C18" s="53">
        <v>5</v>
      </c>
      <c r="D18" s="65">
        <v>200</v>
      </c>
      <c r="E18" s="65">
        <f t="shared" si="2"/>
        <v>1000</v>
      </c>
      <c r="F18" s="86"/>
      <c r="G18" s="66">
        <f t="shared" si="3"/>
        <v>100000</v>
      </c>
      <c r="H18" s="67"/>
    </row>
    <row r="19" spans="2:8" x14ac:dyDescent="0.35">
      <c r="B19" s="70" t="s">
        <v>61</v>
      </c>
      <c r="C19" s="53">
        <v>6</v>
      </c>
      <c r="D19" s="65">
        <f>10*40</f>
        <v>400</v>
      </c>
      <c r="E19" s="65">
        <f t="shared" si="2"/>
        <v>2400</v>
      </c>
      <c r="F19" s="86"/>
      <c r="G19" s="66">
        <f t="shared" si="3"/>
        <v>240000</v>
      </c>
      <c r="H19" s="71"/>
    </row>
    <row r="20" spans="2:8" ht="29" x14ac:dyDescent="0.35">
      <c r="B20" s="69" t="s">
        <v>68</v>
      </c>
      <c r="C20" s="53">
        <v>15</v>
      </c>
      <c r="D20" s="65">
        <v>20</v>
      </c>
      <c r="E20" s="65">
        <f>C20*D20</f>
        <v>300</v>
      </c>
      <c r="F20" s="85"/>
      <c r="G20" s="66">
        <f t="shared" si="3"/>
        <v>30000</v>
      </c>
      <c r="H20" s="67"/>
    </row>
    <row r="21" spans="2:8" x14ac:dyDescent="0.35">
      <c r="B21" s="29"/>
      <c r="C21" s="41"/>
      <c r="D21" s="30"/>
      <c r="E21" s="30"/>
      <c r="F21" s="85"/>
      <c r="G21" s="31"/>
      <c r="H21" s="67"/>
    </row>
    <row r="22" spans="2:8" x14ac:dyDescent="0.35">
      <c r="B22" s="29" t="s">
        <v>94</v>
      </c>
      <c r="C22" s="41"/>
      <c r="D22" s="54"/>
      <c r="E22" s="72">
        <f>SUM(E23:E24)</f>
        <v>1080</v>
      </c>
      <c r="F22" s="86"/>
      <c r="G22" s="62">
        <f>SUM(G23:G25)</f>
        <v>108000</v>
      </c>
      <c r="H22" s="67"/>
    </row>
    <row r="23" spans="2:8" x14ac:dyDescent="0.35">
      <c r="B23" s="64" t="s">
        <v>83</v>
      </c>
      <c r="C23" s="53">
        <v>15</v>
      </c>
      <c r="D23" s="54">
        <v>40</v>
      </c>
      <c r="E23" s="54">
        <f>C23*D23</f>
        <v>600</v>
      </c>
      <c r="F23" s="86"/>
      <c r="G23" s="31">
        <f>SUM(D23*$I$10*C23)</f>
        <v>60000</v>
      </c>
      <c r="H23" s="67"/>
    </row>
    <row r="24" spans="2:8" x14ac:dyDescent="0.35">
      <c r="B24" s="64" t="s">
        <v>62</v>
      </c>
      <c r="C24" s="53">
        <v>6</v>
      </c>
      <c r="D24" s="54">
        <v>80</v>
      </c>
      <c r="E24" s="54">
        <f>C24*D24</f>
        <v>480</v>
      </c>
      <c r="F24" s="86"/>
      <c r="G24" s="31">
        <f>SUM(D24*$I$10*C24)</f>
        <v>48000</v>
      </c>
      <c r="H24" s="67"/>
    </row>
    <row r="25" spans="2:8" x14ac:dyDescent="0.35">
      <c r="B25" s="52"/>
      <c r="C25" s="53"/>
      <c r="D25" s="54"/>
      <c r="E25" s="54"/>
      <c r="F25" s="86"/>
      <c r="G25" s="31"/>
      <c r="H25" s="67"/>
    </row>
    <row r="26" spans="2:8" x14ac:dyDescent="0.35">
      <c r="B26" s="29" t="s">
        <v>85</v>
      </c>
      <c r="C26" s="41"/>
      <c r="D26" s="54"/>
      <c r="E26" s="60">
        <f>D2</f>
        <v>1565</v>
      </c>
      <c r="F26" s="86">
        <v>1</v>
      </c>
      <c r="G26" s="31">
        <f>SUM(E26*$I$10*F26)</f>
        <v>156500</v>
      </c>
      <c r="H26" s="67"/>
    </row>
    <row r="27" spans="2:8" x14ac:dyDescent="0.35">
      <c r="B27" s="29" t="s">
        <v>79</v>
      </c>
      <c r="C27" s="41"/>
      <c r="D27" s="54"/>
      <c r="E27" s="60">
        <f>D4</f>
        <v>1878</v>
      </c>
      <c r="F27" s="86">
        <v>1</v>
      </c>
      <c r="G27" s="31">
        <f>SUM(E27*$I$10*F27)</f>
        <v>187800</v>
      </c>
      <c r="H27" s="67"/>
    </row>
    <row r="28" spans="2:8" x14ac:dyDescent="0.35">
      <c r="B28" s="29"/>
      <c r="C28" s="41"/>
      <c r="D28" s="54"/>
      <c r="E28" s="54"/>
      <c r="F28" s="86"/>
      <c r="G28" s="31"/>
      <c r="H28" s="67"/>
    </row>
    <row r="29" spans="2:8" x14ac:dyDescent="0.35">
      <c r="B29" s="29" t="s">
        <v>11</v>
      </c>
      <c r="C29" s="41">
        <v>1</v>
      </c>
      <c r="D29" s="30">
        <v>300</v>
      </c>
      <c r="E29" s="60">
        <f>D5</f>
        <v>521.66666666666674</v>
      </c>
      <c r="F29" s="85"/>
      <c r="G29" s="31">
        <f>SUM(D29*$I$10*C29)</f>
        <v>30000</v>
      </c>
      <c r="H29" s="67" t="s">
        <v>64</v>
      </c>
    </row>
    <row r="30" spans="2:8" x14ac:dyDescent="0.35">
      <c r="B30" s="29" t="s">
        <v>69</v>
      </c>
      <c r="C30" s="73"/>
      <c r="D30" s="54">
        <v>320</v>
      </c>
      <c r="E30" s="60">
        <f>D6</f>
        <v>208.66666666666669</v>
      </c>
      <c r="F30" s="86">
        <v>1</v>
      </c>
      <c r="G30" s="31">
        <f>SUM(D30*$I$10*F30)</f>
        <v>32000</v>
      </c>
      <c r="H30" s="67"/>
    </row>
    <row r="31" spans="2:8" x14ac:dyDescent="0.35">
      <c r="B31" s="29"/>
      <c r="C31" s="41"/>
      <c r="D31" s="30"/>
      <c r="E31" s="60"/>
      <c r="F31" s="85"/>
      <c r="G31" s="31"/>
      <c r="H31" s="67"/>
    </row>
    <row r="32" spans="2:8" x14ac:dyDescent="0.35">
      <c r="B32" s="29" t="s">
        <v>87</v>
      </c>
      <c r="C32" s="41">
        <v>12</v>
      </c>
      <c r="D32" s="54">
        <v>600</v>
      </c>
      <c r="E32" s="54">
        <v>600</v>
      </c>
      <c r="F32" s="86">
        <v>2</v>
      </c>
      <c r="G32" s="31">
        <f>SUM(D32*$I$10*F32)</f>
        <v>120000</v>
      </c>
      <c r="H32" s="67"/>
    </row>
    <row r="33" spans="2:8" x14ac:dyDescent="0.35">
      <c r="B33" s="67"/>
      <c r="C33" s="67"/>
      <c r="D33" s="67"/>
      <c r="E33" s="67"/>
      <c r="F33" s="86"/>
      <c r="G33" s="67"/>
      <c r="H33" s="67"/>
    </row>
    <row r="36" spans="2:8" x14ac:dyDescent="0.35">
      <c r="H36" s="3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58BDE2B25754D896149302446BD81" ma:contentTypeVersion="2" ma:contentTypeDescription="Create a new document." ma:contentTypeScope="" ma:versionID="d5a0e44493c19754df5a2ed4d592dd2e">
  <xsd:schema xmlns:xsd="http://www.w3.org/2001/XMLSchema" xmlns:xs="http://www.w3.org/2001/XMLSchema" xmlns:p="http://schemas.microsoft.com/office/2006/metadata/properties" xmlns:ns2="04433624-1a94-42fa-84d2-280d3af2e600" targetNamespace="http://schemas.microsoft.com/office/2006/metadata/properties" ma:root="true" ma:fieldsID="53d7f2da3fdec28bd1561de9b0e7e0e8" ns2:_="">
    <xsd:import namespace="04433624-1a94-42fa-84d2-280d3af2e6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33624-1a94-42fa-84d2-280d3af2e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652C40-275D-4B13-A80B-62735E40BE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33624-1a94-42fa-84d2-280d3af2e6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CDAAB9-DD39-4AD0-8CD0-C2C54E65D4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B06481-ABE2-42FC-A875-2E4C40E1BA92}">
  <ds:schemaRefs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4433624-1a94-42fa-84d2-280d3af2e6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Dashboard</vt:lpstr>
      <vt:lpstr>Overall_Cost</vt:lpstr>
      <vt:lpstr>Software</vt:lpstr>
      <vt:lpstr>Effort_Development</vt:lpstr>
      <vt:lpstr>Cost_Development</vt:lpstr>
      <vt:lpstr>Feature_Coverage</vt:lpstr>
      <vt:lpstr>Overall_Cost_BK</vt:lpstr>
      <vt:lpstr>Project Development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Gupta</dc:creator>
  <cp:lastModifiedBy>Aryan Mohan</cp:lastModifiedBy>
  <dcterms:created xsi:type="dcterms:W3CDTF">2019-11-21T10:00:45Z</dcterms:created>
  <dcterms:modified xsi:type="dcterms:W3CDTF">2020-01-15T08:25:20Z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0x01010046358BDE2B25754D896149302446BD81</vt:lpwstr>
  </property>
  <property fmtid="{D5CDD505-2E9C-101B-9397-08002B2CF9AE}" pid="3" name="MSIP_Label_74c35f9b-eda0-4196-8334-7edc09744420_Enabled">
    <vt:lpwstr>True</vt:lpwstr>
  </property>
  <property fmtid="{D5CDD505-2E9C-101B-9397-08002B2CF9AE}" pid="4" name="MSIP_Label_74c35f9b-eda0-4196-8334-7edc09744420_SiteId">
    <vt:lpwstr>a45fe71a-f480-4e42-ad5e-aff33165aa35</vt:lpwstr>
  </property>
  <property fmtid="{D5CDD505-2E9C-101B-9397-08002B2CF9AE}" pid="5" name="MSIP_Label_74c35f9b-eda0-4196-8334-7edc09744420_Owner">
    <vt:lpwstr>arun.gupta@nagarro.com</vt:lpwstr>
  </property>
  <property fmtid="{D5CDD505-2E9C-101B-9397-08002B2CF9AE}" pid="6" name="MSIP_Label_74c35f9b-eda0-4196-8334-7edc09744420_SetDate">
    <vt:lpwstr>2019-12-17T07:50:06.3820660Z</vt:lpwstr>
  </property>
  <property fmtid="{D5CDD505-2E9C-101B-9397-08002B2CF9AE}" pid="7" name="MSIP_Label_74c35f9b-eda0-4196-8334-7edc09744420_Name">
    <vt:lpwstr>Confidential</vt:lpwstr>
  </property>
  <property fmtid="{D5CDD505-2E9C-101B-9397-08002B2CF9AE}" pid="8" name="MSIP_Label_74c35f9b-eda0-4196-8334-7edc09744420_Application">
    <vt:lpwstr>Microsoft Azure Information Protection</vt:lpwstr>
  </property>
  <property fmtid="{D5CDD505-2E9C-101B-9397-08002B2CF9AE}" pid="9" name="MSIP_Label_74c35f9b-eda0-4196-8334-7edc09744420_ActionId">
    <vt:lpwstr>38cd02c4-2e0e-4ef3-bec3-1ce3f5249360</vt:lpwstr>
  </property>
  <property fmtid="{D5CDD505-2E9C-101B-9397-08002B2CF9AE}" pid="10" name="MSIP_Label_74c35f9b-eda0-4196-8334-7edc09744420_Extended_MSFT_Method">
    <vt:lpwstr>Manual</vt:lpwstr>
  </property>
  <property fmtid="{D5CDD505-2E9C-101B-9397-08002B2CF9AE}" pid="11" name="MSIP_Label_f605dc35-ad60-4173-98ce-5805a9dbcddf_Enabled">
    <vt:lpwstr>True</vt:lpwstr>
  </property>
  <property fmtid="{D5CDD505-2E9C-101B-9397-08002B2CF9AE}" pid="12" name="MSIP_Label_f605dc35-ad60-4173-98ce-5805a9dbcddf_SiteId">
    <vt:lpwstr>a45fe71a-f480-4e42-ad5e-aff33165aa35</vt:lpwstr>
  </property>
  <property fmtid="{D5CDD505-2E9C-101B-9397-08002B2CF9AE}" pid="13" name="MSIP_Label_f605dc35-ad60-4173-98ce-5805a9dbcddf_Owner">
    <vt:lpwstr>arun.gupta@nagarro.com</vt:lpwstr>
  </property>
  <property fmtid="{D5CDD505-2E9C-101B-9397-08002B2CF9AE}" pid="14" name="MSIP_Label_f605dc35-ad60-4173-98ce-5805a9dbcddf_SetDate">
    <vt:lpwstr>2019-12-17T07:50:06.3820660Z</vt:lpwstr>
  </property>
  <property fmtid="{D5CDD505-2E9C-101B-9397-08002B2CF9AE}" pid="15" name="MSIP_Label_f605dc35-ad60-4173-98ce-5805a9dbcddf_Name">
    <vt:lpwstr>Nagarro External - No Protection</vt:lpwstr>
  </property>
  <property fmtid="{D5CDD505-2E9C-101B-9397-08002B2CF9AE}" pid="16" name="MSIP_Label_f605dc35-ad60-4173-98ce-5805a9dbcddf_Application">
    <vt:lpwstr>Microsoft Azure Information Protection</vt:lpwstr>
  </property>
  <property fmtid="{D5CDD505-2E9C-101B-9397-08002B2CF9AE}" pid="17" name="MSIP_Label_f605dc35-ad60-4173-98ce-5805a9dbcddf_ActionId">
    <vt:lpwstr>38cd02c4-2e0e-4ef3-bec3-1ce3f5249360</vt:lpwstr>
  </property>
  <property fmtid="{D5CDD505-2E9C-101B-9397-08002B2CF9AE}" pid="18" name="MSIP_Label_f605dc35-ad60-4173-98ce-5805a9dbcddf_Parent">
    <vt:lpwstr>74c35f9b-eda0-4196-8334-7edc09744420</vt:lpwstr>
  </property>
  <property fmtid="{D5CDD505-2E9C-101B-9397-08002B2CF9AE}" pid="19" name="MSIP_Label_f605dc35-ad60-4173-98ce-5805a9dbcddf_Extended_MSFT_Method">
    <vt:lpwstr>Manual</vt:lpwstr>
  </property>
  <property fmtid="{D5CDD505-2E9C-101B-9397-08002B2CF9AE}" pid="20" name="Sensitivity">
    <vt:lpwstr>Confidential Nagarro External - No Protection</vt:lpwstr>
  </property>
</Properties>
</file>